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list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nleitung" sheetId="4" state="visible" r:id="rId4"/>
  </sheets>
  <definedNames>
    <definedName name="Liste_Kategorien">OFFSET(Stammdaten!$B$7,0,0,MAX(1,COUNTA(Stammdaten!$B$7:$B$21)),1)</definedName>
    <definedName name="Liste_Einheiten">OFFSET(Stammdaten!$E$7,0,0,MAX(1,COUNTA(Stammdaten!$E$7:$E$26)),1)</definedName>
    <definedName name="Liste_Status">Stammdaten!$G$7:$G$12</definedName>
    <definedName name="Liste_Lieferanten">OFFSET(Stammdaten!$J$7,0,0,MAX(1,COUNTA(Stammdaten!$J$7:$J$21)),1)</definedName>
    <definedName name="Tab_Lieferanten">Stammdaten!$J$7:$J$21</definedName>
    <definedName name="Tab_Lieferzeit">Stammdaten!$N$7:$N$21</definedName>
    <definedName name="Stichtag">Materialliste!$F$7</definedName>
    <definedName name="MwSt_Satz">Materialliste!$K$6</definedName>
    <definedName name="Vorwarnzeit">Materialliste!$K$7</definedName>
    <definedName name="Budget_Netto">Materialliste!$K$5</definedName>
    <definedName name="_xlnm._FilterDatabase" localSheetId="0" hidden="1">'Materialliste'!$B$12:$V$112</definedName>
    <definedName name="_xlnm.Print_Titles" localSheetId="0">'Materialliste'!$11:$12</definedName>
    <definedName name="_xlnm.Print_Area" localSheetId="0">'Materialliste'!$B$2:$V$112</definedName>
    <definedName name="_xlnm.Print_Area" localSheetId="1">'Auswertung'!$B$2:$M$50</definedName>
    <definedName name="_xlnm.Print_Area" localSheetId="2">'Stammdaten'!$B$2:$O$26</definedName>
    <definedName name="_xlnm.Print_Area" localSheetId="3">'Anleitung'!$B$2:$D$46</definedName>
  </definedNames>
  <calcPr calcId="124519" fullCalcOnLoad="1"/>
</workbook>
</file>

<file path=xl/styles.xml><?xml version="1.0" encoding="utf-8"?>
<styleSheet xmlns="http://schemas.openxmlformats.org/spreadsheetml/2006/main">
  <numFmts count="23">
    <numFmt numFmtId="164" formatCode="#,##0.00 &quot;€&quot;"/>
    <numFmt numFmtId="165" formatCode="yyyy-mm-dd"/>
    <numFmt numFmtId="166" formatCode="DD.MM.YYYY"/>
    <numFmt numFmtId="167" formatCode="0 &quot;Tage&quot;"/>
    <numFmt numFmtId="168" formatCode="0 &quot;Positionen erfasst&quot;"/>
    <numFmt numFmtId="169" formatCode="0.0% &quot;des Budgets&quot;"/>
    <numFmt numFmtId="170" formatCode="&quot;davon MwSt. &quot;#,##0.00 &quot;€&quot;"/>
    <numFmt numFmtId="171" formatCode="0.0%"/>
    <numFmt numFmtId="172" formatCode="&quot;geliefert: &quot;#,##0.00 &quot;€&quot;"/>
    <numFmt numFmtId="173" formatCode="0 &quot;Pos.&quot;"/>
    <numFmt numFmtId="174" formatCode="0 &quot;noch offen&quot;"/>
    <numFmt numFmtId="175" formatCode="0%;-0%;&quot;–&quot;"/>
    <numFmt numFmtId="176" formatCode="#,##0.00 &quot;€&quot;;-#,##0.00 &quot;€&quot;;&quot;–&quot;"/>
    <numFmt numFmtId="177" formatCode="[=0]&quot;–&quot;;General"/>
    <numFmt numFmtId="178" formatCode="&quot;verteilt: &quot;#,##0.00 &quot;€&quot;"/>
    <numFmt numFmtId="179" formatCode="&quot;brutto: &quot;#,##0.00 &quot;€&quot;"/>
    <numFmt numFmtId="180" formatCode="0.0% &quot;ausgeschöpft&quot;"/>
    <numFmt numFmtId="181" formatCode="&quot;wertmäßig&quot;"/>
    <numFmt numFmtId="182" formatCode="0 &quot;Positionen&quot;"/>
    <numFmt numFmtId="183" formatCode="#,##0.00 &quot;€&quot;;-#,##0.00 &quot;€&quot;;&quot;±0,00 €&quot;"/>
    <numFmt numFmtId="184" formatCode="0;-0;&quot;–&quot;"/>
    <numFmt numFmtId="185" formatCode="0.0%;-0.0%;&quot;–&quot;"/>
    <numFmt numFmtId="186" formatCode="[=0]&quot;–&quot;;DD.MM.YYYY"/>
  </numFmts>
  <fonts count="24">
    <font>
      <name val="Calibri"/>
      <family val="2"/>
      <color theme="1"/>
      <sz val="11"/>
      <scheme val="minor"/>
    </font>
    <font>
      <name val="Calibri"/>
      <b val="1"/>
      <strike val="0"/>
      <color rgb="0026282E"/>
      <sz val="24"/>
    </font>
    <font>
      <name val="Calibri"/>
      <i val="1"/>
      <strike val="0"/>
      <color rgb="00B4673A"/>
      <sz val="10"/>
    </font>
    <font>
      <name val="Calibri"/>
      <b val="1"/>
      <strike val="0"/>
      <color rgb="00FFFFFF"/>
      <sz val="9"/>
    </font>
    <font>
      <name val="Calibri"/>
      <strike val="0"/>
      <color rgb="0026282E"/>
      <sz val="10"/>
    </font>
    <font>
      <name val="Calibri"/>
      <b val="1"/>
      <strike val="0"/>
      <color rgb="0026282E"/>
      <sz val="10"/>
    </font>
    <font>
      <name val="Calibri"/>
      <i val="1"/>
      <strike val="0"/>
      <color rgb="007D838C"/>
      <sz val="8.5"/>
    </font>
    <font>
      <name val="Calibri"/>
      <b val="1"/>
      <strike val="0"/>
      <color rgb="0026282E"/>
      <sz val="26"/>
    </font>
    <font>
      <name val="Calibri"/>
      <b val="1"/>
      <strike val="0"/>
      <color rgb="003A3D45"/>
      <sz val="10"/>
    </font>
    <font>
      <name val="Calibri"/>
      <strike val="0"/>
      <color rgb="007D838C"/>
      <sz val="9"/>
    </font>
    <font>
      <name val="Calibri"/>
      <b val="1"/>
      <strike val="0"/>
      <color rgb="007D838C"/>
      <sz val="8"/>
    </font>
    <font>
      <name val="Calibri"/>
      <b val="1"/>
      <strike val="0"/>
      <color rgb="0026282E"/>
      <sz val="10.5"/>
    </font>
    <font>
      <name val="Calibri"/>
      <strike val="0"/>
      <color rgb="0026282E"/>
      <sz val="10.5"/>
    </font>
    <font>
      <name val="Calibri"/>
      <strike val="0"/>
      <color rgb="003A3D45"/>
      <sz val="8.5"/>
    </font>
    <font>
      <name val="Calibri"/>
      <b val="1"/>
      <strike val="0"/>
      <color rgb="008E4F2A"/>
      <sz val="8.5"/>
    </font>
    <font>
      <name val="Calibri"/>
      <b val="1"/>
      <strike val="0"/>
      <color rgb="0026282E"/>
      <sz val="18"/>
    </font>
    <font>
      <name val="Calibri"/>
      <b val="1"/>
      <strike val="0"/>
      <color rgb="008E4F2A"/>
      <sz val="10"/>
    </font>
    <font>
      <name val="Calibri"/>
      <b val="1"/>
      <strike val="0"/>
      <color rgb="003A3D45"/>
      <sz val="8.5"/>
    </font>
    <font>
      <name val="Calibri"/>
      <b val="1"/>
      <strike val="0"/>
      <color rgb="003A3D45"/>
      <sz val="12"/>
    </font>
    <font>
      <name val="Calibri"/>
      <strike val="0"/>
      <color rgb="007D838C"/>
      <sz val="10"/>
    </font>
    <font>
      <name val="Calibri"/>
      <i val="1"/>
      <strike val="0"/>
      <color rgb="007D838C"/>
      <sz val="10"/>
    </font>
    <font>
      <name val="Calibri"/>
      <i val="1"/>
      <strike val="0"/>
      <color rgb="007D838C"/>
      <sz val="9.5"/>
    </font>
    <font>
      <name val="Calibri"/>
      <b val="1"/>
      <strike val="0"/>
      <color rgb="008E4F2A"/>
      <sz val="9.5"/>
    </font>
    <font>
      <name val="Calibri"/>
      <b val="1"/>
      <strike val="0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B4673A"/>
        <bgColor rgb="00B4673A"/>
      </patternFill>
    </fill>
    <fill>
      <patternFill patternType="solid">
        <fgColor rgb="0026282E"/>
        <bgColor rgb="0026282E"/>
      </patternFill>
    </fill>
    <fill>
      <patternFill patternType="solid">
        <fgColor rgb="003A3D45"/>
        <bgColor rgb="003A3D45"/>
      </patternFill>
    </fill>
    <fill>
      <patternFill patternType="solid">
        <fgColor rgb="00FFFFFF"/>
        <bgColor rgb="00FFFFFF"/>
      </patternFill>
    </fill>
    <fill>
      <patternFill patternType="solid">
        <fgColor rgb="00F7F2EC"/>
        <bgColor rgb="00F7F2EC"/>
      </patternFill>
    </fill>
    <fill>
      <patternFill patternType="solid">
        <fgColor rgb="00ECE4D9"/>
        <bgColor rgb="00ECE4D9"/>
      </patternFill>
    </fill>
  </fills>
  <borders count="24">
    <border>
      <left/>
      <right/>
      <top/>
      <bottom/>
      <diagonal/>
    </border>
    <border>
      <bottom style="thin">
        <color rgb="00B4673A"/>
      </bottom>
    </border>
    <border>
      <left style="thin">
        <color rgb="00FFFFFF"/>
      </left>
      <right style="thin">
        <color rgb="00FFFFFF"/>
      </right>
    </border>
    <border>
      <left style="thin">
        <color rgb="00DDD5CB"/>
      </left>
      <right style="thin">
        <color rgb="00DDD5CB"/>
      </right>
      <bottom style="thin">
        <color rgb="00DDD5CB"/>
      </bottom>
    </border>
    <border>
      <top style="medium">
        <color rgb="00B4673A"/>
      </top>
      <bottom style="thin">
        <color rgb="00DDD5CB"/>
      </bottom>
    </border>
    <border>
      <top style="medium">
        <color rgb="00B4673A"/>
      </top>
    </border>
    <border>
      <bottom style="thin">
        <color rgb="003A3D45"/>
      </bottom>
    </border>
    <border>
      <left style="thin">
        <color rgb="007D838C"/>
      </left>
      <right style="thin">
        <color rgb="007D838C"/>
      </right>
      <top style="thin">
        <color rgb="007D838C"/>
      </top>
      <bottom style="thin">
        <color rgb="007D838C"/>
      </bottom>
    </border>
    <border>
      <left style="thin">
        <color rgb="00B4673A"/>
      </left>
      <right style="thin">
        <color rgb="00B4673A"/>
      </right>
      <top style="thin">
        <color rgb="00B4673A"/>
      </top>
      <bottom style="thin">
        <color rgb="00B4673A"/>
      </bottom>
    </border>
    <border>
      <left style="medium">
        <color rgb="00FFFFFF"/>
      </left>
      <top style="thick">
        <color rgb="00B4673A"/>
      </top>
      <bottom/>
    </border>
    <border>
      <left/>
      <top style="thick">
        <color rgb="00B4673A"/>
      </top>
      <bottom/>
    </border>
    <border>
      <left style="medium">
        <color rgb="00FFFFFF"/>
      </left>
      <top/>
      <bottom/>
    </border>
    <border>
      <left/>
      <top/>
      <bottom/>
    </border>
    <border>
      <left style="medium">
        <color rgb="00FFFFFF"/>
      </left>
      <top/>
      <bottom style="thin">
        <color rgb="00B4673A"/>
      </bottom>
    </border>
    <border>
      <left/>
      <top/>
      <bottom style="thin">
        <color rgb="00B4673A"/>
      </bottom>
    </border>
    <border>
      <top style="thin">
        <color rgb="00DDD5CB"/>
      </top>
      <bottom style="thin">
        <color rgb="00DDD5CB"/>
      </bottom>
    </border>
    <border>
      <left/>
      <right/>
      <top style="thin">
        <color rgb="00DDD5CB"/>
      </top>
      <bottom/>
      <diagonal/>
    </border>
    <border>
      <left/>
      <right/>
      <top style="thin">
        <color rgb="00DDD5CB"/>
      </top>
      <bottom style="thin">
        <color rgb="00DDD5CB"/>
      </bottom>
      <diagonal/>
    </border>
    <border>
      <left style="medium">
        <color rgb="00FFFFFF"/>
      </left>
      <bottom style="medium">
        <color rgb="00B4673A"/>
      </bottom>
    </border>
    <border>
      <left/>
      <bottom style="medium">
        <color rgb="00B4673A"/>
      </bottom>
    </border>
    <border>
      <right style="thin">
        <color rgb="00EEE8E0"/>
      </right>
      <bottom style="thin">
        <color rgb="00DDD5CB"/>
      </bottom>
    </border>
    <border>
      <bottom style="thin">
        <color rgb="00DDD5CB"/>
      </bottom>
    </border>
    <border>
      <top style="medium">
        <color rgb="00B4673A"/>
      </top>
      <bottom style="medium">
        <color rgb="003A3D45"/>
      </bottom>
    </border>
    <border>
      <left/>
      <right style="thin">
        <color rgb="00FFFFFF"/>
      </right>
      <top/>
      <bottom/>
      <diagonal/>
    </border>
  </borders>
  <cellStyleXfs count="1">
    <xf numFmtId="0" fontId="0" fillId="0" borderId="0"/>
  </cellStyleXfs>
  <cellXfs count="119">
    <xf numFmtId="0" fontId="0" fillId="0" borderId="0" pivotButton="0" quotePrefix="0" xfId="0"/>
    <xf numFmtId="0" fontId="0" fillId="2" borderId="0" pivotButton="0" quotePrefix="0" xfId="0"/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right" vertical="center"/>
    </xf>
    <xf numFmtId="0" fontId="2" fillId="0" borderId="1" pivotButton="0" quotePrefix="0" xfId="0"/>
    <xf numFmtId="0" fontId="0" fillId="0" borderId="1" pivotButton="0" quotePrefix="0" xfId="0"/>
    <xf numFmtId="0" fontId="9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 indent="1"/>
    </xf>
    <xf numFmtId="0" fontId="11" fillId="5" borderId="6" applyAlignment="1" pivotButton="0" quotePrefix="0" xfId="0">
      <alignment horizontal="left" vertical="center" indent="1"/>
    </xf>
    <xf numFmtId="0" fontId="12" fillId="5" borderId="6" applyAlignment="1" pivotButton="0" quotePrefix="0" xfId="0">
      <alignment horizontal="left" vertical="center" indent="1"/>
    </xf>
    <xf numFmtId="164" fontId="11" fillId="5" borderId="6" applyAlignment="1" pivotButton="0" quotePrefix="0" xfId="0">
      <alignment horizontal="right" vertical="center" indent="1"/>
    </xf>
    <xf numFmtId="0" fontId="10" fillId="6" borderId="9" applyAlignment="1" pivotButton="0" quotePrefix="0" xfId="0">
      <alignment horizontal="left" vertical="center" indent="1"/>
    </xf>
    <xf numFmtId="0" fontId="10" fillId="6" borderId="10" applyAlignment="1" pivotButton="0" quotePrefix="0" xfId="0">
      <alignment horizontal="left" vertical="center" indent="1"/>
    </xf>
    <xf numFmtId="166" fontId="12" fillId="5" borderId="6" applyAlignment="1" pivotButton="0" quotePrefix="0" xfId="0">
      <alignment horizontal="left" vertical="center" indent="1"/>
    </xf>
    <xf numFmtId="9" fontId="11" fillId="5" borderId="6" applyAlignment="1" pivotButton="0" quotePrefix="0" xfId="0">
      <alignment horizontal="right" vertical="center" indent="1"/>
    </xf>
    <xf numFmtId="164" fontId="15" fillId="6" borderId="11" applyAlignment="1" pivotButton="0" quotePrefix="0" xfId="0">
      <alignment horizontal="left" vertical="center" indent="1"/>
    </xf>
    <xf numFmtId="164" fontId="15" fillId="6" borderId="12" applyAlignment="1" pivotButton="0" quotePrefix="0" xfId="0">
      <alignment horizontal="left" vertical="center" indent="1"/>
    </xf>
    <xf numFmtId="171" fontId="15" fillId="6" borderId="11" applyAlignment="1" pivotButton="0" quotePrefix="0" xfId="0">
      <alignment horizontal="left" vertical="center" indent="1"/>
    </xf>
    <xf numFmtId="171" fontId="15" fillId="6" borderId="12" applyAlignment="1" pivotButton="0" quotePrefix="0" xfId="0">
      <alignment horizontal="left" vertical="center" indent="1"/>
    </xf>
    <xf numFmtId="173" fontId="15" fillId="6" borderId="11" applyAlignment="1" pivotButton="0" quotePrefix="0" xfId="0">
      <alignment horizontal="left" vertical="center" indent="1"/>
    </xf>
    <xf numFmtId="166" fontId="15" fillId="6" borderId="11" applyAlignment="1" pivotButton="0" quotePrefix="0" xfId="0">
      <alignment horizontal="left" vertical="center" indent="1"/>
    </xf>
    <xf numFmtId="166" fontId="11" fillId="5" borderId="6" applyAlignment="1" pivotButton="0" quotePrefix="0" xfId="0">
      <alignment horizontal="left" vertical="center" indent="1"/>
    </xf>
    <xf numFmtId="167" fontId="11" fillId="5" borderId="6" applyAlignment="1" pivotButton="0" quotePrefix="0" xfId="0">
      <alignment horizontal="right" vertical="center" indent="1"/>
    </xf>
    <xf numFmtId="0" fontId="13" fillId="5" borderId="7" applyAlignment="1" pivotButton="0" quotePrefix="0" xfId="0">
      <alignment horizontal="center" vertical="center" wrapText="1"/>
    </xf>
    <xf numFmtId="0" fontId="14" fillId="6" borderId="8" applyAlignment="1" pivotButton="0" quotePrefix="0" xfId="0">
      <alignment horizontal="center" vertical="center" wrapText="1"/>
    </xf>
    <xf numFmtId="168" fontId="6" fillId="6" borderId="13" applyAlignment="1" pivotButton="0" quotePrefix="0" xfId="0">
      <alignment horizontal="left" vertical="center" indent="1"/>
    </xf>
    <xf numFmtId="168" fontId="6" fillId="6" borderId="14" applyAlignment="1" pivotButton="0" quotePrefix="0" xfId="0">
      <alignment horizontal="left" vertical="center" indent="1"/>
    </xf>
    <xf numFmtId="169" fontId="6" fillId="6" borderId="13" applyAlignment="1" pivotButton="0" quotePrefix="0" xfId="0">
      <alignment horizontal="left" vertical="center" indent="1"/>
    </xf>
    <xf numFmtId="169" fontId="6" fillId="6" borderId="14" applyAlignment="1" pivotButton="0" quotePrefix="0" xfId="0">
      <alignment horizontal="left" vertical="center" indent="1"/>
    </xf>
    <xf numFmtId="170" fontId="6" fillId="6" borderId="13" applyAlignment="1" pivotButton="0" quotePrefix="0" xfId="0">
      <alignment horizontal="left" vertical="center" indent="1"/>
    </xf>
    <xf numFmtId="170" fontId="6" fillId="6" borderId="14" applyAlignment="1" pivotButton="0" quotePrefix="0" xfId="0">
      <alignment horizontal="left" vertical="center" indent="1"/>
    </xf>
    <xf numFmtId="172" fontId="6" fillId="6" borderId="13" applyAlignment="1" pivotButton="0" quotePrefix="0" xfId="0">
      <alignment horizontal="left" vertical="center" indent="1"/>
    </xf>
    <xf numFmtId="172" fontId="6" fillId="6" borderId="14" applyAlignment="1" pivotButton="0" quotePrefix="0" xfId="0">
      <alignment horizontal="left" vertical="center" indent="1"/>
    </xf>
    <xf numFmtId="174" fontId="6" fillId="6" borderId="13" applyAlignment="1" pivotButton="0" quotePrefix="0" xfId="0">
      <alignment horizontal="left" vertical="center" indent="1"/>
    </xf>
    <xf numFmtId="0" fontId="6" fillId="6" borderId="13" applyAlignment="1" pivotButton="0" quotePrefix="0" xfId="0">
      <alignment horizontal="left" vertical="center" indent="1"/>
    </xf>
    <xf numFmtId="173" fontId="16" fillId="6" borderId="15" applyAlignment="1" pivotButton="0" quotePrefix="0" xfId="0">
      <alignment horizontal="center" vertical="center" wrapText="1"/>
    </xf>
    <xf numFmtId="173" fontId="16" fillId="0" borderId="17" applyAlignment="1" pivotButton="0" quotePrefix="0" xfId="0">
      <alignment horizontal="center" vertical="center" wrapText="1"/>
    </xf>
    <xf numFmtId="0" fontId="6" fillId="5" borderId="15" applyAlignment="1" pivotButton="0" quotePrefix="0" xfId="0">
      <alignment horizontal="left" vertical="center" indent="1"/>
    </xf>
    <xf numFmtId="0" fontId="0" fillId="5" borderId="15" pivotButton="0" quotePrefix="0" xfId="0"/>
    <xf numFmtId="0" fontId="16" fillId="5" borderId="15" applyAlignment="1" pivotButton="0" quotePrefix="0" xfId="0">
      <alignment horizontal="right" vertical="center" indent="1"/>
    </xf>
    <xf numFmtId="164" fontId="16" fillId="6" borderId="15" applyAlignment="1" pivotButton="0" quotePrefix="0" xfId="0">
      <alignment horizontal="right" vertical="center" indent="1"/>
    </xf>
    <xf numFmtId="0" fontId="17" fillId="7" borderId="18" applyAlignment="1" pivotButton="0" quotePrefix="0" xfId="0">
      <alignment horizontal="left" vertical="center" indent="1"/>
    </xf>
    <xf numFmtId="0" fontId="17" fillId="7" borderId="19" applyAlignment="1" pivotButton="0" quotePrefix="0" xfId="0">
      <alignment horizontal="left" vertical="center" indent="1"/>
    </xf>
    <xf numFmtId="0" fontId="3" fillId="2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wrapText="1" indent="1"/>
    </xf>
    <xf numFmtId="0" fontId="16" fillId="6" borderId="20" applyAlignment="1" pivotButton="0" quotePrefix="0" xfId="0">
      <alignment horizontal="center" vertical="center"/>
    </xf>
    <xf numFmtId="0" fontId="4" fillId="5" borderId="20" applyAlignment="1" pivotButton="0" quotePrefix="0" xfId="0">
      <alignment horizontal="left" vertical="center" indent="1"/>
    </xf>
    <xf numFmtId="0" fontId="4" fillId="5" borderId="20" applyAlignment="1" pivotButton="0" quotePrefix="0" xfId="0">
      <alignment horizontal="center" vertical="center"/>
    </xf>
    <xf numFmtId="0" fontId="4" fillId="5" borderId="20" applyAlignment="1" pivotButton="0" quotePrefix="0" xfId="0">
      <alignment horizontal="right" vertical="center" indent="1"/>
    </xf>
    <xf numFmtId="175" fontId="4" fillId="5" borderId="20" applyAlignment="1" pivotButton="0" quotePrefix="0" xfId="0">
      <alignment horizontal="right" vertical="center" indent="1"/>
    </xf>
    <xf numFmtId="0" fontId="4" fillId="6" borderId="20" applyAlignment="1" pivotButton="0" quotePrefix="0" xfId="0">
      <alignment horizontal="right" vertical="center" indent="1"/>
    </xf>
    <xf numFmtId="164" fontId="4" fillId="5" borderId="20" applyAlignment="1" pivotButton="0" quotePrefix="0" xfId="0">
      <alignment horizontal="right" vertical="center" indent="1"/>
    </xf>
    <xf numFmtId="176" fontId="5" fillId="6" borderId="20" applyAlignment="1" pivotButton="0" quotePrefix="0" xfId="0">
      <alignment horizontal="right" vertical="center" indent="1"/>
    </xf>
    <xf numFmtId="166" fontId="4" fillId="5" borderId="20" applyAlignment="1" pivotButton="0" quotePrefix="0" xfId="0">
      <alignment horizontal="center" vertical="center"/>
    </xf>
    <xf numFmtId="166" fontId="4" fillId="6" borderId="20" applyAlignment="1" pivotButton="0" quotePrefix="0" xfId="0">
      <alignment horizontal="center" vertical="center"/>
    </xf>
    <xf numFmtId="177" fontId="4" fillId="6" borderId="20" applyAlignment="1" pivotButton="0" quotePrefix="0" xfId="0">
      <alignment horizontal="right" vertical="center" indent="1"/>
    </xf>
    <xf numFmtId="0" fontId="4" fillId="6" borderId="2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/>
    </xf>
    <xf numFmtId="166" fontId="18" fillId="0" borderId="0" applyAlignment="1" pivotButton="0" quotePrefix="0" xfId="0">
      <alignment horizontal="right" vertical="center"/>
    </xf>
    <xf numFmtId="1" fontId="15" fillId="6" borderId="11" applyAlignment="1" pivotButton="0" quotePrefix="0" xfId="0">
      <alignment horizontal="left" vertical="center" indent="1"/>
    </xf>
    <xf numFmtId="1" fontId="15" fillId="6" borderId="12" applyAlignment="1" pivotButton="0" quotePrefix="0" xfId="0">
      <alignment horizontal="left" vertical="center" indent="1"/>
    </xf>
    <xf numFmtId="182" fontId="15" fillId="6" borderId="11" applyAlignment="1" pivotButton="0" quotePrefix="0" xfId="0">
      <alignment horizontal="left" vertical="center" indent="1"/>
    </xf>
    <xf numFmtId="182" fontId="15" fillId="6" borderId="12" applyAlignment="1" pivotButton="0" quotePrefix="0" xfId="0">
      <alignment horizontal="left" vertical="center" indent="1"/>
    </xf>
    <xf numFmtId="178" fontId="6" fillId="6" borderId="13" applyAlignment="1" pivotButton="0" quotePrefix="0" xfId="0">
      <alignment horizontal="left" vertical="center" indent="1"/>
    </xf>
    <xf numFmtId="179" fontId="6" fillId="6" borderId="13" applyAlignment="1" pivotButton="0" quotePrefix="0" xfId="0">
      <alignment horizontal="left" vertical="center" indent="1"/>
    </xf>
    <xf numFmtId="179" fontId="6" fillId="6" borderId="14" applyAlignment="1" pivotButton="0" quotePrefix="0" xfId="0">
      <alignment horizontal="left" vertical="center" indent="1"/>
    </xf>
    <xf numFmtId="180" fontId="6" fillId="6" borderId="13" applyAlignment="1" pivotButton="0" quotePrefix="0" xfId="0">
      <alignment horizontal="left" vertical="center" indent="1"/>
    </xf>
    <xf numFmtId="180" fontId="6" fillId="6" borderId="14" applyAlignment="1" pivotButton="0" quotePrefix="0" xfId="0">
      <alignment horizontal="left" vertical="center" indent="1"/>
    </xf>
    <xf numFmtId="181" fontId="6" fillId="6" borderId="13" applyAlignment="1" pivotButton="0" quotePrefix="0" xfId="0">
      <alignment horizontal="left" vertical="center" indent="1"/>
    </xf>
    <xf numFmtId="181" fontId="6" fillId="6" borderId="14" applyAlignment="1" pivotButton="0" quotePrefix="0" xfId="0">
      <alignment horizontal="left" vertical="center" indent="1"/>
    </xf>
    <xf numFmtId="174" fontId="6" fillId="6" borderId="14" applyAlignment="1" pivotButton="0" quotePrefix="0" xfId="0">
      <alignment horizontal="left" vertical="center" indent="1"/>
    </xf>
    <xf numFmtId="0" fontId="6" fillId="6" borderId="14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3" fillId="4" borderId="2" applyAlignment="1" pivotButton="0" quotePrefix="0" xfId="0">
      <alignment horizontal="left" vertical="center" indent="1"/>
    </xf>
    <xf numFmtId="0" fontId="4" fillId="5" borderId="21" applyAlignment="1" pivotButton="0" quotePrefix="0" xfId="0">
      <alignment horizontal="left" vertical="center" indent="1"/>
    </xf>
    <xf numFmtId="176" fontId="4" fillId="5" borderId="21" applyAlignment="1" pivotButton="0" quotePrefix="0" xfId="0">
      <alignment horizontal="right" vertical="center" indent="1"/>
    </xf>
    <xf numFmtId="176" fontId="5" fillId="5" borderId="21" applyAlignment="1" pivotButton="0" quotePrefix="0" xfId="0">
      <alignment horizontal="right" vertical="center" indent="1"/>
    </xf>
    <xf numFmtId="183" fontId="4" fillId="5" borderId="21" applyAlignment="1" pivotButton="0" quotePrefix="0" xfId="0">
      <alignment horizontal="right" vertical="center" indent="1"/>
    </xf>
    <xf numFmtId="171" fontId="4" fillId="5" borderId="21" applyAlignment="1" pivotButton="0" quotePrefix="0" xfId="0">
      <alignment horizontal="right" vertical="center" indent="1"/>
    </xf>
    <xf numFmtId="1" fontId="4" fillId="5" borderId="21" applyAlignment="1" pivotButton="0" quotePrefix="0" xfId="0">
      <alignment horizontal="center" vertical="center" wrapText="1"/>
    </xf>
    <xf numFmtId="0" fontId="5" fillId="5" borderId="21" applyAlignment="1" pivotButton="0" quotePrefix="0" xfId="0">
      <alignment horizontal="left" vertical="center" indent="1"/>
    </xf>
    <xf numFmtId="184" fontId="4" fillId="5" borderId="21" applyAlignment="1" pivotButton="0" quotePrefix="0" xfId="0">
      <alignment horizontal="center" vertical="center" wrapText="1"/>
    </xf>
    <xf numFmtId="185" fontId="4" fillId="5" borderId="21" applyAlignment="1" pivotButton="0" quotePrefix="0" xfId="0">
      <alignment horizontal="right" vertical="center" indent="1"/>
    </xf>
    <xf numFmtId="0" fontId="20" fillId="5" borderId="21" applyAlignment="1" pivotButton="0" quotePrefix="0" xfId="0">
      <alignment horizontal="left" vertical="center" indent="1"/>
    </xf>
    <xf numFmtId="184" fontId="19" fillId="5" borderId="21" applyAlignment="1" pivotButton="0" quotePrefix="0" xfId="0">
      <alignment horizontal="center" vertical="center" wrapText="1"/>
    </xf>
    <xf numFmtId="176" fontId="19" fillId="5" borderId="21" applyAlignment="1" pivotButton="0" quotePrefix="0" xfId="0">
      <alignment horizontal="right" vertical="center" indent="1"/>
    </xf>
    <xf numFmtId="185" fontId="19" fillId="5" borderId="21" applyAlignment="1" pivotButton="0" quotePrefix="0" xfId="0">
      <alignment horizontal="right" vertical="center" indent="1"/>
    </xf>
    <xf numFmtId="0" fontId="11" fillId="7" borderId="22" applyAlignment="1" pivotButton="0" quotePrefix="0" xfId="0">
      <alignment horizontal="left" vertical="center" indent="1"/>
    </xf>
    <xf numFmtId="1" fontId="11" fillId="7" borderId="22" applyAlignment="1" pivotButton="0" quotePrefix="0" xfId="0">
      <alignment horizontal="center" vertical="center" wrapText="1"/>
    </xf>
    <xf numFmtId="164" fontId="11" fillId="7" borderId="22" applyAlignment="1" pivotButton="0" quotePrefix="0" xfId="0">
      <alignment horizontal="right" vertical="center" indent="1"/>
    </xf>
    <xf numFmtId="171" fontId="11" fillId="7" borderId="22" applyAlignment="1" pivotButton="0" quotePrefix="0" xfId="0">
      <alignment horizontal="right" vertical="center" indent="1"/>
    </xf>
    <xf numFmtId="0" fontId="0" fillId="0" borderId="23" pivotButton="0" quotePrefix="0" xfId="0"/>
    <xf numFmtId="184" fontId="5" fillId="5" borderId="21" applyAlignment="1" pivotButton="0" quotePrefix="0" xfId="0">
      <alignment horizontal="center" vertical="center" wrapText="1"/>
    </xf>
    <xf numFmtId="0" fontId="9" fillId="5" borderId="21" applyAlignment="1" pivotButton="0" quotePrefix="0" xfId="0">
      <alignment horizontal="left" vertical="center" indent="1"/>
    </xf>
    <xf numFmtId="0" fontId="4" fillId="5" borderId="21" applyAlignment="1" pivotButton="0" quotePrefix="0" xfId="0">
      <alignment horizontal="right" vertical="center" indent="1"/>
    </xf>
    <xf numFmtId="0" fontId="21" fillId="0" borderId="0" applyAlignment="1" pivotButton="0" quotePrefix="0" xfId="0">
      <alignment horizontal="left" vertical="center" indent="1"/>
    </xf>
    <xf numFmtId="164" fontId="22" fillId="0" borderId="0" applyAlignment="1" pivotButton="0" quotePrefix="0" xfId="0">
      <alignment horizontal="right" vertical="center" indent="1"/>
    </xf>
    <xf numFmtId="186" fontId="4" fillId="5" borderId="21" applyAlignment="1" pivotButton="0" quotePrefix="0" xfId="0">
      <alignment horizontal="center" vertical="center" wrapText="1"/>
    </xf>
    <xf numFmtId="0" fontId="11" fillId="7" borderId="22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/>
    </xf>
    <xf numFmtId="0" fontId="4" fillId="5" borderId="3" applyAlignment="1" pivotButton="0" quotePrefix="0" xfId="0">
      <alignment horizontal="left" vertical="center" indent="1"/>
    </xf>
    <xf numFmtId="164" fontId="4" fillId="5" borderId="3" applyAlignment="1" pivotButton="0" quotePrefix="0" xfId="0">
      <alignment horizontal="right" vertical="center" indent="1"/>
    </xf>
    <xf numFmtId="0" fontId="4" fillId="5" borderId="3" applyAlignment="1" pivotButton="0" quotePrefix="0" xfId="0">
      <alignment horizontal="center" vertical="center" wrapText="1"/>
    </xf>
    <xf numFmtId="0" fontId="5" fillId="6" borderId="3" applyAlignment="1" pivotButton="0" quotePrefix="0" xfId="0">
      <alignment horizontal="left" vertical="center" indent="1"/>
    </xf>
    <xf numFmtId="0" fontId="4" fillId="6" borderId="3" applyAlignment="1" pivotButton="0" quotePrefix="0" xfId="0">
      <alignment horizontal="left" vertical="center" indent="1"/>
    </xf>
    <xf numFmtId="1" fontId="4" fillId="5" borderId="3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5" applyAlignment="1" pivotButton="0" quotePrefix="0" xfId="0">
      <alignment horizontal="left" vertical="center" indent="1"/>
    </xf>
    <xf numFmtId="164" fontId="5" fillId="6" borderId="4" applyAlignment="1" pivotButton="0" quotePrefix="0" xfId="0">
      <alignment horizontal="right" vertical="center" indent="1"/>
    </xf>
    <xf numFmtId="0" fontId="6" fillId="0" borderId="0" applyAlignment="1" pivotButton="0" quotePrefix="0" xfId="0">
      <alignment vertical="top" wrapText="1"/>
    </xf>
    <xf numFmtId="0" fontId="23" fillId="3" borderId="0" applyAlignment="1" pivotButton="0" quotePrefix="0" xfId="0">
      <alignment horizontal="left" vertical="center" indent="1"/>
    </xf>
    <xf numFmtId="0" fontId="23" fillId="2" borderId="21" applyAlignment="1" pivotButton="0" quotePrefix="0" xfId="0">
      <alignment horizontal="center" vertical="top"/>
    </xf>
    <xf numFmtId="0" fontId="5" fillId="0" borderId="21" applyAlignment="1" pivotButton="0" quotePrefix="0" xfId="0">
      <alignment horizontal="left" vertical="top" wrapText="1" indent="1"/>
    </xf>
    <xf numFmtId="0" fontId="4" fillId="0" borderId="21" applyAlignment="1" pivotButton="0" quotePrefix="0" xfId="0">
      <alignment horizontal="left" vertical="top" wrapText="1" indent="1"/>
    </xf>
    <xf numFmtId="0" fontId="5" fillId="5" borderId="7" applyAlignment="1" pivotButton="0" quotePrefix="0" xfId="0">
      <alignment horizontal="center" vertical="top"/>
    </xf>
    <xf numFmtId="0" fontId="5" fillId="6" borderId="21" applyAlignment="1" pivotButton="0" quotePrefix="0" xfId="0">
      <alignment horizontal="center" vertical="top"/>
    </xf>
    <xf numFmtId="0" fontId="5" fillId="7" borderId="21" applyAlignment="1" pivotButton="0" quotePrefix="0" xfId="0">
      <alignment horizontal="center" vertical="top"/>
    </xf>
    <xf numFmtId="0" fontId="23" fillId="4" borderId="21" applyAlignment="1" pivotButton="0" quotePrefix="0" xfId="0">
      <alignment horizontal="center" vertical="top"/>
    </xf>
  </cellXfs>
  <cellStyles count="1">
    <cellStyle name="Normal" xfId="0" builtinId="0" hidden="0"/>
  </cellStyles>
  <dxfs count="18">
    <dxf>
      <font>
        <name val="Calibri"/>
        <b val="1"/>
        <color rgb="00B3261E"/>
        <sz val="18"/>
      </font>
    </dxf>
    <dxf>
      <font>
        <name val="Calibri"/>
        <i val="1"/>
        <strike val="1"/>
        <color rgb="00A3A7AD"/>
      </font>
    </dxf>
    <dxf>
      <font>
        <name val="Calibri"/>
        <b val="1"/>
        <color rgb="005E636B"/>
      </font>
      <fill>
        <patternFill patternType="solid">
          <fgColor rgb="00EFECE7"/>
          <bgColor rgb="00EFECE7"/>
        </patternFill>
      </fill>
    </dxf>
    <dxf>
      <font>
        <name val="Calibri"/>
        <b val="1"/>
        <color rgb="005A4E44"/>
      </font>
      <fill>
        <patternFill patternType="solid">
          <fgColor rgb="00E9E1D6"/>
          <bgColor rgb="00E9E1D6"/>
        </patternFill>
      </fill>
    </dxf>
    <dxf>
      <font>
        <name val="Calibri"/>
        <b val="1"/>
        <color rgb="002F4A57"/>
      </font>
      <fill>
        <patternFill patternType="solid">
          <fgColor rgb="00DCE5EA"/>
          <bgColor rgb="00DCE5EA"/>
        </patternFill>
      </fill>
    </dxf>
    <dxf>
      <font>
        <name val="Calibri"/>
        <b val="1"/>
        <color rgb="008E4F1C"/>
      </font>
      <fill>
        <patternFill patternType="solid">
          <fgColor rgb="00F8E6D3"/>
          <bgColor rgb="00F8E6D3"/>
        </patternFill>
      </fill>
    </dxf>
    <dxf>
      <font>
        <name val="Calibri"/>
        <b val="1"/>
        <color rgb="0035612E"/>
      </font>
      <fill>
        <patternFill patternType="solid">
          <fgColor rgb="00DCEAD6"/>
          <bgColor rgb="00DCEAD6"/>
        </patternFill>
      </fill>
    </dxf>
    <dxf>
      <font>
        <name val="Calibri"/>
        <b val="1"/>
        <color rgb="009E2A1E"/>
      </font>
      <fill>
        <patternFill patternType="solid">
          <fgColor rgb="00F5D3CE"/>
          <bgColor rgb="00F5D3CE"/>
        </patternFill>
      </fill>
    </dxf>
    <dxf>
      <font>
        <name val="Calibri"/>
        <b val="1"/>
        <color rgb="008E4312"/>
      </font>
      <fill>
        <patternFill patternType="solid">
          <fgColor rgb="00FADDC6"/>
          <bgColor rgb="00FADDC6"/>
        </patternFill>
      </fill>
    </dxf>
    <dxf>
      <font>
        <name val="Calibri"/>
        <b val="1"/>
        <color rgb="006E5200"/>
      </font>
      <fill>
        <patternFill patternType="solid">
          <fgColor rgb="00FCEFC2"/>
          <bgColor rgb="00FCEFC2"/>
        </patternFill>
      </fill>
    </dxf>
    <dxf>
      <font>
        <name val="Calibri"/>
        <color rgb="003F5560"/>
      </font>
      <fill>
        <patternFill patternType="solid">
          <fgColor rgb="00E5ECEE"/>
          <bgColor rgb="00E5ECEE"/>
        </patternFill>
      </fill>
    </dxf>
    <dxf>
      <font>
        <name val="Calibri"/>
        <color rgb="0035612E"/>
      </font>
      <fill>
        <patternFill patternType="solid">
          <fgColor rgb="00DCEAD6"/>
          <bgColor rgb="00DCEAD6"/>
        </patternFill>
      </fill>
    </dxf>
    <dxf>
      <font>
        <name val="Calibri"/>
        <color rgb="007D838C"/>
      </font>
      <fill>
        <patternFill patternType="solid">
          <fgColor rgb="00F2F0EC"/>
          <bgColor rgb="00F2F0EC"/>
        </patternFill>
      </fill>
    </dxf>
    <dxf>
      <font>
        <name val="Calibri"/>
        <color rgb="008A8F98"/>
      </font>
      <fill>
        <patternFill patternType="solid">
          <fgColor rgb="00EEEEEE"/>
          <bgColor rgb="00EEEEEE"/>
        </patternFill>
      </fill>
    </dxf>
    <dxf>
      <font>
        <name val="Calibri"/>
        <b val="1"/>
        <color rgb="00B3261E"/>
      </font>
    </dxf>
    <dxf>
      <font>
        <name val="Calibri"/>
        <b val="1"/>
        <color rgb="003F5560"/>
      </font>
      <fill>
        <patternFill patternType="solid">
          <fgColor rgb="00E5ECEE"/>
          <bgColor rgb="00E5ECEE"/>
        </patternFill>
      </fill>
    </dxf>
    <dxf>
      <font>
        <name val="Calibri"/>
        <b val="1"/>
        <color rgb="007D838C"/>
      </font>
      <fill>
        <patternFill patternType="solid">
          <fgColor rgb="00F2F0EC"/>
          <bgColor rgb="00F2F0EC"/>
        </patternFill>
      </fill>
    </dxf>
    <dxf>
      <font>
        <name val="Calibri"/>
        <b val="1"/>
        <color rgb="008A8F98"/>
      </font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Bestellwert nach Status</a:t>
            </a:r>
          </a:p>
        </rich>
      </tx>
    </title>
    <plotArea>
      <doughnutChart>
        <varyColors val="1"/>
        <ser>
          <idx val="0"/>
          <order val="0"/>
          <tx>
            <strRef>
              <f>'Auswertung'!L11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9B3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C7B6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F556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08A5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E8F5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5D1C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'Auswertung'!$J$12:$J$17</f>
            </numRef>
          </cat>
          <val>
            <numRef>
              <f>'Auswertung'!$L$12:$L$17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Vorlage</author>
  </authors>
  <commentList>
    <comment ref="F7" authorId="0" shapeId="0">
      <text>
        <t>Bezugsdatum für die Termin-Hinweise. Für eine tagesaktuelle Auswertung =HEUTE() eintragen.</t>
      </text>
    </comment>
    <comment ref="K7" authorId="0" shapeId="0">
      <text>
        <t>So viele Tage vor dem spätesten Bestelltermin erscheint der Hinweis „Jetzt bestellen“.</t>
      </text>
    </comment>
    <comment ref="B12" authorId="0" shapeId="0">
      <text>
        <t>Wird automatisch fortlaufend nummeriert, sobald eine Bezeichnung eingetragen ist.</t>
      </text>
    </comment>
    <comment ref="J12" authorId="0" shapeId="0">
      <text>
        <t>Bedarf × (1 + Zuschlag), aufgerundet auf ein ganzes Vielfaches der VPE. Ohne VPE: keine Rundung.</t>
      </text>
    </comment>
    <comment ref="M12" authorId="0" shapeId="0">
      <text>
        <t>Bestellmenge × Einzelpreis × (1 − Rabatt). Bei Status „Storniert“ = 0.</t>
      </text>
    </comment>
    <comment ref="P12" authorId="0" shapeId="0">
      <text>
        <t>Benötigt am minus Lieferzeit des Lieferanten (Arbeitstage, Stammdaten). Spätester Termin für die Bestellung.</t>
      </text>
    </comment>
    <comment ref="T12" authorId="0" shapeId="0">
      <text>
        <t>Bestellmenge minus gelieferte Menge.</t>
      </text>
    </comment>
    <comment ref="U12" authorId="0" shapeId="0">
      <text>
        <t>Automatische Terminbewertung bezogen auf den Stichtag im Projektkopf (Logik: siehe Blatt Anleitung).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32</row>
      <rowOff>0</rowOff>
    </from>
    <ext cx="4752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B4673A"/>
    <outlinePr summaryBelow="1" summaryRight="1"/>
    <pageSetUpPr fitToPage="1"/>
  </sheetPr>
  <dimension ref="A2:V112"/>
  <sheetViews>
    <sheetView showGridLines="0" zoomScale="90" workbookViewId="0">
      <pane xSplit="4" ySplit="12" topLeftCell="E13" activePane="bottomRight" state="frozen"/>
      <selection pane="topRight" activeCell="D13" sqref="D13"/>
      <selection pane="bottomLeft"/>
      <selection pane="bottomRight" activeCell="A1" sqref="A1"/>
    </sheetView>
  </sheetViews>
  <sheetFormatPr baseColWidth="8" defaultRowHeight="15"/>
  <cols>
    <col width="1.6" customWidth="1" min="1" max="1"/>
    <col width="6" customWidth="1" min="2" max="2"/>
    <col width="10" customWidth="1" min="3" max="3"/>
    <col width="54" customWidth="1" min="4" max="4"/>
    <col width="23" customWidth="1" min="5" max="5"/>
    <col width="9.5" customWidth="1" min="6" max="6"/>
    <col width="9" customWidth="1" min="7" max="7"/>
    <col width="10.5" customWidth="1" min="8" max="8"/>
    <col width="7.5" customWidth="1" min="9" max="9"/>
    <col width="10.5" customWidth="1" min="10" max="10"/>
    <col width="11.5" customWidth="1" min="11" max="11"/>
    <col width="8" customWidth="1" min="12" max="12"/>
    <col width="13" customWidth="1" min="13" max="13"/>
    <col width="27" customWidth="1" min="14" max="14"/>
    <col width="11.5" customWidth="1" min="15" max="15"/>
    <col width="11.5" customWidth="1" min="16" max="16"/>
    <col width="12.5" customWidth="1" min="17" max="17"/>
    <col width="13" customWidth="1" min="18" max="18"/>
    <col width="10" customWidth="1" min="19" max="19"/>
    <col width="9" customWidth="1" min="20" max="20"/>
    <col width="16.5" customWidth="1" min="21" max="21"/>
    <col width="34" customWidth="1" min="22" max="22"/>
  </cols>
  <sheetData>
    <row r="1" ht="10" customHeight="1"/>
    <row r="2" ht="36" customHeight="1">
      <c r="A2" s="1" t="n"/>
      <c r="B2" s="2" t="inlineStr">
        <is>
          <t>MATERIALLISTE</t>
        </is>
      </c>
      <c r="V2" s="3">
        <f>"Projekt-Nr. "&amp;D6</f>
        <v/>
      </c>
    </row>
    <row r="3" ht="18" customHeight="1">
      <c r="A3" s="1" t="n"/>
      <c r="B3" s="4" t="inlineStr">
        <is>
          <t>Bedarf ermitteln  ·  Bestellungen steuern  ·  Kosten und Termine kontrollieren</t>
        </is>
      </c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6" t="inlineStr">
        <is>
          <t>Projektjahr 2027</t>
        </is>
      </c>
    </row>
    <row r="4" ht="12" customHeight="1"/>
    <row r="5" ht="18" customHeight="1">
      <c r="B5" s="7" t="inlineStr">
        <is>
          <t>PROJEKT</t>
        </is>
      </c>
      <c r="C5" s="7" t="n"/>
      <c r="D5" s="8" t="inlineStr">
        <is>
          <t>Ausbau Showroom &amp; Besprechungsbereich</t>
        </is>
      </c>
      <c r="E5" s="7" t="inlineStr">
        <is>
          <t>VERANTWORTLICH</t>
        </is>
      </c>
      <c r="F5" s="9" t="inlineStr">
        <is>
          <t>Lena Hofmann</t>
        </is>
      </c>
      <c r="G5" s="9" t="n"/>
      <c r="H5" s="9" t="n"/>
      <c r="I5" s="7" t="inlineStr">
        <is>
          <t>BUDGET NETTO</t>
        </is>
      </c>
      <c r="J5" s="7" t="n"/>
      <c r="K5" s="10" t="n">
        <v>9800</v>
      </c>
      <c r="L5" s="10" t="n"/>
      <c r="M5" s="11" t="inlineStr">
        <is>
          <t>BESTELLWERT NETTO</t>
        </is>
      </c>
      <c r="N5" s="12" t="n"/>
      <c r="O5" s="11" t="inlineStr">
        <is>
          <t>RESTBUDGET</t>
        </is>
      </c>
      <c r="P5" s="12" t="n"/>
      <c r="Q5" s="11" t="inlineStr">
        <is>
          <t>BRUTTO INKL. MWST.</t>
        </is>
      </c>
      <c r="R5" s="12" t="n"/>
      <c r="S5" s="11" t="inlineStr">
        <is>
          <t>LIEFERGRAD (WERT)</t>
        </is>
      </c>
      <c r="T5" s="12" t="n"/>
      <c r="U5" s="11" t="inlineStr">
        <is>
          <t>KRITISCH</t>
        </is>
      </c>
      <c r="V5" s="11" t="inlineStr">
        <is>
          <t>NÄCHSTE BESTELLUNG BIS</t>
        </is>
      </c>
    </row>
    <row r="6" ht="22" customHeight="1">
      <c r="B6" s="7" t="inlineStr">
        <is>
          <t>PROJEKT-NR.</t>
        </is>
      </c>
      <c r="C6" s="7" t="n"/>
      <c r="D6" s="8" t="inlineStr">
        <is>
          <t>P-2027-014</t>
        </is>
      </c>
      <c r="E6" s="7" t="inlineStr">
        <is>
          <t>ERSTELLT AM</t>
        </is>
      </c>
      <c r="F6" s="13" t="n">
        <v>46398</v>
      </c>
      <c r="G6" s="13" t="n"/>
      <c r="H6" s="13" t="n"/>
      <c r="I6" s="7" t="inlineStr">
        <is>
          <t>MWST.-SATZ</t>
        </is>
      </c>
      <c r="J6" s="7" t="n"/>
      <c r="K6" s="14" t="n">
        <v>0.19</v>
      </c>
      <c r="L6" s="14" t="n"/>
      <c r="M6" s="15">
        <f>SUM($M$13:$M$112)</f>
        <v/>
      </c>
      <c r="N6" s="16" t="n"/>
      <c r="O6" s="15">
        <f>Budget_Netto-M6</f>
        <v/>
      </c>
      <c r="P6" s="16" t="n"/>
      <c r="Q6" s="15">
        <f>M6*(1+MwSt_Satz)</f>
        <v/>
      </c>
      <c r="R6" s="16" t="n"/>
      <c r="S6" s="17">
        <f>IF(M6=0,0,SUMPRODUCT(($R$13:$R$112&lt;&gt;"Storniert")*$S$13:$S$112*$K$13:$K$112*(1-$L$13:$L$112))/M6)</f>
        <v/>
      </c>
      <c r="T6" s="18" t="n"/>
      <c r="U6" s="19">
        <f>COUNTIF($U$13:$U$112,"Überfällig")+COUNTIF($U$13:$U$112,"Bestellung fällig")+COUNTIF($U$13:$U$112,"Lieferverzug")</f>
        <v/>
      </c>
      <c r="V6" s="20">
        <f>IF(MIN(IF(_xlfn.MINIFS($P$13:$P$112,$R$13:$R$112,"Geplant")=0,2958465,_xlfn.MINIFS($P$13:$P$112,$R$13:$R$112,"Geplant")),IF(_xlfn.MINIFS($P$13:$P$112,$R$13:$R$112,"Angefragt")=0,2958465,_xlfn.MINIFS($P$13:$P$112,$R$13:$R$112,"Angefragt")))=2958465,"–",MIN(IF(_xlfn.MINIFS($P$13:$P$112,$R$13:$R$112,"Geplant")=0,2958465,_xlfn.MINIFS($P$13:$P$112,$R$13:$R$112,"Geplant")),IF(_xlfn.MINIFS($P$13:$P$112,$R$13:$R$112,"Angefragt")=0,2958465,_xlfn.MINIFS($P$13:$P$112,$R$13:$R$112,"Angefragt"))))</f>
        <v/>
      </c>
    </row>
    <row r="7" ht="22" customHeight="1">
      <c r="B7" s="7" t="inlineStr">
        <is>
          <t>AUFTRAGGEBER</t>
        </is>
      </c>
      <c r="C7" s="7" t="n"/>
      <c r="D7" s="9" t="inlineStr">
        <is>
          <t>Halvorsen Interior GmbH</t>
        </is>
      </c>
      <c r="E7" s="7" t="inlineStr">
        <is>
          <t>STICHTAG</t>
        </is>
      </c>
      <c r="F7" s="21" t="n">
        <v>46440</v>
      </c>
      <c r="G7" s="21" t="n"/>
      <c r="H7" s="21" t="n"/>
      <c r="I7" s="7" t="inlineStr">
        <is>
          <t>VORWARNZEIT (TAGE)</t>
        </is>
      </c>
      <c r="J7" s="7" t="n"/>
      <c r="K7" s="22" t="n">
        <v>7</v>
      </c>
      <c r="L7" s="22" t="n"/>
      <c r="M7" s="15" t="n"/>
      <c r="N7" s="16" t="n"/>
      <c r="O7" s="15" t="n"/>
      <c r="P7" s="16" t="n"/>
      <c r="Q7" s="15" t="n"/>
      <c r="R7" s="16" t="n"/>
      <c r="S7" s="17" t="n"/>
      <c r="T7" s="18" t="n"/>
      <c r="U7" s="19" t="n"/>
      <c r="V7" s="20" t="n"/>
    </row>
    <row r="8" ht="20" customHeight="1">
      <c r="B8" s="7" t="inlineStr">
        <is>
          <t>EINSATZORT / ADRESSE</t>
        </is>
      </c>
      <c r="C8" s="7" t="n"/>
      <c r="D8" s="9" t="inlineStr">
        <is>
          <t>Industriestraße 8, 12345 Musterstadt</t>
        </is>
      </c>
      <c r="E8" s="7" t="inlineStr">
        <is>
          <t>VERSION / STAND</t>
        </is>
      </c>
      <c r="F8" s="9" t="inlineStr">
        <is>
          <t>1.3 – nach Angebotsprüfung</t>
        </is>
      </c>
      <c r="G8" s="9" t="n"/>
      <c r="H8" s="9" t="n"/>
      <c r="I8" s="23" t="inlineStr">
        <is>
          <t>Eingabe</t>
        </is>
      </c>
      <c r="J8" s="23" t="n"/>
      <c r="K8" s="24" t="inlineStr">
        <is>
          <t>automatisch</t>
        </is>
      </c>
      <c r="L8" s="24" t="n"/>
      <c r="M8" s="25">
        <f>COUNTA($D$13:$D$112)</f>
        <v/>
      </c>
      <c r="N8" s="26" t="n"/>
      <c r="O8" s="27">
        <f>IF(Budget_Netto=0,0,M6/Budget_Netto)</f>
        <v/>
      </c>
      <c r="P8" s="28" t="n"/>
      <c r="Q8" s="29">
        <f>M6*MwSt_Satz</f>
        <v/>
      </c>
      <c r="R8" s="30" t="n"/>
      <c r="S8" s="31">
        <f>M6*S6</f>
        <v/>
      </c>
      <c r="T8" s="32" t="n"/>
      <c r="U8" s="33">
        <f>COUNTIFS($D$13:$D$112,"&lt;&gt;",$R$13:$R$112,"&lt;&gt;Geliefert",$R$13:$R$112,"&lt;&gt;Storniert")</f>
        <v/>
      </c>
      <c r="V8" s="34" t="inlineStr">
        <is>
          <t>für Positionen „Geplant“ / „Angefragt“</t>
        </is>
      </c>
    </row>
    <row r="9" ht="12" customHeight="1"/>
    <row r="10" ht="21" customHeight="1">
      <c r="B10" s="35">
        <f>SUBTOTAL(103,$D$13:$D$112)</f>
        <v/>
      </c>
      <c r="C10" s="36" t="n"/>
      <c r="D10" s="37" t="inlineStr">
        <is>
          <t>Σ sichtbare Zeilen – Filter in den Spaltenköpfen setzen, die Summen passen sich an</t>
        </is>
      </c>
      <c r="E10" s="38" t="n"/>
      <c r="F10" s="38" t="n"/>
      <c r="G10" s="38" t="n"/>
      <c r="H10" s="38" t="n"/>
      <c r="I10" s="38" t="n"/>
      <c r="J10" s="38" t="n"/>
      <c r="K10" s="38" t="n"/>
      <c r="L10" s="39" t="inlineStr">
        <is>
          <t>Σ</t>
        </is>
      </c>
      <c r="M10" s="40">
        <f>SUBTOTAL(109,$M$13:$M$112)</f>
        <v/>
      </c>
      <c r="N10" s="38" t="n"/>
      <c r="O10" s="38" t="n"/>
      <c r="P10" s="38" t="n"/>
      <c r="Q10" s="38" t="n"/>
      <c r="R10" s="38" t="n"/>
      <c r="S10" s="38" t="n"/>
      <c r="T10" s="38" t="n"/>
      <c r="U10" s="38" t="n"/>
      <c r="V10" s="38" t="n"/>
    </row>
    <row r="11" ht="18" customHeight="1">
      <c r="B11" s="41" t="inlineStr">
        <is>
          <t>ARTIKEL</t>
        </is>
      </c>
      <c r="C11" s="42" t="n"/>
      <c r="D11" s="42" t="n"/>
      <c r="E11" s="42" t="n"/>
      <c r="F11" s="42" t="n"/>
      <c r="G11" s="41" t="inlineStr">
        <is>
          <t>MENGENERMITTLUNG</t>
        </is>
      </c>
      <c r="H11" s="42" t="n"/>
      <c r="I11" s="42" t="n"/>
      <c r="J11" s="42" t="n"/>
      <c r="K11" s="41" t="inlineStr">
        <is>
          <t>KOSTEN</t>
        </is>
      </c>
      <c r="L11" s="42" t="n"/>
      <c r="M11" s="42" t="n"/>
      <c r="N11" s="41" t="inlineStr">
        <is>
          <t>BESCHAFFUNG &amp; TERMINE</t>
        </is>
      </c>
      <c r="O11" s="42" t="n"/>
      <c r="P11" s="42" t="n"/>
      <c r="Q11" s="42" t="n"/>
      <c r="R11" s="41" t="inlineStr">
        <is>
          <t>LIEFERSTATUS</t>
        </is>
      </c>
      <c r="S11" s="42" t="n"/>
      <c r="T11" s="42" t="n"/>
      <c r="U11" s="42" t="n"/>
      <c r="V11" s="41" t="inlineStr">
        <is>
          <t>NOTIZ</t>
        </is>
      </c>
    </row>
    <row r="12" ht="40" customHeight="1">
      <c r="B12" s="43" t="inlineStr">
        <is>
          <t>Pos.</t>
        </is>
      </c>
      <c r="C12" s="44" t="inlineStr">
        <is>
          <t>Art.-Nr.</t>
        </is>
      </c>
      <c r="D12" s="45" t="inlineStr">
        <is>
          <t>Bezeichnung / Spezifikation</t>
        </is>
      </c>
      <c r="E12" s="45" t="inlineStr">
        <is>
          <t>Kategorie</t>
        </is>
      </c>
      <c r="F12" s="44" t="inlineStr">
        <is>
          <t>Einheit</t>
        </is>
      </c>
      <c r="G12" s="44" t="inlineStr">
        <is>
          <t>Bedarf</t>
        </is>
      </c>
      <c r="H12" s="44" t="inlineStr">
        <is>
          <t>Zuschlag
(Verschnitt)</t>
        </is>
      </c>
      <c r="I12" s="44" t="inlineStr">
        <is>
          <t>VPE</t>
        </is>
      </c>
      <c r="J12" s="43" t="inlineStr">
        <is>
          <t>Bestell-
menge</t>
        </is>
      </c>
      <c r="K12" s="44" t="inlineStr">
        <is>
          <t>Einzelpreis
netto</t>
        </is>
      </c>
      <c r="L12" s="44" t="inlineStr">
        <is>
          <t>Rabatt</t>
        </is>
      </c>
      <c r="M12" s="43" t="inlineStr">
        <is>
          <t>Gesamt
netto</t>
        </is>
      </c>
      <c r="N12" s="45" t="inlineStr">
        <is>
          <t>Lieferant</t>
        </is>
      </c>
      <c r="O12" s="44" t="inlineStr">
        <is>
          <t>Benötigt am</t>
        </is>
      </c>
      <c r="P12" s="43" t="inlineStr">
        <is>
          <t>Bestellen
bis</t>
        </is>
      </c>
      <c r="Q12" s="44" t="inlineStr">
        <is>
          <t>Liefertermin
(bestätigt)</t>
        </is>
      </c>
      <c r="R12" s="44" t="inlineStr">
        <is>
          <t>Status</t>
        </is>
      </c>
      <c r="S12" s="44" t="inlineStr">
        <is>
          <t>Geliefert
(Menge)</t>
        </is>
      </c>
      <c r="T12" s="43" t="inlineStr">
        <is>
          <t>Offen
(Menge)</t>
        </is>
      </c>
      <c r="U12" s="43" t="inlineStr">
        <is>
          <t>Termin-
Hinweis</t>
        </is>
      </c>
      <c r="V12" s="45" t="inlineStr">
        <is>
          <t>Lagerort / Bemerkung</t>
        </is>
      </c>
    </row>
    <row r="13" ht="19" customHeight="1">
      <c r="B13" s="46">
        <f>IF(D13="","",COUNTA($D$13:D13))</f>
        <v/>
      </c>
      <c r="C13" s="47" t="inlineStr">
        <is>
          <t>HPL-01</t>
        </is>
      </c>
      <c r="D13" s="47" t="inlineStr">
        <is>
          <t>Spanplatte melaminbeschichtet 19 mm, weiß, 2800 × 2070 mm</t>
        </is>
      </c>
      <c r="E13" s="47" t="inlineStr">
        <is>
          <t>Holz &amp; Plattenwerkstoffe</t>
        </is>
      </c>
      <c r="F13" s="48" t="inlineStr">
        <is>
          <t>Stk.</t>
        </is>
      </c>
      <c r="G13" s="49" t="n">
        <v>14</v>
      </c>
      <c r="H13" s="50" t="n">
        <v>0.1</v>
      </c>
      <c r="I13" s="49" t="n">
        <v>1</v>
      </c>
      <c r="J13" s="51">
        <f>IF(G13="","",ROUND(IF(I13&gt;0,ROUNDUP(ROUND(G13*(1+H13)/I13,6),0)*I13,G13*(1+H13)),4))</f>
        <v/>
      </c>
      <c r="K13" s="52" t="n">
        <v>48.9</v>
      </c>
      <c r="L13" s="50" t="n">
        <v>0.08</v>
      </c>
      <c r="M13" s="53">
        <f>IF(OR(J13="",K13=""),"",IF(R13="Storniert",0,ROUND(J13*K13*(1-L13),2)))</f>
        <v/>
      </c>
      <c r="N13" s="47" t="inlineStr">
        <is>
          <t>Plattenhandel Brenner GmbH</t>
        </is>
      </c>
      <c r="O13" s="54" t="n">
        <v>46447</v>
      </c>
      <c r="P13" s="55">
        <f>IF(OR(O13="",N13=""),"",WORKDAY(O13,-IFERROR(INDEX(Tab_Lieferzeit,MATCH(N13,Tab_Lieferanten,0)),0)))</f>
        <v/>
      </c>
      <c r="Q13" s="54" t="n">
        <v>46442</v>
      </c>
      <c r="R13" s="48" t="inlineStr">
        <is>
          <t>Bestellt</t>
        </is>
      </c>
      <c r="S13" s="49" t="n"/>
      <c r="T13" s="56">
        <f>IF(J13="","",IF(R13="Storniert",0,MAX(0,J13-S13)))</f>
        <v/>
      </c>
      <c r="U13" s="57">
        <f>IF(D13="","",IF(R13="Storniert","Storniert",IF(R13="Geliefert","Erledigt",IF(O13="","Ohne Termin",IF(Stichtag&gt;O13,"Überfällig",IF(AND(Q13&lt;&gt;"",Q13&gt;O13),"Lieferverzug",IF(OR(R13="Bestellt",R13="Teilgeliefert"),"Im Plan",IF(P13="","Im Plan",IF(Stichtag&gt;P13,"Bestellung fällig",IF(P13-Stichtag&lt;=Vorwarnzeit,"Jetzt bestellen","Im Plan"))))))))))</f>
        <v/>
      </c>
      <c r="V13" s="47" t="inlineStr">
        <is>
          <t>Lager Halle B, liegend und trocken</t>
        </is>
      </c>
    </row>
    <row r="14" ht="19" customHeight="1">
      <c r="B14" s="46">
        <f>IF(D14="","",COUNTA($D$13:D14))</f>
        <v/>
      </c>
      <c r="C14" s="47" t="inlineStr">
        <is>
          <t>MDF-02</t>
        </is>
      </c>
      <c r="D14" s="47" t="inlineStr">
        <is>
          <t>MDF-Platte 12 mm, roh, 2800 × 2070 mm</t>
        </is>
      </c>
      <c r="E14" s="47" t="inlineStr">
        <is>
          <t>Holz &amp; Plattenwerkstoffe</t>
        </is>
      </c>
      <c r="F14" s="48" t="inlineStr">
        <is>
          <t>Stk.</t>
        </is>
      </c>
      <c r="G14" s="49" t="n">
        <v>6</v>
      </c>
      <c r="H14" s="50" t="n">
        <v>0.1</v>
      </c>
      <c r="I14" s="49" t="n">
        <v>1</v>
      </c>
      <c r="J14" s="51">
        <f>IF(G14="","",ROUND(IF(I14&gt;0,ROUNDUP(ROUND(G14*(1+H14)/I14,6),0)*I14,G14*(1+H14)),4))</f>
        <v/>
      </c>
      <c r="K14" s="52" t="n">
        <v>36.5</v>
      </c>
      <c r="L14" s="50" t="n">
        <v>0.08</v>
      </c>
      <c r="M14" s="53">
        <f>IF(OR(J14="",K14=""),"",IF(R14="Storniert",0,ROUND(J14*K14*(1-L14),2)))</f>
        <v/>
      </c>
      <c r="N14" s="47" t="inlineStr">
        <is>
          <t>Plattenhandel Brenner GmbH</t>
        </is>
      </c>
      <c r="O14" s="54" t="n">
        <v>46447</v>
      </c>
      <c r="P14" s="55">
        <f>IF(OR(O14="",N14=""),"",WORKDAY(O14,-IFERROR(INDEX(Tab_Lieferzeit,MATCH(N14,Tab_Lieferanten,0)),0)))</f>
        <v/>
      </c>
      <c r="Q14" s="54" t="n">
        <v>46442</v>
      </c>
      <c r="R14" s="48" t="inlineStr">
        <is>
          <t>Bestellt</t>
        </is>
      </c>
      <c r="S14" s="49" t="n"/>
      <c r="T14" s="56">
        <f>IF(J14="","",IF(R14="Storniert",0,MAX(0,J14-S14)))</f>
        <v/>
      </c>
      <c r="U14" s="57">
        <f>IF(D14="","",IF(R14="Storniert","Storniert",IF(R14="Geliefert","Erledigt",IF(O14="","Ohne Termin",IF(Stichtag&gt;O14,"Überfällig",IF(AND(Q14&lt;&gt;"",Q14&gt;O14),"Lieferverzug",IF(OR(R14="Bestellt",R14="Teilgeliefert"),"Im Plan",IF(P14="","Im Plan",IF(Stichtag&gt;P14,"Bestellung fällig",IF(P14-Stichtag&lt;=Vorwarnzeit,"Jetzt bestellen","Im Plan"))))))))))</f>
        <v/>
      </c>
      <c r="V14" s="47" t="inlineStr">
        <is>
          <t>Zuschnitt lt. Plan Z-03</t>
        </is>
      </c>
    </row>
    <row r="15" ht="19" customHeight="1">
      <c r="B15" s="46">
        <f>IF(D15="","",COUNTA($D$13:D15))</f>
        <v/>
      </c>
      <c r="C15" s="47" t="inlineStr">
        <is>
          <t>MPX-03</t>
        </is>
      </c>
      <c r="D15" s="47" t="inlineStr">
        <is>
          <t>Multiplex Birke 18 mm, Zuschnitt 1250 × 2500 mm</t>
        </is>
      </c>
      <c r="E15" s="47" t="inlineStr">
        <is>
          <t>Holz &amp; Plattenwerkstoffe</t>
        </is>
      </c>
      <c r="F15" s="48" t="inlineStr">
        <is>
          <t>Stk.</t>
        </is>
      </c>
      <c r="G15" s="49" t="n">
        <v>4</v>
      </c>
      <c r="H15" s="50" t="n"/>
      <c r="I15" s="49" t="n">
        <v>1</v>
      </c>
      <c r="J15" s="51">
        <f>IF(G15="","",ROUND(IF(I15&gt;0,ROUNDUP(ROUND(G15*(1+H15)/I15,6),0)*I15,G15*(1+H15)),4))</f>
        <v/>
      </c>
      <c r="K15" s="52" t="n">
        <v>92</v>
      </c>
      <c r="L15" s="50" t="n">
        <v>0.08</v>
      </c>
      <c r="M15" s="53">
        <f>IF(OR(J15="",K15=""),"",IF(R15="Storniert",0,ROUND(J15*K15*(1-L15),2)))</f>
        <v/>
      </c>
      <c r="N15" s="47" t="inlineStr">
        <is>
          <t>Plattenhandel Brenner GmbH</t>
        </is>
      </c>
      <c r="O15" s="54" t="n">
        <v>46454</v>
      </c>
      <c r="P15" s="55">
        <f>IF(OR(O15="",N15=""),"",WORKDAY(O15,-IFERROR(INDEX(Tab_Lieferzeit,MATCH(N15,Tab_Lieferanten,0)),0)))</f>
        <v/>
      </c>
      <c r="Q15" s="54" t="n">
        <v>46451</v>
      </c>
      <c r="R15" s="48" t="inlineStr">
        <is>
          <t>Bestellt</t>
        </is>
      </c>
      <c r="S15" s="49" t="n"/>
      <c r="T15" s="56">
        <f>IF(J15="","",IF(R15="Storniert",0,MAX(0,J15-S15)))</f>
        <v/>
      </c>
      <c r="U15" s="57">
        <f>IF(D15="","",IF(R15="Storniert","Storniert",IF(R15="Geliefert","Erledigt",IF(O15="","Ohne Termin",IF(Stichtag&gt;O15,"Überfällig",IF(AND(Q15&lt;&gt;"",Q15&gt;O15),"Lieferverzug",IF(OR(R15="Bestellt",R15="Teilgeliefert"),"Im Plan",IF(P15="","Im Plan",IF(Stichtag&gt;P15,"Bestellung fällig",IF(P15-Stichtag&lt;=Vorwarnzeit,"Jetzt bestellen","Im Plan"))))))))))</f>
        <v/>
      </c>
      <c r="V15" s="47" t="inlineStr">
        <is>
          <t>Kanten geschliffen</t>
        </is>
      </c>
    </row>
    <row r="16" ht="19" customHeight="1">
      <c r="B16" s="46">
        <f>IF(D16="","",COUNTA($D$13:D16))</f>
        <v/>
      </c>
      <c r="C16" s="47" t="inlineStr">
        <is>
          <t>ALU-10</t>
        </is>
      </c>
      <c r="D16" s="47" t="inlineStr">
        <is>
          <t>Alu-Vierkantrohr 30 × 30 × 2 mm, eloxiert, Stange 6 m</t>
        </is>
      </c>
      <c r="E16" s="47" t="inlineStr">
        <is>
          <t>Metall &amp; Profile</t>
        </is>
      </c>
      <c r="F16" s="48" t="inlineStr">
        <is>
          <t>lfm</t>
        </is>
      </c>
      <c r="G16" s="49" t="n">
        <v>42</v>
      </c>
      <c r="H16" s="50" t="n">
        <v>0.05</v>
      </c>
      <c r="I16" s="49" t="n">
        <v>6</v>
      </c>
      <c r="J16" s="51">
        <f>IF(G16="","",ROUND(IF(I16&gt;0,ROUNDUP(ROUND(G16*(1+H16)/I16,6),0)*I16,G16*(1+H16)),4))</f>
        <v/>
      </c>
      <c r="K16" s="52" t="n">
        <v>7.8</v>
      </c>
      <c r="L16" s="50" t="n"/>
      <c r="M16" s="53">
        <f>IF(OR(J16="",K16=""),"",IF(R16="Storniert",0,ROUND(J16*K16*(1-L16),2)))</f>
        <v/>
      </c>
      <c r="N16" s="47" t="inlineStr">
        <is>
          <t>Metallbau Kessler KG</t>
        </is>
      </c>
      <c r="O16" s="54" t="n">
        <v>46454</v>
      </c>
      <c r="P16" s="55">
        <f>IF(OR(O16="",N16=""),"",WORKDAY(O16,-IFERROR(INDEX(Tab_Lieferzeit,MATCH(N16,Tab_Lieferanten,0)),0)))</f>
        <v/>
      </c>
      <c r="Q16" s="54" t="n">
        <v>46456</v>
      </c>
      <c r="R16" s="48" t="inlineStr">
        <is>
          <t>Bestellt</t>
        </is>
      </c>
      <c r="S16" s="49" t="n"/>
      <c r="T16" s="56">
        <f>IF(J16="","",IF(R16="Storniert",0,MAX(0,J16-S16)))</f>
        <v/>
      </c>
      <c r="U16" s="57">
        <f>IF(D16="","",IF(R16="Storniert","Storniert",IF(R16="Geliefert","Erledigt",IF(O16="","Ohne Termin",IF(Stichtag&gt;O16,"Überfällig",IF(AND(Q16&lt;&gt;"",Q16&gt;O16),"Lieferverzug",IF(OR(R16="Bestellt",R16="Teilgeliefert"),"Im Plan",IF(P16="","Im Plan",IF(Stichtag&gt;P16,"Bestellung fällig",IF(P16-Stichtag&lt;=Vorwarnzeit,"Jetzt bestellen","Im Plan"))))))))))</f>
        <v/>
      </c>
      <c r="V16" s="47" t="inlineStr">
        <is>
          <t>Lieferant nach früherem Termin fragen</t>
        </is>
      </c>
    </row>
    <row r="17" ht="19" customHeight="1">
      <c r="B17" s="46">
        <f>IF(D17="","",COUNTA($D$13:D17))</f>
        <v/>
      </c>
      <c r="C17" s="47" t="inlineStr">
        <is>
          <t>ALU-11</t>
        </is>
      </c>
      <c r="D17" s="47" t="inlineStr">
        <is>
          <t>Winkelverbinder Aluminium 30 mm, inkl. Schrauben</t>
        </is>
      </c>
      <c r="E17" s="47" t="inlineStr">
        <is>
          <t>Metall &amp; Profile</t>
        </is>
      </c>
      <c r="F17" s="48" t="inlineStr">
        <is>
          <t>Stk.</t>
        </is>
      </c>
      <c r="G17" s="49" t="n">
        <v>64</v>
      </c>
      <c r="H17" s="50" t="n">
        <v>0.05</v>
      </c>
      <c r="I17" s="49" t="n">
        <v>10</v>
      </c>
      <c r="J17" s="51">
        <f>IF(G17="","",ROUND(IF(I17&gt;0,ROUNDUP(ROUND(G17*(1+H17)/I17,6),0)*I17,G17*(1+H17)),4))</f>
        <v/>
      </c>
      <c r="K17" s="52" t="n">
        <v>1.95</v>
      </c>
      <c r="L17" s="50" t="n"/>
      <c r="M17" s="53">
        <f>IF(OR(J17="",K17=""),"",IF(R17="Storniert",0,ROUND(J17*K17*(1-L17),2)))</f>
        <v/>
      </c>
      <c r="N17" s="47" t="inlineStr">
        <is>
          <t>Metallbau Kessler KG</t>
        </is>
      </c>
      <c r="O17" s="54" t="n">
        <v>46454</v>
      </c>
      <c r="P17" s="55">
        <f>IF(OR(O17="",N17=""),"",WORKDAY(O17,-IFERROR(INDEX(Tab_Lieferzeit,MATCH(N17,Tab_Lieferanten,0)),0)))</f>
        <v/>
      </c>
      <c r="Q17" s="54" t="n">
        <v>46456</v>
      </c>
      <c r="R17" s="48" t="inlineStr">
        <is>
          <t>Bestellt</t>
        </is>
      </c>
      <c r="S17" s="49" t="n"/>
      <c r="T17" s="56">
        <f>IF(J17="","",IF(R17="Storniert",0,MAX(0,J17-S17)))</f>
        <v/>
      </c>
      <c r="U17" s="57">
        <f>IF(D17="","",IF(R17="Storniert","Storniert",IF(R17="Geliefert","Erledigt",IF(O17="","Ohne Termin",IF(Stichtag&gt;O17,"Überfällig",IF(AND(Q17&lt;&gt;"",Q17&gt;O17),"Lieferverzug",IF(OR(R17="Bestellt",R17="Teilgeliefert"),"Im Plan",IF(P17="","Im Plan",IF(Stichtag&gt;P17,"Bestellung fällig",IF(P17-Stichtag&lt;=Vorwarnzeit,"Jetzt bestellen","Im Plan"))))))))))</f>
        <v/>
      </c>
      <c r="V17" s="47" t="n"/>
    </row>
    <row r="18" ht="19" customHeight="1">
      <c r="B18" s="46">
        <f>IF(D18="","",COUNTA($D$13:D18))</f>
        <v/>
      </c>
      <c r="C18" s="47" t="inlineStr">
        <is>
          <t>BEF-20</t>
        </is>
      </c>
      <c r="D18" s="47" t="inlineStr">
        <is>
          <t>Spanplattenschrauben 4,0 × 40 mm, verzinkt, Pkt. 500 Stk.</t>
        </is>
      </c>
      <c r="E18" s="47" t="inlineStr">
        <is>
          <t>Befestigung &amp; Kleinteile</t>
        </is>
      </c>
      <c r="F18" s="48" t="inlineStr">
        <is>
          <t>Pkt.</t>
        </is>
      </c>
      <c r="G18" s="49" t="n">
        <v>2</v>
      </c>
      <c r="H18" s="50" t="n"/>
      <c r="I18" s="49" t="n">
        <v>1</v>
      </c>
      <c r="J18" s="51">
        <f>IF(G18="","",ROUND(IF(I18&gt;0,ROUNDUP(ROUND(G18*(1+H18)/I18,6),0)*I18,G18*(1+H18)),4))</f>
        <v/>
      </c>
      <c r="K18" s="52" t="n">
        <v>14.9</v>
      </c>
      <c r="L18" s="50" t="n"/>
      <c r="M18" s="53">
        <f>IF(OR(J18="",K18=""),"",IF(R18="Storniert",0,ROUND(J18*K18*(1-L18),2)))</f>
        <v/>
      </c>
      <c r="N18" s="47" t="inlineStr">
        <is>
          <t>Schraubwerk Nord</t>
        </is>
      </c>
      <c r="O18" s="54" t="n">
        <v>46444</v>
      </c>
      <c r="P18" s="55">
        <f>IF(OR(O18="",N18=""),"",WORKDAY(O18,-IFERROR(INDEX(Tab_Lieferzeit,MATCH(N18,Tab_Lieferanten,0)),0)))</f>
        <v/>
      </c>
      <c r="Q18" s="54" t="n">
        <v>46436</v>
      </c>
      <c r="R18" s="48" t="inlineStr">
        <is>
          <t>Geliefert</t>
        </is>
      </c>
      <c r="S18" s="49" t="n">
        <v>2</v>
      </c>
      <c r="T18" s="56">
        <f>IF(J18="","",IF(R18="Storniert",0,MAX(0,J18-S18)))</f>
        <v/>
      </c>
      <c r="U18" s="57">
        <f>IF(D18="","",IF(R18="Storniert","Storniert",IF(R18="Geliefert","Erledigt",IF(O18="","Ohne Termin",IF(Stichtag&gt;O18,"Überfällig",IF(AND(Q18&lt;&gt;"",Q18&gt;O18),"Lieferverzug",IF(OR(R18="Bestellt",R18="Teilgeliefert"),"Im Plan",IF(P18="","Im Plan",IF(Stichtag&gt;P18,"Bestellung fällig",IF(P18-Stichtag&lt;=Vorwarnzeit,"Jetzt bestellen","Im Plan"))))))))))</f>
        <v/>
      </c>
      <c r="V18" s="47" t="inlineStr">
        <is>
          <t>Werkstattregal 3</t>
        </is>
      </c>
    </row>
    <row r="19" ht="19" customHeight="1">
      <c r="B19" s="46">
        <f>IF(D19="","",COUNTA($D$13:D19))</f>
        <v/>
      </c>
      <c r="C19" s="47" t="inlineStr">
        <is>
          <t>BEF-21</t>
        </is>
      </c>
      <c r="D19" s="47" t="inlineStr">
        <is>
          <t>Exzenter-Möbelverbinder Ø 15 mm, Zink-Druckguss</t>
        </is>
      </c>
      <c r="E19" s="47" t="inlineStr">
        <is>
          <t>Befestigung &amp; Kleinteile</t>
        </is>
      </c>
      <c r="F19" s="48" t="inlineStr">
        <is>
          <t>Stk.</t>
        </is>
      </c>
      <c r="G19" s="49" t="n">
        <v>120</v>
      </c>
      <c r="H19" s="50" t="n">
        <v>0.05</v>
      </c>
      <c r="I19" s="49" t="n">
        <v>50</v>
      </c>
      <c r="J19" s="51">
        <f>IF(G19="","",ROUND(IF(I19&gt;0,ROUNDUP(ROUND(G19*(1+H19)/I19,6),0)*I19,G19*(1+H19)),4))</f>
        <v/>
      </c>
      <c r="K19" s="52" t="n">
        <v>0.38</v>
      </c>
      <c r="L19" s="50" t="n"/>
      <c r="M19" s="53">
        <f>IF(OR(J19="",K19=""),"",IF(R19="Storniert",0,ROUND(J19*K19*(1-L19),2)))</f>
        <v/>
      </c>
      <c r="N19" s="47" t="inlineStr">
        <is>
          <t>Schraubwerk Nord</t>
        </is>
      </c>
      <c r="O19" s="54" t="n">
        <v>46447</v>
      </c>
      <c r="P19" s="55">
        <f>IF(OR(O19="",N19=""),"",WORKDAY(O19,-IFERROR(INDEX(Tab_Lieferzeit,MATCH(N19,Tab_Lieferanten,0)),0)))</f>
        <v/>
      </c>
      <c r="Q19" s="54" t="n">
        <v>46436</v>
      </c>
      <c r="R19" s="48" t="inlineStr">
        <is>
          <t>Geliefert</t>
        </is>
      </c>
      <c r="S19" s="49" t="n">
        <v>150</v>
      </c>
      <c r="T19" s="56">
        <f>IF(J19="","",IF(R19="Storniert",0,MAX(0,J19-S19)))</f>
        <v/>
      </c>
      <c r="U19" s="57">
        <f>IF(D19="","",IF(R19="Storniert","Storniert",IF(R19="Geliefert","Erledigt",IF(O19="","Ohne Termin",IF(Stichtag&gt;O19,"Überfällig",IF(AND(Q19&lt;&gt;"",Q19&gt;O19),"Lieferverzug",IF(OR(R19="Bestellt",R19="Teilgeliefert"),"Im Plan",IF(P19="","Im Plan",IF(Stichtag&gt;P19,"Bestellung fällig",IF(P19-Stichtag&lt;=Vorwarnzeit,"Jetzt bestellen","Im Plan"))))))))))</f>
        <v/>
      </c>
      <c r="V19" s="47" t="n"/>
    </row>
    <row r="20" ht="19" customHeight="1">
      <c r="B20" s="46">
        <f>IF(D20="","",COUNTA($D$13:D20))</f>
        <v/>
      </c>
      <c r="C20" s="47" t="inlineStr">
        <is>
          <t>BEF-22</t>
        </is>
      </c>
      <c r="D20" s="47" t="inlineStr">
        <is>
          <t>Montagekleber lösemittelfrei, 310 ml</t>
        </is>
      </c>
      <c r="E20" s="47" t="inlineStr">
        <is>
          <t>Befestigung &amp; Kleinteile</t>
        </is>
      </c>
      <c r="F20" s="48" t="inlineStr">
        <is>
          <t>Kartusche</t>
        </is>
      </c>
      <c r="G20" s="49" t="n">
        <v>18</v>
      </c>
      <c r="H20" s="50" t="n">
        <v>0.1</v>
      </c>
      <c r="I20" s="49" t="n">
        <v>12</v>
      </c>
      <c r="J20" s="51">
        <f>IF(G20="","",ROUND(IF(I20&gt;0,ROUNDUP(ROUND(G20*(1+H20)/I20,6),0)*I20,G20*(1+H20)),4))</f>
        <v/>
      </c>
      <c r="K20" s="52" t="n">
        <v>6.4</v>
      </c>
      <c r="L20" s="50" t="n">
        <v>0.05</v>
      </c>
      <c r="M20" s="53">
        <f>IF(OR(J20="",K20=""),"",IF(R20="Storniert",0,ROUND(J20*K20*(1-L20),2)))</f>
        <v/>
      </c>
      <c r="N20" s="47" t="inlineStr">
        <is>
          <t>Schraubwerk Nord</t>
        </is>
      </c>
      <c r="O20" s="54" t="n">
        <v>46447</v>
      </c>
      <c r="P20" s="55">
        <f>IF(OR(O20="",N20=""),"",WORKDAY(O20,-IFERROR(INDEX(Tab_Lieferzeit,MATCH(N20,Tab_Lieferanten,0)),0)))</f>
        <v/>
      </c>
      <c r="Q20" s="54" t="n">
        <v>46444</v>
      </c>
      <c r="R20" s="48" t="inlineStr">
        <is>
          <t>Teilgeliefert</t>
        </is>
      </c>
      <c r="S20" s="49" t="n">
        <v>12</v>
      </c>
      <c r="T20" s="56">
        <f>IF(J20="","",IF(R20="Storniert",0,MAX(0,J20-S20)))</f>
        <v/>
      </c>
      <c r="U20" s="57">
        <f>IF(D20="","",IF(R20="Storniert","Storniert",IF(R20="Geliefert","Erledigt",IF(O20="","Ohne Termin",IF(Stichtag&gt;O20,"Überfällig",IF(AND(Q20&lt;&gt;"",Q20&gt;O20),"Lieferverzug",IF(OR(R20="Bestellt",R20="Teilgeliefert"),"Im Plan",IF(P20="","Im Plan",IF(Stichtag&gt;P20,"Bestellung fällig",IF(P20-Stichtag&lt;=Vorwarnzeit,"Jetzt bestellen","Im Plan"))))))))))</f>
        <v/>
      </c>
      <c r="V20" s="47" t="inlineStr">
        <is>
          <t>Restmenge folgt mit nächster Tour</t>
        </is>
      </c>
    </row>
    <row r="21" ht="19" customHeight="1">
      <c r="B21" s="46">
        <f>IF(D21="","",COUNTA($D$13:D21))</f>
        <v/>
      </c>
      <c r="C21" s="47" t="inlineStr">
        <is>
          <t>ELE-30</t>
        </is>
      </c>
      <c r="D21" s="47" t="inlineStr">
        <is>
          <t>LED-Lichtleiste 24 V, 4000 K, 14,4 W/m, IP20, Rolle à 5 m</t>
        </is>
      </c>
      <c r="E21" s="47" t="inlineStr">
        <is>
          <t>Elektro &amp; Beleuchtung</t>
        </is>
      </c>
      <c r="F21" s="48" t="inlineStr">
        <is>
          <t>m</t>
        </is>
      </c>
      <c r="G21" s="49" t="n">
        <v>36</v>
      </c>
      <c r="H21" s="50" t="n">
        <v>0.05</v>
      </c>
      <c r="I21" s="49" t="n">
        <v>5</v>
      </c>
      <c r="J21" s="51">
        <f>IF(G21="","",ROUND(IF(I21&gt;0,ROUNDUP(ROUND(G21*(1+H21)/I21,6),0)*I21,G21*(1+H21)),4))</f>
        <v/>
      </c>
      <c r="K21" s="52" t="n">
        <v>9.800000000000001</v>
      </c>
      <c r="L21" s="50" t="n">
        <v>0.1</v>
      </c>
      <c r="M21" s="53">
        <f>IF(OR(J21="",K21=""),"",IF(R21="Storniert",0,ROUND(J21*K21*(1-L21),2)))</f>
        <v/>
      </c>
      <c r="N21" s="47" t="inlineStr">
        <is>
          <t>Lichtpunkt Elektro-Großhandel</t>
        </is>
      </c>
      <c r="O21" s="54" t="n">
        <v>46461</v>
      </c>
      <c r="P21" s="55">
        <f>IF(OR(O21="",N21=""),"",WORKDAY(O21,-IFERROR(INDEX(Tab_Lieferzeit,MATCH(N21,Tab_Lieferanten,0)),0)))</f>
        <v/>
      </c>
      <c r="Q21" s="54" t="n"/>
      <c r="R21" s="48" t="inlineStr">
        <is>
          <t>Angefragt</t>
        </is>
      </c>
      <c r="S21" s="49" t="n"/>
      <c r="T21" s="56">
        <f>IF(J21="","",IF(R21="Storniert",0,MAX(0,J21-S21)))</f>
        <v/>
      </c>
      <c r="U21" s="57">
        <f>IF(D21="","",IF(R21="Storniert","Storniert",IF(R21="Geliefert","Erledigt",IF(O21="","Ohne Termin",IF(Stichtag&gt;O21,"Überfällig",IF(AND(Q21&lt;&gt;"",Q21&gt;O21),"Lieferverzug",IF(OR(R21="Bestellt",R21="Teilgeliefert"),"Im Plan",IF(P21="","Im Plan",IF(Stichtag&gt;P21,"Bestellung fällig",IF(P21-Stichtag&lt;=Vorwarnzeit,"Jetzt bestellen","Im Plan"))))))))))</f>
        <v/>
      </c>
      <c r="V21" s="47" t="inlineStr">
        <is>
          <t>Angebot vom 15.02.2027 liegt vor</t>
        </is>
      </c>
    </row>
    <row r="22" ht="19" customHeight="1">
      <c r="B22" s="46">
        <f>IF(D22="","",COUNTA($D$13:D22))</f>
        <v/>
      </c>
      <c r="C22" s="47" t="inlineStr">
        <is>
          <t>ELE-31</t>
        </is>
      </c>
      <c r="D22" s="47" t="inlineStr">
        <is>
          <t>Aluprofil für LED-Streifen mit opalem Diffusor, 2 m</t>
        </is>
      </c>
      <c r="E22" s="47" t="inlineStr">
        <is>
          <t>Elektro &amp; Beleuchtung</t>
        </is>
      </c>
      <c r="F22" s="48" t="inlineStr">
        <is>
          <t>Stk.</t>
        </is>
      </c>
      <c r="G22" s="49" t="n">
        <v>18</v>
      </c>
      <c r="H22" s="50" t="n">
        <v>0.1</v>
      </c>
      <c r="I22" s="49" t="n">
        <v>1</v>
      </c>
      <c r="J22" s="51">
        <f>IF(G22="","",ROUND(IF(I22&gt;0,ROUNDUP(ROUND(G22*(1+H22)/I22,6),0)*I22,G22*(1+H22)),4))</f>
        <v/>
      </c>
      <c r="K22" s="52" t="n">
        <v>11.5</v>
      </c>
      <c r="L22" s="50" t="n">
        <v>0.1</v>
      </c>
      <c r="M22" s="53">
        <f>IF(OR(J22="",K22=""),"",IF(R22="Storniert",0,ROUND(J22*K22*(1-L22),2)))</f>
        <v/>
      </c>
      <c r="N22" s="47" t="inlineStr">
        <is>
          <t>Lichtpunkt Elektro-Großhandel</t>
        </is>
      </c>
      <c r="O22" s="54" t="n">
        <v>46461</v>
      </c>
      <c r="P22" s="55">
        <f>IF(OR(O22="",N22=""),"",WORKDAY(O22,-IFERROR(INDEX(Tab_Lieferzeit,MATCH(N22,Tab_Lieferanten,0)),0)))</f>
        <v/>
      </c>
      <c r="Q22" s="54" t="n"/>
      <c r="R22" s="48" t="inlineStr">
        <is>
          <t>Angefragt</t>
        </is>
      </c>
      <c r="S22" s="49" t="n"/>
      <c r="T22" s="56">
        <f>IF(J22="","",IF(R22="Storniert",0,MAX(0,J22-S22)))</f>
        <v/>
      </c>
      <c r="U22" s="57">
        <f>IF(D22="","",IF(R22="Storniert","Storniert",IF(R22="Geliefert","Erledigt",IF(O22="","Ohne Termin",IF(Stichtag&gt;O22,"Überfällig",IF(AND(Q22&lt;&gt;"",Q22&gt;O22),"Lieferverzug",IF(OR(R22="Bestellt",R22="Teilgeliefert"),"Im Plan",IF(P22="","Im Plan",IF(Stichtag&gt;P22,"Bestellung fällig",IF(P22-Stichtag&lt;=Vorwarnzeit,"Jetzt bestellen","Im Plan"))))))))))</f>
        <v/>
      </c>
      <c r="V22" s="47" t="n"/>
    </row>
    <row r="23" ht="19" customHeight="1">
      <c r="B23" s="46">
        <f>IF(D23="","",COUNTA($D$13:D23))</f>
        <v/>
      </c>
      <c r="C23" s="47" t="inlineStr">
        <is>
          <t>ELE-32</t>
        </is>
      </c>
      <c r="D23" s="47" t="inlineStr">
        <is>
          <t>LED-Netzteil 24 V / 150 W, Einbauversion</t>
        </is>
      </c>
      <c r="E23" s="47" t="inlineStr">
        <is>
          <t>Elektro &amp; Beleuchtung</t>
        </is>
      </c>
      <c r="F23" s="48" t="inlineStr">
        <is>
          <t>Stk.</t>
        </is>
      </c>
      <c r="G23" s="49" t="n">
        <v>4</v>
      </c>
      <c r="H23" s="50" t="n"/>
      <c r="I23" s="49" t="n">
        <v>1</v>
      </c>
      <c r="J23" s="51">
        <f>IF(G23="","",ROUND(IF(I23&gt;0,ROUNDUP(ROUND(G23*(1+H23)/I23,6),0)*I23,G23*(1+H23)),4))</f>
        <v/>
      </c>
      <c r="K23" s="52" t="n">
        <v>54</v>
      </c>
      <c r="L23" s="50" t="n">
        <v>0.1</v>
      </c>
      <c r="M23" s="53">
        <f>IF(OR(J23="",K23=""),"",IF(R23="Storniert",0,ROUND(J23*K23*(1-L23),2)))</f>
        <v/>
      </c>
      <c r="N23" s="47" t="inlineStr">
        <is>
          <t>Lichtpunkt Elektro-Großhandel</t>
        </is>
      </c>
      <c r="O23" s="54" t="n">
        <v>46461</v>
      </c>
      <c r="P23" s="55">
        <f>IF(OR(O23="",N23=""),"",WORKDAY(O23,-IFERROR(INDEX(Tab_Lieferzeit,MATCH(N23,Tab_Lieferanten,0)),0)))</f>
        <v/>
      </c>
      <c r="Q23" s="54" t="n"/>
      <c r="R23" s="48" t="inlineStr">
        <is>
          <t>Angefragt</t>
        </is>
      </c>
      <c r="S23" s="49" t="n"/>
      <c r="T23" s="56">
        <f>IF(J23="","",IF(R23="Storniert",0,MAX(0,J23-S23)))</f>
        <v/>
      </c>
      <c r="U23" s="57">
        <f>IF(D23="","",IF(R23="Storniert","Storniert",IF(R23="Geliefert","Erledigt",IF(O23="","Ohne Termin",IF(Stichtag&gt;O23,"Überfällig",IF(AND(Q23&lt;&gt;"",Q23&gt;O23),"Lieferverzug",IF(OR(R23="Bestellt",R23="Teilgeliefert"),"Im Plan",IF(P23="","Im Plan",IF(Stichtag&gt;P23,"Bestellung fällig",IF(P23-Stichtag&lt;=Vorwarnzeit,"Jetzt bestellen","Im Plan"))))))))))</f>
        <v/>
      </c>
      <c r="V23" s="47" t="n"/>
    </row>
    <row r="24" ht="19" customHeight="1">
      <c r="B24" s="46">
        <f>IF(D24="","",COUNTA($D$13:D24))</f>
        <v/>
      </c>
      <c r="C24" s="47" t="inlineStr">
        <is>
          <t>ELE-33</t>
        </is>
      </c>
      <c r="D24" s="47" t="inlineStr">
        <is>
          <t>LED-Einbaustrahler 7 W, schwenkbar, schwarz</t>
        </is>
      </c>
      <c r="E24" s="47" t="inlineStr">
        <is>
          <t>Elektro &amp; Beleuchtung</t>
        </is>
      </c>
      <c r="F24" s="48" t="inlineStr">
        <is>
          <t>Stk.</t>
        </is>
      </c>
      <c r="G24" s="49" t="n">
        <v>16</v>
      </c>
      <c r="H24" s="50" t="n"/>
      <c r="I24" s="49" t="n">
        <v>1</v>
      </c>
      <c r="J24" s="51">
        <f>IF(G24="","",ROUND(IF(I24&gt;0,ROUNDUP(ROUND(G24*(1+H24)/I24,6),0)*I24,G24*(1+H24)),4))</f>
        <v/>
      </c>
      <c r="K24" s="52" t="n">
        <v>29.9</v>
      </c>
      <c r="L24" s="50" t="n">
        <v>0.1</v>
      </c>
      <c r="M24" s="53">
        <f>IF(OR(J24="",K24=""),"",IF(R24="Storniert",0,ROUND(J24*K24*(1-L24),2)))</f>
        <v/>
      </c>
      <c r="N24" s="47" t="inlineStr">
        <is>
          <t>Lichtpunkt Elektro-Großhandel</t>
        </is>
      </c>
      <c r="O24" s="54" t="n">
        <v>46449</v>
      </c>
      <c r="P24" s="55">
        <f>IF(OR(O24="",N24=""),"",WORKDAY(O24,-IFERROR(INDEX(Tab_Lieferzeit,MATCH(N24,Tab_Lieferanten,0)),0)))</f>
        <v/>
      </c>
      <c r="Q24" s="54" t="n"/>
      <c r="R24" s="48" t="inlineStr">
        <is>
          <t>Geplant</t>
        </is>
      </c>
      <c r="S24" s="49" t="n"/>
      <c r="T24" s="56">
        <f>IF(J24="","",IF(R24="Storniert",0,MAX(0,J24-S24)))</f>
        <v/>
      </c>
      <c r="U24" s="57">
        <f>IF(D24="","",IF(R24="Storniert","Storniert",IF(R24="Geliefert","Erledigt",IF(O24="","Ohne Termin",IF(Stichtag&gt;O24,"Überfällig",IF(AND(Q24&lt;&gt;"",Q24&gt;O24),"Lieferverzug",IF(OR(R24="Bestellt",R24="Teilgeliefert"),"Im Plan",IF(P24="","Im Plan",IF(Stichtag&gt;P24,"Bestellung fällig",IF(P24-Stichtag&lt;=Vorwarnzeit,"Jetzt bestellen","Im Plan"))))))))))</f>
        <v/>
      </c>
      <c r="V24" s="47" t="inlineStr">
        <is>
          <t>Abstimmung Lichtplan offen</t>
        </is>
      </c>
    </row>
    <row r="25" ht="19" customHeight="1">
      <c r="B25" s="46">
        <f>IF(D25="","",COUNTA($D$13:D25))</f>
        <v/>
      </c>
      <c r="C25" s="47" t="inlineStr">
        <is>
          <t>FAR-40</t>
        </is>
      </c>
      <c r="D25" s="47" t="inlineStr">
        <is>
          <t>Dispersionsfarbe innen, matt, weiß, Kl. 2, Eimer 12,5 l</t>
        </is>
      </c>
      <c r="E25" s="47" t="inlineStr">
        <is>
          <t>Farben &amp; Oberflächen</t>
        </is>
      </c>
      <c r="F25" s="48" t="inlineStr">
        <is>
          <t>Eimer</t>
        </is>
      </c>
      <c r="G25" s="49" t="n">
        <v>4</v>
      </c>
      <c r="H25" s="50" t="n">
        <v>0.1</v>
      </c>
      <c r="I25" s="49" t="n">
        <v>1</v>
      </c>
      <c r="J25" s="51">
        <f>IF(G25="","",ROUND(IF(I25&gt;0,ROUNDUP(ROUND(G25*(1+H25)/I25,6),0)*I25,G25*(1+H25)),4))</f>
        <v/>
      </c>
      <c r="K25" s="52" t="n">
        <v>64</v>
      </c>
      <c r="L25" s="50" t="n"/>
      <c r="M25" s="53">
        <f>IF(OR(J25="",K25=""),"",IF(R25="Storniert",0,ROUND(J25*K25*(1-L25),2)))</f>
        <v/>
      </c>
      <c r="N25" s="47" t="inlineStr">
        <is>
          <t>Farbhaus am Ring</t>
        </is>
      </c>
      <c r="O25" s="54" t="n">
        <v>46447</v>
      </c>
      <c r="P25" s="55">
        <f>IF(OR(O25="",N25=""),"",WORKDAY(O25,-IFERROR(INDEX(Tab_Lieferzeit,MATCH(N25,Tab_Lieferanten,0)),0)))</f>
        <v/>
      </c>
      <c r="Q25" s="54" t="n">
        <v>46443</v>
      </c>
      <c r="R25" s="48" t="inlineStr">
        <is>
          <t>Bestellt</t>
        </is>
      </c>
      <c r="S25" s="49" t="n"/>
      <c r="T25" s="56">
        <f>IF(J25="","",IF(R25="Storniert",0,MAX(0,J25-S25)))</f>
        <v/>
      </c>
      <c r="U25" s="57">
        <f>IF(D25="","",IF(R25="Storniert","Storniert",IF(R25="Geliefert","Erledigt",IF(O25="","Ohne Termin",IF(Stichtag&gt;O25,"Überfällig",IF(AND(Q25&lt;&gt;"",Q25&gt;O25),"Lieferverzug",IF(OR(R25="Bestellt",R25="Teilgeliefert"),"Im Plan",IF(P25="","Im Plan",IF(Stichtag&gt;P25,"Bestellung fällig",IF(P25-Stichtag&lt;=Vorwarnzeit,"Jetzt bestellen","Im Plan"))))))))))</f>
        <v/>
      </c>
      <c r="V25" s="47" t="inlineStr">
        <is>
          <t>Farbton RAL 9010</t>
        </is>
      </c>
    </row>
    <row r="26" ht="19" customHeight="1">
      <c r="B26" s="46">
        <f>IF(D26="","",COUNTA($D$13:D26))</f>
        <v/>
      </c>
      <c r="C26" s="47" t="inlineStr">
        <is>
          <t>FAR-41</t>
        </is>
      </c>
      <c r="D26" s="47" t="inlineStr">
        <is>
          <t>Tiefengrund lösemittelfrei, Gebinde 10 l</t>
        </is>
      </c>
      <c r="E26" s="47" t="inlineStr">
        <is>
          <t>Farben &amp; Oberflächen</t>
        </is>
      </c>
      <c r="F26" s="48" t="inlineStr">
        <is>
          <t>Eimer</t>
        </is>
      </c>
      <c r="G26" s="49" t="n">
        <v>2</v>
      </c>
      <c r="H26" s="50" t="n"/>
      <c r="I26" s="49" t="n">
        <v>1</v>
      </c>
      <c r="J26" s="51">
        <f>IF(G26="","",ROUND(IF(I26&gt;0,ROUNDUP(ROUND(G26*(1+H26)/I26,6),0)*I26,G26*(1+H26)),4))</f>
        <v/>
      </c>
      <c r="K26" s="52" t="n">
        <v>38.5</v>
      </c>
      <c r="L26" s="50" t="n"/>
      <c r="M26" s="53">
        <f>IF(OR(J26="",K26=""),"",IF(R26="Storniert",0,ROUND(J26*K26*(1-L26),2)))</f>
        <v/>
      </c>
      <c r="N26" s="47" t="inlineStr">
        <is>
          <t>Farbhaus am Ring</t>
        </is>
      </c>
      <c r="O26" s="54" t="n">
        <v>46447</v>
      </c>
      <c r="P26" s="55">
        <f>IF(OR(O26="",N26=""),"",WORKDAY(O26,-IFERROR(INDEX(Tab_Lieferzeit,MATCH(N26,Tab_Lieferanten,0)),0)))</f>
        <v/>
      </c>
      <c r="Q26" s="54" t="n">
        <v>46437</v>
      </c>
      <c r="R26" s="48" t="inlineStr">
        <is>
          <t>Geliefert</t>
        </is>
      </c>
      <c r="S26" s="49" t="n">
        <v>2</v>
      </c>
      <c r="T26" s="56">
        <f>IF(J26="","",IF(R26="Storniert",0,MAX(0,J26-S26)))</f>
        <v/>
      </c>
      <c r="U26" s="57">
        <f>IF(D26="","",IF(R26="Storniert","Storniert",IF(R26="Geliefert","Erledigt",IF(O26="","Ohne Termin",IF(Stichtag&gt;O26,"Überfällig",IF(AND(Q26&lt;&gt;"",Q26&gt;O26),"Lieferverzug",IF(OR(R26="Bestellt",R26="Teilgeliefert"),"Im Plan",IF(P26="","Im Plan",IF(Stichtag&gt;P26,"Bestellung fällig",IF(P26-Stichtag&lt;=Vorwarnzeit,"Jetzt bestellen","Im Plan"))))))))))</f>
        <v/>
      </c>
      <c r="V26" s="47" t="n"/>
    </row>
    <row r="27" ht="19" customHeight="1">
      <c r="B27" s="46">
        <f>IF(D27="","",COUNTA($D$13:D27))</f>
        <v/>
      </c>
      <c r="C27" s="47" t="inlineStr">
        <is>
          <t>FAR-42</t>
        </is>
      </c>
      <c r="D27" s="47" t="inlineStr">
        <is>
          <t>Möbellack wasserbasiert, seidenmatt, Dose 2,5 l</t>
        </is>
      </c>
      <c r="E27" s="47" t="inlineStr">
        <is>
          <t>Farben &amp; Oberflächen</t>
        </is>
      </c>
      <c r="F27" s="48" t="inlineStr">
        <is>
          <t>Stk.</t>
        </is>
      </c>
      <c r="G27" s="49" t="n">
        <v>3</v>
      </c>
      <c r="H27" s="50" t="n"/>
      <c r="I27" s="49" t="n">
        <v>1</v>
      </c>
      <c r="J27" s="51">
        <f>IF(G27="","",ROUND(IF(I27&gt;0,ROUNDUP(ROUND(G27*(1+H27)/I27,6),0)*I27,G27*(1+H27)),4))</f>
        <v/>
      </c>
      <c r="K27" s="52" t="n">
        <v>46.9</v>
      </c>
      <c r="L27" s="50" t="n"/>
      <c r="M27" s="53">
        <f>IF(OR(J27="",K27=""),"",IF(R27="Storniert",0,ROUND(J27*K27*(1-L27),2)))</f>
        <v/>
      </c>
      <c r="N27" s="47" t="inlineStr">
        <is>
          <t>Farbhaus am Ring</t>
        </is>
      </c>
      <c r="O27" s="54" t="n">
        <v>46454</v>
      </c>
      <c r="P27" s="55">
        <f>IF(OR(O27="",N27=""),"",WORKDAY(O27,-IFERROR(INDEX(Tab_Lieferzeit,MATCH(N27,Tab_Lieferanten,0)),0)))</f>
        <v/>
      </c>
      <c r="Q27" s="54" t="n"/>
      <c r="R27" s="48" t="inlineStr">
        <is>
          <t>Geplant</t>
        </is>
      </c>
      <c r="S27" s="49" t="n"/>
      <c r="T27" s="56">
        <f>IF(J27="","",IF(R27="Storniert",0,MAX(0,J27-S27)))</f>
        <v/>
      </c>
      <c r="U27" s="57">
        <f>IF(D27="","",IF(R27="Storniert","Storniert",IF(R27="Geliefert","Erledigt",IF(O27="","Ohne Termin",IF(Stichtag&gt;O27,"Überfällig",IF(AND(Q27&lt;&gt;"",Q27&gt;O27),"Lieferverzug",IF(OR(R27="Bestellt",R27="Teilgeliefert"),"Im Plan",IF(P27="","Im Plan",IF(Stichtag&gt;P27,"Bestellung fällig",IF(P27-Stichtag&lt;=Vorwarnzeit,"Jetzt bestellen","Im Plan"))))))))))</f>
        <v/>
      </c>
      <c r="V27" s="47" t="n"/>
    </row>
    <row r="28" ht="19" customHeight="1">
      <c r="B28" s="46">
        <f>IF(D28="","",COUNTA($D$13:D28))</f>
        <v/>
      </c>
      <c r="C28" s="47" t="inlineStr">
        <is>
          <t>FAR-43</t>
        </is>
      </c>
      <c r="D28" s="47" t="inlineStr">
        <is>
          <t>Acryl-Dichtstoff weiß, überstreichbar, 310 ml</t>
        </is>
      </c>
      <c r="E28" s="47" t="inlineStr">
        <is>
          <t>Farben &amp; Oberflächen</t>
        </is>
      </c>
      <c r="F28" s="48" t="inlineStr">
        <is>
          <t>Kartusche</t>
        </is>
      </c>
      <c r="G28" s="49" t="n">
        <v>10</v>
      </c>
      <c r="H28" s="50" t="n"/>
      <c r="I28" s="49" t="n">
        <v>12</v>
      </c>
      <c r="J28" s="51">
        <f>IF(G28="","",ROUND(IF(I28&gt;0,ROUNDUP(ROUND(G28*(1+H28)/I28,6),0)*I28,G28*(1+H28)),4))</f>
        <v/>
      </c>
      <c r="K28" s="52" t="n">
        <v>3.6</v>
      </c>
      <c r="L28" s="50" t="n"/>
      <c r="M28" s="53">
        <f>IF(OR(J28="",K28=""),"",IF(R28="Storniert",0,ROUND(J28*K28*(1-L28),2)))</f>
        <v/>
      </c>
      <c r="N28" s="47" t="inlineStr">
        <is>
          <t>Farbhaus am Ring</t>
        </is>
      </c>
      <c r="O28" s="54" t="n">
        <v>46442</v>
      </c>
      <c r="P28" s="55">
        <f>IF(OR(O28="",N28=""),"",WORKDAY(O28,-IFERROR(INDEX(Tab_Lieferzeit,MATCH(N28,Tab_Lieferanten,0)),0)))</f>
        <v/>
      </c>
      <c r="Q28" s="54" t="n"/>
      <c r="R28" s="48" t="inlineStr">
        <is>
          <t>Geplant</t>
        </is>
      </c>
      <c r="S28" s="49" t="n"/>
      <c r="T28" s="56">
        <f>IF(J28="","",IF(R28="Storniert",0,MAX(0,J28-S28)))</f>
        <v/>
      </c>
      <c r="U28" s="57">
        <f>IF(D28="","",IF(R28="Storniert","Storniert",IF(R28="Geliefert","Erledigt",IF(O28="","Ohne Termin",IF(Stichtag&gt;O28,"Überfällig",IF(AND(Q28&lt;&gt;"",Q28&gt;O28),"Lieferverzug",IF(OR(R28="Bestellt",R28="Teilgeliefert"),"Im Plan",IF(P28="","Im Plan",IF(Stichtag&gt;P28,"Bestellung fällig",IF(P28-Stichtag&lt;=Vorwarnzeit,"Jetzt bestellen","Im Plan"))))))))))</f>
        <v/>
      </c>
      <c r="V28" s="47" t="inlineStr">
        <is>
          <t>Für Anschlussfugen Wandbereich</t>
        </is>
      </c>
    </row>
    <row r="29" ht="19" customHeight="1">
      <c r="B29" s="46">
        <f>IF(D29="","",COUNTA($D$13:D29))</f>
        <v/>
      </c>
      <c r="C29" s="47" t="inlineStr">
        <is>
          <t>BOD-50</t>
        </is>
      </c>
      <c r="D29" s="47" t="inlineStr">
        <is>
          <t>Vinyl-Designboden Klick, Eiche natur, NS 0,55 mm, Paket 2,2 m²</t>
        </is>
      </c>
      <c r="E29" s="47" t="inlineStr">
        <is>
          <t>Bodenbeläge</t>
        </is>
      </c>
      <c r="F29" s="48" t="inlineStr">
        <is>
          <t>m²</t>
        </is>
      </c>
      <c r="G29" s="49" t="n">
        <v>86</v>
      </c>
      <c r="H29" s="50" t="n">
        <v>0.08</v>
      </c>
      <c r="I29" s="49" t="n">
        <v>2.2</v>
      </c>
      <c r="J29" s="51">
        <f>IF(G29="","",ROUND(IF(I29&gt;0,ROUNDUP(ROUND(G29*(1+H29)/I29,6),0)*I29,G29*(1+H29)),4))</f>
        <v/>
      </c>
      <c r="K29" s="52" t="n">
        <v>27.4</v>
      </c>
      <c r="L29" s="50" t="n">
        <v>0.05</v>
      </c>
      <c r="M29" s="53">
        <f>IF(OR(J29="",K29=""),"",IF(R29="Storniert",0,ROUND(J29*K29*(1-L29),2)))</f>
        <v/>
      </c>
      <c r="N29" s="47" t="inlineStr">
        <is>
          <t>Bodenkontor Weststadt</t>
        </is>
      </c>
      <c r="O29" s="54" t="n">
        <v>46454</v>
      </c>
      <c r="P29" s="55">
        <f>IF(OR(O29="",N29=""),"",WORKDAY(O29,-IFERROR(INDEX(Tab_Lieferzeit,MATCH(N29,Tab_Lieferanten,0)),0)))</f>
        <v/>
      </c>
      <c r="Q29" s="54" t="n"/>
      <c r="R29" s="48" t="inlineStr">
        <is>
          <t>Angefragt</t>
        </is>
      </c>
      <c r="S29" s="49" t="n"/>
      <c r="T29" s="56">
        <f>IF(J29="","",IF(R29="Storniert",0,MAX(0,J29-S29)))</f>
        <v/>
      </c>
      <c r="U29" s="57">
        <f>IF(D29="","",IF(R29="Storniert","Storniert",IF(R29="Geliefert","Erledigt",IF(O29="","Ohne Termin",IF(Stichtag&gt;O29,"Überfällig",IF(AND(Q29&lt;&gt;"",Q29&gt;O29),"Lieferverzug",IF(OR(R29="Bestellt",R29="Teilgeliefert"),"Im Plan",IF(P29="","Im Plan",IF(Stichtag&gt;P29,"Bestellung fällig",IF(P29-Stichtag&lt;=Vorwarnzeit,"Jetzt bestellen","Im Plan"))))))))))</f>
        <v/>
      </c>
      <c r="V29" s="47" t="inlineStr">
        <is>
          <t>Musterfreigabe durch Auftraggeber erteilt</t>
        </is>
      </c>
    </row>
    <row r="30" ht="19" customHeight="1">
      <c r="B30" s="46">
        <f>IF(D30="","",COUNTA($D$13:D30))</f>
        <v/>
      </c>
      <c r="C30" s="47" t="inlineStr">
        <is>
          <t>BOD-51</t>
        </is>
      </c>
      <c r="D30" s="47" t="inlineStr">
        <is>
          <t>Trittschalldämmung 2 mm, Rolle à 15 m²</t>
        </is>
      </c>
      <c r="E30" s="47" t="inlineStr">
        <is>
          <t>Bodenbeläge</t>
        </is>
      </c>
      <c r="F30" s="48" t="inlineStr">
        <is>
          <t>Rolle</t>
        </is>
      </c>
      <c r="G30" s="49" t="n">
        <v>6</v>
      </c>
      <c r="H30" s="50" t="n"/>
      <c r="I30" s="49" t="n">
        <v>1</v>
      </c>
      <c r="J30" s="51">
        <f>IF(G30="","",ROUND(IF(I30&gt;0,ROUNDUP(ROUND(G30*(1+H30)/I30,6),0)*I30,G30*(1+H30)),4))</f>
        <v/>
      </c>
      <c r="K30" s="52" t="n">
        <v>39</v>
      </c>
      <c r="L30" s="50" t="n">
        <v>0.05</v>
      </c>
      <c r="M30" s="53">
        <f>IF(OR(J30="",K30=""),"",IF(R30="Storniert",0,ROUND(J30*K30*(1-L30),2)))</f>
        <v/>
      </c>
      <c r="N30" s="47" t="inlineStr">
        <is>
          <t>Bodenkontor Weststadt</t>
        </is>
      </c>
      <c r="O30" s="54" t="n">
        <v>46454</v>
      </c>
      <c r="P30" s="55">
        <f>IF(OR(O30="",N30=""),"",WORKDAY(O30,-IFERROR(INDEX(Tab_Lieferzeit,MATCH(N30,Tab_Lieferanten,0)),0)))</f>
        <v/>
      </c>
      <c r="Q30" s="54" t="n"/>
      <c r="R30" s="48" t="inlineStr">
        <is>
          <t>Angefragt</t>
        </is>
      </c>
      <c r="S30" s="49" t="n"/>
      <c r="T30" s="56">
        <f>IF(J30="","",IF(R30="Storniert",0,MAX(0,J30-S30)))</f>
        <v/>
      </c>
      <c r="U30" s="57">
        <f>IF(D30="","",IF(R30="Storniert","Storniert",IF(R30="Geliefert","Erledigt",IF(O30="","Ohne Termin",IF(Stichtag&gt;O30,"Überfällig",IF(AND(Q30&lt;&gt;"",Q30&gt;O30),"Lieferverzug",IF(OR(R30="Bestellt",R30="Teilgeliefert"),"Im Plan",IF(P30="","Im Plan",IF(Stichtag&gt;P30,"Bestellung fällig",IF(P30-Stichtag&lt;=Vorwarnzeit,"Jetzt bestellen","Im Plan"))))))))))</f>
        <v/>
      </c>
      <c r="V30" s="47" t="n"/>
    </row>
    <row r="31" ht="19" customHeight="1">
      <c r="B31" s="46">
        <f>IF(D31="","",COUNTA($D$13:D31))</f>
        <v/>
      </c>
      <c r="C31" s="47" t="inlineStr">
        <is>
          <t>BOD-52</t>
        </is>
      </c>
      <c r="D31" s="47" t="inlineStr">
        <is>
          <t>Sockelleiste MDF weiß foliert, 60 mm, Länge 2,4 m</t>
        </is>
      </c>
      <c r="E31" s="47" t="inlineStr">
        <is>
          <t>Bodenbeläge</t>
        </is>
      </c>
      <c r="F31" s="48" t="inlineStr">
        <is>
          <t>lfm</t>
        </is>
      </c>
      <c r="G31" s="49" t="n">
        <v>48</v>
      </c>
      <c r="H31" s="50" t="n">
        <v>0.1</v>
      </c>
      <c r="I31" s="49" t="n">
        <v>2.4</v>
      </c>
      <c r="J31" s="51">
        <f>IF(G31="","",ROUND(IF(I31&gt;0,ROUNDUP(ROUND(G31*(1+H31)/I31,6),0)*I31,G31*(1+H31)),4))</f>
        <v/>
      </c>
      <c r="K31" s="52" t="n">
        <v>3.2</v>
      </c>
      <c r="L31" s="50" t="n"/>
      <c r="M31" s="53">
        <f>IF(OR(J31="",K31=""),"",IF(R31="Storniert",0,ROUND(J31*K31*(1-L31),2)))</f>
        <v/>
      </c>
      <c r="N31" s="47" t="inlineStr">
        <is>
          <t>Bodenkontor Weststadt</t>
        </is>
      </c>
      <c r="O31" s="54" t="n">
        <v>46468</v>
      </c>
      <c r="P31" s="55">
        <f>IF(OR(O31="",N31=""),"",WORKDAY(O31,-IFERROR(INDEX(Tab_Lieferzeit,MATCH(N31,Tab_Lieferanten,0)),0)))</f>
        <v/>
      </c>
      <c r="Q31" s="54" t="n"/>
      <c r="R31" s="48" t="inlineStr">
        <is>
          <t>Geplant</t>
        </is>
      </c>
      <c r="S31" s="49" t="n"/>
      <c r="T31" s="56">
        <f>IF(J31="","",IF(R31="Storniert",0,MAX(0,J31-S31)))</f>
        <v/>
      </c>
      <c r="U31" s="57">
        <f>IF(D31="","",IF(R31="Storniert","Storniert",IF(R31="Geliefert","Erledigt",IF(O31="","Ohne Termin",IF(Stichtag&gt;O31,"Überfällig",IF(AND(Q31&lt;&gt;"",Q31&gt;O31),"Lieferverzug",IF(OR(R31="Bestellt",R31="Teilgeliefert"),"Im Plan",IF(P31="","Im Plan",IF(Stichtag&gt;P31,"Bestellung fällig",IF(P31-Stichtag&lt;=Vorwarnzeit,"Jetzt bestellen","Im Plan"))))))))))</f>
        <v/>
      </c>
      <c r="V31" s="47" t="n"/>
    </row>
    <row r="32" ht="19" customHeight="1">
      <c r="B32" s="46">
        <f>IF(D32="","",COUNTA($D$13:D32))</f>
        <v/>
      </c>
      <c r="C32" s="47" t="inlineStr">
        <is>
          <t>VER-60</t>
        </is>
      </c>
      <c r="D32" s="47" t="inlineStr">
        <is>
          <t>Abdeckvlies selbstklebend, 1 m × 25 m</t>
        </is>
      </c>
      <c r="E32" s="47" t="inlineStr">
        <is>
          <t>Verbrauchsmaterial</t>
        </is>
      </c>
      <c r="F32" s="48" t="inlineStr">
        <is>
          <t>Rolle</t>
        </is>
      </c>
      <c r="G32" s="49" t="n">
        <v>4</v>
      </c>
      <c r="H32" s="50" t="n"/>
      <c r="I32" s="49" t="n">
        <v>1</v>
      </c>
      <c r="J32" s="51">
        <f>IF(G32="","",ROUND(IF(I32&gt;0,ROUNDUP(ROUND(G32*(1+H32)/I32,6),0)*I32,G32*(1+H32)),4))</f>
        <v/>
      </c>
      <c r="K32" s="52" t="n">
        <v>32.5</v>
      </c>
      <c r="L32" s="50" t="n"/>
      <c r="M32" s="53">
        <f>IF(OR(J32="",K32=""),"",IF(R32="Storniert",0,ROUND(J32*K32*(1-L32),2)))</f>
        <v/>
      </c>
      <c r="N32" s="47" t="inlineStr">
        <is>
          <t>Handwerkerbedarf Simon</t>
        </is>
      </c>
      <c r="O32" s="54" t="n">
        <v>46444</v>
      </c>
      <c r="P32" s="55">
        <f>IF(OR(O32="",N32=""),"",WORKDAY(O32,-IFERROR(INDEX(Tab_Lieferzeit,MATCH(N32,Tab_Lieferanten,0)),0)))</f>
        <v/>
      </c>
      <c r="Q32" s="54" t="n">
        <v>46443</v>
      </c>
      <c r="R32" s="48" t="inlineStr">
        <is>
          <t>Bestellt</t>
        </is>
      </c>
      <c r="S32" s="49" t="n"/>
      <c r="T32" s="56">
        <f>IF(J32="","",IF(R32="Storniert",0,MAX(0,J32-S32)))</f>
        <v/>
      </c>
      <c r="U32" s="57">
        <f>IF(D32="","",IF(R32="Storniert","Storniert",IF(R32="Geliefert","Erledigt",IF(O32="","Ohne Termin",IF(Stichtag&gt;O32,"Überfällig",IF(AND(Q32&lt;&gt;"",Q32&gt;O32),"Lieferverzug",IF(OR(R32="Bestellt",R32="Teilgeliefert"),"Im Plan",IF(P32="","Im Plan",IF(Stichtag&gt;P32,"Bestellung fällig",IF(P32-Stichtag&lt;=Vorwarnzeit,"Jetzt bestellen","Im Plan"))))))))))</f>
        <v/>
      </c>
      <c r="V32" s="47" t="inlineStr">
        <is>
          <t>Direkt an Einsatzort</t>
        </is>
      </c>
    </row>
    <row r="33" ht="19" customHeight="1">
      <c r="B33" s="46">
        <f>IF(D33="","",COUNTA($D$13:D33))</f>
        <v/>
      </c>
      <c r="C33" s="47" t="inlineStr">
        <is>
          <t>VER-61</t>
        </is>
      </c>
      <c r="D33" s="47" t="inlineStr">
        <is>
          <t>Malerkrepp 38 mm × 50 m</t>
        </is>
      </c>
      <c r="E33" s="47" t="inlineStr">
        <is>
          <t>Verbrauchsmaterial</t>
        </is>
      </c>
      <c r="F33" s="48" t="inlineStr">
        <is>
          <t>Rolle</t>
        </is>
      </c>
      <c r="G33" s="49" t="n">
        <v>12</v>
      </c>
      <c r="H33" s="50" t="n"/>
      <c r="I33" s="49" t="n">
        <v>6</v>
      </c>
      <c r="J33" s="51">
        <f>IF(G33="","",ROUND(IF(I33&gt;0,ROUNDUP(ROUND(G33*(1+H33)/I33,6),0)*I33,G33*(1+H33)),4))</f>
        <v/>
      </c>
      <c r="K33" s="52" t="n">
        <v>3.9</v>
      </c>
      <c r="L33" s="50" t="n"/>
      <c r="M33" s="53">
        <f>IF(OR(J33="",K33=""),"",IF(R33="Storniert",0,ROUND(J33*K33*(1-L33),2)))</f>
        <v/>
      </c>
      <c r="N33" s="47" t="inlineStr">
        <is>
          <t>Handwerkerbedarf Simon</t>
        </is>
      </c>
      <c r="O33" s="54" t="n">
        <v>46444</v>
      </c>
      <c r="P33" s="55">
        <f>IF(OR(O33="",N33=""),"",WORKDAY(O33,-IFERROR(INDEX(Tab_Lieferzeit,MATCH(N33,Tab_Lieferanten,0)),0)))</f>
        <v/>
      </c>
      <c r="Q33" s="54" t="n">
        <v>46437</v>
      </c>
      <c r="R33" s="48" t="inlineStr">
        <is>
          <t>Geliefert</t>
        </is>
      </c>
      <c r="S33" s="49" t="n">
        <v>12</v>
      </c>
      <c r="T33" s="56">
        <f>IF(J33="","",IF(R33="Storniert",0,MAX(0,J33-S33)))</f>
        <v/>
      </c>
      <c r="U33" s="57">
        <f>IF(D33="","",IF(R33="Storniert","Storniert",IF(R33="Geliefert","Erledigt",IF(O33="","Ohne Termin",IF(Stichtag&gt;O33,"Überfällig",IF(AND(Q33&lt;&gt;"",Q33&gt;O33),"Lieferverzug",IF(OR(R33="Bestellt",R33="Teilgeliefert"),"Im Plan",IF(P33="","Im Plan",IF(Stichtag&gt;P33,"Bestellung fällig",IF(P33-Stichtag&lt;=Vorwarnzeit,"Jetzt bestellen","Im Plan"))))))))))</f>
        <v/>
      </c>
      <c r="V33" s="47" t="n"/>
    </row>
    <row r="34" ht="19" customHeight="1">
      <c r="B34" s="46">
        <f>IF(D34="","",COUNTA($D$13:D34))</f>
        <v/>
      </c>
      <c r="C34" s="47" t="inlineStr">
        <is>
          <t>VER-62</t>
        </is>
      </c>
      <c r="D34" s="47" t="inlineStr">
        <is>
          <t>Schleifscheiben Klett Ø 150 mm, K120, Pkt. 50 Stk.</t>
        </is>
      </c>
      <c r="E34" s="47" t="inlineStr">
        <is>
          <t>Verbrauchsmaterial</t>
        </is>
      </c>
      <c r="F34" s="48" t="inlineStr">
        <is>
          <t>Pkt.</t>
        </is>
      </c>
      <c r="G34" s="49" t="n">
        <v>3</v>
      </c>
      <c r="H34" s="50" t="n"/>
      <c r="I34" s="49" t="n">
        <v>1</v>
      </c>
      <c r="J34" s="51">
        <f>IF(G34="","",ROUND(IF(I34&gt;0,ROUNDUP(ROUND(G34*(1+H34)/I34,6),0)*I34,G34*(1+H34)),4))</f>
        <v/>
      </c>
      <c r="K34" s="52" t="n">
        <v>18.9</v>
      </c>
      <c r="L34" s="50" t="n"/>
      <c r="M34" s="53">
        <f>IF(OR(J34="",K34=""),"",IF(R34="Storniert",0,ROUND(J34*K34*(1-L34),2)))</f>
        <v/>
      </c>
      <c r="N34" s="47" t="inlineStr">
        <is>
          <t>Handwerkerbedarf Simon</t>
        </is>
      </c>
      <c r="O34" s="54" t="n">
        <v>46437</v>
      </c>
      <c r="P34" s="55">
        <f>IF(OR(O34="",N34=""),"",WORKDAY(O34,-IFERROR(INDEX(Tab_Lieferzeit,MATCH(N34,Tab_Lieferanten,0)),0)))</f>
        <v/>
      </c>
      <c r="Q34" s="54" t="n"/>
      <c r="R34" s="48" t="inlineStr">
        <is>
          <t>Bestellt</t>
        </is>
      </c>
      <c r="S34" s="49" t="n"/>
      <c r="T34" s="56">
        <f>IF(J34="","",IF(R34="Storniert",0,MAX(0,J34-S34)))</f>
        <v/>
      </c>
      <c r="U34" s="57">
        <f>IF(D34="","",IF(R34="Storniert","Storniert",IF(R34="Geliefert","Erledigt",IF(O34="","Ohne Termin",IF(Stichtag&gt;O34,"Überfällig",IF(AND(Q34&lt;&gt;"",Q34&gt;O34),"Lieferverzug",IF(OR(R34="Bestellt",R34="Teilgeliefert"),"Im Plan",IF(P34="","Im Plan",IF(Stichtag&gt;P34,"Bestellung fällig",IF(P34-Stichtag&lt;=Vorwarnzeit,"Jetzt bestellen","Im Plan"))))))))))</f>
        <v/>
      </c>
      <c r="V34" s="47" t="inlineStr">
        <is>
          <t>Dringend – Vorarbeiten laufen</t>
        </is>
      </c>
    </row>
    <row r="35" ht="19" customHeight="1">
      <c r="B35" s="46">
        <f>IF(D35="","",COUNTA($D$13:D35))</f>
        <v/>
      </c>
      <c r="C35" s="47" t="inlineStr">
        <is>
          <t>WZG-70</t>
        </is>
      </c>
      <c r="D35" s="47" t="inlineStr">
        <is>
          <t>Hartmetall-Sägeblatt für Tauchsäge Ø 160 mm, 48 Zähne</t>
        </is>
      </c>
      <c r="E35" s="47" t="inlineStr">
        <is>
          <t>Werkzeug &amp; Zubehör</t>
        </is>
      </c>
      <c r="F35" s="48" t="inlineStr">
        <is>
          <t>Stk.</t>
        </is>
      </c>
      <c r="G35" s="49" t="n">
        <v>2</v>
      </c>
      <c r="H35" s="50" t="n"/>
      <c r="I35" s="49" t="n">
        <v>1</v>
      </c>
      <c r="J35" s="51">
        <f>IF(G35="","",ROUND(IF(I35&gt;0,ROUNDUP(ROUND(G35*(1+H35)/I35,6),0)*I35,G35*(1+H35)),4))</f>
        <v/>
      </c>
      <c r="K35" s="52" t="n">
        <v>42</v>
      </c>
      <c r="L35" s="50" t="n"/>
      <c r="M35" s="53">
        <f>IF(OR(J35="",K35=""),"",IF(R35="Storniert",0,ROUND(J35*K35*(1-L35),2)))</f>
        <v/>
      </c>
      <c r="N35" s="47" t="inlineStr">
        <is>
          <t>Handwerkerbedarf Simon</t>
        </is>
      </c>
      <c r="O35" s="54" t="n">
        <v>46447</v>
      </c>
      <c r="P35" s="55">
        <f>IF(OR(O35="",N35=""),"",WORKDAY(O35,-IFERROR(INDEX(Tab_Lieferzeit,MATCH(N35,Tab_Lieferanten,0)),0)))</f>
        <v/>
      </c>
      <c r="Q35" s="54" t="n"/>
      <c r="R35" s="48" t="inlineStr">
        <is>
          <t>Storniert</t>
        </is>
      </c>
      <c r="S35" s="49" t="n"/>
      <c r="T35" s="56">
        <f>IF(J35="","",IF(R35="Storniert",0,MAX(0,J35-S35)))</f>
        <v/>
      </c>
      <c r="U35" s="57">
        <f>IF(D35="","",IF(R35="Storniert","Storniert",IF(R35="Geliefert","Erledigt",IF(O35="","Ohne Termin",IF(Stichtag&gt;O35,"Überfällig",IF(AND(Q35&lt;&gt;"",Q35&gt;O35),"Lieferverzug",IF(OR(R35="Bestellt",R35="Teilgeliefert"),"Im Plan",IF(P35="","Im Plan",IF(Stichtag&gt;P35,"Bestellung fällig",IF(P35-Stichtag&lt;=Vorwarnzeit,"Jetzt bestellen","Im Plan"))))))))))</f>
        <v/>
      </c>
      <c r="V35" s="47" t="inlineStr">
        <is>
          <t>Entfällt – vorhandenes Werkzeug wird genutzt</t>
        </is>
      </c>
    </row>
    <row r="36" ht="19" customHeight="1">
      <c r="B36" s="46">
        <f>IF(D36="","",COUNTA($D$13:D36))</f>
        <v/>
      </c>
      <c r="C36" s="47" t="inlineStr">
        <is>
          <t>SON-80</t>
        </is>
      </c>
      <c r="D36" s="47" t="inlineStr">
        <is>
          <t>Acrylglas satiniert 4 mm, Zuschnitt 600 × 1200 mm</t>
        </is>
      </c>
      <c r="E36" s="47" t="inlineStr">
        <is>
          <t>Sonstiges</t>
        </is>
      </c>
      <c r="F36" s="48" t="inlineStr">
        <is>
          <t>Stk.</t>
        </is>
      </c>
      <c r="G36" s="49" t="n">
        <v>6</v>
      </c>
      <c r="H36" s="50" t="n"/>
      <c r="I36" s="49" t="n">
        <v>1</v>
      </c>
      <c r="J36" s="51">
        <f>IF(G36="","",ROUND(IF(I36&gt;0,ROUNDUP(ROUND(G36*(1+H36)/I36,6),0)*I36,G36*(1+H36)),4))</f>
        <v/>
      </c>
      <c r="K36" s="52" t="n">
        <v>58</v>
      </c>
      <c r="L36" s="50" t="n"/>
      <c r="M36" s="53">
        <f>IF(OR(J36="",K36=""),"",IF(R36="Storniert",0,ROUND(J36*K36*(1-L36),2)))</f>
        <v/>
      </c>
      <c r="N36" s="47" t="inlineStr">
        <is>
          <t>Plattenhandel Brenner GmbH</t>
        </is>
      </c>
      <c r="O36" s="54" t="n">
        <v>46461</v>
      </c>
      <c r="P36" s="55">
        <f>IF(OR(O36="",N36=""),"",WORKDAY(O36,-IFERROR(INDEX(Tab_Lieferzeit,MATCH(N36,Tab_Lieferanten,0)),0)))</f>
        <v/>
      </c>
      <c r="Q36" s="54" t="n"/>
      <c r="R36" s="48" t="inlineStr">
        <is>
          <t>Geplant</t>
        </is>
      </c>
      <c r="S36" s="49" t="n"/>
      <c r="T36" s="56">
        <f>IF(J36="","",IF(R36="Storniert",0,MAX(0,J36-S36)))</f>
        <v/>
      </c>
      <c r="U36" s="57">
        <f>IF(D36="","",IF(R36="Storniert","Storniert",IF(R36="Geliefert","Erledigt",IF(O36="","Ohne Termin",IF(Stichtag&gt;O36,"Überfällig",IF(AND(Q36&lt;&gt;"",Q36&gt;O36),"Lieferverzug",IF(OR(R36="Bestellt",R36="Teilgeliefert"),"Im Plan",IF(P36="","Im Plan",IF(Stichtag&gt;P36,"Bestellung fällig",IF(P36-Stichtag&lt;=Vorwarnzeit,"Jetzt bestellen","Im Plan"))))))))))</f>
        <v/>
      </c>
      <c r="V36" s="47" t="n"/>
    </row>
    <row r="37" ht="19" customHeight="1">
      <c r="B37" s="46">
        <f>IF(D37="","",COUNTA($D$13:D37))</f>
        <v/>
      </c>
      <c r="C37" s="47" t="inlineStr">
        <is>
          <t>SON-81</t>
        </is>
      </c>
      <c r="D37" s="47" t="inlineStr">
        <is>
          <t>Akustikpaneel PET-Filz 1200 × 600 × 24 mm, anthrazit</t>
        </is>
      </c>
      <c r="E37" s="47" t="inlineStr">
        <is>
          <t>Sonstiges</t>
        </is>
      </c>
      <c r="F37" s="48" t="inlineStr">
        <is>
          <t>Stk.</t>
        </is>
      </c>
      <c r="G37" s="49" t="n">
        <v>22</v>
      </c>
      <c r="H37" s="50" t="n"/>
      <c r="I37" s="49" t="n">
        <v>4</v>
      </c>
      <c r="J37" s="51">
        <f>IF(G37="","",ROUND(IF(I37&gt;0,ROUNDUP(ROUND(G37*(1+H37)/I37,6),0)*I37,G37*(1+H37)),4))</f>
        <v/>
      </c>
      <c r="K37" s="52" t="n">
        <v>64.5</v>
      </c>
      <c r="L37" s="50" t="n">
        <v>0.05</v>
      </c>
      <c r="M37" s="53">
        <f>IF(OR(J37="",K37=""),"",IF(R37="Storniert",0,ROUND(J37*K37*(1-L37),2)))</f>
        <v/>
      </c>
      <c r="N37" s="47" t="inlineStr">
        <is>
          <t>Akustikwerk Haller</t>
        </is>
      </c>
      <c r="O37" s="54" t="n">
        <v>46475</v>
      </c>
      <c r="P37" s="55">
        <f>IF(OR(O37="",N37=""),"",WORKDAY(O37,-IFERROR(INDEX(Tab_Lieferzeit,MATCH(N37,Tab_Lieferanten,0)),0)))</f>
        <v/>
      </c>
      <c r="Q37" s="54" t="n"/>
      <c r="R37" s="48" t="inlineStr">
        <is>
          <t>Angefragt</t>
        </is>
      </c>
      <c r="S37" s="49" t="n"/>
      <c r="T37" s="56">
        <f>IF(J37="","",IF(R37="Storniert",0,MAX(0,J37-S37)))</f>
        <v/>
      </c>
      <c r="U37" s="57">
        <f>IF(D37="","",IF(R37="Storniert","Storniert",IF(R37="Geliefert","Erledigt",IF(O37="","Ohne Termin",IF(Stichtag&gt;O37,"Überfällig",IF(AND(Q37&lt;&gt;"",Q37&gt;O37),"Lieferverzug",IF(OR(R37="Bestellt",R37="Teilgeliefert"),"Im Plan",IF(P37="","Im Plan",IF(Stichtag&gt;P37,"Bestellung fällig",IF(P37-Stichtag&lt;=Vorwarnzeit,"Jetzt bestellen","Im Plan"))))))))))</f>
        <v/>
      </c>
      <c r="V37" s="47" t="inlineStr">
        <is>
          <t>Montage an Decke und Rückwand</t>
        </is>
      </c>
    </row>
    <row r="38" ht="19" customHeight="1">
      <c r="B38" s="46">
        <f>IF(D38="","",COUNTA($D$13:D38))</f>
        <v/>
      </c>
      <c r="C38" s="47" t="n"/>
      <c r="D38" s="47" t="n"/>
      <c r="E38" s="47" t="n"/>
      <c r="F38" s="48" t="n"/>
      <c r="G38" s="49" t="n"/>
      <c r="H38" s="50" t="n"/>
      <c r="I38" s="49" t="n"/>
      <c r="J38" s="51">
        <f>IF(G38="","",ROUND(IF(I38&gt;0,ROUNDUP(ROUND(G38*(1+H38)/I38,6),0)*I38,G38*(1+H38)),4))</f>
        <v/>
      </c>
      <c r="K38" s="52" t="n"/>
      <c r="L38" s="50" t="n"/>
      <c r="M38" s="53">
        <f>IF(OR(J38="",K38=""),"",IF(R38="Storniert",0,ROUND(J38*K38*(1-L38),2)))</f>
        <v/>
      </c>
      <c r="N38" s="47" t="n"/>
      <c r="O38" s="54" t="n"/>
      <c r="P38" s="55">
        <f>IF(OR(O38="",N38=""),"",WORKDAY(O38,-IFERROR(INDEX(Tab_Lieferzeit,MATCH(N38,Tab_Lieferanten,0)),0)))</f>
        <v/>
      </c>
      <c r="Q38" s="54" t="n"/>
      <c r="R38" s="48" t="n"/>
      <c r="S38" s="49" t="n"/>
      <c r="T38" s="56">
        <f>IF(J38="","",IF(R38="Storniert",0,MAX(0,J38-S38)))</f>
        <v/>
      </c>
      <c r="U38" s="57">
        <f>IF(D38="","",IF(R38="Storniert","Storniert",IF(R38="Geliefert","Erledigt",IF(O38="","Ohne Termin",IF(Stichtag&gt;O38,"Überfällig",IF(AND(Q38&lt;&gt;"",Q38&gt;O38),"Lieferverzug",IF(OR(R38="Bestellt",R38="Teilgeliefert"),"Im Plan",IF(P38="","Im Plan",IF(Stichtag&gt;P38,"Bestellung fällig",IF(P38-Stichtag&lt;=Vorwarnzeit,"Jetzt bestellen","Im Plan"))))))))))</f>
        <v/>
      </c>
      <c r="V38" s="47" t="n"/>
    </row>
    <row r="39" ht="19" customHeight="1">
      <c r="B39" s="46">
        <f>IF(D39="","",COUNTA($D$13:D39))</f>
        <v/>
      </c>
      <c r="C39" s="47" t="n"/>
      <c r="D39" s="47" t="n"/>
      <c r="E39" s="47" t="n"/>
      <c r="F39" s="48" t="n"/>
      <c r="G39" s="49" t="n"/>
      <c r="H39" s="50" t="n"/>
      <c r="I39" s="49" t="n"/>
      <c r="J39" s="51">
        <f>IF(G39="","",ROUND(IF(I39&gt;0,ROUNDUP(ROUND(G39*(1+H39)/I39,6),0)*I39,G39*(1+H39)),4))</f>
        <v/>
      </c>
      <c r="K39" s="52" t="n"/>
      <c r="L39" s="50" t="n"/>
      <c r="M39" s="53">
        <f>IF(OR(J39="",K39=""),"",IF(R39="Storniert",0,ROUND(J39*K39*(1-L39),2)))</f>
        <v/>
      </c>
      <c r="N39" s="47" t="n"/>
      <c r="O39" s="54" t="n"/>
      <c r="P39" s="55">
        <f>IF(OR(O39="",N39=""),"",WORKDAY(O39,-IFERROR(INDEX(Tab_Lieferzeit,MATCH(N39,Tab_Lieferanten,0)),0)))</f>
        <v/>
      </c>
      <c r="Q39" s="54" t="n"/>
      <c r="R39" s="48" t="n"/>
      <c r="S39" s="49" t="n"/>
      <c r="T39" s="56">
        <f>IF(J39="","",IF(R39="Storniert",0,MAX(0,J39-S39)))</f>
        <v/>
      </c>
      <c r="U39" s="57">
        <f>IF(D39="","",IF(R39="Storniert","Storniert",IF(R39="Geliefert","Erledigt",IF(O39="","Ohne Termin",IF(Stichtag&gt;O39,"Überfällig",IF(AND(Q39&lt;&gt;"",Q39&gt;O39),"Lieferverzug",IF(OR(R39="Bestellt",R39="Teilgeliefert"),"Im Plan",IF(P39="","Im Plan",IF(Stichtag&gt;P39,"Bestellung fällig",IF(P39-Stichtag&lt;=Vorwarnzeit,"Jetzt bestellen","Im Plan"))))))))))</f>
        <v/>
      </c>
      <c r="V39" s="47" t="n"/>
    </row>
    <row r="40" ht="19" customHeight="1">
      <c r="B40" s="46">
        <f>IF(D40="","",COUNTA($D$13:D40))</f>
        <v/>
      </c>
      <c r="C40" s="47" t="n"/>
      <c r="D40" s="47" t="n"/>
      <c r="E40" s="47" t="n"/>
      <c r="F40" s="48" t="n"/>
      <c r="G40" s="49" t="n"/>
      <c r="H40" s="50" t="n"/>
      <c r="I40" s="49" t="n"/>
      <c r="J40" s="51">
        <f>IF(G40="","",ROUND(IF(I40&gt;0,ROUNDUP(ROUND(G40*(1+H40)/I40,6),0)*I40,G40*(1+H40)),4))</f>
        <v/>
      </c>
      <c r="K40" s="52" t="n"/>
      <c r="L40" s="50" t="n"/>
      <c r="M40" s="53">
        <f>IF(OR(J40="",K40=""),"",IF(R40="Storniert",0,ROUND(J40*K40*(1-L40),2)))</f>
        <v/>
      </c>
      <c r="N40" s="47" t="n"/>
      <c r="O40" s="54" t="n"/>
      <c r="P40" s="55">
        <f>IF(OR(O40="",N40=""),"",WORKDAY(O40,-IFERROR(INDEX(Tab_Lieferzeit,MATCH(N40,Tab_Lieferanten,0)),0)))</f>
        <v/>
      </c>
      <c r="Q40" s="54" t="n"/>
      <c r="R40" s="48" t="n"/>
      <c r="S40" s="49" t="n"/>
      <c r="T40" s="56">
        <f>IF(J40="","",IF(R40="Storniert",0,MAX(0,J40-S40)))</f>
        <v/>
      </c>
      <c r="U40" s="57">
        <f>IF(D40="","",IF(R40="Storniert","Storniert",IF(R40="Geliefert","Erledigt",IF(O40="","Ohne Termin",IF(Stichtag&gt;O40,"Überfällig",IF(AND(Q40&lt;&gt;"",Q40&gt;O40),"Lieferverzug",IF(OR(R40="Bestellt",R40="Teilgeliefert"),"Im Plan",IF(P40="","Im Plan",IF(Stichtag&gt;P40,"Bestellung fällig",IF(P40-Stichtag&lt;=Vorwarnzeit,"Jetzt bestellen","Im Plan"))))))))))</f>
        <v/>
      </c>
      <c r="V40" s="47" t="n"/>
    </row>
    <row r="41" ht="19" customHeight="1">
      <c r="B41" s="46">
        <f>IF(D41="","",COUNTA($D$13:D41))</f>
        <v/>
      </c>
      <c r="C41" s="47" t="n"/>
      <c r="D41" s="47" t="n"/>
      <c r="E41" s="47" t="n"/>
      <c r="F41" s="48" t="n"/>
      <c r="G41" s="49" t="n"/>
      <c r="H41" s="50" t="n"/>
      <c r="I41" s="49" t="n"/>
      <c r="J41" s="51">
        <f>IF(G41="","",ROUND(IF(I41&gt;0,ROUNDUP(ROUND(G41*(1+H41)/I41,6),0)*I41,G41*(1+H41)),4))</f>
        <v/>
      </c>
      <c r="K41" s="52" t="n"/>
      <c r="L41" s="50" t="n"/>
      <c r="M41" s="53">
        <f>IF(OR(J41="",K41=""),"",IF(R41="Storniert",0,ROUND(J41*K41*(1-L41),2)))</f>
        <v/>
      </c>
      <c r="N41" s="47" t="n"/>
      <c r="O41" s="54" t="n"/>
      <c r="P41" s="55">
        <f>IF(OR(O41="",N41=""),"",WORKDAY(O41,-IFERROR(INDEX(Tab_Lieferzeit,MATCH(N41,Tab_Lieferanten,0)),0)))</f>
        <v/>
      </c>
      <c r="Q41" s="54" t="n"/>
      <c r="R41" s="48" t="n"/>
      <c r="S41" s="49" t="n"/>
      <c r="T41" s="56">
        <f>IF(J41="","",IF(R41="Storniert",0,MAX(0,J41-S41)))</f>
        <v/>
      </c>
      <c r="U41" s="57">
        <f>IF(D41="","",IF(R41="Storniert","Storniert",IF(R41="Geliefert","Erledigt",IF(O41="","Ohne Termin",IF(Stichtag&gt;O41,"Überfällig",IF(AND(Q41&lt;&gt;"",Q41&gt;O41),"Lieferverzug",IF(OR(R41="Bestellt",R41="Teilgeliefert"),"Im Plan",IF(P41="","Im Plan",IF(Stichtag&gt;P41,"Bestellung fällig",IF(P41-Stichtag&lt;=Vorwarnzeit,"Jetzt bestellen","Im Plan"))))))))))</f>
        <v/>
      </c>
      <c r="V41" s="47" t="n"/>
    </row>
    <row r="42" ht="19" customHeight="1">
      <c r="B42" s="46">
        <f>IF(D42="","",COUNTA($D$13:D42))</f>
        <v/>
      </c>
      <c r="C42" s="47" t="n"/>
      <c r="D42" s="47" t="n"/>
      <c r="E42" s="47" t="n"/>
      <c r="F42" s="48" t="n"/>
      <c r="G42" s="49" t="n"/>
      <c r="H42" s="50" t="n"/>
      <c r="I42" s="49" t="n"/>
      <c r="J42" s="51">
        <f>IF(G42="","",ROUND(IF(I42&gt;0,ROUNDUP(ROUND(G42*(1+H42)/I42,6),0)*I42,G42*(1+H42)),4))</f>
        <v/>
      </c>
      <c r="K42" s="52" t="n"/>
      <c r="L42" s="50" t="n"/>
      <c r="M42" s="53">
        <f>IF(OR(J42="",K42=""),"",IF(R42="Storniert",0,ROUND(J42*K42*(1-L42),2)))</f>
        <v/>
      </c>
      <c r="N42" s="47" t="n"/>
      <c r="O42" s="54" t="n"/>
      <c r="P42" s="55">
        <f>IF(OR(O42="",N42=""),"",WORKDAY(O42,-IFERROR(INDEX(Tab_Lieferzeit,MATCH(N42,Tab_Lieferanten,0)),0)))</f>
        <v/>
      </c>
      <c r="Q42" s="54" t="n"/>
      <c r="R42" s="48" t="n"/>
      <c r="S42" s="49" t="n"/>
      <c r="T42" s="56">
        <f>IF(J42="","",IF(R42="Storniert",0,MAX(0,J42-S42)))</f>
        <v/>
      </c>
      <c r="U42" s="57">
        <f>IF(D42="","",IF(R42="Storniert","Storniert",IF(R42="Geliefert","Erledigt",IF(O42="","Ohne Termin",IF(Stichtag&gt;O42,"Überfällig",IF(AND(Q42&lt;&gt;"",Q42&gt;O42),"Lieferverzug",IF(OR(R42="Bestellt",R42="Teilgeliefert"),"Im Plan",IF(P42="","Im Plan",IF(Stichtag&gt;P42,"Bestellung fällig",IF(P42-Stichtag&lt;=Vorwarnzeit,"Jetzt bestellen","Im Plan"))))))))))</f>
        <v/>
      </c>
      <c r="V42" s="47" t="n"/>
    </row>
    <row r="43" ht="19" customHeight="1">
      <c r="B43" s="46">
        <f>IF(D43="","",COUNTA($D$13:D43))</f>
        <v/>
      </c>
      <c r="C43" s="47" t="n"/>
      <c r="D43" s="47" t="n"/>
      <c r="E43" s="47" t="n"/>
      <c r="F43" s="48" t="n"/>
      <c r="G43" s="49" t="n"/>
      <c r="H43" s="50" t="n"/>
      <c r="I43" s="49" t="n"/>
      <c r="J43" s="51">
        <f>IF(G43="","",ROUND(IF(I43&gt;0,ROUNDUP(ROUND(G43*(1+H43)/I43,6),0)*I43,G43*(1+H43)),4))</f>
        <v/>
      </c>
      <c r="K43" s="52" t="n"/>
      <c r="L43" s="50" t="n"/>
      <c r="M43" s="53">
        <f>IF(OR(J43="",K43=""),"",IF(R43="Storniert",0,ROUND(J43*K43*(1-L43),2)))</f>
        <v/>
      </c>
      <c r="N43" s="47" t="n"/>
      <c r="O43" s="54" t="n"/>
      <c r="P43" s="55">
        <f>IF(OR(O43="",N43=""),"",WORKDAY(O43,-IFERROR(INDEX(Tab_Lieferzeit,MATCH(N43,Tab_Lieferanten,0)),0)))</f>
        <v/>
      </c>
      <c r="Q43" s="54" t="n"/>
      <c r="R43" s="48" t="n"/>
      <c r="S43" s="49" t="n"/>
      <c r="T43" s="56">
        <f>IF(J43="","",IF(R43="Storniert",0,MAX(0,J43-S43)))</f>
        <v/>
      </c>
      <c r="U43" s="57">
        <f>IF(D43="","",IF(R43="Storniert","Storniert",IF(R43="Geliefert","Erledigt",IF(O43="","Ohne Termin",IF(Stichtag&gt;O43,"Überfällig",IF(AND(Q43&lt;&gt;"",Q43&gt;O43),"Lieferverzug",IF(OR(R43="Bestellt",R43="Teilgeliefert"),"Im Plan",IF(P43="","Im Plan",IF(Stichtag&gt;P43,"Bestellung fällig",IF(P43-Stichtag&lt;=Vorwarnzeit,"Jetzt bestellen","Im Plan"))))))))))</f>
        <v/>
      </c>
      <c r="V43" s="47" t="n"/>
    </row>
    <row r="44" ht="19" customHeight="1">
      <c r="B44" s="46">
        <f>IF(D44="","",COUNTA($D$13:D44))</f>
        <v/>
      </c>
      <c r="C44" s="47" t="n"/>
      <c r="D44" s="47" t="n"/>
      <c r="E44" s="47" t="n"/>
      <c r="F44" s="48" t="n"/>
      <c r="G44" s="49" t="n"/>
      <c r="H44" s="50" t="n"/>
      <c r="I44" s="49" t="n"/>
      <c r="J44" s="51">
        <f>IF(G44="","",ROUND(IF(I44&gt;0,ROUNDUP(ROUND(G44*(1+H44)/I44,6),0)*I44,G44*(1+H44)),4))</f>
        <v/>
      </c>
      <c r="K44" s="52" t="n"/>
      <c r="L44" s="50" t="n"/>
      <c r="M44" s="53">
        <f>IF(OR(J44="",K44=""),"",IF(R44="Storniert",0,ROUND(J44*K44*(1-L44),2)))</f>
        <v/>
      </c>
      <c r="N44" s="47" t="n"/>
      <c r="O44" s="54" t="n"/>
      <c r="P44" s="55">
        <f>IF(OR(O44="",N44=""),"",WORKDAY(O44,-IFERROR(INDEX(Tab_Lieferzeit,MATCH(N44,Tab_Lieferanten,0)),0)))</f>
        <v/>
      </c>
      <c r="Q44" s="54" t="n"/>
      <c r="R44" s="48" t="n"/>
      <c r="S44" s="49" t="n"/>
      <c r="T44" s="56">
        <f>IF(J44="","",IF(R44="Storniert",0,MAX(0,J44-S44)))</f>
        <v/>
      </c>
      <c r="U44" s="57">
        <f>IF(D44="","",IF(R44="Storniert","Storniert",IF(R44="Geliefert","Erledigt",IF(O44="","Ohne Termin",IF(Stichtag&gt;O44,"Überfällig",IF(AND(Q44&lt;&gt;"",Q44&gt;O44),"Lieferverzug",IF(OR(R44="Bestellt",R44="Teilgeliefert"),"Im Plan",IF(P44="","Im Plan",IF(Stichtag&gt;P44,"Bestellung fällig",IF(P44-Stichtag&lt;=Vorwarnzeit,"Jetzt bestellen","Im Plan"))))))))))</f>
        <v/>
      </c>
      <c r="V44" s="47" t="n"/>
    </row>
    <row r="45" ht="19" customHeight="1">
      <c r="B45" s="46">
        <f>IF(D45="","",COUNTA($D$13:D45))</f>
        <v/>
      </c>
      <c r="C45" s="47" t="n"/>
      <c r="D45" s="47" t="n"/>
      <c r="E45" s="47" t="n"/>
      <c r="F45" s="48" t="n"/>
      <c r="G45" s="49" t="n"/>
      <c r="H45" s="50" t="n"/>
      <c r="I45" s="49" t="n"/>
      <c r="J45" s="51">
        <f>IF(G45="","",ROUND(IF(I45&gt;0,ROUNDUP(ROUND(G45*(1+H45)/I45,6),0)*I45,G45*(1+H45)),4))</f>
        <v/>
      </c>
      <c r="K45" s="52" t="n"/>
      <c r="L45" s="50" t="n"/>
      <c r="M45" s="53">
        <f>IF(OR(J45="",K45=""),"",IF(R45="Storniert",0,ROUND(J45*K45*(1-L45),2)))</f>
        <v/>
      </c>
      <c r="N45" s="47" t="n"/>
      <c r="O45" s="54" t="n"/>
      <c r="P45" s="55">
        <f>IF(OR(O45="",N45=""),"",WORKDAY(O45,-IFERROR(INDEX(Tab_Lieferzeit,MATCH(N45,Tab_Lieferanten,0)),0)))</f>
        <v/>
      </c>
      <c r="Q45" s="54" t="n"/>
      <c r="R45" s="48" t="n"/>
      <c r="S45" s="49" t="n"/>
      <c r="T45" s="56">
        <f>IF(J45="","",IF(R45="Storniert",0,MAX(0,J45-S45)))</f>
        <v/>
      </c>
      <c r="U45" s="57">
        <f>IF(D45="","",IF(R45="Storniert","Storniert",IF(R45="Geliefert","Erledigt",IF(O45="","Ohne Termin",IF(Stichtag&gt;O45,"Überfällig",IF(AND(Q45&lt;&gt;"",Q45&gt;O45),"Lieferverzug",IF(OR(R45="Bestellt",R45="Teilgeliefert"),"Im Plan",IF(P45="","Im Plan",IF(Stichtag&gt;P45,"Bestellung fällig",IF(P45-Stichtag&lt;=Vorwarnzeit,"Jetzt bestellen","Im Plan"))))))))))</f>
        <v/>
      </c>
      <c r="V45" s="47" t="n"/>
    </row>
    <row r="46" ht="19" customHeight="1">
      <c r="B46" s="46">
        <f>IF(D46="","",COUNTA($D$13:D46))</f>
        <v/>
      </c>
      <c r="C46" s="47" t="n"/>
      <c r="D46" s="47" t="n"/>
      <c r="E46" s="47" t="n"/>
      <c r="F46" s="48" t="n"/>
      <c r="G46" s="49" t="n"/>
      <c r="H46" s="50" t="n"/>
      <c r="I46" s="49" t="n"/>
      <c r="J46" s="51">
        <f>IF(G46="","",ROUND(IF(I46&gt;0,ROUNDUP(ROUND(G46*(1+H46)/I46,6),0)*I46,G46*(1+H46)),4))</f>
        <v/>
      </c>
      <c r="K46" s="52" t="n"/>
      <c r="L46" s="50" t="n"/>
      <c r="M46" s="53">
        <f>IF(OR(J46="",K46=""),"",IF(R46="Storniert",0,ROUND(J46*K46*(1-L46),2)))</f>
        <v/>
      </c>
      <c r="N46" s="47" t="n"/>
      <c r="O46" s="54" t="n"/>
      <c r="P46" s="55">
        <f>IF(OR(O46="",N46=""),"",WORKDAY(O46,-IFERROR(INDEX(Tab_Lieferzeit,MATCH(N46,Tab_Lieferanten,0)),0)))</f>
        <v/>
      </c>
      <c r="Q46" s="54" t="n"/>
      <c r="R46" s="48" t="n"/>
      <c r="S46" s="49" t="n"/>
      <c r="T46" s="56">
        <f>IF(J46="","",IF(R46="Storniert",0,MAX(0,J46-S46)))</f>
        <v/>
      </c>
      <c r="U46" s="57">
        <f>IF(D46="","",IF(R46="Storniert","Storniert",IF(R46="Geliefert","Erledigt",IF(O46="","Ohne Termin",IF(Stichtag&gt;O46,"Überfällig",IF(AND(Q46&lt;&gt;"",Q46&gt;O46),"Lieferverzug",IF(OR(R46="Bestellt",R46="Teilgeliefert"),"Im Plan",IF(P46="","Im Plan",IF(Stichtag&gt;P46,"Bestellung fällig",IF(P46-Stichtag&lt;=Vorwarnzeit,"Jetzt bestellen","Im Plan"))))))))))</f>
        <v/>
      </c>
      <c r="V46" s="47" t="n"/>
    </row>
    <row r="47" ht="19" customHeight="1">
      <c r="B47" s="46">
        <f>IF(D47="","",COUNTA($D$13:D47))</f>
        <v/>
      </c>
      <c r="C47" s="47" t="n"/>
      <c r="D47" s="47" t="n"/>
      <c r="E47" s="47" t="n"/>
      <c r="F47" s="48" t="n"/>
      <c r="G47" s="49" t="n"/>
      <c r="H47" s="50" t="n"/>
      <c r="I47" s="49" t="n"/>
      <c r="J47" s="51">
        <f>IF(G47="","",ROUND(IF(I47&gt;0,ROUNDUP(ROUND(G47*(1+H47)/I47,6),0)*I47,G47*(1+H47)),4))</f>
        <v/>
      </c>
      <c r="K47" s="52" t="n"/>
      <c r="L47" s="50" t="n"/>
      <c r="M47" s="53">
        <f>IF(OR(J47="",K47=""),"",IF(R47="Storniert",0,ROUND(J47*K47*(1-L47),2)))</f>
        <v/>
      </c>
      <c r="N47" s="47" t="n"/>
      <c r="O47" s="54" t="n"/>
      <c r="P47" s="55">
        <f>IF(OR(O47="",N47=""),"",WORKDAY(O47,-IFERROR(INDEX(Tab_Lieferzeit,MATCH(N47,Tab_Lieferanten,0)),0)))</f>
        <v/>
      </c>
      <c r="Q47" s="54" t="n"/>
      <c r="R47" s="48" t="n"/>
      <c r="S47" s="49" t="n"/>
      <c r="T47" s="56">
        <f>IF(J47="","",IF(R47="Storniert",0,MAX(0,J47-S47)))</f>
        <v/>
      </c>
      <c r="U47" s="57">
        <f>IF(D47="","",IF(R47="Storniert","Storniert",IF(R47="Geliefert","Erledigt",IF(O47="","Ohne Termin",IF(Stichtag&gt;O47,"Überfällig",IF(AND(Q47&lt;&gt;"",Q47&gt;O47),"Lieferverzug",IF(OR(R47="Bestellt",R47="Teilgeliefert"),"Im Plan",IF(P47="","Im Plan",IF(Stichtag&gt;P47,"Bestellung fällig",IF(P47-Stichtag&lt;=Vorwarnzeit,"Jetzt bestellen","Im Plan"))))))))))</f>
        <v/>
      </c>
      <c r="V47" s="47" t="n"/>
    </row>
    <row r="48" ht="19" customHeight="1">
      <c r="B48" s="46">
        <f>IF(D48="","",COUNTA($D$13:D48))</f>
        <v/>
      </c>
      <c r="C48" s="47" t="n"/>
      <c r="D48" s="47" t="n"/>
      <c r="E48" s="47" t="n"/>
      <c r="F48" s="48" t="n"/>
      <c r="G48" s="49" t="n"/>
      <c r="H48" s="50" t="n"/>
      <c r="I48" s="49" t="n"/>
      <c r="J48" s="51">
        <f>IF(G48="","",ROUND(IF(I48&gt;0,ROUNDUP(ROUND(G48*(1+H48)/I48,6),0)*I48,G48*(1+H48)),4))</f>
        <v/>
      </c>
      <c r="K48" s="52" t="n"/>
      <c r="L48" s="50" t="n"/>
      <c r="M48" s="53">
        <f>IF(OR(J48="",K48=""),"",IF(R48="Storniert",0,ROUND(J48*K48*(1-L48),2)))</f>
        <v/>
      </c>
      <c r="N48" s="47" t="n"/>
      <c r="O48" s="54" t="n"/>
      <c r="P48" s="55">
        <f>IF(OR(O48="",N48=""),"",WORKDAY(O48,-IFERROR(INDEX(Tab_Lieferzeit,MATCH(N48,Tab_Lieferanten,0)),0)))</f>
        <v/>
      </c>
      <c r="Q48" s="54" t="n"/>
      <c r="R48" s="48" t="n"/>
      <c r="S48" s="49" t="n"/>
      <c r="T48" s="56">
        <f>IF(J48="","",IF(R48="Storniert",0,MAX(0,J48-S48)))</f>
        <v/>
      </c>
      <c r="U48" s="57">
        <f>IF(D48="","",IF(R48="Storniert","Storniert",IF(R48="Geliefert","Erledigt",IF(O48="","Ohne Termin",IF(Stichtag&gt;O48,"Überfällig",IF(AND(Q48&lt;&gt;"",Q48&gt;O48),"Lieferverzug",IF(OR(R48="Bestellt",R48="Teilgeliefert"),"Im Plan",IF(P48="","Im Plan",IF(Stichtag&gt;P48,"Bestellung fällig",IF(P48-Stichtag&lt;=Vorwarnzeit,"Jetzt bestellen","Im Plan"))))))))))</f>
        <v/>
      </c>
      <c r="V48" s="47" t="n"/>
    </row>
    <row r="49" ht="19" customHeight="1">
      <c r="B49" s="46">
        <f>IF(D49="","",COUNTA($D$13:D49))</f>
        <v/>
      </c>
      <c r="C49" s="47" t="n"/>
      <c r="D49" s="47" t="n"/>
      <c r="E49" s="47" t="n"/>
      <c r="F49" s="48" t="n"/>
      <c r="G49" s="49" t="n"/>
      <c r="H49" s="50" t="n"/>
      <c r="I49" s="49" t="n"/>
      <c r="J49" s="51">
        <f>IF(G49="","",ROUND(IF(I49&gt;0,ROUNDUP(ROUND(G49*(1+H49)/I49,6),0)*I49,G49*(1+H49)),4))</f>
        <v/>
      </c>
      <c r="K49" s="52" t="n"/>
      <c r="L49" s="50" t="n"/>
      <c r="M49" s="53">
        <f>IF(OR(J49="",K49=""),"",IF(R49="Storniert",0,ROUND(J49*K49*(1-L49),2)))</f>
        <v/>
      </c>
      <c r="N49" s="47" t="n"/>
      <c r="O49" s="54" t="n"/>
      <c r="P49" s="55">
        <f>IF(OR(O49="",N49=""),"",WORKDAY(O49,-IFERROR(INDEX(Tab_Lieferzeit,MATCH(N49,Tab_Lieferanten,0)),0)))</f>
        <v/>
      </c>
      <c r="Q49" s="54" t="n"/>
      <c r="R49" s="48" t="n"/>
      <c r="S49" s="49" t="n"/>
      <c r="T49" s="56">
        <f>IF(J49="","",IF(R49="Storniert",0,MAX(0,J49-S49)))</f>
        <v/>
      </c>
      <c r="U49" s="57">
        <f>IF(D49="","",IF(R49="Storniert","Storniert",IF(R49="Geliefert","Erledigt",IF(O49="","Ohne Termin",IF(Stichtag&gt;O49,"Überfällig",IF(AND(Q49&lt;&gt;"",Q49&gt;O49),"Lieferverzug",IF(OR(R49="Bestellt",R49="Teilgeliefert"),"Im Plan",IF(P49="","Im Plan",IF(Stichtag&gt;P49,"Bestellung fällig",IF(P49-Stichtag&lt;=Vorwarnzeit,"Jetzt bestellen","Im Plan"))))))))))</f>
        <v/>
      </c>
      <c r="V49" s="47" t="n"/>
    </row>
    <row r="50" ht="19" customHeight="1">
      <c r="B50" s="46">
        <f>IF(D50="","",COUNTA($D$13:D50))</f>
        <v/>
      </c>
      <c r="C50" s="47" t="n"/>
      <c r="D50" s="47" t="n"/>
      <c r="E50" s="47" t="n"/>
      <c r="F50" s="48" t="n"/>
      <c r="G50" s="49" t="n"/>
      <c r="H50" s="50" t="n"/>
      <c r="I50" s="49" t="n"/>
      <c r="J50" s="51">
        <f>IF(G50="","",ROUND(IF(I50&gt;0,ROUNDUP(ROUND(G50*(1+H50)/I50,6),0)*I50,G50*(1+H50)),4))</f>
        <v/>
      </c>
      <c r="K50" s="52" t="n"/>
      <c r="L50" s="50" t="n"/>
      <c r="M50" s="53">
        <f>IF(OR(J50="",K50=""),"",IF(R50="Storniert",0,ROUND(J50*K50*(1-L50),2)))</f>
        <v/>
      </c>
      <c r="N50" s="47" t="n"/>
      <c r="O50" s="54" t="n"/>
      <c r="P50" s="55">
        <f>IF(OR(O50="",N50=""),"",WORKDAY(O50,-IFERROR(INDEX(Tab_Lieferzeit,MATCH(N50,Tab_Lieferanten,0)),0)))</f>
        <v/>
      </c>
      <c r="Q50" s="54" t="n"/>
      <c r="R50" s="48" t="n"/>
      <c r="S50" s="49" t="n"/>
      <c r="T50" s="56">
        <f>IF(J50="","",IF(R50="Storniert",0,MAX(0,J50-S50)))</f>
        <v/>
      </c>
      <c r="U50" s="57">
        <f>IF(D50="","",IF(R50="Storniert","Storniert",IF(R50="Geliefert","Erledigt",IF(O50="","Ohne Termin",IF(Stichtag&gt;O50,"Überfällig",IF(AND(Q50&lt;&gt;"",Q50&gt;O50),"Lieferverzug",IF(OR(R50="Bestellt",R50="Teilgeliefert"),"Im Plan",IF(P50="","Im Plan",IF(Stichtag&gt;P50,"Bestellung fällig",IF(P50-Stichtag&lt;=Vorwarnzeit,"Jetzt bestellen","Im Plan"))))))))))</f>
        <v/>
      </c>
      <c r="V50" s="47" t="n"/>
    </row>
    <row r="51" ht="19" customHeight="1">
      <c r="B51" s="46">
        <f>IF(D51="","",COUNTA($D$13:D51))</f>
        <v/>
      </c>
      <c r="C51" s="47" t="n"/>
      <c r="D51" s="47" t="n"/>
      <c r="E51" s="47" t="n"/>
      <c r="F51" s="48" t="n"/>
      <c r="G51" s="49" t="n"/>
      <c r="H51" s="50" t="n"/>
      <c r="I51" s="49" t="n"/>
      <c r="J51" s="51">
        <f>IF(G51="","",ROUND(IF(I51&gt;0,ROUNDUP(ROUND(G51*(1+H51)/I51,6),0)*I51,G51*(1+H51)),4))</f>
        <v/>
      </c>
      <c r="K51" s="52" t="n"/>
      <c r="L51" s="50" t="n"/>
      <c r="M51" s="53">
        <f>IF(OR(J51="",K51=""),"",IF(R51="Storniert",0,ROUND(J51*K51*(1-L51),2)))</f>
        <v/>
      </c>
      <c r="N51" s="47" t="n"/>
      <c r="O51" s="54" t="n"/>
      <c r="P51" s="55">
        <f>IF(OR(O51="",N51=""),"",WORKDAY(O51,-IFERROR(INDEX(Tab_Lieferzeit,MATCH(N51,Tab_Lieferanten,0)),0)))</f>
        <v/>
      </c>
      <c r="Q51" s="54" t="n"/>
      <c r="R51" s="48" t="n"/>
      <c r="S51" s="49" t="n"/>
      <c r="T51" s="56">
        <f>IF(J51="","",IF(R51="Storniert",0,MAX(0,J51-S51)))</f>
        <v/>
      </c>
      <c r="U51" s="57">
        <f>IF(D51="","",IF(R51="Storniert","Storniert",IF(R51="Geliefert","Erledigt",IF(O51="","Ohne Termin",IF(Stichtag&gt;O51,"Überfällig",IF(AND(Q51&lt;&gt;"",Q51&gt;O51),"Lieferverzug",IF(OR(R51="Bestellt",R51="Teilgeliefert"),"Im Plan",IF(P51="","Im Plan",IF(Stichtag&gt;P51,"Bestellung fällig",IF(P51-Stichtag&lt;=Vorwarnzeit,"Jetzt bestellen","Im Plan"))))))))))</f>
        <v/>
      </c>
      <c r="V51" s="47" t="n"/>
    </row>
    <row r="52" ht="19" customHeight="1">
      <c r="B52" s="46">
        <f>IF(D52="","",COUNTA($D$13:D52))</f>
        <v/>
      </c>
      <c r="C52" s="47" t="n"/>
      <c r="D52" s="47" t="n"/>
      <c r="E52" s="47" t="n"/>
      <c r="F52" s="48" t="n"/>
      <c r="G52" s="49" t="n"/>
      <c r="H52" s="50" t="n"/>
      <c r="I52" s="49" t="n"/>
      <c r="J52" s="51">
        <f>IF(G52="","",ROUND(IF(I52&gt;0,ROUNDUP(ROUND(G52*(1+H52)/I52,6),0)*I52,G52*(1+H52)),4))</f>
        <v/>
      </c>
      <c r="K52" s="52" t="n"/>
      <c r="L52" s="50" t="n"/>
      <c r="M52" s="53">
        <f>IF(OR(J52="",K52=""),"",IF(R52="Storniert",0,ROUND(J52*K52*(1-L52),2)))</f>
        <v/>
      </c>
      <c r="N52" s="47" t="n"/>
      <c r="O52" s="54" t="n"/>
      <c r="P52" s="55">
        <f>IF(OR(O52="",N52=""),"",WORKDAY(O52,-IFERROR(INDEX(Tab_Lieferzeit,MATCH(N52,Tab_Lieferanten,0)),0)))</f>
        <v/>
      </c>
      <c r="Q52" s="54" t="n"/>
      <c r="R52" s="48" t="n"/>
      <c r="S52" s="49" t="n"/>
      <c r="T52" s="56">
        <f>IF(J52="","",IF(R52="Storniert",0,MAX(0,J52-S52)))</f>
        <v/>
      </c>
      <c r="U52" s="57">
        <f>IF(D52="","",IF(R52="Storniert","Storniert",IF(R52="Geliefert","Erledigt",IF(O52="","Ohne Termin",IF(Stichtag&gt;O52,"Überfällig",IF(AND(Q52&lt;&gt;"",Q52&gt;O52),"Lieferverzug",IF(OR(R52="Bestellt",R52="Teilgeliefert"),"Im Plan",IF(P52="","Im Plan",IF(Stichtag&gt;P52,"Bestellung fällig",IF(P52-Stichtag&lt;=Vorwarnzeit,"Jetzt bestellen","Im Plan"))))))))))</f>
        <v/>
      </c>
      <c r="V52" s="47" t="n"/>
    </row>
    <row r="53" ht="19" customHeight="1">
      <c r="B53" s="46">
        <f>IF(D53="","",COUNTA($D$13:D53))</f>
        <v/>
      </c>
      <c r="C53" s="47" t="n"/>
      <c r="D53" s="47" t="n"/>
      <c r="E53" s="47" t="n"/>
      <c r="F53" s="48" t="n"/>
      <c r="G53" s="49" t="n"/>
      <c r="H53" s="50" t="n"/>
      <c r="I53" s="49" t="n"/>
      <c r="J53" s="51">
        <f>IF(G53="","",ROUND(IF(I53&gt;0,ROUNDUP(ROUND(G53*(1+H53)/I53,6),0)*I53,G53*(1+H53)),4))</f>
        <v/>
      </c>
      <c r="K53" s="52" t="n"/>
      <c r="L53" s="50" t="n"/>
      <c r="M53" s="53">
        <f>IF(OR(J53="",K53=""),"",IF(R53="Storniert",0,ROUND(J53*K53*(1-L53),2)))</f>
        <v/>
      </c>
      <c r="N53" s="47" t="n"/>
      <c r="O53" s="54" t="n"/>
      <c r="P53" s="55">
        <f>IF(OR(O53="",N53=""),"",WORKDAY(O53,-IFERROR(INDEX(Tab_Lieferzeit,MATCH(N53,Tab_Lieferanten,0)),0)))</f>
        <v/>
      </c>
      <c r="Q53" s="54" t="n"/>
      <c r="R53" s="48" t="n"/>
      <c r="S53" s="49" t="n"/>
      <c r="T53" s="56">
        <f>IF(J53="","",IF(R53="Storniert",0,MAX(0,J53-S53)))</f>
        <v/>
      </c>
      <c r="U53" s="57">
        <f>IF(D53="","",IF(R53="Storniert","Storniert",IF(R53="Geliefert","Erledigt",IF(O53="","Ohne Termin",IF(Stichtag&gt;O53,"Überfällig",IF(AND(Q53&lt;&gt;"",Q53&gt;O53),"Lieferverzug",IF(OR(R53="Bestellt",R53="Teilgeliefert"),"Im Plan",IF(P53="","Im Plan",IF(Stichtag&gt;P53,"Bestellung fällig",IF(P53-Stichtag&lt;=Vorwarnzeit,"Jetzt bestellen","Im Plan"))))))))))</f>
        <v/>
      </c>
      <c r="V53" s="47" t="n"/>
    </row>
    <row r="54" ht="19" customHeight="1">
      <c r="B54" s="46">
        <f>IF(D54="","",COUNTA($D$13:D54))</f>
        <v/>
      </c>
      <c r="C54" s="47" t="n"/>
      <c r="D54" s="47" t="n"/>
      <c r="E54" s="47" t="n"/>
      <c r="F54" s="48" t="n"/>
      <c r="G54" s="49" t="n"/>
      <c r="H54" s="50" t="n"/>
      <c r="I54" s="49" t="n"/>
      <c r="J54" s="51">
        <f>IF(G54="","",ROUND(IF(I54&gt;0,ROUNDUP(ROUND(G54*(1+H54)/I54,6),0)*I54,G54*(1+H54)),4))</f>
        <v/>
      </c>
      <c r="K54" s="52" t="n"/>
      <c r="L54" s="50" t="n"/>
      <c r="M54" s="53">
        <f>IF(OR(J54="",K54=""),"",IF(R54="Storniert",0,ROUND(J54*K54*(1-L54),2)))</f>
        <v/>
      </c>
      <c r="N54" s="47" t="n"/>
      <c r="O54" s="54" t="n"/>
      <c r="P54" s="55">
        <f>IF(OR(O54="",N54=""),"",WORKDAY(O54,-IFERROR(INDEX(Tab_Lieferzeit,MATCH(N54,Tab_Lieferanten,0)),0)))</f>
        <v/>
      </c>
      <c r="Q54" s="54" t="n"/>
      <c r="R54" s="48" t="n"/>
      <c r="S54" s="49" t="n"/>
      <c r="T54" s="56">
        <f>IF(J54="","",IF(R54="Storniert",0,MAX(0,J54-S54)))</f>
        <v/>
      </c>
      <c r="U54" s="57">
        <f>IF(D54="","",IF(R54="Storniert","Storniert",IF(R54="Geliefert","Erledigt",IF(O54="","Ohne Termin",IF(Stichtag&gt;O54,"Überfällig",IF(AND(Q54&lt;&gt;"",Q54&gt;O54),"Lieferverzug",IF(OR(R54="Bestellt",R54="Teilgeliefert"),"Im Plan",IF(P54="","Im Plan",IF(Stichtag&gt;P54,"Bestellung fällig",IF(P54-Stichtag&lt;=Vorwarnzeit,"Jetzt bestellen","Im Plan"))))))))))</f>
        <v/>
      </c>
      <c r="V54" s="47" t="n"/>
    </row>
    <row r="55" ht="19" customHeight="1">
      <c r="B55" s="46">
        <f>IF(D55="","",COUNTA($D$13:D55))</f>
        <v/>
      </c>
      <c r="C55" s="47" t="n"/>
      <c r="D55" s="47" t="n"/>
      <c r="E55" s="47" t="n"/>
      <c r="F55" s="48" t="n"/>
      <c r="G55" s="49" t="n"/>
      <c r="H55" s="50" t="n"/>
      <c r="I55" s="49" t="n"/>
      <c r="J55" s="51">
        <f>IF(G55="","",ROUND(IF(I55&gt;0,ROUNDUP(ROUND(G55*(1+H55)/I55,6),0)*I55,G55*(1+H55)),4))</f>
        <v/>
      </c>
      <c r="K55" s="52" t="n"/>
      <c r="L55" s="50" t="n"/>
      <c r="M55" s="53">
        <f>IF(OR(J55="",K55=""),"",IF(R55="Storniert",0,ROUND(J55*K55*(1-L55),2)))</f>
        <v/>
      </c>
      <c r="N55" s="47" t="n"/>
      <c r="O55" s="54" t="n"/>
      <c r="P55" s="55">
        <f>IF(OR(O55="",N55=""),"",WORKDAY(O55,-IFERROR(INDEX(Tab_Lieferzeit,MATCH(N55,Tab_Lieferanten,0)),0)))</f>
        <v/>
      </c>
      <c r="Q55" s="54" t="n"/>
      <c r="R55" s="48" t="n"/>
      <c r="S55" s="49" t="n"/>
      <c r="T55" s="56">
        <f>IF(J55="","",IF(R55="Storniert",0,MAX(0,J55-S55)))</f>
        <v/>
      </c>
      <c r="U55" s="57">
        <f>IF(D55="","",IF(R55="Storniert","Storniert",IF(R55="Geliefert","Erledigt",IF(O55="","Ohne Termin",IF(Stichtag&gt;O55,"Überfällig",IF(AND(Q55&lt;&gt;"",Q55&gt;O55),"Lieferverzug",IF(OR(R55="Bestellt",R55="Teilgeliefert"),"Im Plan",IF(P55="","Im Plan",IF(Stichtag&gt;P55,"Bestellung fällig",IF(P55-Stichtag&lt;=Vorwarnzeit,"Jetzt bestellen","Im Plan"))))))))))</f>
        <v/>
      </c>
      <c r="V55" s="47" t="n"/>
    </row>
    <row r="56" ht="19" customHeight="1">
      <c r="B56" s="46">
        <f>IF(D56="","",COUNTA($D$13:D56))</f>
        <v/>
      </c>
      <c r="C56" s="47" t="n"/>
      <c r="D56" s="47" t="n"/>
      <c r="E56" s="47" t="n"/>
      <c r="F56" s="48" t="n"/>
      <c r="G56" s="49" t="n"/>
      <c r="H56" s="50" t="n"/>
      <c r="I56" s="49" t="n"/>
      <c r="J56" s="51">
        <f>IF(G56="","",ROUND(IF(I56&gt;0,ROUNDUP(ROUND(G56*(1+H56)/I56,6),0)*I56,G56*(1+H56)),4))</f>
        <v/>
      </c>
      <c r="K56" s="52" t="n"/>
      <c r="L56" s="50" t="n"/>
      <c r="M56" s="53">
        <f>IF(OR(J56="",K56=""),"",IF(R56="Storniert",0,ROUND(J56*K56*(1-L56),2)))</f>
        <v/>
      </c>
      <c r="N56" s="47" t="n"/>
      <c r="O56" s="54" t="n"/>
      <c r="P56" s="55">
        <f>IF(OR(O56="",N56=""),"",WORKDAY(O56,-IFERROR(INDEX(Tab_Lieferzeit,MATCH(N56,Tab_Lieferanten,0)),0)))</f>
        <v/>
      </c>
      <c r="Q56" s="54" t="n"/>
      <c r="R56" s="48" t="n"/>
      <c r="S56" s="49" t="n"/>
      <c r="T56" s="56">
        <f>IF(J56="","",IF(R56="Storniert",0,MAX(0,J56-S56)))</f>
        <v/>
      </c>
      <c r="U56" s="57">
        <f>IF(D56="","",IF(R56="Storniert","Storniert",IF(R56="Geliefert","Erledigt",IF(O56="","Ohne Termin",IF(Stichtag&gt;O56,"Überfällig",IF(AND(Q56&lt;&gt;"",Q56&gt;O56),"Lieferverzug",IF(OR(R56="Bestellt",R56="Teilgeliefert"),"Im Plan",IF(P56="","Im Plan",IF(Stichtag&gt;P56,"Bestellung fällig",IF(P56-Stichtag&lt;=Vorwarnzeit,"Jetzt bestellen","Im Plan"))))))))))</f>
        <v/>
      </c>
      <c r="V56" s="47" t="n"/>
    </row>
    <row r="57" ht="19" customHeight="1">
      <c r="B57" s="46">
        <f>IF(D57="","",COUNTA($D$13:D57))</f>
        <v/>
      </c>
      <c r="C57" s="47" t="n"/>
      <c r="D57" s="47" t="n"/>
      <c r="E57" s="47" t="n"/>
      <c r="F57" s="48" t="n"/>
      <c r="G57" s="49" t="n"/>
      <c r="H57" s="50" t="n"/>
      <c r="I57" s="49" t="n"/>
      <c r="J57" s="51">
        <f>IF(G57="","",ROUND(IF(I57&gt;0,ROUNDUP(ROUND(G57*(1+H57)/I57,6),0)*I57,G57*(1+H57)),4))</f>
        <v/>
      </c>
      <c r="K57" s="52" t="n"/>
      <c r="L57" s="50" t="n"/>
      <c r="M57" s="53">
        <f>IF(OR(J57="",K57=""),"",IF(R57="Storniert",0,ROUND(J57*K57*(1-L57),2)))</f>
        <v/>
      </c>
      <c r="N57" s="47" t="n"/>
      <c r="O57" s="54" t="n"/>
      <c r="P57" s="55">
        <f>IF(OR(O57="",N57=""),"",WORKDAY(O57,-IFERROR(INDEX(Tab_Lieferzeit,MATCH(N57,Tab_Lieferanten,0)),0)))</f>
        <v/>
      </c>
      <c r="Q57" s="54" t="n"/>
      <c r="R57" s="48" t="n"/>
      <c r="S57" s="49" t="n"/>
      <c r="T57" s="56">
        <f>IF(J57="","",IF(R57="Storniert",0,MAX(0,J57-S57)))</f>
        <v/>
      </c>
      <c r="U57" s="57">
        <f>IF(D57="","",IF(R57="Storniert","Storniert",IF(R57="Geliefert","Erledigt",IF(O57="","Ohne Termin",IF(Stichtag&gt;O57,"Überfällig",IF(AND(Q57&lt;&gt;"",Q57&gt;O57),"Lieferverzug",IF(OR(R57="Bestellt",R57="Teilgeliefert"),"Im Plan",IF(P57="","Im Plan",IF(Stichtag&gt;P57,"Bestellung fällig",IF(P57-Stichtag&lt;=Vorwarnzeit,"Jetzt bestellen","Im Plan"))))))))))</f>
        <v/>
      </c>
      <c r="V57" s="47" t="n"/>
    </row>
    <row r="58" ht="19" customHeight="1">
      <c r="B58" s="46">
        <f>IF(D58="","",COUNTA($D$13:D58))</f>
        <v/>
      </c>
      <c r="C58" s="47" t="n"/>
      <c r="D58" s="47" t="n"/>
      <c r="E58" s="47" t="n"/>
      <c r="F58" s="48" t="n"/>
      <c r="G58" s="49" t="n"/>
      <c r="H58" s="50" t="n"/>
      <c r="I58" s="49" t="n"/>
      <c r="J58" s="51">
        <f>IF(G58="","",ROUND(IF(I58&gt;0,ROUNDUP(ROUND(G58*(1+H58)/I58,6),0)*I58,G58*(1+H58)),4))</f>
        <v/>
      </c>
      <c r="K58" s="52" t="n"/>
      <c r="L58" s="50" t="n"/>
      <c r="M58" s="53">
        <f>IF(OR(J58="",K58=""),"",IF(R58="Storniert",0,ROUND(J58*K58*(1-L58),2)))</f>
        <v/>
      </c>
      <c r="N58" s="47" t="n"/>
      <c r="O58" s="54" t="n"/>
      <c r="P58" s="55">
        <f>IF(OR(O58="",N58=""),"",WORKDAY(O58,-IFERROR(INDEX(Tab_Lieferzeit,MATCH(N58,Tab_Lieferanten,0)),0)))</f>
        <v/>
      </c>
      <c r="Q58" s="54" t="n"/>
      <c r="R58" s="48" t="n"/>
      <c r="S58" s="49" t="n"/>
      <c r="T58" s="56">
        <f>IF(J58="","",IF(R58="Storniert",0,MAX(0,J58-S58)))</f>
        <v/>
      </c>
      <c r="U58" s="57">
        <f>IF(D58="","",IF(R58="Storniert","Storniert",IF(R58="Geliefert","Erledigt",IF(O58="","Ohne Termin",IF(Stichtag&gt;O58,"Überfällig",IF(AND(Q58&lt;&gt;"",Q58&gt;O58),"Lieferverzug",IF(OR(R58="Bestellt",R58="Teilgeliefert"),"Im Plan",IF(P58="","Im Plan",IF(Stichtag&gt;P58,"Bestellung fällig",IF(P58-Stichtag&lt;=Vorwarnzeit,"Jetzt bestellen","Im Plan"))))))))))</f>
        <v/>
      </c>
      <c r="V58" s="47" t="n"/>
    </row>
    <row r="59" ht="19" customHeight="1">
      <c r="B59" s="46">
        <f>IF(D59="","",COUNTA($D$13:D59))</f>
        <v/>
      </c>
      <c r="C59" s="47" t="n"/>
      <c r="D59" s="47" t="n"/>
      <c r="E59" s="47" t="n"/>
      <c r="F59" s="48" t="n"/>
      <c r="G59" s="49" t="n"/>
      <c r="H59" s="50" t="n"/>
      <c r="I59" s="49" t="n"/>
      <c r="J59" s="51">
        <f>IF(G59="","",ROUND(IF(I59&gt;0,ROUNDUP(ROUND(G59*(1+H59)/I59,6),0)*I59,G59*(1+H59)),4))</f>
        <v/>
      </c>
      <c r="K59" s="52" t="n"/>
      <c r="L59" s="50" t="n"/>
      <c r="M59" s="53">
        <f>IF(OR(J59="",K59=""),"",IF(R59="Storniert",0,ROUND(J59*K59*(1-L59),2)))</f>
        <v/>
      </c>
      <c r="N59" s="47" t="n"/>
      <c r="O59" s="54" t="n"/>
      <c r="P59" s="55">
        <f>IF(OR(O59="",N59=""),"",WORKDAY(O59,-IFERROR(INDEX(Tab_Lieferzeit,MATCH(N59,Tab_Lieferanten,0)),0)))</f>
        <v/>
      </c>
      <c r="Q59" s="54" t="n"/>
      <c r="R59" s="48" t="n"/>
      <c r="S59" s="49" t="n"/>
      <c r="T59" s="56">
        <f>IF(J59="","",IF(R59="Storniert",0,MAX(0,J59-S59)))</f>
        <v/>
      </c>
      <c r="U59" s="57">
        <f>IF(D59="","",IF(R59="Storniert","Storniert",IF(R59="Geliefert","Erledigt",IF(O59="","Ohne Termin",IF(Stichtag&gt;O59,"Überfällig",IF(AND(Q59&lt;&gt;"",Q59&gt;O59),"Lieferverzug",IF(OR(R59="Bestellt",R59="Teilgeliefert"),"Im Plan",IF(P59="","Im Plan",IF(Stichtag&gt;P59,"Bestellung fällig",IF(P59-Stichtag&lt;=Vorwarnzeit,"Jetzt bestellen","Im Plan"))))))))))</f>
        <v/>
      </c>
      <c r="V59" s="47" t="n"/>
    </row>
    <row r="60" ht="19" customHeight="1">
      <c r="B60" s="46">
        <f>IF(D60="","",COUNTA($D$13:D60))</f>
        <v/>
      </c>
      <c r="C60" s="47" t="n"/>
      <c r="D60" s="47" t="n"/>
      <c r="E60" s="47" t="n"/>
      <c r="F60" s="48" t="n"/>
      <c r="G60" s="49" t="n"/>
      <c r="H60" s="50" t="n"/>
      <c r="I60" s="49" t="n"/>
      <c r="J60" s="51">
        <f>IF(G60="","",ROUND(IF(I60&gt;0,ROUNDUP(ROUND(G60*(1+H60)/I60,6),0)*I60,G60*(1+H60)),4))</f>
        <v/>
      </c>
      <c r="K60" s="52" t="n"/>
      <c r="L60" s="50" t="n"/>
      <c r="M60" s="53">
        <f>IF(OR(J60="",K60=""),"",IF(R60="Storniert",0,ROUND(J60*K60*(1-L60),2)))</f>
        <v/>
      </c>
      <c r="N60" s="47" t="n"/>
      <c r="O60" s="54" t="n"/>
      <c r="P60" s="55">
        <f>IF(OR(O60="",N60=""),"",WORKDAY(O60,-IFERROR(INDEX(Tab_Lieferzeit,MATCH(N60,Tab_Lieferanten,0)),0)))</f>
        <v/>
      </c>
      <c r="Q60" s="54" t="n"/>
      <c r="R60" s="48" t="n"/>
      <c r="S60" s="49" t="n"/>
      <c r="T60" s="56">
        <f>IF(J60="","",IF(R60="Storniert",0,MAX(0,J60-S60)))</f>
        <v/>
      </c>
      <c r="U60" s="57">
        <f>IF(D60="","",IF(R60="Storniert","Storniert",IF(R60="Geliefert","Erledigt",IF(O60="","Ohne Termin",IF(Stichtag&gt;O60,"Überfällig",IF(AND(Q60&lt;&gt;"",Q60&gt;O60),"Lieferverzug",IF(OR(R60="Bestellt",R60="Teilgeliefert"),"Im Plan",IF(P60="","Im Plan",IF(Stichtag&gt;P60,"Bestellung fällig",IF(P60-Stichtag&lt;=Vorwarnzeit,"Jetzt bestellen","Im Plan"))))))))))</f>
        <v/>
      </c>
      <c r="V60" s="47" t="n"/>
    </row>
    <row r="61" ht="19" customHeight="1">
      <c r="B61" s="46">
        <f>IF(D61="","",COUNTA($D$13:D61))</f>
        <v/>
      </c>
      <c r="C61" s="47" t="n"/>
      <c r="D61" s="47" t="n"/>
      <c r="E61" s="47" t="n"/>
      <c r="F61" s="48" t="n"/>
      <c r="G61" s="49" t="n"/>
      <c r="H61" s="50" t="n"/>
      <c r="I61" s="49" t="n"/>
      <c r="J61" s="51">
        <f>IF(G61="","",ROUND(IF(I61&gt;0,ROUNDUP(ROUND(G61*(1+H61)/I61,6),0)*I61,G61*(1+H61)),4))</f>
        <v/>
      </c>
      <c r="K61" s="52" t="n"/>
      <c r="L61" s="50" t="n"/>
      <c r="M61" s="53">
        <f>IF(OR(J61="",K61=""),"",IF(R61="Storniert",0,ROUND(J61*K61*(1-L61),2)))</f>
        <v/>
      </c>
      <c r="N61" s="47" t="n"/>
      <c r="O61" s="54" t="n"/>
      <c r="P61" s="55">
        <f>IF(OR(O61="",N61=""),"",WORKDAY(O61,-IFERROR(INDEX(Tab_Lieferzeit,MATCH(N61,Tab_Lieferanten,0)),0)))</f>
        <v/>
      </c>
      <c r="Q61" s="54" t="n"/>
      <c r="R61" s="48" t="n"/>
      <c r="S61" s="49" t="n"/>
      <c r="T61" s="56">
        <f>IF(J61="","",IF(R61="Storniert",0,MAX(0,J61-S61)))</f>
        <v/>
      </c>
      <c r="U61" s="57">
        <f>IF(D61="","",IF(R61="Storniert","Storniert",IF(R61="Geliefert","Erledigt",IF(O61="","Ohne Termin",IF(Stichtag&gt;O61,"Überfällig",IF(AND(Q61&lt;&gt;"",Q61&gt;O61),"Lieferverzug",IF(OR(R61="Bestellt",R61="Teilgeliefert"),"Im Plan",IF(P61="","Im Plan",IF(Stichtag&gt;P61,"Bestellung fällig",IF(P61-Stichtag&lt;=Vorwarnzeit,"Jetzt bestellen","Im Plan"))))))))))</f>
        <v/>
      </c>
      <c r="V61" s="47" t="n"/>
    </row>
    <row r="62" ht="19" customHeight="1">
      <c r="B62" s="46">
        <f>IF(D62="","",COUNTA($D$13:D62))</f>
        <v/>
      </c>
      <c r="C62" s="47" t="n"/>
      <c r="D62" s="47" t="n"/>
      <c r="E62" s="47" t="n"/>
      <c r="F62" s="48" t="n"/>
      <c r="G62" s="49" t="n"/>
      <c r="H62" s="50" t="n"/>
      <c r="I62" s="49" t="n"/>
      <c r="J62" s="51">
        <f>IF(G62="","",ROUND(IF(I62&gt;0,ROUNDUP(ROUND(G62*(1+H62)/I62,6),0)*I62,G62*(1+H62)),4))</f>
        <v/>
      </c>
      <c r="K62" s="52" t="n"/>
      <c r="L62" s="50" t="n"/>
      <c r="M62" s="53">
        <f>IF(OR(J62="",K62=""),"",IF(R62="Storniert",0,ROUND(J62*K62*(1-L62),2)))</f>
        <v/>
      </c>
      <c r="N62" s="47" t="n"/>
      <c r="O62" s="54" t="n"/>
      <c r="P62" s="55">
        <f>IF(OR(O62="",N62=""),"",WORKDAY(O62,-IFERROR(INDEX(Tab_Lieferzeit,MATCH(N62,Tab_Lieferanten,0)),0)))</f>
        <v/>
      </c>
      <c r="Q62" s="54" t="n"/>
      <c r="R62" s="48" t="n"/>
      <c r="S62" s="49" t="n"/>
      <c r="T62" s="56">
        <f>IF(J62="","",IF(R62="Storniert",0,MAX(0,J62-S62)))</f>
        <v/>
      </c>
      <c r="U62" s="57">
        <f>IF(D62="","",IF(R62="Storniert","Storniert",IF(R62="Geliefert","Erledigt",IF(O62="","Ohne Termin",IF(Stichtag&gt;O62,"Überfällig",IF(AND(Q62&lt;&gt;"",Q62&gt;O62),"Lieferverzug",IF(OR(R62="Bestellt",R62="Teilgeliefert"),"Im Plan",IF(P62="","Im Plan",IF(Stichtag&gt;P62,"Bestellung fällig",IF(P62-Stichtag&lt;=Vorwarnzeit,"Jetzt bestellen","Im Plan"))))))))))</f>
        <v/>
      </c>
      <c r="V62" s="47" t="n"/>
    </row>
    <row r="63" ht="19" customHeight="1">
      <c r="B63" s="46">
        <f>IF(D63="","",COUNTA($D$13:D63))</f>
        <v/>
      </c>
      <c r="C63" s="47" t="n"/>
      <c r="D63" s="47" t="n"/>
      <c r="E63" s="47" t="n"/>
      <c r="F63" s="48" t="n"/>
      <c r="G63" s="49" t="n"/>
      <c r="H63" s="50" t="n"/>
      <c r="I63" s="49" t="n"/>
      <c r="J63" s="51">
        <f>IF(G63="","",ROUND(IF(I63&gt;0,ROUNDUP(ROUND(G63*(1+H63)/I63,6),0)*I63,G63*(1+H63)),4))</f>
        <v/>
      </c>
      <c r="K63" s="52" t="n"/>
      <c r="L63" s="50" t="n"/>
      <c r="M63" s="53">
        <f>IF(OR(J63="",K63=""),"",IF(R63="Storniert",0,ROUND(J63*K63*(1-L63),2)))</f>
        <v/>
      </c>
      <c r="N63" s="47" t="n"/>
      <c r="O63" s="54" t="n"/>
      <c r="P63" s="55">
        <f>IF(OR(O63="",N63=""),"",WORKDAY(O63,-IFERROR(INDEX(Tab_Lieferzeit,MATCH(N63,Tab_Lieferanten,0)),0)))</f>
        <v/>
      </c>
      <c r="Q63" s="54" t="n"/>
      <c r="R63" s="48" t="n"/>
      <c r="S63" s="49" t="n"/>
      <c r="T63" s="56">
        <f>IF(J63="","",IF(R63="Storniert",0,MAX(0,J63-S63)))</f>
        <v/>
      </c>
      <c r="U63" s="57">
        <f>IF(D63="","",IF(R63="Storniert","Storniert",IF(R63="Geliefert","Erledigt",IF(O63="","Ohne Termin",IF(Stichtag&gt;O63,"Überfällig",IF(AND(Q63&lt;&gt;"",Q63&gt;O63),"Lieferverzug",IF(OR(R63="Bestellt",R63="Teilgeliefert"),"Im Plan",IF(P63="","Im Plan",IF(Stichtag&gt;P63,"Bestellung fällig",IF(P63-Stichtag&lt;=Vorwarnzeit,"Jetzt bestellen","Im Plan"))))))))))</f>
        <v/>
      </c>
      <c r="V63" s="47" t="n"/>
    </row>
    <row r="64" ht="19" customHeight="1">
      <c r="B64" s="46">
        <f>IF(D64="","",COUNTA($D$13:D64))</f>
        <v/>
      </c>
      <c r="C64" s="47" t="n"/>
      <c r="D64" s="47" t="n"/>
      <c r="E64" s="47" t="n"/>
      <c r="F64" s="48" t="n"/>
      <c r="G64" s="49" t="n"/>
      <c r="H64" s="50" t="n"/>
      <c r="I64" s="49" t="n"/>
      <c r="J64" s="51">
        <f>IF(G64="","",ROUND(IF(I64&gt;0,ROUNDUP(ROUND(G64*(1+H64)/I64,6),0)*I64,G64*(1+H64)),4))</f>
        <v/>
      </c>
      <c r="K64" s="52" t="n"/>
      <c r="L64" s="50" t="n"/>
      <c r="M64" s="53">
        <f>IF(OR(J64="",K64=""),"",IF(R64="Storniert",0,ROUND(J64*K64*(1-L64),2)))</f>
        <v/>
      </c>
      <c r="N64" s="47" t="n"/>
      <c r="O64" s="54" t="n"/>
      <c r="P64" s="55">
        <f>IF(OR(O64="",N64=""),"",WORKDAY(O64,-IFERROR(INDEX(Tab_Lieferzeit,MATCH(N64,Tab_Lieferanten,0)),0)))</f>
        <v/>
      </c>
      <c r="Q64" s="54" t="n"/>
      <c r="R64" s="48" t="n"/>
      <c r="S64" s="49" t="n"/>
      <c r="T64" s="56">
        <f>IF(J64="","",IF(R64="Storniert",0,MAX(0,J64-S64)))</f>
        <v/>
      </c>
      <c r="U64" s="57">
        <f>IF(D64="","",IF(R64="Storniert","Storniert",IF(R64="Geliefert","Erledigt",IF(O64="","Ohne Termin",IF(Stichtag&gt;O64,"Überfällig",IF(AND(Q64&lt;&gt;"",Q64&gt;O64),"Lieferverzug",IF(OR(R64="Bestellt",R64="Teilgeliefert"),"Im Plan",IF(P64="","Im Plan",IF(Stichtag&gt;P64,"Bestellung fällig",IF(P64-Stichtag&lt;=Vorwarnzeit,"Jetzt bestellen","Im Plan"))))))))))</f>
        <v/>
      </c>
      <c r="V64" s="47" t="n"/>
    </row>
    <row r="65" ht="19" customHeight="1">
      <c r="B65" s="46">
        <f>IF(D65="","",COUNTA($D$13:D65))</f>
        <v/>
      </c>
      <c r="C65" s="47" t="n"/>
      <c r="D65" s="47" t="n"/>
      <c r="E65" s="47" t="n"/>
      <c r="F65" s="48" t="n"/>
      <c r="G65" s="49" t="n"/>
      <c r="H65" s="50" t="n"/>
      <c r="I65" s="49" t="n"/>
      <c r="J65" s="51">
        <f>IF(G65="","",ROUND(IF(I65&gt;0,ROUNDUP(ROUND(G65*(1+H65)/I65,6),0)*I65,G65*(1+H65)),4))</f>
        <v/>
      </c>
      <c r="K65" s="52" t="n"/>
      <c r="L65" s="50" t="n"/>
      <c r="M65" s="53">
        <f>IF(OR(J65="",K65=""),"",IF(R65="Storniert",0,ROUND(J65*K65*(1-L65),2)))</f>
        <v/>
      </c>
      <c r="N65" s="47" t="n"/>
      <c r="O65" s="54" t="n"/>
      <c r="P65" s="55">
        <f>IF(OR(O65="",N65=""),"",WORKDAY(O65,-IFERROR(INDEX(Tab_Lieferzeit,MATCH(N65,Tab_Lieferanten,0)),0)))</f>
        <v/>
      </c>
      <c r="Q65" s="54" t="n"/>
      <c r="R65" s="48" t="n"/>
      <c r="S65" s="49" t="n"/>
      <c r="T65" s="56">
        <f>IF(J65="","",IF(R65="Storniert",0,MAX(0,J65-S65)))</f>
        <v/>
      </c>
      <c r="U65" s="57">
        <f>IF(D65="","",IF(R65="Storniert","Storniert",IF(R65="Geliefert","Erledigt",IF(O65="","Ohne Termin",IF(Stichtag&gt;O65,"Überfällig",IF(AND(Q65&lt;&gt;"",Q65&gt;O65),"Lieferverzug",IF(OR(R65="Bestellt",R65="Teilgeliefert"),"Im Plan",IF(P65="","Im Plan",IF(Stichtag&gt;P65,"Bestellung fällig",IF(P65-Stichtag&lt;=Vorwarnzeit,"Jetzt bestellen","Im Plan"))))))))))</f>
        <v/>
      </c>
      <c r="V65" s="47" t="n"/>
    </row>
    <row r="66" ht="19" customHeight="1">
      <c r="B66" s="46">
        <f>IF(D66="","",COUNTA($D$13:D66))</f>
        <v/>
      </c>
      <c r="C66" s="47" t="n"/>
      <c r="D66" s="47" t="n"/>
      <c r="E66" s="47" t="n"/>
      <c r="F66" s="48" t="n"/>
      <c r="G66" s="49" t="n"/>
      <c r="H66" s="50" t="n"/>
      <c r="I66" s="49" t="n"/>
      <c r="J66" s="51">
        <f>IF(G66="","",ROUND(IF(I66&gt;0,ROUNDUP(ROUND(G66*(1+H66)/I66,6),0)*I66,G66*(1+H66)),4))</f>
        <v/>
      </c>
      <c r="K66" s="52" t="n"/>
      <c r="L66" s="50" t="n"/>
      <c r="M66" s="53">
        <f>IF(OR(J66="",K66=""),"",IF(R66="Storniert",0,ROUND(J66*K66*(1-L66),2)))</f>
        <v/>
      </c>
      <c r="N66" s="47" t="n"/>
      <c r="O66" s="54" t="n"/>
      <c r="P66" s="55">
        <f>IF(OR(O66="",N66=""),"",WORKDAY(O66,-IFERROR(INDEX(Tab_Lieferzeit,MATCH(N66,Tab_Lieferanten,0)),0)))</f>
        <v/>
      </c>
      <c r="Q66" s="54" t="n"/>
      <c r="R66" s="48" t="n"/>
      <c r="S66" s="49" t="n"/>
      <c r="T66" s="56">
        <f>IF(J66="","",IF(R66="Storniert",0,MAX(0,J66-S66)))</f>
        <v/>
      </c>
      <c r="U66" s="57">
        <f>IF(D66="","",IF(R66="Storniert","Storniert",IF(R66="Geliefert","Erledigt",IF(O66="","Ohne Termin",IF(Stichtag&gt;O66,"Überfällig",IF(AND(Q66&lt;&gt;"",Q66&gt;O66),"Lieferverzug",IF(OR(R66="Bestellt",R66="Teilgeliefert"),"Im Plan",IF(P66="","Im Plan",IF(Stichtag&gt;P66,"Bestellung fällig",IF(P66-Stichtag&lt;=Vorwarnzeit,"Jetzt bestellen","Im Plan"))))))))))</f>
        <v/>
      </c>
      <c r="V66" s="47" t="n"/>
    </row>
    <row r="67" ht="19" customHeight="1">
      <c r="B67" s="46">
        <f>IF(D67="","",COUNTA($D$13:D67))</f>
        <v/>
      </c>
      <c r="C67" s="47" t="n"/>
      <c r="D67" s="47" t="n"/>
      <c r="E67" s="47" t="n"/>
      <c r="F67" s="48" t="n"/>
      <c r="G67" s="49" t="n"/>
      <c r="H67" s="50" t="n"/>
      <c r="I67" s="49" t="n"/>
      <c r="J67" s="51">
        <f>IF(G67="","",ROUND(IF(I67&gt;0,ROUNDUP(ROUND(G67*(1+H67)/I67,6),0)*I67,G67*(1+H67)),4))</f>
        <v/>
      </c>
      <c r="K67" s="52" t="n"/>
      <c r="L67" s="50" t="n"/>
      <c r="M67" s="53">
        <f>IF(OR(J67="",K67=""),"",IF(R67="Storniert",0,ROUND(J67*K67*(1-L67),2)))</f>
        <v/>
      </c>
      <c r="N67" s="47" t="n"/>
      <c r="O67" s="54" t="n"/>
      <c r="P67" s="55">
        <f>IF(OR(O67="",N67=""),"",WORKDAY(O67,-IFERROR(INDEX(Tab_Lieferzeit,MATCH(N67,Tab_Lieferanten,0)),0)))</f>
        <v/>
      </c>
      <c r="Q67" s="54" t="n"/>
      <c r="R67" s="48" t="n"/>
      <c r="S67" s="49" t="n"/>
      <c r="T67" s="56">
        <f>IF(J67="","",IF(R67="Storniert",0,MAX(0,J67-S67)))</f>
        <v/>
      </c>
      <c r="U67" s="57">
        <f>IF(D67="","",IF(R67="Storniert","Storniert",IF(R67="Geliefert","Erledigt",IF(O67="","Ohne Termin",IF(Stichtag&gt;O67,"Überfällig",IF(AND(Q67&lt;&gt;"",Q67&gt;O67),"Lieferverzug",IF(OR(R67="Bestellt",R67="Teilgeliefert"),"Im Plan",IF(P67="","Im Plan",IF(Stichtag&gt;P67,"Bestellung fällig",IF(P67-Stichtag&lt;=Vorwarnzeit,"Jetzt bestellen","Im Plan"))))))))))</f>
        <v/>
      </c>
      <c r="V67" s="47" t="n"/>
    </row>
    <row r="68" ht="19" customHeight="1">
      <c r="B68" s="46">
        <f>IF(D68="","",COUNTA($D$13:D68))</f>
        <v/>
      </c>
      <c r="C68" s="47" t="n"/>
      <c r="D68" s="47" t="n"/>
      <c r="E68" s="47" t="n"/>
      <c r="F68" s="48" t="n"/>
      <c r="G68" s="49" t="n"/>
      <c r="H68" s="50" t="n"/>
      <c r="I68" s="49" t="n"/>
      <c r="J68" s="51">
        <f>IF(G68="","",ROUND(IF(I68&gt;0,ROUNDUP(ROUND(G68*(1+H68)/I68,6),0)*I68,G68*(1+H68)),4))</f>
        <v/>
      </c>
      <c r="K68" s="52" t="n"/>
      <c r="L68" s="50" t="n"/>
      <c r="M68" s="53">
        <f>IF(OR(J68="",K68=""),"",IF(R68="Storniert",0,ROUND(J68*K68*(1-L68),2)))</f>
        <v/>
      </c>
      <c r="N68" s="47" t="n"/>
      <c r="O68" s="54" t="n"/>
      <c r="P68" s="55">
        <f>IF(OR(O68="",N68=""),"",WORKDAY(O68,-IFERROR(INDEX(Tab_Lieferzeit,MATCH(N68,Tab_Lieferanten,0)),0)))</f>
        <v/>
      </c>
      <c r="Q68" s="54" t="n"/>
      <c r="R68" s="48" t="n"/>
      <c r="S68" s="49" t="n"/>
      <c r="T68" s="56">
        <f>IF(J68="","",IF(R68="Storniert",0,MAX(0,J68-S68)))</f>
        <v/>
      </c>
      <c r="U68" s="57">
        <f>IF(D68="","",IF(R68="Storniert","Storniert",IF(R68="Geliefert","Erledigt",IF(O68="","Ohne Termin",IF(Stichtag&gt;O68,"Überfällig",IF(AND(Q68&lt;&gt;"",Q68&gt;O68),"Lieferverzug",IF(OR(R68="Bestellt",R68="Teilgeliefert"),"Im Plan",IF(P68="","Im Plan",IF(Stichtag&gt;P68,"Bestellung fällig",IF(P68-Stichtag&lt;=Vorwarnzeit,"Jetzt bestellen","Im Plan"))))))))))</f>
        <v/>
      </c>
      <c r="V68" s="47" t="n"/>
    </row>
    <row r="69" ht="19" customHeight="1">
      <c r="B69" s="46">
        <f>IF(D69="","",COUNTA($D$13:D69))</f>
        <v/>
      </c>
      <c r="C69" s="47" t="n"/>
      <c r="D69" s="47" t="n"/>
      <c r="E69" s="47" t="n"/>
      <c r="F69" s="48" t="n"/>
      <c r="G69" s="49" t="n"/>
      <c r="H69" s="50" t="n"/>
      <c r="I69" s="49" t="n"/>
      <c r="J69" s="51">
        <f>IF(G69="","",ROUND(IF(I69&gt;0,ROUNDUP(ROUND(G69*(1+H69)/I69,6),0)*I69,G69*(1+H69)),4))</f>
        <v/>
      </c>
      <c r="K69" s="52" t="n"/>
      <c r="L69" s="50" t="n"/>
      <c r="M69" s="53">
        <f>IF(OR(J69="",K69=""),"",IF(R69="Storniert",0,ROUND(J69*K69*(1-L69),2)))</f>
        <v/>
      </c>
      <c r="N69" s="47" t="n"/>
      <c r="O69" s="54" t="n"/>
      <c r="P69" s="55">
        <f>IF(OR(O69="",N69=""),"",WORKDAY(O69,-IFERROR(INDEX(Tab_Lieferzeit,MATCH(N69,Tab_Lieferanten,0)),0)))</f>
        <v/>
      </c>
      <c r="Q69" s="54" t="n"/>
      <c r="R69" s="48" t="n"/>
      <c r="S69" s="49" t="n"/>
      <c r="T69" s="56">
        <f>IF(J69="","",IF(R69="Storniert",0,MAX(0,J69-S69)))</f>
        <v/>
      </c>
      <c r="U69" s="57">
        <f>IF(D69="","",IF(R69="Storniert","Storniert",IF(R69="Geliefert","Erledigt",IF(O69="","Ohne Termin",IF(Stichtag&gt;O69,"Überfällig",IF(AND(Q69&lt;&gt;"",Q69&gt;O69),"Lieferverzug",IF(OR(R69="Bestellt",R69="Teilgeliefert"),"Im Plan",IF(P69="","Im Plan",IF(Stichtag&gt;P69,"Bestellung fällig",IF(P69-Stichtag&lt;=Vorwarnzeit,"Jetzt bestellen","Im Plan"))))))))))</f>
        <v/>
      </c>
      <c r="V69" s="47" t="n"/>
    </row>
    <row r="70" ht="19" customHeight="1">
      <c r="B70" s="46">
        <f>IF(D70="","",COUNTA($D$13:D70))</f>
        <v/>
      </c>
      <c r="C70" s="47" t="n"/>
      <c r="D70" s="47" t="n"/>
      <c r="E70" s="47" t="n"/>
      <c r="F70" s="48" t="n"/>
      <c r="G70" s="49" t="n"/>
      <c r="H70" s="50" t="n"/>
      <c r="I70" s="49" t="n"/>
      <c r="J70" s="51">
        <f>IF(G70="","",ROUND(IF(I70&gt;0,ROUNDUP(ROUND(G70*(1+H70)/I70,6),0)*I70,G70*(1+H70)),4))</f>
        <v/>
      </c>
      <c r="K70" s="52" t="n"/>
      <c r="L70" s="50" t="n"/>
      <c r="M70" s="53">
        <f>IF(OR(J70="",K70=""),"",IF(R70="Storniert",0,ROUND(J70*K70*(1-L70),2)))</f>
        <v/>
      </c>
      <c r="N70" s="47" t="n"/>
      <c r="O70" s="54" t="n"/>
      <c r="P70" s="55">
        <f>IF(OR(O70="",N70=""),"",WORKDAY(O70,-IFERROR(INDEX(Tab_Lieferzeit,MATCH(N70,Tab_Lieferanten,0)),0)))</f>
        <v/>
      </c>
      <c r="Q70" s="54" t="n"/>
      <c r="R70" s="48" t="n"/>
      <c r="S70" s="49" t="n"/>
      <c r="T70" s="56">
        <f>IF(J70="","",IF(R70="Storniert",0,MAX(0,J70-S70)))</f>
        <v/>
      </c>
      <c r="U70" s="57">
        <f>IF(D70="","",IF(R70="Storniert","Storniert",IF(R70="Geliefert","Erledigt",IF(O70="","Ohne Termin",IF(Stichtag&gt;O70,"Überfällig",IF(AND(Q70&lt;&gt;"",Q70&gt;O70),"Lieferverzug",IF(OR(R70="Bestellt",R70="Teilgeliefert"),"Im Plan",IF(P70="","Im Plan",IF(Stichtag&gt;P70,"Bestellung fällig",IF(P70-Stichtag&lt;=Vorwarnzeit,"Jetzt bestellen","Im Plan"))))))))))</f>
        <v/>
      </c>
      <c r="V70" s="47" t="n"/>
    </row>
    <row r="71" ht="19" customHeight="1">
      <c r="B71" s="46">
        <f>IF(D71="","",COUNTA($D$13:D71))</f>
        <v/>
      </c>
      <c r="C71" s="47" t="n"/>
      <c r="D71" s="47" t="n"/>
      <c r="E71" s="47" t="n"/>
      <c r="F71" s="48" t="n"/>
      <c r="G71" s="49" t="n"/>
      <c r="H71" s="50" t="n"/>
      <c r="I71" s="49" t="n"/>
      <c r="J71" s="51">
        <f>IF(G71="","",ROUND(IF(I71&gt;0,ROUNDUP(ROUND(G71*(1+H71)/I71,6),0)*I71,G71*(1+H71)),4))</f>
        <v/>
      </c>
      <c r="K71" s="52" t="n"/>
      <c r="L71" s="50" t="n"/>
      <c r="M71" s="53">
        <f>IF(OR(J71="",K71=""),"",IF(R71="Storniert",0,ROUND(J71*K71*(1-L71),2)))</f>
        <v/>
      </c>
      <c r="N71" s="47" t="n"/>
      <c r="O71" s="54" t="n"/>
      <c r="P71" s="55">
        <f>IF(OR(O71="",N71=""),"",WORKDAY(O71,-IFERROR(INDEX(Tab_Lieferzeit,MATCH(N71,Tab_Lieferanten,0)),0)))</f>
        <v/>
      </c>
      <c r="Q71" s="54" t="n"/>
      <c r="R71" s="48" t="n"/>
      <c r="S71" s="49" t="n"/>
      <c r="T71" s="56">
        <f>IF(J71="","",IF(R71="Storniert",0,MAX(0,J71-S71)))</f>
        <v/>
      </c>
      <c r="U71" s="57">
        <f>IF(D71="","",IF(R71="Storniert","Storniert",IF(R71="Geliefert","Erledigt",IF(O71="","Ohne Termin",IF(Stichtag&gt;O71,"Überfällig",IF(AND(Q71&lt;&gt;"",Q71&gt;O71),"Lieferverzug",IF(OR(R71="Bestellt",R71="Teilgeliefert"),"Im Plan",IF(P71="","Im Plan",IF(Stichtag&gt;P71,"Bestellung fällig",IF(P71-Stichtag&lt;=Vorwarnzeit,"Jetzt bestellen","Im Plan"))))))))))</f>
        <v/>
      </c>
      <c r="V71" s="47" t="n"/>
    </row>
    <row r="72" ht="19" customHeight="1">
      <c r="B72" s="46">
        <f>IF(D72="","",COUNTA($D$13:D72))</f>
        <v/>
      </c>
      <c r="C72" s="47" t="n"/>
      <c r="D72" s="47" t="n"/>
      <c r="E72" s="47" t="n"/>
      <c r="F72" s="48" t="n"/>
      <c r="G72" s="49" t="n"/>
      <c r="H72" s="50" t="n"/>
      <c r="I72" s="49" t="n"/>
      <c r="J72" s="51">
        <f>IF(G72="","",ROUND(IF(I72&gt;0,ROUNDUP(ROUND(G72*(1+H72)/I72,6),0)*I72,G72*(1+H72)),4))</f>
        <v/>
      </c>
      <c r="K72" s="52" t="n"/>
      <c r="L72" s="50" t="n"/>
      <c r="M72" s="53">
        <f>IF(OR(J72="",K72=""),"",IF(R72="Storniert",0,ROUND(J72*K72*(1-L72),2)))</f>
        <v/>
      </c>
      <c r="N72" s="47" t="n"/>
      <c r="O72" s="54" t="n"/>
      <c r="P72" s="55">
        <f>IF(OR(O72="",N72=""),"",WORKDAY(O72,-IFERROR(INDEX(Tab_Lieferzeit,MATCH(N72,Tab_Lieferanten,0)),0)))</f>
        <v/>
      </c>
      <c r="Q72" s="54" t="n"/>
      <c r="R72" s="48" t="n"/>
      <c r="S72" s="49" t="n"/>
      <c r="T72" s="56">
        <f>IF(J72="","",IF(R72="Storniert",0,MAX(0,J72-S72)))</f>
        <v/>
      </c>
      <c r="U72" s="57">
        <f>IF(D72="","",IF(R72="Storniert","Storniert",IF(R72="Geliefert","Erledigt",IF(O72="","Ohne Termin",IF(Stichtag&gt;O72,"Überfällig",IF(AND(Q72&lt;&gt;"",Q72&gt;O72),"Lieferverzug",IF(OR(R72="Bestellt",R72="Teilgeliefert"),"Im Plan",IF(P72="","Im Plan",IF(Stichtag&gt;P72,"Bestellung fällig",IF(P72-Stichtag&lt;=Vorwarnzeit,"Jetzt bestellen","Im Plan"))))))))))</f>
        <v/>
      </c>
      <c r="V72" s="47" t="n"/>
    </row>
    <row r="73" ht="19" customHeight="1">
      <c r="B73" s="46">
        <f>IF(D73="","",COUNTA($D$13:D73))</f>
        <v/>
      </c>
      <c r="C73" s="47" t="n"/>
      <c r="D73" s="47" t="n"/>
      <c r="E73" s="47" t="n"/>
      <c r="F73" s="48" t="n"/>
      <c r="G73" s="49" t="n"/>
      <c r="H73" s="50" t="n"/>
      <c r="I73" s="49" t="n"/>
      <c r="J73" s="51">
        <f>IF(G73="","",ROUND(IF(I73&gt;0,ROUNDUP(ROUND(G73*(1+H73)/I73,6),0)*I73,G73*(1+H73)),4))</f>
        <v/>
      </c>
      <c r="K73" s="52" t="n"/>
      <c r="L73" s="50" t="n"/>
      <c r="M73" s="53">
        <f>IF(OR(J73="",K73=""),"",IF(R73="Storniert",0,ROUND(J73*K73*(1-L73),2)))</f>
        <v/>
      </c>
      <c r="N73" s="47" t="n"/>
      <c r="O73" s="54" t="n"/>
      <c r="P73" s="55">
        <f>IF(OR(O73="",N73=""),"",WORKDAY(O73,-IFERROR(INDEX(Tab_Lieferzeit,MATCH(N73,Tab_Lieferanten,0)),0)))</f>
        <v/>
      </c>
      <c r="Q73" s="54" t="n"/>
      <c r="R73" s="48" t="n"/>
      <c r="S73" s="49" t="n"/>
      <c r="T73" s="56">
        <f>IF(J73="","",IF(R73="Storniert",0,MAX(0,J73-S73)))</f>
        <v/>
      </c>
      <c r="U73" s="57">
        <f>IF(D73="","",IF(R73="Storniert","Storniert",IF(R73="Geliefert","Erledigt",IF(O73="","Ohne Termin",IF(Stichtag&gt;O73,"Überfällig",IF(AND(Q73&lt;&gt;"",Q73&gt;O73),"Lieferverzug",IF(OR(R73="Bestellt",R73="Teilgeliefert"),"Im Plan",IF(P73="","Im Plan",IF(Stichtag&gt;P73,"Bestellung fällig",IF(P73-Stichtag&lt;=Vorwarnzeit,"Jetzt bestellen","Im Plan"))))))))))</f>
        <v/>
      </c>
      <c r="V73" s="47" t="n"/>
    </row>
    <row r="74" ht="19" customHeight="1">
      <c r="B74" s="46">
        <f>IF(D74="","",COUNTA($D$13:D74))</f>
        <v/>
      </c>
      <c r="C74" s="47" t="n"/>
      <c r="D74" s="47" t="n"/>
      <c r="E74" s="47" t="n"/>
      <c r="F74" s="48" t="n"/>
      <c r="G74" s="49" t="n"/>
      <c r="H74" s="50" t="n"/>
      <c r="I74" s="49" t="n"/>
      <c r="J74" s="51">
        <f>IF(G74="","",ROUND(IF(I74&gt;0,ROUNDUP(ROUND(G74*(1+H74)/I74,6),0)*I74,G74*(1+H74)),4))</f>
        <v/>
      </c>
      <c r="K74" s="52" t="n"/>
      <c r="L74" s="50" t="n"/>
      <c r="M74" s="53">
        <f>IF(OR(J74="",K74=""),"",IF(R74="Storniert",0,ROUND(J74*K74*(1-L74),2)))</f>
        <v/>
      </c>
      <c r="N74" s="47" t="n"/>
      <c r="O74" s="54" t="n"/>
      <c r="P74" s="55">
        <f>IF(OR(O74="",N74=""),"",WORKDAY(O74,-IFERROR(INDEX(Tab_Lieferzeit,MATCH(N74,Tab_Lieferanten,0)),0)))</f>
        <v/>
      </c>
      <c r="Q74" s="54" t="n"/>
      <c r="R74" s="48" t="n"/>
      <c r="S74" s="49" t="n"/>
      <c r="T74" s="56">
        <f>IF(J74="","",IF(R74="Storniert",0,MAX(0,J74-S74)))</f>
        <v/>
      </c>
      <c r="U74" s="57">
        <f>IF(D74="","",IF(R74="Storniert","Storniert",IF(R74="Geliefert","Erledigt",IF(O74="","Ohne Termin",IF(Stichtag&gt;O74,"Überfällig",IF(AND(Q74&lt;&gt;"",Q74&gt;O74),"Lieferverzug",IF(OR(R74="Bestellt",R74="Teilgeliefert"),"Im Plan",IF(P74="","Im Plan",IF(Stichtag&gt;P74,"Bestellung fällig",IF(P74-Stichtag&lt;=Vorwarnzeit,"Jetzt bestellen","Im Plan"))))))))))</f>
        <v/>
      </c>
      <c r="V74" s="47" t="n"/>
    </row>
    <row r="75" ht="19" customHeight="1">
      <c r="B75" s="46">
        <f>IF(D75="","",COUNTA($D$13:D75))</f>
        <v/>
      </c>
      <c r="C75" s="47" t="n"/>
      <c r="D75" s="47" t="n"/>
      <c r="E75" s="47" t="n"/>
      <c r="F75" s="48" t="n"/>
      <c r="G75" s="49" t="n"/>
      <c r="H75" s="50" t="n"/>
      <c r="I75" s="49" t="n"/>
      <c r="J75" s="51">
        <f>IF(G75="","",ROUND(IF(I75&gt;0,ROUNDUP(ROUND(G75*(1+H75)/I75,6),0)*I75,G75*(1+H75)),4))</f>
        <v/>
      </c>
      <c r="K75" s="52" t="n"/>
      <c r="L75" s="50" t="n"/>
      <c r="M75" s="53">
        <f>IF(OR(J75="",K75=""),"",IF(R75="Storniert",0,ROUND(J75*K75*(1-L75),2)))</f>
        <v/>
      </c>
      <c r="N75" s="47" t="n"/>
      <c r="O75" s="54" t="n"/>
      <c r="P75" s="55">
        <f>IF(OR(O75="",N75=""),"",WORKDAY(O75,-IFERROR(INDEX(Tab_Lieferzeit,MATCH(N75,Tab_Lieferanten,0)),0)))</f>
        <v/>
      </c>
      <c r="Q75" s="54" t="n"/>
      <c r="R75" s="48" t="n"/>
      <c r="S75" s="49" t="n"/>
      <c r="T75" s="56">
        <f>IF(J75="","",IF(R75="Storniert",0,MAX(0,J75-S75)))</f>
        <v/>
      </c>
      <c r="U75" s="57">
        <f>IF(D75="","",IF(R75="Storniert","Storniert",IF(R75="Geliefert","Erledigt",IF(O75="","Ohne Termin",IF(Stichtag&gt;O75,"Überfällig",IF(AND(Q75&lt;&gt;"",Q75&gt;O75),"Lieferverzug",IF(OR(R75="Bestellt",R75="Teilgeliefert"),"Im Plan",IF(P75="","Im Plan",IF(Stichtag&gt;P75,"Bestellung fällig",IF(P75-Stichtag&lt;=Vorwarnzeit,"Jetzt bestellen","Im Plan"))))))))))</f>
        <v/>
      </c>
      <c r="V75" s="47" t="n"/>
    </row>
    <row r="76" ht="19" customHeight="1">
      <c r="B76" s="46">
        <f>IF(D76="","",COUNTA($D$13:D76))</f>
        <v/>
      </c>
      <c r="C76" s="47" t="n"/>
      <c r="D76" s="47" t="n"/>
      <c r="E76" s="47" t="n"/>
      <c r="F76" s="48" t="n"/>
      <c r="G76" s="49" t="n"/>
      <c r="H76" s="50" t="n"/>
      <c r="I76" s="49" t="n"/>
      <c r="J76" s="51">
        <f>IF(G76="","",ROUND(IF(I76&gt;0,ROUNDUP(ROUND(G76*(1+H76)/I76,6),0)*I76,G76*(1+H76)),4))</f>
        <v/>
      </c>
      <c r="K76" s="52" t="n"/>
      <c r="L76" s="50" t="n"/>
      <c r="M76" s="53">
        <f>IF(OR(J76="",K76=""),"",IF(R76="Storniert",0,ROUND(J76*K76*(1-L76),2)))</f>
        <v/>
      </c>
      <c r="N76" s="47" t="n"/>
      <c r="O76" s="54" t="n"/>
      <c r="P76" s="55">
        <f>IF(OR(O76="",N76=""),"",WORKDAY(O76,-IFERROR(INDEX(Tab_Lieferzeit,MATCH(N76,Tab_Lieferanten,0)),0)))</f>
        <v/>
      </c>
      <c r="Q76" s="54" t="n"/>
      <c r="R76" s="48" t="n"/>
      <c r="S76" s="49" t="n"/>
      <c r="T76" s="56">
        <f>IF(J76="","",IF(R76="Storniert",0,MAX(0,J76-S76)))</f>
        <v/>
      </c>
      <c r="U76" s="57">
        <f>IF(D76="","",IF(R76="Storniert","Storniert",IF(R76="Geliefert","Erledigt",IF(O76="","Ohne Termin",IF(Stichtag&gt;O76,"Überfällig",IF(AND(Q76&lt;&gt;"",Q76&gt;O76),"Lieferverzug",IF(OR(R76="Bestellt",R76="Teilgeliefert"),"Im Plan",IF(P76="","Im Plan",IF(Stichtag&gt;P76,"Bestellung fällig",IF(P76-Stichtag&lt;=Vorwarnzeit,"Jetzt bestellen","Im Plan"))))))))))</f>
        <v/>
      </c>
      <c r="V76" s="47" t="n"/>
    </row>
    <row r="77" ht="19" customHeight="1">
      <c r="B77" s="46">
        <f>IF(D77="","",COUNTA($D$13:D77))</f>
        <v/>
      </c>
      <c r="C77" s="47" t="n"/>
      <c r="D77" s="47" t="n"/>
      <c r="E77" s="47" t="n"/>
      <c r="F77" s="48" t="n"/>
      <c r="G77" s="49" t="n"/>
      <c r="H77" s="50" t="n"/>
      <c r="I77" s="49" t="n"/>
      <c r="J77" s="51">
        <f>IF(G77="","",ROUND(IF(I77&gt;0,ROUNDUP(ROUND(G77*(1+H77)/I77,6),0)*I77,G77*(1+H77)),4))</f>
        <v/>
      </c>
      <c r="K77" s="52" t="n"/>
      <c r="L77" s="50" t="n"/>
      <c r="M77" s="53">
        <f>IF(OR(J77="",K77=""),"",IF(R77="Storniert",0,ROUND(J77*K77*(1-L77),2)))</f>
        <v/>
      </c>
      <c r="N77" s="47" t="n"/>
      <c r="O77" s="54" t="n"/>
      <c r="P77" s="55">
        <f>IF(OR(O77="",N77=""),"",WORKDAY(O77,-IFERROR(INDEX(Tab_Lieferzeit,MATCH(N77,Tab_Lieferanten,0)),0)))</f>
        <v/>
      </c>
      <c r="Q77" s="54" t="n"/>
      <c r="R77" s="48" t="n"/>
      <c r="S77" s="49" t="n"/>
      <c r="T77" s="56">
        <f>IF(J77="","",IF(R77="Storniert",0,MAX(0,J77-S77)))</f>
        <v/>
      </c>
      <c r="U77" s="57">
        <f>IF(D77="","",IF(R77="Storniert","Storniert",IF(R77="Geliefert","Erledigt",IF(O77="","Ohne Termin",IF(Stichtag&gt;O77,"Überfällig",IF(AND(Q77&lt;&gt;"",Q77&gt;O77),"Lieferverzug",IF(OR(R77="Bestellt",R77="Teilgeliefert"),"Im Plan",IF(P77="","Im Plan",IF(Stichtag&gt;P77,"Bestellung fällig",IF(P77-Stichtag&lt;=Vorwarnzeit,"Jetzt bestellen","Im Plan"))))))))))</f>
        <v/>
      </c>
      <c r="V77" s="47" t="n"/>
    </row>
    <row r="78" ht="19" customHeight="1">
      <c r="B78" s="46">
        <f>IF(D78="","",COUNTA($D$13:D78))</f>
        <v/>
      </c>
      <c r="C78" s="47" t="n"/>
      <c r="D78" s="47" t="n"/>
      <c r="E78" s="47" t="n"/>
      <c r="F78" s="48" t="n"/>
      <c r="G78" s="49" t="n"/>
      <c r="H78" s="50" t="n"/>
      <c r="I78" s="49" t="n"/>
      <c r="J78" s="51">
        <f>IF(G78="","",ROUND(IF(I78&gt;0,ROUNDUP(ROUND(G78*(1+H78)/I78,6),0)*I78,G78*(1+H78)),4))</f>
        <v/>
      </c>
      <c r="K78" s="52" t="n"/>
      <c r="L78" s="50" t="n"/>
      <c r="M78" s="53">
        <f>IF(OR(J78="",K78=""),"",IF(R78="Storniert",0,ROUND(J78*K78*(1-L78),2)))</f>
        <v/>
      </c>
      <c r="N78" s="47" t="n"/>
      <c r="O78" s="54" t="n"/>
      <c r="P78" s="55">
        <f>IF(OR(O78="",N78=""),"",WORKDAY(O78,-IFERROR(INDEX(Tab_Lieferzeit,MATCH(N78,Tab_Lieferanten,0)),0)))</f>
        <v/>
      </c>
      <c r="Q78" s="54" t="n"/>
      <c r="R78" s="48" t="n"/>
      <c r="S78" s="49" t="n"/>
      <c r="T78" s="56">
        <f>IF(J78="","",IF(R78="Storniert",0,MAX(0,J78-S78)))</f>
        <v/>
      </c>
      <c r="U78" s="57">
        <f>IF(D78="","",IF(R78="Storniert","Storniert",IF(R78="Geliefert","Erledigt",IF(O78="","Ohne Termin",IF(Stichtag&gt;O78,"Überfällig",IF(AND(Q78&lt;&gt;"",Q78&gt;O78),"Lieferverzug",IF(OR(R78="Bestellt",R78="Teilgeliefert"),"Im Plan",IF(P78="","Im Plan",IF(Stichtag&gt;P78,"Bestellung fällig",IF(P78-Stichtag&lt;=Vorwarnzeit,"Jetzt bestellen","Im Plan"))))))))))</f>
        <v/>
      </c>
      <c r="V78" s="47" t="n"/>
    </row>
    <row r="79" ht="19" customHeight="1">
      <c r="B79" s="46">
        <f>IF(D79="","",COUNTA($D$13:D79))</f>
        <v/>
      </c>
      <c r="C79" s="47" t="n"/>
      <c r="D79" s="47" t="n"/>
      <c r="E79" s="47" t="n"/>
      <c r="F79" s="48" t="n"/>
      <c r="G79" s="49" t="n"/>
      <c r="H79" s="50" t="n"/>
      <c r="I79" s="49" t="n"/>
      <c r="J79" s="51">
        <f>IF(G79="","",ROUND(IF(I79&gt;0,ROUNDUP(ROUND(G79*(1+H79)/I79,6),0)*I79,G79*(1+H79)),4))</f>
        <v/>
      </c>
      <c r="K79" s="52" t="n"/>
      <c r="L79" s="50" t="n"/>
      <c r="M79" s="53">
        <f>IF(OR(J79="",K79=""),"",IF(R79="Storniert",0,ROUND(J79*K79*(1-L79),2)))</f>
        <v/>
      </c>
      <c r="N79" s="47" t="n"/>
      <c r="O79" s="54" t="n"/>
      <c r="P79" s="55">
        <f>IF(OR(O79="",N79=""),"",WORKDAY(O79,-IFERROR(INDEX(Tab_Lieferzeit,MATCH(N79,Tab_Lieferanten,0)),0)))</f>
        <v/>
      </c>
      <c r="Q79" s="54" t="n"/>
      <c r="R79" s="48" t="n"/>
      <c r="S79" s="49" t="n"/>
      <c r="T79" s="56">
        <f>IF(J79="","",IF(R79="Storniert",0,MAX(0,J79-S79)))</f>
        <v/>
      </c>
      <c r="U79" s="57">
        <f>IF(D79="","",IF(R79="Storniert","Storniert",IF(R79="Geliefert","Erledigt",IF(O79="","Ohne Termin",IF(Stichtag&gt;O79,"Überfällig",IF(AND(Q79&lt;&gt;"",Q79&gt;O79),"Lieferverzug",IF(OR(R79="Bestellt",R79="Teilgeliefert"),"Im Plan",IF(P79="","Im Plan",IF(Stichtag&gt;P79,"Bestellung fällig",IF(P79-Stichtag&lt;=Vorwarnzeit,"Jetzt bestellen","Im Plan"))))))))))</f>
        <v/>
      </c>
      <c r="V79" s="47" t="n"/>
    </row>
    <row r="80" ht="19" customHeight="1">
      <c r="B80" s="46">
        <f>IF(D80="","",COUNTA($D$13:D80))</f>
        <v/>
      </c>
      <c r="C80" s="47" t="n"/>
      <c r="D80" s="47" t="n"/>
      <c r="E80" s="47" t="n"/>
      <c r="F80" s="48" t="n"/>
      <c r="G80" s="49" t="n"/>
      <c r="H80" s="50" t="n"/>
      <c r="I80" s="49" t="n"/>
      <c r="J80" s="51">
        <f>IF(G80="","",ROUND(IF(I80&gt;0,ROUNDUP(ROUND(G80*(1+H80)/I80,6),0)*I80,G80*(1+H80)),4))</f>
        <v/>
      </c>
      <c r="K80" s="52" t="n"/>
      <c r="L80" s="50" t="n"/>
      <c r="M80" s="53">
        <f>IF(OR(J80="",K80=""),"",IF(R80="Storniert",0,ROUND(J80*K80*(1-L80),2)))</f>
        <v/>
      </c>
      <c r="N80" s="47" t="n"/>
      <c r="O80" s="54" t="n"/>
      <c r="P80" s="55">
        <f>IF(OR(O80="",N80=""),"",WORKDAY(O80,-IFERROR(INDEX(Tab_Lieferzeit,MATCH(N80,Tab_Lieferanten,0)),0)))</f>
        <v/>
      </c>
      <c r="Q80" s="54" t="n"/>
      <c r="R80" s="48" t="n"/>
      <c r="S80" s="49" t="n"/>
      <c r="T80" s="56">
        <f>IF(J80="","",IF(R80="Storniert",0,MAX(0,J80-S80)))</f>
        <v/>
      </c>
      <c r="U80" s="57">
        <f>IF(D80="","",IF(R80="Storniert","Storniert",IF(R80="Geliefert","Erledigt",IF(O80="","Ohne Termin",IF(Stichtag&gt;O80,"Überfällig",IF(AND(Q80&lt;&gt;"",Q80&gt;O80),"Lieferverzug",IF(OR(R80="Bestellt",R80="Teilgeliefert"),"Im Plan",IF(P80="","Im Plan",IF(Stichtag&gt;P80,"Bestellung fällig",IF(P80-Stichtag&lt;=Vorwarnzeit,"Jetzt bestellen","Im Plan"))))))))))</f>
        <v/>
      </c>
      <c r="V80" s="47" t="n"/>
    </row>
    <row r="81" ht="19" customHeight="1">
      <c r="B81" s="46">
        <f>IF(D81="","",COUNTA($D$13:D81))</f>
        <v/>
      </c>
      <c r="C81" s="47" t="n"/>
      <c r="D81" s="47" t="n"/>
      <c r="E81" s="47" t="n"/>
      <c r="F81" s="48" t="n"/>
      <c r="G81" s="49" t="n"/>
      <c r="H81" s="50" t="n"/>
      <c r="I81" s="49" t="n"/>
      <c r="J81" s="51">
        <f>IF(G81="","",ROUND(IF(I81&gt;0,ROUNDUP(ROUND(G81*(1+H81)/I81,6),0)*I81,G81*(1+H81)),4))</f>
        <v/>
      </c>
      <c r="K81" s="52" t="n"/>
      <c r="L81" s="50" t="n"/>
      <c r="M81" s="53">
        <f>IF(OR(J81="",K81=""),"",IF(R81="Storniert",0,ROUND(J81*K81*(1-L81),2)))</f>
        <v/>
      </c>
      <c r="N81" s="47" t="n"/>
      <c r="O81" s="54" t="n"/>
      <c r="P81" s="55">
        <f>IF(OR(O81="",N81=""),"",WORKDAY(O81,-IFERROR(INDEX(Tab_Lieferzeit,MATCH(N81,Tab_Lieferanten,0)),0)))</f>
        <v/>
      </c>
      <c r="Q81" s="54" t="n"/>
      <c r="R81" s="48" t="n"/>
      <c r="S81" s="49" t="n"/>
      <c r="T81" s="56">
        <f>IF(J81="","",IF(R81="Storniert",0,MAX(0,J81-S81)))</f>
        <v/>
      </c>
      <c r="U81" s="57">
        <f>IF(D81="","",IF(R81="Storniert","Storniert",IF(R81="Geliefert","Erledigt",IF(O81="","Ohne Termin",IF(Stichtag&gt;O81,"Überfällig",IF(AND(Q81&lt;&gt;"",Q81&gt;O81),"Lieferverzug",IF(OR(R81="Bestellt",R81="Teilgeliefert"),"Im Plan",IF(P81="","Im Plan",IF(Stichtag&gt;P81,"Bestellung fällig",IF(P81-Stichtag&lt;=Vorwarnzeit,"Jetzt bestellen","Im Plan"))))))))))</f>
        <v/>
      </c>
      <c r="V81" s="47" t="n"/>
    </row>
    <row r="82" ht="19" customHeight="1">
      <c r="B82" s="46">
        <f>IF(D82="","",COUNTA($D$13:D82))</f>
        <v/>
      </c>
      <c r="C82" s="47" t="n"/>
      <c r="D82" s="47" t="n"/>
      <c r="E82" s="47" t="n"/>
      <c r="F82" s="48" t="n"/>
      <c r="G82" s="49" t="n"/>
      <c r="H82" s="50" t="n"/>
      <c r="I82" s="49" t="n"/>
      <c r="J82" s="51">
        <f>IF(G82="","",ROUND(IF(I82&gt;0,ROUNDUP(ROUND(G82*(1+H82)/I82,6),0)*I82,G82*(1+H82)),4))</f>
        <v/>
      </c>
      <c r="K82" s="52" t="n"/>
      <c r="L82" s="50" t="n"/>
      <c r="M82" s="53">
        <f>IF(OR(J82="",K82=""),"",IF(R82="Storniert",0,ROUND(J82*K82*(1-L82),2)))</f>
        <v/>
      </c>
      <c r="N82" s="47" t="n"/>
      <c r="O82" s="54" t="n"/>
      <c r="P82" s="55">
        <f>IF(OR(O82="",N82=""),"",WORKDAY(O82,-IFERROR(INDEX(Tab_Lieferzeit,MATCH(N82,Tab_Lieferanten,0)),0)))</f>
        <v/>
      </c>
      <c r="Q82" s="54" t="n"/>
      <c r="R82" s="48" t="n"/>
      <c r="S82" s="49" t="n"/>
      <c r="T82" s="56">
        <f>IF(J82="","",IF(R82="Storniert",0,MAX(0,J82-S82)))</f>
        <v/>
      </c>
      <c r="U82" s="57">
        <f>IF(D82="","",IF(R82="Storniert","Storniert",IF(R82="Geliefert","Erledigt",IF(O82="","Ohne Termin",IF(Stichtag&gt;O82,"Überfällig",IF(AND(Q82&lt;&gt;"",Q82&gt;O82),"Lieferverzug",IF(OR(R82="Bestellt",R82="Teilgeliefert"),"Im Plan",IF(P82="","Im Plan",IF(Stichtag&gt;P82,"Bestellung fällig",IF(P82-Stichtag&lt;=Vorwarnzeit,"Jetzt bestellen","Im Plan"))))))))))</f>
        <v/>
      </c>
      <c r="V82" s="47" t="n"/>
    </row>
    <row r="83" ht="19" customHeight="1">
      <c r="B83" s="46">
        <f>IF(D83="","",COUNTA($D$13:D83))</f>
        <v/>
      </c>
      <c r="C83" s="47" t="n"/>
      <c r="D83" s="47" t="n"/>
      <c r="E83" s="47" t="n"/>
      <c r="F83" s="48" t="n"/>
      <c r="G83" s="49" t="n"/>
      <c r="H83" s="50" t="n"/>
      <c r="I83" s="49" t="n"/>
      <c r="J83" s="51">
        <f>IF(G83="","",ROUND(IF(I83&gt;0,ROUNDUP(ROUND(G83*(1+H83)/I83,6),0)*I83,G83*(1+H83)),4))</f>
        <v/>
      </c>
      <c r="K83" s="52" t="n"/>
      <c r="L83" s="50" t="n"/>
      <c r="M83" s="53">
        <f>IF(OR(J83="",K83=""),"",IF(R83="Storniert",0,ROUND(J83*K83*(1-L83),2)))</f>
        <v/>
      </c>
      <c r="N83" s="47" t="n"/>
      <c r="O83" s="54" t="n"/>
      <c r="P83" s="55">
        <f>IF(OR(O83="",N83=""),"",WORKDAY(O83,-IFERROR(INDEX(Tab_Lieferzeit,MATCH(N83,Tab_Lieferanten,0)),0)))</f>
        <v/>
      </c>
      <c r="Q83" s="54" t="n"/>
      <c r="R83" s="48" t="n"/>
      <c r="S83" s="49" t="n"/>
      <c r="T83" s="56">
        <f>IF(J83="","",IF(R83="Storniert",0,MAX(0,J83-S83)))</f>
        <v/>
      </c>
      <c r="U83" s="57">
        <f>IF(D83="","",IF(R83="Storniert","Storniert",IF(R83="Geliefert","Erledigt",IF(O83="","Ohne Termin",IF(Stichtag&gt;O83,"Überfällig",IF(AND(Q83&lt;&gt;"",Q83&gt;O83),"Lieferverzug",IF(OR(R83="Bestellt",R83="Teilgeliefert"),"Im Plan",IF(P83="","Im Plan",IF(Stichtag&gt;P83,"Bestellung fällig",IF(P83-Stichtag&lt;=Vorwarnzeit,"Jetzt bestellen","Im Plan"))))))))))</f>
        <v/>
      </c>
      <c r="V83" s="47" t="n"/>
    </row>
    <row r="84" ht="19" customHeight="1">
      <c r="B84" s="46">
        <f>IF(D84="","",COUNTA($D$13:D84))</f>
        <v/>
      </c>
      <c r="C84" s="47" t="n"/>
      <c r="D84" s="47" t="n"/>
      <c r="E84" s="47" t="n"/>
      <c r="F84" s="48" t="n"/>
      <c r="G84" s="49" t="n"/>
      <c r="H84" s="50" t="n"/>
      <c r="I84" s="49" t="n"/>
      <c r="J84" s="51">
        <f>IF(G84="","",ROUND(IF(I84&gt;0,ROUNDUP(ROUND(G84*(1+H84)/I84,6),0)*I84,G84*(1+H84)),4))</f>
        <v/>
      </c>
      <c r="K84" s="52" t="n"/>
      <c r="L84" s="50" t="n"/>
      <c r="M84" s="53">
        <f>IF(OR(J84="",K84=""),"",IF(R84="Storniert",0,ROUND(J84*K84*(1-L84),2)))</f>
        <v/>
      </c>
      <c r="N84" s="47" t="n"/>
      <c r="O84" s="54" t="n"/>
      <c r="P84" s="55">
        <f>IF(OR(O84="",N84=""),"",WORKDAY(O84,-IFERROR(INDEX(Tab_Lieferzeit,MATCH(N84,Tab_Lieferanten,0)),0)))</f>
        <v/>
      </c>
      <c r="Q84" s="54" t="n"/>
      <c r="R84" s="48" t="n"/>
      <c r="S84" s="49" t="n"/>
      <c r="T84" s="56">
        <f>IF(J84="","",IF(R84="Storniert",0,MAX(0,J84-S84)))</f>
        <v/>
      </c>
      <c r="U84" s="57">
        <f>IF(D84="","",IF(R84="Storniert","Storniert",IF(R84="Geliefert","Erledigt",IF(O84="","Ohne Termin",IF(Stichtag&gt;O84,"Überfällig",IF(AND(Q84&lt;&gt;"",Q84&gt;O84),"Lieferverzug",IF(OR(R84="Bestellt",R84="Teilgeliefert"),"Im Plan",IF(P84="","Im Plan",IF(Stichtag&gt;P84,"Bestellung fällig",IF(P84-Stichtag&lt;=Vorwarnzeit,"Jetzt bestellen","Im Plan"))))))))))</f>
        <v/>
      </c>
      <c r="V84" s="47" t="n"/>
    </row>
    <row r="85" ht="19" customHeight="1">
      <c r="B85" s="46">
        <f>IF(D85="","",COUNTA($D$13:D85))</f>
        <v/>
      </c>
      <c r="C85" s="47" t="n"/>
      <c r="D85" s="47" t="n"/>
      <c r="E85" s="47" t="n"/>
      <c r="F85" s="48" t="n"/>
      <c r="G85" s="49" t="n"/>
      <c r="H85" s="50" t="n"/>
      <c r="I85" s="49" t="n"/>
      <c r="J85" s="51">
        <f>IF(G85="","",ROUND(IF(I85&gt;0,ROUNDUP(ROUND(G85*(1+H85)/I85,6),0)*I85,G85*(1+H85)),4))</f>
        <v/>
      </c>
      <c r="K85" s="52" t="n"/>
      <c r="L85" s="50" t="n"/>
      <c r="M85" s="53">
        <f>IF(OR(J85="",K85=""),"",IF(R85="Storniert",0,ROUND(J85*K85*(1-L85),2)))</f>
        <v/>
      </c>
      <c r="N85" s="47" t="n"/>
      <c r="O85" s="54" t="n"/>
      <c r="P85" s="55">
        <f>IF(OR(O85="",N85=""),"",WORKDAY(O85,-IFERROR(INDEX(Tab_Lieferzeit,MATCH(N85,Tab_Lieferanten,0)),0)))</f>
        <v/>
      </c>
      <c r="Q85" s="54" t="n"/>
      <c r="R85" s="48" t="n"/>
      <c r="S85" s="49" t="n"/>
      <c r="T85" s="56">
        <f>IF(J85="","",IF(R85="Storniert",0,MAX(0,J85-S85)))</f>
        <v/>
      </c>
      <c r="U85" s="57">
        <f>IF(D85="","",IF(R85="Storniert","Storniert",IF(R85="Geliefert","Erledigt",IF(O85="","Ohne Termin",IF(Stichtag&gt;O85,"Überfällig",IF(AND(Q85&lt;&gt;"",Q85&gt;O85),"Lieferverzug",IF(OR(R85="Bestellt",R85="Teilgeliefert"),"Im Plan",IF(P85="","Im Plan",IF(Stichtag&gt;P85,"Bestellung fällig",IF(P85-Stichtag&lt;=Vorwarnzeit,"Jetzt bestellen","Im Plan"))))))))))</f>
        <v/>
      </c>
      <c r="V85" s="47" t="n"/>
    </row>
    <row r="86" ht="19" customHeight="1">
      <c r="B86" s="46">
        <f>IF(D86="","",COUNTA($D$13:D86))</f>
        <v/>
      </c>
      <c r="C86" s="47" t="n"/>
      <c r="D86" s="47" t="n"/>
      <c r="E86" s="47" t="n"/>
      <c r="F86" s="48" t="n"/>
      <c r="G86" s="49" t="n"/>
      <c r="H86" s="50" t="n"/>
      <c r="I86" s="49" t="n"/>
      <c r="J86" s="51">
        <f>IF(G86="","",ROUND(IF(I86&gt;0,ROUNDUP(ROUND(G86*(1+H86)/I86,6),0)*I86,G86*(1+H86)),4))</f>
        <v/>
      </c>
      <c r="K86" s="52" t="n"/>
      <c r="L86" s="50" t="n"/>
      <c r="M86" s="53">
        <f>IF(OR(J86="",K86=""),"",IF(R86="Storniert",0,ROUND(J86*K86*(1-L86),2)))</f>
        <v/>
      </c>
      <c r="N86" s="47" t="n"/>
      <c r="O86" s="54" t="n"/>
      <c r="P86" s="55">
        <f>IF(OR(O86="",N86=""),"",WORKDAY(O86,-IFERROR(INDEX(Tab_Lieferzeit,MATCH(N86,Tab_Lieferanten,0)),0)))</f>
        <v/>
      </c>
      <c r="Q86" s="54" t="n"/>
      <c r="R86" s="48" t="n"/>
      <c r="S86" s="49" t="n"/>
      <c r="T86" s="56">
        <f>IF(J86="","",IF(R86="Storniert",0,MAX(0,J86-S86)))</f>
        <v/>
      </c>
      <c r="U86" s="57">
        <f>IF(D86="","",IF(R86="Storniert","Storniert",IF(R86="Geliefert","Erledigt",IF(O86="","Ohne Termin",IF(Stichtag&gt;O86,"Überfällig",IF(AND(Q86&lt;&gt;"",Q86&gt;O86),"Lieferverzug",IF(OR(R86="Bestellt",R86="Teilgeliefert"),"Im Plan",IF(P86="","Im Plan",IF(Stichtag&gt;P86,"Bestellung fällig",IF(P86-Stichtag&lt;=Vorwarnzeit,"Jetzt bestellen","Im Plan"))))))))))</f>
        <v/>
      </c>
      <c r="V86" s="47" t="n"/>
    </row>
    <row r="87" ht="19" customHeight="1">
      <c r="B87" s="46">
        <f>IF(D87="","",COUNTA($D$13:D87))</f>
        <v/>
      </c>
      <c r="C87" s="47" t="n"/>
      <c r="D87" s="47" t="n"/>
      <c r="E87" s="47" t="n"/>
      <c r="F87" s="48" t="n"/>
      <c r="G87" s="49" t="n"/>
      <c r="H87" s="50" t="n"/>
      <c r="I87" s="49" t="n"/>
      <c r="J87" s="51">
        <f>IF(G87="","",ROUND(IF(I87&gt;0,ROUNDUP(ROUND(G87*(1+H87)/I87,6),0)*I87,G87*(1+H87)),4))</f>
        <v/>
      </c>
      <c r="K87" s="52" t="n"/>
      <c r="L87" s="50" t="n"/>
      <c r="M87" s="53">
        <f>IF(OR(J87="",K87=""),"",IF(R87="Storniert",0,ROUND(J87*K87*(1-L87),2)))</f>
        <v/>
      </c>
      <c r="N87" s="47" t="n"/>
      <c r="O87" s="54" t="n"/>
      <c r="P87" s="55">
        <f>IF(OR(O87="",N87=""),"",WORKDAY(O87,-IFERROR(INDEX(Tab_Lieferzeit,MATCH(N87,Tab_Lieferanten,0)),0)))</f>
        <v/>
      </c>
      <c r="Q87" s="54" t="n"/>
      <c r="R87" s="48" t="n"/>
      <c r="S87" s="49" t="n"/>
      <c r="T87" s="56">
        <f>IF(J87="","",IF(R87="Storniert",0,MAX(0,J87-S87)))</f>
        <v/>
      </c>
      <c r="U87" s="57">
        <f>IF(D87="","",IF(R87="Storniert","Storniert",IF(R87="Geliefert","Erledigt",IF(O87="","Ohne Termin",IF(Stichtag&gt;O87,"Überfällig",IF(AND(Q87&lt;&gt;"",Q87&gt;O87),"Lieferverzug",IF(OR(R87="Bestellt",R87="Teilgeliefert"),"Im Plan",IF(P87="","Im Plan",IF(Stichtag&gt;P87,"Bestellung fällig",IF(P87-Stichtag&lt;=Vorwarnzeit,"Jetzt bestellen","Im Plan"))))))))))</f>
        <v/>
      </c>
      <c r="V87" s="47" t="n"/>
    </row>
    <row r="88" ht="19" customHeight="1">
      <c r="B88" s="46">
        <f>IF(D88="","",COUNTA($D$13:D88))</f>
        <v/>
      </c>
      <c r="C88" s="47" t="n"/>
      <c r="D88" s="47" t="n"/>
      <c r="E88" s="47" t="n"/>
      <c r="F88" s="48" t="n"/>
      <c r="G88" s="49" t="n"/>
      <c r="H88" s="50" t="n"/>
      <c r="I88" s="49" t="n"/>
      <c r="J88" s="51">
        <f>IF(G88="","",ROUND(IF(I88&gt;0,ROUNDUP(ROUND(G88*(1+H88)/I88,6),0)*I88,G88*(1+H88)),4))</f>
        <v/>
      </c>
      <c r="K88" s="52" t="n"/>
      <c r="L88" s="50" t="n"/>
      <c r="M88" s="53">
        <f>IF(OR(J88="",K88=""),"",IF(R88="Storniert",0,ROUND(J88*K88*(1-L88),2)))</f>
        <v/>
      </c>
      <c r="N88" s="47" t="n"/>
      <c r="O88" s="54" t="n"/>
      <c r="P88" s="55">
        <f>IF(OR(O88="",N88=""),"",WORKDAY(O88,-IFERROR(INDEX(Tab_Lieferzeit,MATCH(N88,Tab_Lieferanten,0)),0)))</f>
        <v/>
      </c>
      <c r="Q88" s="54" t="n"/>
      <c r="R88" s="48" t="n"/>
      <c r="S88" s="49" t="n"/>
      <c r="T88" s="56">
        <f>IF(J88="","",IF(R88="Storniert",0,MAX(0,J88-S88)))</f>
        <v/>
      </c>
      <c r="U88" s="57">
        <f>IF(D88="","",IF(R88="Storniert","Storniert",IF(R88="Geliefert","Erledigt",IF(O88="","Ohne Termin",IF(Stichtag&gt;O88,"Überfällig",IF(AND(Q88&lt;&gt;"",Q88&gt;O88),"Lieferverzug",IF(OR(R88="Bestellt",R88="Teilgeliefert"),"Im Plan",IF(P88="","Im Plan",IF(Stichtag&gt;P88,"Bestellung fällig",IF(P88-Stichtag&lt;=Vorwarnzeit,"Jetzt bestellen","Im Plan"))))))))))</f>
        <v/>
      </c>
      <c r="V88" s="47" t="n"/>
    </row>
    <row r="89" ht="19" customHeight="1">
      <c r="B89" s="46">
        <f>IF(D89="","",COUNTA($D$13:D89))</f>
        <v/>
      </c>
      <c r="C89" s="47" t="n"/>
      <c r="D89" s="47" t="n"/>
      <c r="E89" s="47" t="n"/>
      <c r="F89" s="48" t="n"/>
      <c r="G89" s="49" t="n"/>
      <c r="H89" s="50" t="n"/>
      <c r="I89" s="49" t="n"/>
      <c r="J89" s="51">
        <f>IF(G89="","",ROUND(IF(I89&gt;0,ROUNDUP(ROUND(G89*(1+H89)/I89,6),0)*I89,G89*(1+H89)),4))</f>
        <v/>
      </c>
      <c r="K89" s="52" t="n"/>
      <c r="L89" s="50" t="n"/>
      <c r="M89" s="53">
        <f>IF(OR(J89="",K89=""),"",IF(R89="Storniert",0,ROUND(J89*K89*(1-L89),2)))</f>
        <v/>
      </c>
      <c r="N89" s="47" t="n"/>
      <c r="O89" s="54" t="n"/>
      <c r="P89" s="55">
        <f>IF(OR(O89="",N89=""),"",WORKDAY(O89,-IFERROR(INDEX(Tab_Lieferzeit,MATCH(N89,Tab_Lieferanten,0)),0)))</f>
        <v/>
      </c>
      <c r="Q89" s="54" t="n"/>
      <c r="R89" s="48" t="n"/>
      <c r="S89" s="49" t="n"/>
      <c r="T89" s="56">
        <f>IF(J89="","",IF(R89="Storniert",0,MAX(0,J89-S89)))</f>
        <v/>
      </c>
      <c r="U89" s="57">
        <f>IF(D89="","",IF(R89="Storniert","Storniert",IF(R89="Geliefert","Erledigt",IF(O89="","Ohne Termin",IF(Stichtag&gt;O89,"Überfällig",IF(AND(Q89&lt;&gt;"",Q89&gt;O89),"Lieferverzug",IF(OR(R89="Bestellt",R89="Teilgeliefert"),"Im Plan",IF(P89="","Im Plan",IF(Stichtag&gt;P89,"Bestellung fällig",IF(P89-Stichtag&lt;=Vorwarnzeit,"Jetzt bestellen","Im Plan"))))))))))</f>
        <v/>
      </c>
      <c r="V89" s="47" t="n"/>
    </row>
    <row r="90" ht="19" customHeight="1">
      <c r="B90" s="46">
        <f>IF(D90="","",COUNTA($D$13:D90))</f>
        <v/>
      </c>
      <c r="C90" s="47" t="n"/>
      <c r="D90" s="47" t="n"/>
      <c r="E90" s="47" t="n"/>
      <c r="F90" s="48" t="n"/>
      <c r="G90" s="49" t="n"/>
      <c r="H90" s="50" t="n"/>
      <c r="I90" s="49" t="n"/>
      <c r="J90" s="51">
        <f>IF(G90="","",ROUND(IF(I90&gt;0,ROUNDUP(ROUND(G90*(1+H90)/I90,6),0)*I90,G90*(1+H90)),4))</f>
        <v/>
      </c>
      <c r="K90" s="52" t="n"/>
      <c r="L90" s="50" t="n"/>
      <c r="M90" s="53">
        <f>IF(OR(J90="",K90=""),"",IF(R90="Storniert",0,ROUND(J90*K90*(1-L90),2)))</f>
        <v/>
      </c>
      <c r="N90" s="47" t="n"/>
      <c r="O90" s="54" t="n"/>
      <c r="P90" s="55">
        <f>IF(OR(O90="",N90=""),"",WORKDAY(O90,-IFERROR(INDEX(Tab_Lieferzeit,MATCH(N90,Tab_Lieferanten,0)),0)))</f>
        <v/>
      </c>
      <c r="Q90" s="54" t="n"/>
      <c r="R90" s="48" t="n"/>
      <c r="S90" s="49" t="n"/>
      <c r="T90" s="56">
        <f>IF(J90="","",IF(R90="Storniert",0,MAX(0,J90-S90)))</f>
        <v/>
      </c>
      <c r="U90" s="57">
        <f>IF(D90="","",IF(R90="Storniert","Storniert",IF(R90="Geliefert","Erledigt",IF(O90="","Ohne Termin",IF(Stichtag&gt;O90,"Überfällig",IF(AND(Q90&lt;&gt;"",Q90&gt;O90),"Lieferverzug",IF(OR(R90="Bestellt",R90="Teilgeliefert"),"Im Plan",IF(P90="","Im Plan",IF(Stichtag&gt;P90,"Bestellung fällig",IF(P90-Stichtag&lt;=Vorwarnzeit,"Jetzt bestellen","Im Plan"))))))))))</f>
        <v/>
      </c>
      <c r="V90" s="47" t="n"/>
    </row>
    <row r="91" ht="19" customHeight="1">
      <c r="B91" s="46">
        <f>IF(D91="","",COUNTA($D$13:D91))</f>
        <v/>
      </c>
      <c r="C91" s="47" t="n"/>
      <c r="D91" s="47" t="n"/>
      <c r="E91" s="47" t="n"/>
      <c r="F91" s="48" t="n"/>
      <c r="G91" s="49" t="n"/>
      <c r="H91" s="50" t="n"/>
      <c r="I91" s="49" t="n"/>
      <c r="J91" s="51">
        <f>IF(G91="","",ROUND(IF(I91&gt;0,ROUNDUP(ROUND(G91*(1+H91)/I91,6),0)*I91,G91*(1+H91)),4))</f>
        <v/>
      </c>
      <c r="K91" s="52" t="n"/>
      <c r="L91" s="50" t="n"/>
      <c r="M91" s="53">
        <f>IF(OR(J91="",K91=""),"",IF(R91="Storniert",0,ROUND(J91*K91*(1-L91),2)))</f>
        <v/>
      </c>
      <c r="N91" s="47" t="n"/>
      <c r="O91" s="54" t="n"/>
      <c r="P91" s="55">
        <f>IF(OR(O91="",N91=""),"",WORKDAY(O91,-IFERROR(INDEX(Tab_Lieferzeit,MATCH(N91,Tab_Lieferanten,0)),0)))</f>
        <v/>
      </c>
      <c r="Q91" s="54" t="n"/>
      <c r="R91" s="48" t="n"/>
      <c r="S91" s="49" t="n"/>
      <c r="T91" s="56">
        <f>IF(J91="","",IF(R91="Storniert",0,MAX(0,J91-S91)))</f>
        <v/>
      </c>
      <c r="U91" s="57">
        <f>IF(D91="","",IF(R91="Storniert","Storniert",IF(R91="Geliefert","Erledigt",IF(O91="","Ohne Termin",IF(Stichtag&gt;O91,"Überfällig",IF(AND(Q91&lt;&gt;"",Q91&gt;O91),"Lieferverzug",IF(OR(R91="Bestellt",R91="Teilgeliefert"),"Im Plan",IF(P91="","Im Plan",IF(Stichtag&gt;P91,"Bestellung fällig",IF(P91-Stichtag&lt;=Vorwarnzeit,"Jetzt bestellen","Im Plan"))))))))))</f>
        <v/>
      </c>
      <c r="V91" s="47" t="n"/>
    </row>
    <row r="92" ht="19" customHeight="1">
      <c r="B92" s="46">
        <f>IF(D92="","",COUNTA($D$13:D92))</f>
        <v/>
      </c>
      <c r="C92" s="47" t="n"/>
      <c r="D92" s="47" t="n"/>
      <c r="E92" s="47" t="n"/>
      <c r="F92" s="48" t="n"/>
      <c r="G92" s="49" t="n"/>
      <c r="H92" s="50" t="n"/>
      <c r="I92" s="49" t="n"/>
      <c r="J92" s="51">
        <f>IF(G92="","",ROUND(IF(I92&gt;0,ROUNDUP(ROUND(G92*(1+H92)/I92,6),0)*I92,G92*(1+H92)),4))</f>
        <v/>
      </c>
      <c r="K92" s="52" t="n"/>
      <c r="L92" s="50" t="n"/>
      <c r="M92" s="53">
        <f>IF(OR(J92="",K92=""),"",IF(R92="Storniert",0,ROUND(J92*K92*(1-L92),2)))</f>
        <v/>
      </c>
      <c r="N92" s="47" t="n"/>
      <c r="O92" s="54" t="n"/>
      <c r="P92" s="55">
        <f>IF(OR(O92="",N92=""),"",WORKDAY(O92,-IFERROR(INDEX(Tab_Lieferzeit,MATCH(N92,Tab_Lieferanten,0)),0)))</f>
        <v/>
      </c>
      <c r="Q92" s="54" t="n"/>
      <c r="R92" s="48" t="n"/>
      <c r="S92" s="49" t="n"/>
      <c r="T92" s="56">
        <f>IF(J92="","",IF(R92="Storniert",0,MAX(0,J92-S92)))</f>
        <v/>
      </c>
      <c r="U92" s="57">
        <f>IF(D92="","",IF(R92="Storniert","Storniert",IF(R92="Geliefert","Erledigt",IF(O92="","Ohne Termin",IF(Stichtag&gt;O92,"Überfällig",IF(AND(Q92&lt;&gt;"",Q92&gt;O92),"Lieferverzug",IF(OR(R92="Bestellt",R92="Teilgeliefert"),"Im Plan",IF(P92="","Im Plan",IF(Stichtag&gt;P92,"Bestellung fällig",IF(P92-Stichtag&lt;=Vorwarnzeit,"Jetzt bestellen","Im Plan"))))))))))</f>
        <v/>
      </c>
      <c r="V92" s="47" t="n"/>
    </row>
    <row r="93" ht="19" customHeight="1">
      <c r="B93" s="46">
        <f>IF(D93="","",COUNTA($D$13:D93))</f>
        <v/>
      </c>
      <c r="C93" s="47" t="n"/>
      <c r="D93" s="47" t="n"/>
      <c r="E93" s="47" t="n"/>
      <c r="F93" s="48" t="n"/>
      <c r="G93" s="49" t="n"/>
      <c r="H93" s="50" t="n"/>
      <c r="I93" s="49" t="n"/>
      <c r="J93" s="51">
        <f>IF(G93="","",ROUND(IF(I93&gt;0,ROUNDUP(ROUND(G93*(1+H93)/I93,6),0)*I93,G93*(1+H93)),4))</f>
        <v/>
      </c>
      <c r="K93" s="52" t="n"/>
      <c r="L93" s="50" t="n"/>
      <c r="M93" s="53">
        <f>IF(OR(J93="",K93=""),"",IF(R93="Storniert",0,ROUND(J93*K93*(1-L93),2)))</f>
        <v/>
      </c>
      <c r="N93" s="47" t="n"/>
      <c r="O93" s="54" t="n"/>
      <c r="P93" s="55">
        <f>IF(OR(O93="",N93=""),"",WORKDAY(O93,-IFERROR(INDEX(Tab_Lieferzeit,MATCH(N93,Tab_Lieferanten,0)),0)))</f>
        <v/>
      </c>
      <c r="Q93" s="54" t="n"/>
      <c r="R93" s="48" t="n"/>
      <c r="S93" s="49" t="n"/>
      <c r="T93" s="56">
        <f>IF(J93="","",IF(R93="Storniert",0,MAX(0,J93-S93)))</f>
        <v/>
      </c>
      <c r="U93" s="57">
        <f>IF(D93="","",IF(R93="Storniert","Storniert",IF(R93="Geliefert","Erledigt",IF(O93="","Ohne Termin",IF(Stichtag&gt;O93,"Überfällig",IF(AND(Q93&lt;&gt;"",Q93&gt;O93),"Lieferverzug",IF(OR(R93="Bestellt",R93="Teilgeliefert"),"Im Plan",IF(P93="","Im Plan",IF(Stichtag&gt;P93,"Bestellung fällig",IF(P93-Stichtag&lt;=Vorwarnzeit,"Jetzt bestellen","Im Plan"))))))))))</f>
        <v/>
      </c>
      <c r="V93" s="47" t="n"/>
    </row>
    <row r="94" ht="19" customHeight="1">
      <c r="B94" s="46">
        <f>IF(D94="","",COUNTA($D$13:D94))</f>
        <v/>
      </c>
      <c r="C94" s="47" t="n"/>
      <c r="D94" s="47" t="n"/>
      <c r="E94" s="47" t="n"/>
      <c r="F94" s="48" t="n"/>
      <c r="G94" s="49" t="n"/>
      <c r="H94" s="50" t="n"/>
      <c r="I94" s="49" t="n"/>
      <c r="J94" s="51">
        <f>IF(G94="","",ROUND(IF(I94&gt;0,ROUNDUP(ROUND(G94*(1+H94)/I94,6),0)*I94,G94*(1+H94)),4))</f>
        <v/>
      </c>
      <c r="K94" s="52" t="n"/>
      <c r="L94" s="50" t="n"/>
      <c r="M94" s="53">
        <f>IF(OR(J94="",K94=""),"",IF(R94="Storniert",0,ROUND(J94*K94*(1-L94),2)))</f>
        <v/>
      </c>
      <c r="N94" s="47" t="n"/>
      <c r="O94" s="54" t="n"/>
      <c r="P94" s="55">
        <f>IF(OR(O94="",N94=""),"",WORKDAY(O94,-IFERROR(INDEX(Tab_Lieferzeit,MATCH(N94,Tab_Lieferanten,0)),0)))</f>
        <v/>
      </c>
      <c r="Q94" s="54" t="n"/>
      <c r="R94" s="48" t="n"/>
      <c r="S94" s="49" t="n"/>
      <c r="T94" s="56">
        <f>IF(J94="","",IF(R94="Storniert",0,MAX(0,J94-S94)))</f>
        <v/>
      </c>
      <c r="U94" s="57">
        <f>IF(D94="","",IF(R94="Storniert","Storniert",IF(R94="Geliefert","Erledigt",IF(O94="","Ohne Termin",IF(Stichtag&gt;O94,"Überfällig",IF(AND(Q94&lt;&gt;"",Q94&gt;O94),"Lieferverzug",IF(OR(R94="Bestellt",R94="Teilgeliefert"),"Im Plan",IF(P94="","Im Plan",IF(Stichtag&gt;P94,"Bestellung fällig",IF(P94-Stichtag&lt;=Vorwarnzeit,"Jetzt bestellen","Im Plan"))))))))))</f>
        <v/>
      </c>
      <c r="V94" s="47" t="n"/>
    </row>
    <row r="95" ht="19" customHeight="1">
      <c r="B95" s="46">
        <f>IF(D95="","",COUNTA($D$13:D95))</f>
        <v/>
      </c>
      <c r="C95" s="47" t="n"/>
      <c r="D95" s="47" t="n"/>
      <c r="E95" s="47" t="n"/>
      <c r="F95" s="48" t="n"/>
      <c r="G95" s="49" t="n"/>
      <c r="H95" s="50" t="n"/>
      <c r="I95" s="49" t="n"/>
      <c r="J95" s="51">
        <f>IF(G95="","",ROUND(IF(I95&gt;0,ROUNDUP(ROUND(G95*(1+H95)/I95,6),0)*I95,G95*(1+H95)),4))</f>
        <v/>
      </c>
      <c r="K95" s="52" t="n"/>
      <c r="L95" s="50" t="n"/>
      <c r="M95" s="53">
        <f>IF(OR(J95="",K95=""),"",IF(R95="Storniert",0,ROUND(J95*K95*(1-L95),2)))</f>
        <v/>
      </c>
      <c r="N95" s="47" t="n"/>
      <c r="O95" s="54" t="n"/>
      <c r="P95" s="55">
        <f>IF(OR(O95="",N95=""),"",WORKDAY(O95,-IFERROR(INDEX(Tab_Lieferzeit,MATCH(N95,Tab_Lieferanten,0)),0)))</f>
        <v/>
      </c>
      <c r="Q95" s="54" t="n"/>
      <c r="R95" s="48" t="n"/>
      <c r="S95" s="49" t="n"/>
      <c r="T95" s="56">
        <f>IF(J95="","",IF(R95="Storniert",0,MAX(0,J95-S95)))</f>
        <v/>
      </c>
      <c r="U95" s="57">
        <f>IF(D95="","",IF(R95="Storniert","Storniert",IF(R95="Geliefert","Erledigt",IF(O95="","Ohne Termin",IF(Stichtag&gt;O95,"Überfällig",IF(AND(Q95&lt;&gt;"",Q95&gt;O95),"Lieferverzug",IF(OR(R95="Bestellt",R95="Teilgeliefert"),"Im Plan",IF(P95="","Im Plan",IF(Stichtag&gt;P95,"Bestellung fällig",IF(P95-Stichtag&lt;=Vorwarnzeit,"Jetzt bestellen","Im Plan"))))))))))</f>
        <v/>
      </c>
      <c r="V95" s="47" t="n"/>
    </row>
    <row r="96" ht="19" customHeight="1">
      <c r="B96" s="46">
        <f>IF(D96="","",COUNTA($D$13:D96))</f>
        <v/>
      </c>
      <c r="C96" s="47" t="n"/>
      <c r="D96" s="47" t="n"/>
      <c r="E96" s="47" t="n"/>
      <c r="F96" s="48" t="n"/>
      <c r="G96" s="49" t="n"/>
      <c r="H96" s="50" t="n"/>
      <c r="I96" s="49" t="n"/>
      <c r="J96" s="51">
        <f>IF(G96="","",ROUND(IF(I96&gt;0,ROUNDUP(ROUND(G96*(1+H96)/I96,6),0)*I96,G96*(1+H96)),4))</f>
        <v/>
      </c>
      <c r="K96" s="52" t="n"/>
      <c r="L96" s="50" t="n"/>
      <c r="M96" s="53">
        <f>IF(OR(J96="",K96=""),"",IF(R96="Storniert",0,ROUND(J96*K96*(1-L96),2)))</f>
        <v/>
      </c>
      <c r="N96" s="47" t="n"/>
      <c r="O96" s="54" t="n"/>
      <c r="P96" s="55">
        <f>IF(OR(O96="",N96=""),"",WORKDAY(O96,-IFERROR(INDEX(Tab_Lieferzeit,MATCH(N96,Tab_Lieferanten,0)),0)))</f>
        <v/>
      </c>
      <c r="Q96" s="54" t="n"/>
      <c r="R96" s="48" t="n"/>
      <c r="S96" s="49" t="n"/>
      <c r="T96" s="56">
        <f>IF(J96="","",IF(R96="Storniert",0,MAX(0,J96-S96)))</f>
        <v/>
      </c>
      <c r="U96" s="57">
        <f>IF(D96="","",IF(R96="Storniert","Storniert",IF(R96="Geliefert","Erledigt",IF(O96="","Ohne Termin",IF(Stichtag&gt;O96,"Überfällig",IF(AND(Q96&lt;&gt;"",Q96&gt;O96),"Lieferverzug",IF(OR(R96="Bestellt",R96="Teilgeliefert"),"Im Plan",IF(P96="","Im Plan",IF(Stichtag&gt;P96,"Bestellung fällig",IF(P96-Stichtag&lt;=Vorwarnzeit,"Jetzt bestellen","Im Plan"))))))))))</f>
        <v/>
      </c>
      <c r="V96" s="47" t="n"/>
    </row>
    <row r="97" ht="19" customHeight="1">
      <c r="B97" s="46">
        <f>IF(D97="","",COUNTA($D$13:D97))</f>
        <v/>
      </c>
      <c r="C97" s="47" t="n"/>
      <c r="D97" s="47" t="n"/>
      <c r="E97" s="47" t="n"/>
      <c r="F97" s="48" t="n"/>
      <c r="G97" s="49" t="n"/>
      <c r="H97" s="50" t="n"/>
      <c r="I97" s="49" t="n"/>
      <c r="J97" s="51">
        <f>IF(G97="","",ROUND(IF(I97&gt;0,ROUNDUP(ROUND(G97*(1+H97)/I97,6),0)*I97,G97*(1+H97)),4))</f>
        <v/>
      </c>
      <c r="K97" s="52" t="n"/>
      <c r="L97" s="50" t="n"/>
      <c r="M97" s="53">
        <f>IF(OR(J97="",K97=""),"",IF(R97="Storniert",0,ROUND(J97*K97*(1-L97),2)))</f>
        <v/>
      </c>
      <c r="N97" s="47" t="n"/>
      <c r="O97" s="54" t="n"/>
      <c r="P97" s="55">
        <f>IF(OR(O97="",N97=""),"",WORKDAY(O97,-IFERROR(INDEX(Tab_Lieferzeit,MATCH(N97,Tab_Lieferanten,0)),0)))</f>
        <v/>
      </c>
      <c r="Q97" s="54" t="n"/>
      <c r="R97" s="48" t="n"/>
      <c r="S97" s="49" t="n"/>
      <c r="T97" s="56">
        <f>IF(J97="","",IF(R97="Storniert",0,MAX(0,J97-S97)))</f>
        <v/>
      </c>
      <c r="U97" s="57">
        <f>IF(D97="","",IF(R97="Storniert","Storniert",IF(R97="Geliefert","Erledigt",IF(O97="","Ohne Termin",IF(Stichtag&gt;O97,"Überfällig",IF(AND(Q97&lt;&gt;"",Q97&gt;O97),"Lieferverzug",IF(OR(R97="Bestellt",R97="Teilgeliefert"),"Im Plan",IF(P97="","Im Plan",IF(Stichtag&gt;P97,"Bestellung fällig",IF(P97-Stichtag&lt;=Vorwarnzeit,"Jetzt bestellen","Im Plan"))))))))))</f>
        <v/>
      </c>
      <c r="V97" s="47" t="n"/>
    </row>
    <row r="98" ht="19" customHeight="1">
      <c r="B98" s="46">
        <f>IF(D98="","",COUNTA($D$13:D98))</f>
        <v/>
      </c>
      <c r="C98" s="47" t="n"/>
      <c r="D98" s="47" t="n"/>
      <c r="E98" s="47" t="n"/>
      <c r="F98" s="48" t="n"/>
      <c r="G98" s="49" t="n"/>
      <c r="H98" s="50" t="n"/>
      <c r="I98" s="49" t="n"/>
      <c r="J98" s="51">
        <f>IF(G98="","",ROUND(IF(I98&gt;0,ROUNDUP(ROUND(G98*(1+H98)/I98,6),0)*I98,G98*(1+H98)),4))</f>
        <v/>
      </c>
      <c r="K98" s="52" t="n"/>
      <c r="L98" s="50" t="n"/>
      <c r="M98" s="53">
        <f>IF(OR(J98="",K98=""),"",IF(R98="Storniert",0,ROUND(J98*K98*(1-L98),2)))</f>
        <v/>
      </c>
      <c r="N98" s="47" t="n"/>
      <c r="O98" s="54" t="n"/>
      <c r="P98" s="55">
        <f>IF(OR(O98="",N98=""),"",WORKDAY(O98,-IFERROR(INDEX(Tab_Lieferzeit,MATCH(N98,Tab_Lieferanten,0)),0)))</f>
        <v/>
      </c>
      <c r="Q98" s="54" t="n"/>
      <c r="R98" s="48" t="n"/>
      <c r="S98" s="49" t="n"/>
      <c r="T98" s="56">
        <f>IF(J98="","",IF(R98="Storniert",0,MAX(0,J98-S98)))</f>
        <v/>
      </c>
      <c r="U98" s="57">
        <f>IF(D98="","",IF(R98="Storniert","Storniert",IF(R98="Geliefert","Erledigt",IF(O98="","Ohne Termin",IF(Stichtag&gt;O98,"Überfällig",IF(AND(Q98&lt;&gt;"",Q98&gt;O98),"Lieferverzug",IF(OR(R98="Bestellt",R98="Teilgeliefert"),"Im Plan",IF(P98="","Im Plan",IF(Stichtag&gt;P98,"Bestellung fällig",IF(P98-Stichtag&lt;=Vorwarnzeit,"Jetzt bestellen","Im Plan"))))))))))</f>
        <v/>
      </c>
      <c r="V98" s="47" t="n"/>
    </row>
    <row r="99" ht="19" customHeight="1">
      <c r="B99" s="46">
        <f>IF(D99="","",COUNTA($D$13:D99))</f>
        <v/>
      </c>
      <c r="C99" s="47" t="n"/>
      <c r="D99" s="47" t="n"/>
      <c r="E99" s="47" t="n"/>
      <c r="F99" s="48" t="n"/>
      <c r="G99" s="49" t="n"/>
      <c r="H99" s="50" t="n"/>
      <c r="I99" s="49" t="n"/>
      <c r="J99" s="51">
        <f>IF(G99="","",ROUND(IF(I99&gt;0,ROUNDUP(ROUND(G99*(1+H99)/I99,6),0)*I99,G99*(1+H99)),4))</f>
        <v/>
      </c>
      <c r="K99" s="52" t="n"/>
      <c r="L99" s="50" t="n"/>
      <c r="M99" s="53">
        <f>IF(OR(J99="",K99=""),"",IF(R99="Storniert",0,ROUND(J99*K99*(1-L99),2)))</f>
        <v/>
      </c>
      <c r="N99" s="47" t="n"/>
      <c r="O99" s="54" t="n"/>
      <c r="P99" s="55">
        <f>IF(OR(O99="",N99=""),"",WORKDAY(O99,-IFERROR(INDEX(Tab_Lieferzeit,MATCH(N99,Tab_Lieferanten,0)),0)))</f>
        <v/>
      </c>
      <c r="Q99" s="54" t="n"/>
      <c r="R99" s="48" t="n"/>
      <c r="S99" s="49" t="n"/>
      <c r="T99" s="56">
        <f>IF(J99="","",IF(R99="Storniert",0,MAX(0,J99-S99)))</f>
        <v/>
      </c>
      <c r="U99" s="57">
        <f>IF(D99="","",IF(R99="Storniert","Storniert",IF(R99="Geliefert","Erledigt",IF(O99="","Ohne Termin",IF(Stichtag&gt;O99,"Überfällig",IF(AND(Q99&lt;&gt;"",Q99&gt;O99),"Lieferverzug",IF(OR(R99="Bestellt",R99="Teilgeliefert"),"Im Plan",IF(P99="","Im Plan",IF(Stichtag&gt;P99,"Bestellung fällig",IF(P99-Stichtag&lt;=Vorwarnzeit,"Jetzt bestellen","Im Plan"))))))))))</f>
        <v/>
      </c>
      <c r="V99" s="47" t="n"/>
    </row>
    <row r="100" ht="19" customHeight="1">
      <c r="B100" s="46">
        <f>IF(D100="","",COUNTA($D$13:D100))</f>
        <v/>
      </c>
      <c r="C100" s="47" t="n"/>
      <c r="D100" s="47" t="n"/>
      <c r="E100" s="47" t="n"/>
      <c r="F100" s="48" t="n"/>
      <c r="G100" s="49" t="n"/>
      <c r="H100" s="50" t="n"/>
      <c r="I100" s="49" t="n"/>
      <c r="J100" s="51">
        <f>IF(G100="","",ROUND(IF(I100&gt;0,ROUNDUP(ROUND(G100*(1+H100)/I100,6),0)*I100,G100*(1+H100)),4))</f>
        <v/>
      </c>
      <c r="K100" s="52" t="n"/>
      <c r="L100" s="50" t="n"/>
      <c r="M100" s="53">
        <f>IF(OR(J100="",K100=""),"",IF(R100="Storniert",0,ROUND(J100*K100*(1-L100),2)))</f>
        <v/>
      </c>
      <c r="N100" s="47" t="n"/>
      <c r="O100" s="54" t="n"/>
      <c r="P100" s="55">
        <f>IF(OR(O100="",N100=""),"",WORKDAY(O100,-IFERROR(INDEX(Tab_Lieferzeit,MATCH(N100,Tab_Lieferanten,0)),0)))</f>
        <v/>
      </c>
      <c r="Q100" s="54" t="n"/>
      <c r="R100" s="48" t="n"/>
      <c r="S100" s="49" t="n"/>
      <c r="T100" s="56">
        <f>IF(J100="","",IF(R100="Storniert",0,MAX(0,J100-S100)))</f>
        <v/>
      </c>
      <c r="U100" s="57">
        <f>IF(D100="","",IF(R100="Storniert","Storniert",IF(R100="Geliefert","Erledigt",IF(O100="","Ohne Termin",IF(Stichtag&gt;O100,"Überfällig",IF(AND(Q100&lt;&gt;"",Q100&gt;O100),"Lieferverzug",IF(OR(R100="Bestellt",R100="Teilgeliefert"),"Im Plan",IF(P100="","Im Plan",IF(Stichtag&gt;P100,"Bestellung fällig",IF(P100-Stichtag&lt;=Vorwarnzeit,"Jetzt bestellen","Im Plan"))))))))))</f>
        <v/>
      </c>
      <c r="V100" s="47" t="n"/>
    </row>
    <row r="101" ht="19" customHeight="1">
      <c r="B101" s="46">
        <f>IF(D101="","",COUNTA($D$13:D101))</f>
        <v/>
      </c>
      <c r="C101" s="47" t="n"/>
      <c r="D101" s="47" t="n"/>
      <c r="E101" s="47" t="n"/>
      <c r="F101" s="48" t="n"/>
      <c r="G101" s="49" t="n"/>
      <c r="H101" s="50" t="n"/>
      <c r="I101" s="49" t="n"/>
      <c r="J101" s="51">
        <f>IF(G101="","",ROUND(IF(I101&gt;0,ROUNDUP(ROUND(G101*(1+H101)/I101,6),0)*I101,G101*(1+H101)),4))</f>
        <v/>
      </c>
      <c r="K101" s="52" t="n"/>
      <c r="L101" s="50" t="n"/>
      <c r="M101" s="53">
        <f>IF(OR(J101="",K101=""),"",IF(R101="Storniert",0,ROUND(J101*K101*(1-L101),2)))</f>
        <v/>
      </c>
      <c r="N101" s="47" t="n"/>
      <c r="O101" s="54" t="n"/>
      <c r="P101" s="55">
        <f>IF(OR(O101="",N101=""),"",WORKDAY(O101,-IFERROR(INDEX(Tab_Lieferzeit,MATCH(N101,Tab_Lieferanten,0)),0)))</f>
        <v/>
      </c>
      <c r="Q101" s="54" t="n"/>
      <c r="R101" s="48" t="n"/>
      <c r="S101" s="49" t="n"/>
      <c r="T101" s="56">
        <f>IF(J101="","",IF(R101="Storniert",0,MAX(0,J101-S101)))</f>
        <v/>
      </c>
      <c r="U101" s="57">
        <f>IF(D101="","",IF(R101="Storniert","Storniert",IF(R101="Geliefert","Erledigt",IF(O101="","Ohne Termin",IF(Stichtag&gt;O101,"Überfällig",IF(AND(Q101&lt;&gt;"",Q101&gt;O101),"Lieferverzug",IF(OR(R101="Bestellt",R101="Teilgeliefert"),"Im Plan",IF(P101="","Im Plan",IF(Stichtag&gt;P101,"Bestellung fällig",IF(P101-Stichtag&lt;=Vorwarnzeit,"Jetzt bestellen","Im Plan"))))))))))</f>
        <v/>
      </c>
      <c r="V101" s="47" t="n"/>
    </row>
    <row r="102" ht="19" customHeight="1">
      <c r="B102" s="46">
        <f>IF(D102="","",COUNTA($D$13:D102))</f>
        <v/>
      </c>
      <c r="C102" s="47" t="n"/>
      <c r="D102" s="47" t="n"/>
      <c r="E102" s="47" t="n"/>
      <c r="F102" s="48" t="n"/>
      <c r="G102" s="49" t="n"/>
      <c r="H102" s="50" t="n"/>
      <c r="I102" s="49" t="n"/>
      <c r="J102" s="51">
        <f>IF(G102="","",ROUND(IF(I102&gt;0,ROUNDUP(ROUND(G102*(1+H102)/I102,6),0)*I102,G102*(1+H102)),4))</f>
        <v/>
      </c>
      <c r="K102" s="52" t="n"/>
      <c r="L102" s="50" t="n"/>
      <c r="M102" s="53">
        <f>IF(OR(J102="",K102=""),"",IF(R102="Storniert",0,ROUND(J102*K102*(1-L102),2)))</f>
        <v/>
      </c>
      <c r="N102" s="47" t="n"/>
      <c r="O102" s="54" t="n"/>
      <c r="P102" s="55">
        <f>IF(OR(O102="",N102=""),"",WORKDAY(O102,-IFERROR(INDEX(Tab_Lieferzeit,MATCH(N102,Tab_Lieferanten,0)),0)))</f>
        <v/>
      </c>
      <c r="Q102" s="54" t="n"/>
      <c r="R102" s="48" t="n"/>
      <c r="S102" s="49" t="n"/>
      <c r="T102" s="56">
        <f>IF(J102="","",IF(R102="Storniert",0,MAX(0,J102-S102)))</f>
        <v/>
      </c>
      <c r="U102" s="57">
        <f>IF(D102="","",IF(R102="Storniert","Storniert",IF(R102="Geliefert","Erledigt",IF(O102="","Ohne Termin",IF(Stichtag&gt;O102,"Überfällig",IF(AND(Q102&lt;&gt;"",Q102&gt;O102),"Lieferverzug",IF(OR(R102="Bestellt",R102="Teilgeliefert"),"Im Plan",IF(P102="","Im Plan",IF(Stichtag&gt;P102,"Bestellung fällig",IF(P102-Stichtag&lt;=Vorwarnzeit,"Jetzt bestellen","Im Plan"))))))))))</f>
        <v/>
      </c>
      <c r="V102" s="47" t="n"/>
    </row>
    <row r="103" ht="19" customHeight="1">
      <c r="B103" s="46">
        <f>IF(D103="","",COUNTA($D$13:D103))</f>
        <v/>
      </c>
      <c r="C103" s="47" t="n"/>
      <c r="D103" s="47" t="n"/>
      <c r="E103" s="47" t="n"/>
      <c r="F103" s="48" t="n"/>
      <c r="G103" s="49" t="n"/>
      <c r="H103" s="50" t="n"/>
      <c r="I103" s="49" t="n"/>
      <c r="J103" s="51">
        <f>IF(G103="","",ROUND(IF(I103&gt;0,ROUNDUP(ROUND(G103*(1+H103)/I103,6),0)*I103,G103*(1+H103)),4))</f>
        <v/>
      </c>
      <c r="K103" s="52" t="n"/>
      <c r="L103" s="50" t="n"/>
      <c r="M103" s="53">
        <f>IF(OR(J103="",K103=""),"",IF(R103="Storniert",0,ROUND(J103*K103*(1-L103),2)))</f>
        <v/>
      </c>
      <c r="N103" s="47" t="n"/>
      <c r="O103" s="54" t="n"/>
      <c r="P103" s="55">
        <f>IF(OR(O103="",N103=""),"",WORKDAY(O103,-IFERROR(INDEX(Tab_Lieferzeit,MATCH(N103,Tab_Lieferanten,0)),0)))</f>
        <v/>
      </c>
      <c r="Q103" s="54" t="n"/>
      <c r="R103" s="48" t="n"/>
      <c r="S103" s="49" t="n"/>
      <c r="T103" s="56">
        <f>IF(J103="","",IF(R103="Storniert",0,MAX(0,J103-S103)))</f>
        <v/>
      </c>
      <c r="U103" s="57">
        <f>IF(D103="","",IF(R103="Storniert","Storniert",IF(R103="Geliefert","Erledigt",IF(O103="","Ohne Termin",IF(Stichtag&gt;O103,"Überfällig",IF(AND(Q103&lt;&gt;"",Q103&gt;O103),"Lieferverzug",IF(OR(R103="Bestellt",R103="Teilgeliefert"),"Im Plan",IF(P103="","Im Plan",IF(Stichtag&gt;P103,"Bestellung fällig",IF(P103-Stichtag&lt;=Vorwarnzeit,"Jetzt bestellen","Im Plan"))))))))))</f>
        <v/>
      </c>
      <c r="V103" s="47" t="n"/>
    </row>
    <row r="104" ht="19" customHeight="1">
      <c r="B104" s="46">
        <f>IF(D104="","",COUNTA($D$13:D104))</f>
        <v/>
      </c>
      <c r="C104" s="47" t="n"/>
      <c r="D104" s="47" t="n"/>
      <c r="E104" s="47" t="n"/>
      <c r="F104" s="48" t="n"/>
      <c r="G104" s="49" t="n"/>
      <c r="H104" s="50" t="n"/>
      <c r="I104" s="49" t="n"/>
      <c r="J104" s="51">
        <f>IF(G104="","",ROUND(IF(I104&gt;0,ROUNDUP(ROUND(G104*(1+H104)/I104,6),0)*I104,G104*(1+H104)),4))</f>
        <v/>
      </c>
      <c r="K104" s="52" t="n"/>
      <c r="L104" s="50" t="n"/>
      <c r="M104" s="53">
        <f>IF(OR(J104="",K104=""),"",IF(R104="Storniert",0,ROUND(J104*K104*(1-L104),2)))</f>
        <v/>
      </c>
      <c r="N104" s="47" t="n"/>
      <c r="O104" s="54" t="n"/>
      <c r="P104" s="55">
        <f>IF(OR(O104="",N104=""),"",WORKDAY(O104,-IFERROR(INDEX(Tab_Lieferzeit,MATCH(N104,Tab_Lieferanten,0)),0)))</f>
        <v/>
      </c>
      <c r="Q104" s="54" t="n"/>
      <c r="R104" s="48" t="n"/>
      <c r="S104" s="49" t="n"/>
      <c r="T104" s="56">
        <f>IF(J104="","",IF(R104="Storniert",0,MAX(0,J104-S104)))</f>
        <v/>
      </c>
      <c r="U104" s="57">
        <f>IF(D104="","",IF(R104="Storniert","Storniert",IF(R104="Geliefert","Erledigt",IF(O104="","Ohne Termin",IF(Stichtag&gt;O104,"Überfällig",IF(AND(Q104&lt;&gt;"",Q104&gt;O104),"Lieferverzug",IF(OR(R104="Bestellt",R104="Teilgeliefert"),"Im Plan",IF(P104="","Im Plan",IF(Stichtag&gt;P104,"Bestellung fällig",IF(P104-Stichtag&lt;=Vorwarnzeit,"Jetzt bestellen","Im Plan"))))))))))</f>
        <v/>
      </c>
      <c r="V104" s="47" t="n"/>
    </row>
    <row r="105" ht="19" customHeight="1">
      <c r="B105" s="46">
        <f>IF(D105="","",COUNTA($D$13:D105))</f>
        <v/>
      </c>
      <c r="C105" s="47" t="n"/>
      <c r="D105" s="47" t="n"/>
      <c r="E105" s="47" t="n"/>
      <c r="F105" s="48" t="n"/>
      <c r="G105" s="49" t="n"/>
      <c r="H105" s="50" t="n"/>
      <c r="I105" s="49" t="n"/>
      <c r="J105" s="51">
        <f>IF(G105="","",ROUND(IF(I105&gt;0,ROUNDUP(ROUND(G105*(1+H105)/I105,6),0)*I105,G105*(1+H105)),4))</f>
        <v/>
      </c>
      <c r="K105" s="52" t="n"/>
      <c r="L105" s="50" t="n"/>
      <c r="M105" s="53">
        <f>IF(OR(J105="",K105=""),"",IF(R105="Storniert",0,ROUND(J105*K105*(1-L105),2)))</f>
        <v/>
      </c>
      <c r="N105" s="47" t="n"/>
      <c r="O105" s="54" t="n"/>
      <c r="P105" s="55">
        <f>IF(OR(O105="",N105=""),"",WORKDAY(O105,-IFERROR(INDEX(Tab_Lieferzeit,MATCH(N105,Tab_Lieferanten,0)),0)))</f>
        <v/>
      </c>
      <c r="Q105" s="54" t="n"/>
      <c r="R105" s="48" t="n"/>
      <c r="S105" s="49" t="n"/>
      <c r="T105" s="56">
        <f>IF(J105="","",IF(R105="Storniert",0,MAX(0,J105-S105)))</f>
        <v/>
      </c>
      <c r="U105" s="57">
        <f>IF(D105="","",IF(R105="Storniert","Storniert",IF(R105="Geliefert","Erledigt",IF(O105="","Ohne Termin",IF(Stichtag&gt;O105,"Überfällig",IF(AND(Q105&lt;&gt;"",Q105&gt;O105),"Lieferverzug",IF(OR(R105="Bestellt",R105="Teilgeliefert"),"Im Plan",IF(P105="","Im Plan",IF(Stichtag&gt;P105,"Bestellung fällig",IF(P105-Stichtag&lt;=Vorwarnzeit,"Jetzt bestellen","Im Plan"))))))))))</f>
        <v/>
      </c>
      <c r="V105" s="47" t="n"/>
    </row>
    <row r="106" ht="19" customHeight="1">
      <c r="B106" s="46">
        <f>IF(D106="","",COUNTA($D$13:D106))</f>
        <v/>
      </c>
      <c r="C106" s="47" t="n"/>
      <c r="D106" s="47" t="n"/>
      <c r="E106" s="47" t="n"/>
      <c r="F106" s="48" t="n"/>
      <c r="G106" s="49" t="n"/>
      <c r="H106" s="50" t="n"/>
      <c r="I106" s="49" t="n"/>
      <c r="J106" s="51">
        <f>IF(G106="","",ROUND(IF(I106&gt;0,ROUNDUP(ROUND(G106*(1+H106)/I106,6),0)*I106,G106*(1+H106)),4))</f>
        <v/>
      </c>
      <c r="K106" s="52" t="n"/>
      <c r="L106" s="50" t="n"/>
      <c r="M106" s="53">
        <f>IF(OR(J106="",K106=""),"",IF(R106="Storniert",0,ROUND(J106*K106*(1-L106),2)))</f>
        <v/>
      </c>
      <c r="N106" s="47" t="n"/>
      <c r="O106" s="54" t="n"/>
      <c r="P106" s="55">
        <f>IF(OR(O106="",N106=""),"",WORKDAY(O106,-IFERROR(INDEX(Tab_Lieferzeit,MATCH(N106,Tab_Lieferanten,0)),0)))</f>
        <v/>
      </c>
      <c r="Q106" s="54" t="n"/>
      <c r="R106" s="48" t="n"/>
      <c r="S106" s="49" t="n"/>
      <c r="T106" s="56">
        <f>IF(J106="","",IF(R106="Storniert",0,MAX(0,J106-S106)))</f>
        <v/>
      </c>
      <c r="U106" s="57">
        <f>IF(D106="","",IF(R106="Storniert","Storniert",IF(R106="Geliefert","Erledigt",IF(O106="","Ohne Termin",IF(Stichtag&gt;O106,"Überfällig",IF(AND(Q106&lt;&gt;"",Q106&gt;O106),"Lieferverzug",IF(OR(R106="Bestellt",R106="Teilgeliefert"),"Im Plan",IF(P106="","Im Plan",IF(Stichtag&gt;P106,"Bestellung fällig",IF(P106-Stichtag&lt;=Vorwarnzeit,"Jetzt bestellen","Im Plan"))))))))))</f>
        <v/>
      </c>
      <c r="V106" s="47" t="n"/>
    </row>
    <row r="107" ht="19" customHeight="1">
      <c r="B107" s="46">
        <f>IF(D107="","",COUNTA($D$13:D107))</f>
        <v/>
      </c>
      <c r="C107" s="47" t="n"/>
      <c r="D107" s="47" t="n"/>
      <c r="E107" s="47" t="n"/>
      <c r="F107" s="48" t="n"/>
      <c r="G107" s="49" t="n"/>
      <c r="H107" s="50" t="n"/>
      <c r="I107" s="49" t="n"/>
      <c r="J107" s="51">
        <f>IF(G107="","",ROUND(IF(I107&gt;0,ROUNDUP(ROUND(G107*(1+H107)/I107,6),0)*I107,G107*(1+H107)),4))</f>
        <v/>
      </c>
      <c r="K107" s="52" t="n"/>
      <c r="L107" s="50" t="n"/>
      <c r="M107" s="53">
        <f>IF(OR(J107="",K107=""),"",IF(R107="Storniert",0,ROUND(J107*K107*(1-L107),2)))</f>
        <v/>
      </c>
      <c r="N107" s="47" t="n"/>
      <c r="O107" s="54" t="n"/>
      <c r="P107" s="55">
        <f>IF(OR(O107="",N107=""),"",WORKDAY(O107,-IFERROR(INDEX(Tab_Lieferzeit,MATCH(N107,Tab_Lieferanten,0)),0)))</f>
        <v/>
      </c>
      <c r="Q107" s="54" t="n"/>
      <c r="R107" s="48" t="n"/>
      <c r="S107" s="49" t="n"/>
      <c r="T107" s="56">
        <f>IF(J107="","",IF(R107="Storniert",0,MAX(0,J107-S107)))</f>
        <v/>
      </c>
      <c r="U107" s="57">
        <f>IF(D107="","",IF(R107="Storniert","Storniert",IF(R107="Geliefert","Erledigt",IF(O107="","Ohne Termin",IF(Stichtag&gt;O107,"Überfällig",IF(AND(Q107&lt;&gt;"",Q107&gt;O107),"Lieferverzug",IF(OR(R107="Bestellt",R107="Teilgeliefert"),"Im Plan",IF(P107="","Im Plan",IF(Stichtag&gt;P107,"Bestellung fällig",IF(P107-Stichtag&lt;=Vorwarnzeit,"Jetzt bestellen","Im Plan"))))))))))</f>
        <v/>
      </c>
      <c r="V107" s="47" t="n"/>
    </row>
    <row r="108" ht="19" customHeight="1">
      <c r="B108" s="46">
        <f>IF(D108="","",COUNTA($D$13:D108))</f>
        <v/>
      </c>
      <c r="C108" s="47" t="n"/>
      <c r="D108" s="47" t="n"/>
      <c r="E108" s="47" t="n"/>
      <c r="F108" s="48" t="n"/>
      <c r="G108" s="49" t="n"/>
      <c r="H108" s="50" t="n"/>
      <c r="I108" s="49" t="n"/>
      <c r="J108" s="51">
        <f>IF(G108="","",ROUND(IF(I108&gt;0,ROUNDUP(ROUND(G108*(1+H108)/I108,6),0)*I108,G108*(1+H108)),4))</f>
        <v/>
      </c>
      <c r="K108" s="52" t="n"/>
      <c r="L108" s="50" t="n"/>
      <c r="M108" s="53">
        <f>IF(OR(J108="",K108=""),"",IF(R108="Storniert",0,ROUND(J108*K108*(1-L108),2)))</f>
        <v/>
      </c>
      <c r="N108" s="47" t="n"/>
      <c r="O108" s="54" t="n"/>
      <c r="P108" s="55">
        <f>IF(OR(O108="",N108=""),"",WORKDAY(O108,-IFERROR(INDEX(Tab_Lieferzeit,MATCH(N108,Tab_Lieferanten,0)),0)))</f>
        <v/>
      </c>
      <c r="Q108" s="54" t="n"/>
      <c r="R108" s="48" t="n"/>
      <c r="S108" s="49" t="n"/>
      <c r="T108" s="56">
        <f>IF(J108="","",IF(R108="Storniert",0,MAX(0,J108-S108)))</f>
        <v/>
      </c>
      <c r="U108" s="57">
        <f>IF(D108="","",IF(R108="Storniert","Storniert",IF(R108="Geliefert","Erledigt",IF(O108="","Ohne Termin",IF(Stichtag&gt;O108,"Überfällig",IF(AND(Q108&lt;&gt;"",Q108&gt;O108),"Lieferverzug",IF(OR(R108="Bestellt",R108="Teilgeliefert"),"Im Plan",IF(P108="","Im Plan",IF(Stichtag&gt;P108,"Bestellung fällig",IF(P108-Stichtag&lt;=Vorwarnzeit,"Jetzt bestellen","Im Plan"))))))))))</f>
        <v/>
      </c>
      <c r="V108" s="47" t="n"/>
    </row>
    <row r="109" ht="19" customHeight="1">
      <c r="B109" s="46">
        <f>IF(D109="","",COUNTA($D$13:D109))</f>
        <v/>
      </c>
      <c r="C109" s="47" t="n"/>
      <c r="D109" s="47" t="n"/>
      <c r="E109" s="47" t="n"/>
      <c r="F109" s="48" t="n"/>
      <c r="G109" s="49" t="n"/>
      <c r="H109" s="50" t="n"/>
      <c r="I109" s="49" t="n"/>
      <c r="J109" s="51">
        <f>IF(G109="","",ROUND(IF(I109&gt;0,ROUNDUP(ROUND(G109*(1+H109)/I109,6),0)*I109,G109*(1+H109)),4))</f>
        <v/>
      </c>
      <c r="K109" s="52" t="n"/>
      <c r="L109" s="50" t="n"/>
      <c r="M109" s="53">
        <f>IF(OR(J109="",K109=""),"",IF(R109="Storniert",0,ROUND(J109*K109*(1-L109),2)))</f>
        <v/>
      </c>
      <c r="N109" s="47" t="n"/>
      <c r="O109" s="54" t="n"/>
      <c r="P109" s="55">
        <f>IF(OR(O109="",N109=""),"",WORKDAY(O109,-IFERROR(INDEX(Tab_Lieferzeit,MATCH(N109,Tab_Lieferanten,0)),0)))</f>
        <v/>
      </c>
      <c r="Q109" s="54" t="n"/>
      <c r="R109" s="48" t="n"/>
      <c r="S109" s="49" t="n"/>
      <c r="T109" s="56">
        <f>IF(J109="","",IF(R109="Storniert",0,MAX(0,J109-S109)))</f>
        <v/>
      </c>
      <c r="U109" s="57">
        <f>IF(D109="","",IF(R109="Storniert","Storniert",IF(R109="Geliefert","Erledigt",IF(O109="","Ohne Termin",IF(Stichtag&gt;O109,"Überfällig",IF(AND(Q109&lt;&gt;"",Q109&gt;O109),"Lieferverzug",IF(OR(R109="Bestellt",R109="Teilgeliefert"),"Im Plan",IF(P109="","Im Plan",IF(Stichtag&gt;P109,"Bestellung fällig",IF(P109-Stichtag&lt;=Vorwarnzeit,"Jetzt bestellen","Im Plan"))))))))))</f>
        <v/>
      </c>
      <c r="V109" s="47" t="n"/>
    </row>
    <row r="110" ht="19" customHeight="1">
      <c r="B110" s="46">
        <f>IF(D110="","",COUNTA($D$13:D110))</f>
        <v/>
      </c>
      <c r="C110" s="47" t="n"/>
      <c r="D110" s="47" t="n"/>
      <c r="E110" s="47" t="n"/>
      <c r="F110" s="48" t="n"/>
      <c r="G110" s="49" t="n"/>
      <c r="H110" s="50" t="n"/>
      <c r="I110" s="49" t="n"/>
      <c r="J110" s="51">
        <f>IF(G110="","",ROUND(IF(I110&gt;0,ROUNDUP(ROUND(G110*(1+H110)/I110,6),0)*I110,G110*(1+H110)),4))</f>
        <v/>
      </c>
      <c r="K110" s="52" t="n"/>
      <c r="L110" s="50" t="n"/>
      <c r="M110" s="53">
        <f>IF(OR(J110="",K110=""),"",IF(R110="Storniert",0,ROUND(J110*K110*(1-L110),2)))</f>
        <v/>
      </c>
      <c r="N110" s="47" t="n"/>
      <c r="O110" s="54" t="n"/>
      <c r="P110" s="55">
        <f>IF(OR(O110="",N110=""),"",WORKDAY(O110,-IFERROR(INDEX(Tab_Lieferzeit,MATCH(N110,Tab_Lieferanten,0)),0)))</f>
        <v/>
      </c>
      <c r="Q110" s="54" t="n"/>
      <c r="R110" s="48" t="n"/>
      <c r="S110" s="49" t="n"/>
      <c r="T110" s="56">
        <f>IF(J110="","",IF(R110="Storniert",0,MAX(0,J110-S110)))</f>
        <v/>
      </c>
      <c r="U110" s="57">
        <f>IF(D110="","",IF(R110="Storniert","Storniert",IF(R110="Geliefert","Erledigt",IF(O110="","Ohne Termin",IF(Stichtag&gt;O110,"Überfällig",IF(AND(Q110&lt;&gt;"",Q110&gt;O110),"Lieferverzug",IF(OR(R110="Bestellt",R110="Teilgeliefert"),"Im Plan",IF(P110="","Im Plan",IF(Stichtag&gt;P110,"Bestellung fällig",IF(P110-Stichtag&lt;=Vorwarnzeit,"Jetzt bestellen","Im Plan"))))))))))</f>
        <v/>
      </c>
      <c r="V110" s="47" t="n"/>
    </row>
    <row r="111" ht="19" customHeight="1">
      <c r="B111" s="46">
        <f>IF(D111="","",COUNTA($D$13:D111))</f>
        <v/>
      </c>
      <c r="C111" s="47" t="n"/>
      <c r="D111" s="47" t="n"/>
      <c r="E111" s="47" t="n"/>
      <c r="F111" s="48" t="n"/>
      <c r="G111" s="49" t="n"/>
      <c r="H111" s="50" t="n"/>
      <c r="I111" s="49" t="n"/>
      <c r="J111" s="51">
        <f>IF(G111="","",ROUND(IF(I111&gt;0,ROUNDUP(ROUND(G111*(1+H111)/I111,6),0)*I111,G111*(1+H111)),4))</f>
        <v/>
      </c>
      <c r="K111" s="52" t="n"/>
      <c r="L111" s="50" t="n"/>
      <c r="M111" s="53">
        <f>IF(OR(J111="",K111=""),"",IF(R111="Storniert",0,ROUND(J111*K111*(1-L111),2)))</f>
        <v/>
      </c>
      <c r="N111" s="47" t="n"/>
      <c r="O111" s="54" t="n"/>
      <c r="P111" s="55">
        <f>IF(OR(O111="",N111=""),"",WORKDAY(O111,-IFERROR(INDEX(Tab_Lieferzeit,MATCH(N111,Tab_Lieferanten,0)),0)))</f>
        <v/>
      </c>
      <c r="Q111" s="54" t="n"/>
      <c r="R111" s="48" t="n"/>
      <c r="S111" s="49" t="n"/>
      <c r="T111" s="56">
        <f>IF(J111="","",IF(R111="Storniert",0,MAX(0,J111-S111)))</f>
        <v/>
      </c>
      <c r="U111" s="57">
        <f>IF(D111="","",IF(R111="Storniert","Storniert",IF(R111="Geliefert","Erledigt",IF(O111="","Ohne Termin",IF(Stichtag&gt;O111,"Überfällig",IF(AND(Q111&lt;&gt;"",Q111&gt;O111),"Lieferverzug",IF(OR(R111="Bestellt",R111="Teilgeliefert"),"Im Plan",IF(P111="","Im Plan",IF(Stichtag&gt;P111,"Bestellung fällig",IF(P111-Stichtag&lt;=Vorwarnzeit,"Jetzt bestellen","Im Plan"))))))))))</f>
        <v/>
      </c>
      <c r="V111" s="47" t="n"/>
    </row>
    <row r="112" ht="19" customHeight="1">
      <c r="B112" s="46">
        <f>IF(D112="","",COUNTA($D$13:D112))</f>
        <v/>
      </c>
      <c r="C112" s="47" t="n"/>
      <c r="D112" s="47" t="n"/>
      <c r="E112" s="47" t="n"/>
      <c r="F112" s="48" t="n"/>
      <c r="G112" s="49" t="n"/>
      <c r="H112" s="50" t="n"/>
      <c r="I112" s="49" t="n"/>
      <c r="J112" s="51">
        <f>IF(G112="","",ROUND(IF(I112&gt;0,ROUNDUP(ROUND(G112*(1+H112)/I112,6),0)*I112,G112*(1+H112)),4))</f>
        <v/>
      </c>
      <c r="K112" s="52" t="n"/>
      <c r="L112" s="50" t="n"/>
      <c r="M112" s="53">
        <f>IF(OR(J112="",K112=""),"",IF(R112="Storniert",0,ROUND(J112*K112*(1-L112),2)))</f>
        <v/>
      </c>
      <c r="N112" s="47" t="n"/>
      <c r="O112" s="54" t="n"/>
      <c r="P112" s="55">
        <f>IF(OR(O112="",N112=""),"",WORKDAY(O112,-IFERROR(INDEX(Tab_Lieferzeit,MATCH(N112,Tab_Lieferanten,0)),0)))</f>
        <v/>
      </c>
      <c r="Q112" s="54" t="n"/>
      <c r="R112" s="48" t="n"/>
      <c r="S112" s="49" t="n"/>
      <c r="T112" s="56">
        <f>IF(J112="","",IF(R112="Storniert",0,MAX(0,J112-S112)))</f>
        <v/>
      </c>
      <c r="U112" s="57">
        <f>IF(D112="","",IF(R112="Storniert","Storniert",IF(R112="Geliefert","Erledigt",IF(O112="","Ohne Termin",IF(Stichtag&gt;O112,"Überfällig",IF(AND(Q112&lt;&gt;"",Q112&gt;O112),"Lieferverzug",IF(OR(R112="Bestellt",R112="Teilgeliefert"),"Im Plan",IF(P112="","Im Plan",IF(Stichtag&gt;P112,"Bestellung fällig",IF(P112-Stichtag&lt;=Vorwarnzeit,"Jetzt bestellen","Im Plan"))))))))))</f>
        <v/>
      </c>
      <c r="V112" s="47" t="n"/>
    </row>
  </sheetData>
  <autoFilter ref="B12:V112"/>
  <mergeCells count="40">
    <mergeCell ref="F5:H5"/>
    <mergeCell ref="B7:C7"/>
    <mergeCell ref="I6:J6"/>
    <mergeCell ref="U8"/>
    <mergeCell ref="M6:N7"/>
    <mergeCell ref="Q6:R7"/>
    <mergeCell ref="F8:H8"/>
    <mergeCell ref="K5:L5"/>
    <mergeCell ref="S6:T7"/>
    <mergeCell ref="M5:N5"/>
    <mergeCell ref="U5"/>
    <mergeCell ref="V6:V7"/>
    <mergeCell ref="Q8:R8"/>
    <mergeCell ref="S8:T8"/>
    <mergeCell ref="O5:P5"/>
    <mergeCell ref="I7:J7"/>
    <mergeCell ref="Q5:R5"/>
    <mergeCell ref="B11:F11"/>
    <mergeCell ref="N11:Q11"/>
    <mergeCell ref="R11:U11"/>
    <mergeCell ref="G11:J11"/>
    <mergeCell ref="B8:C8"/>
    <mergeCell ref="V5"/>
    <mergeCell ref="V8"/>
    <mergeCell ref="K8:L8"/>
    <mergeCell ref="B10:C10"/>
    <mergeCell ref="O6:P7"/>
    <mergeCell ref="I5:J5"/>
    <mergeCell ref="I8:J8"/>
    <mergeCell ref="M8:N8"/>
    <mergeCell ref="O8:P8"/>
    <mergeCell ref="B6:C6"/>
    <mergeCell ref="K7:L7"/>
    <mergeCell ref="F6:H6"/>
    <mergeCell ref="B5:C5"/>
    <mergeCell ref="S5:T5"/>
    <mergeCell ref="F7:H7"/>
    <mergeCell ref="K6:L6"/>
    <mergeCell ref="U6:U7"/>
    <mergeCell ref="K11:M11"/>
  </mergeCells>
  <conditionalFormatting sqref="O6:P7">
    <cfRule type="cellIs" priority="1" operator="lessThan" dxfId="0">
      <formula>0</formula>
    </cfRule>
  </conditionalFormatting>
  <conditionalFormatting sqref="U6">
    <cfRule type="cellIs" priority="2" operator="greaterThan" dxfId="0">
      <formula>0</formula>
    </cfRule>
  </conditionalFormatting>
  <conditionalFormatting sqref="B13:V112">
    <cfRule type="expression" priority="3" dxfId="1">
      <formula>$R13="Storniert"</formula>
    </cfRule>
  </conditionalFormatting>
  <conditionalFormatting sqref="R13:R112">
    <cfRule type="cellIs" priority="4" operator="equal" dxfId="2">
      <formula>"Geplant"</formula>
    </cfRule>
    <cfRule type="cellIs" priority="5" operator="equal" dxfId="3">
      <formula>"Angefragt"</formula>
    </cfRule>
    <cfRule type="cellIs" priority="6" operator="equal" dxfId="4">
      <formula>"Bestellt"</formula>
    </cfRule>
    <cfRule type="cellIs" priority="7" operator="equal" dxfId="5">
      <formula>"Teilgeliefert"</formula>
    </cfRule>
    <cfRule type="cellIs" priority="8" operator="equal" dxfId="6">
      <formula>"Geliefert"</formula>
    </cfRule>
  </conditionalFormatting>
  <conditionalFormatting sqref="U13:U112">
    <cfRule type="cellIs" priority="9" operator="equal" dxfId="7">
      <formula>"Überfällig"</formula>
    </cfRule>
    <cfRule type="cellIs" priority="10" operator="equal" dxfId="7">
      <formula>"Bestellung fällig"</formula>
    </cfRule>
    <cfRule type="cellIs" priority="11" operator="equal" dxfId="8">
      <formula>"Lieferverzug"</formula>
    </cfRule>
    <cfRule type="cellIs" priority="12" operator="equal" dxfId="9">
      <formula>"Jetzt bestellen"</formula>
    </cfRule>
    <cfRule type="cellIs" priority="13" operator="equal" dxfId="10">
      <formula>"Im Plan"</formula>
    </cfRule>
    <cfRule type="cellIs" priority="14" operator="equal" dxfId="11">
      <formula>"Erledigt"</formula>
    </cfRule>
    <cfRule type="cellIs" priority="15" operator="equal" dxfId="12">
      <formula>"Ohne Termin"</formula>
    </cfRule>
    <cfRule type="cellIs" priority="16" operator="equal" dxfId="13">
      <formula>"Storniert"</formula>
    </cfRule>
  </conditionalFormatting>
  <conditionalFormatting sqref="Q13:Q112">
    <cfRule type="expression" priority="17" dxfId="14">
      <formula>AND($Q13&lt;&gt;"",$O13&lt;&gt;"",$Q13&gt;$O13)</formula>
    </cfRule>
  </conditionalFormatting>
  <dataValidations count="12">
    <dataValidation sqref="E13:E112" showDropDown="0" showInputMessage="1" showErrorMessage="1" allowBlank="1" errorTitle="Ungültiger Eintrag" error="Bitte einen Wert aus der Liste wählen (Liste im Blatt Stammdaten erweiterbar)." promptTitle="Kategorie" prompt="Auswahl aus der Kategorienliste (Stammdaten)." type="list" errorStyle="stop">
      <formula1>=Liste_Kategorien</formula1>
    </dataValidation>
    <dataValidation sqref="F13:F112" showDropDown="0" showInputMessage="1" showErrorMessage="1" allowBlank="1" errorTitle="Ungültiger Eintrag" error="Bitte einen Wert aus der Liste wählen (Liste im Blatt Stammdaten erweiterbar)." promptTitle="Einheit" prompt="Mengeneinheit wählen, z. B. Stk., m², lfm." type="list" errorStyle="stop">
      <formula1>=Liste_Einheiten</formula1>
    </dataValidation>
    <dataValidation sqref="N13:N112" showDropDown="0" showInputMessage="1" showErrorMessage="1" allowBlank="1" errorTitle="Ungültiger Eintrag" error="Bitte einen Wert aus der Liste wählen (Liste im Blatt Stammdaten erweiterbar)." promptTitle="Lieferant" prompt="Lieferant wählen – die Lieferzeit wird aus den Stammdaten übernommen." type="list" errorStyle="stop">
      <formula1>=Liste_Lieferanten</formula1>
    </dataValidation>
    <dataValidation sqref="R13:R112" showDropDown="0" showInputMessage="1" showErrorMessage="1" allowBlank="1" errorTitle="Ungültiger Eintrag" error="Bitte einen Wert aus der Liste wählen (Liste im Blatt Stammdaten erweiterbar)." promptTitle="Status" prompt="Geplant → Angefragt → Bestellt → Teilgeliefert → Geliefert (oder Storniert)." type="list" errorStyle="stop">
      <formula1>=Liste_Status</formula1>
    </dataValidation>
    <dataValidation sqref="G13:G112" showDropDown="0" showInputMessage="1" showErrorMessage="1" allowBlank="1" errorTitle="Ungültiger Wert" error="Bitte eine Zahl ≥ 0 eingeben." promptTitle="Bedarf" prompt="Netto-Bedarf laut Plan, Aufmaß oder Stückliste – ohne Reserve." type="decimal" operator="greaterThanOrEqual">
      <formula1>0</formula1>
    </dataValidation>
    <dataValidation sqref="H13:H112" showDropDown="0" showInputMessage="1" showErrorMessage="1" allowBlank="1" errorTitle="Ungültiger Wert" error="Bitte einen Prozentwert zwischen 0 % und 100 % eingeben." promptTitle="Zuschlag" prompt="Verschnitt / Reserve in %, z. B. 10 %. Leer = kein Zuschlag." type="decimal" operator="between">
      <formula1>0</formula1>
      <formula2>1</formula2>
    </dataValidation>
    <dataValidation sqref="I13:I112" showDropDown="0" showInputMessage="1" showErrorMessage="1" allowBlank="1" errorTitle="Ungültiger Wert" error="Bitte eine Zahl ≥ 0 eingeben." promptTitle="VPE" prompt="Verpackungseinheit des Lieferanten (z. B. 50, 2,2 oder 6). Die Bestellmenge wird darauf aufgerundet. Leer = keine Rundung." type="decimal" operator="greaterThanOrEqual">
      <formula1>0</formula1>
    </dataValidation>
    <dataValidation sqref="K13:K112" showDropDown="0" showInputMessage="1" showErrorMessage="1" allowBlank="1" errorTitle="Ungültiger Wert" error="Bitte eine Zahl ≥ 0 eingeben." promptTitle="Einzelpreis" prompt="Nettopreis je Einheit (Spalte Einheit)." type="decimal" operator="greaterThanOrEqual">
      <formula1>0</formula1>
    </dataValidation>
    <dataValidation sqref="L13:L112" showDropDown="0" showInputMessage="1" showErrorMessage="1" allowBlank="1" errorTitle="Ungültiger Wert" error="Bitte einen Prozentwert zwischen 0 % und 100 % eingeben." promptTitle="Rabatt" prompt="Lieferantenrabatt in %. Leer = kein Rabatt." type="decimal" operator="between">
      <formula1>0</formula1>
      <formula2>1</formula2>
    </dataValidation>
    <dataValidation sqref="S13:S112" showDropDown="0" showInputMessage="1" showErrorMessage="1" allowBlank="1" errorTitle="Ungültiger Wert" error="Bitte eine Zahl ≥ 0 eingeben." promptTitle="Geliefert" prompt="Tatsächlich eingetroffene Menge (gleiche Einheit wie Bestellmenge)." type="decimal" operator="greaterThanOrEqual">
      <formula1>0</formula1>
    </dataValidation>
    <dataValidation sqref="O13:O112" showDropDown="0" showInputMessage="1" showErrorMessage="1" allowBlank="1" errorTitle="Ungültiger Wert" error="Bitte ein gültiges Datum im Format TT.MM.JJJJ eingeben." promptTitle="Benötigt am" prompt="Datum, an dem das Material vor Ort sein muss." type="date" operator="between">
      <formula1>43831</formula1>
      <formula2>51501</formula2>
    </dataValidation>
    <dataValidation sqref="Q13:Q112" showDropDown="0" showInputMessage="1" showErrorMessage="1" allowBlank="1" errorTitle="Ungültiger Wert" error="Bitte ein gültiges Datum im Format TT.MM.JJJJ eingeben." promptTitle="Liefertermin" prompt="Vom Lieferanten bestätigter Liefertermin." type="date" operator="between">
      <formula1>43831</formula1>
      <formula2>51501</formula2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&amp;A – &amp;D&amp;R&amp;8 Seite &amp;P von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3A3D45"/>
    <outlinePr summaryBelow="1" summaryRight="1"/>
    <pageSetUpPr fitToPage="1"/>
  </sheetPr>
  <dimension ref="A2:M50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.6" customWidth="1" min="1" max="1"/>
    <col width="32" customWidth="1" min="2" max="2"/>
    <col width="15" customWidth="1" min="3" max="3"/>
    <col width="16" customWidth="1" min="4" max="4"/>
    <col width="15" customWidth="1" min="5" max="5"/>
    <col width="14" customWidth="1" min="6" max="6"/>
    <col width="12" customWidth="1" min="7" max="7"/>
    <col width="10" customWidth="1" min="8" max="8"/>
    <col width="3" customWidth="1" min="9" max="9"/>
    <col width="21" customWidth="1" min="10" max="10"/>
    <col width="11" customWidth="1" min="11" max="11"/>
    <col width="16" customWidth="1" min="12" max="12"/>
    <col width="24" customWidth="1" min="13" max="13"/>
  </cols>
  <sheetData>
    <row r="1" ht="10" customHeight="1"/>
    <row r="2" ht="36" customHeight="1">
      <c r="A2" s="1" t="n"/>
      <c r="B2" s="2" t="inlineStr">
        <is>
          <t>AUSWERTUNG</t>
        </is>
      </c>
      <c r="L2" s="58" t="inlineStr">
        <is>
          <t>Stichtag</t>
        </is>
      </c>
      <c r="M2" s="59">
        <f>Stichtag</f>
        <v/>
      </c>
    </row>
    <row r="3" ht="18" customHeight="1">
      <c r="A3" s="1" t="n"/>
      <c r="B3" s="4">
        <f>"Projekt: "&amp;Materialliste!D5&amp;"   ·   "&amp;Materialliste!D6</f>
        <v/>
      </c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12" customHeight="1"/>
    <row r="5" ht="18" customHeight="1">
      <c r="B5" s="11" t="inlineStr">
        <is>
          <t>GESAMTBUDGET NETTO</t>
        </is>
      </c>
      <c r="C5" s="11" t="inlineStr">
        <is>
          <t>BESTELLWERT NETTO</t>
        </is>
      </c>
      <c r="D5" s="12" t="n"/>
      <c r="E5" s="11" t="inlineStr">
        <is>
          <t>RESTBUDGET</t>
        </is>
      </c>
      <c r="F5" s="12" t="n"/>
      <c r="G5" s="11" t="inlineStr">
        <is>
          <t>LIEFERGRAD</t>
        </is>
      </c>
      <c r="H5" s="12" t="n"/>
      <c r="J5" s="11" t="inlineStr">
        <is>
          <t>POSITIONEN</t>
        </is>
      </c>
      <c r="K5" s="12" t="n"/>
      <c r="L5" s="11" t="inlineStr">
        <is>
          <t>KRITISCHE TERMINE</t>
        </is>
      </c>
      <c r="M5" s="12" t="n"/>
    </row>
    <row r="6" ht="22" customHeight="1">
      <c r="B6" s="15">
        <f>Budget_Netto</f>
        <v/>
      </c>
      <c r="C6" s="15">
        <f>Materialliste!M6</f>
        <v/>
      </c>
      <c r="D6" s="16" t="n"/>
      <c r="E6" s="15">
        <f>Materialliste!O6</f>
        <v/>
      </c>
      <c r="F6" s="16" t="n"/>
      <c r="G6" s="17">
        <f>Materialliste!S6</f>
        <v/>
      </c>
      <c r="H6" s="18" t="n"/>
      <c r="J6" s="60">
        <f>Materialliste!M8</f>
        <v/>
      </c>
      <c r="K6" s="61" t="n"/>
      <c r="L6" s="62">
        <f>Materialliste!U6</f>
        <v/>
      </c>
      <c r="M6" s="63" t="n"/>
    </row>
    <row r="7" ht="22" customHeight="1">
      <c r="B7" s="15" t="n"/>
      <c r="C7" s="15" t="n"/>
      <c r="D7" s="16" t="n"/>
      <c r="E7" s="15" t="n"/>
      <c r="F7" s="16" t="n"/>
      <c r="G7" s="17" t="n"/>
      <c r="H7" s="18" t="n"/>
      <c r="J7" s="60" t="n"/>
      <c r="K7" s="61" t="n"/>
      <c r="L7" s="62" t="n"/>
      <c r="M7" s="63" t="n"/>
    </row>
    <row r="8" ht="20" customHeight="1">
      <c r="B8" s="64">
        <f>Stammdaten!C23</f>
        <v/>
      </c>
      <c r="C8" s="65">
        <f>Materialliste!Q6</f>
        <v/>
      </c>
      <c r="D8" s="66" t="n"/>
      <c r="E8" s="67">
        <f>Materialliste!O8</f>
        <v/>
      </c>
      <c r="F8" s="68" t="n"/>
      <c r="G8" s="69">
        <f>Materialliste!S8</f>
        <v/>
      </c>
      <c r="H8" s="70" t="n"/>
      <c r="J8" s="33">
        <f>Materialliste!U8</f>
        <v/>
      </c>
      <c r="K8" s="71" t="n"/>
      <c r="L8" s="34" t="inlineStr">
        <is>
          <t>Überfällig · Bestellung fällig · Lieferverzug</t>
        </is>
      </c>
      <c r="M8" s="72" t="n"/>
    </row>
    <row r="9" ht="14" customHeight="1"/>
    <row r="10" ht="22" customHeight="1">
      <c r="B10" s="73" t="inlineStr">
        <is>
          <t>KOSTEN NACH KATEGORIE  ·  Plan / Ist</t>
        </is>
      </c>
      <c r="C10" s="73" t="n"/>
      <c r="D10" s="73" t="n"/>
      <c r="E10" s="73" t="n"/>
      <c r="F10" s="73" t="n"/>
      <c r="G10" s="73" t="n"/>
      <c r="H10" s="73" t="n"/>
      <c r="J10" s="73" t="inlineStr">
        <is>
          <t>STATUS DER POSITIONEN</t>
        </is>
      </c>
      <c r="K10" s="73" t="n"/>
      <c r="L10" s="73" t="n"/>
      <c r="M10" s="73" t="n"/>
    </row>
    <row r="11" ht="30" customHeight="1">
      <c r="B11" s="74" t="inlineStr">
        <is>
          <t>Kategorie</t>
        </is>
      </c>
      <c r="C11" s="44" t="inlineStr">
        <is>
          <t>Planbudget
netto</t>
        </is>
      </c>
      <c r="D11" s="44" t="inlineStr">
        <is>
          <t>Bestellwert
netto</t>
        </is>
      </c>
      <c r="E11" s="44" t="inlineStr">
        <is>
          <t>Abweichung
(Plan − Ist)</t>
        </is>
      </c>
      <c r="F11" s="44" t="inlineStr">
        <is>
          <t>Ausschöpfung</t>
        </is>
      </c>
      <c r="G11" s="44" t="inlineStr">
        <is>
          <t>Anteil am
Bestellwert</t>
        </is>
      </c>
      <c r="H11" s="44" t="inlineStr">
        <is>
          <t>Pos.</t>
        </is>
      </c>
      <c r="J11" s="74" t="inlineStr">
        <is>
          <t>Status</t>
        </is>
      </c>
      <c r="K11" s="44" t="inlineStr">
        <is>
          <t>Pos.</t>
        </is>
      </c>
      <c r="L11" s="44" t="inlineStr">
        <is>
          <t>Wert netto</t>
        </is>
      </c>
      <c r="M11" s="44" t="inlineStr">
        <is>
          <t>Anteil am Wert</t>
        </is>
      </c>
    </row>
    <row r="12" ht="19" customHeight="1">
      <c r="B12" s="75">
        <f>IF(Stammdaten!B7="","",Stammdaten!B7)</f>
        <v/>
      </c>
      <c r="C12" s="76">
        <f>IF(OR(B12="",Stammdaten!C7=""),"",Stammdaten!C7)</f>
        <v/>
      </c>
      <c r="D12" s="77">
        <f>IF(B12="","",SUMIFS(Materialliste!$M$13:$M$112,Materialliste!$E$13:$E$112,B12))</f>
        <v/>
      </c>
      <c r="E12" s="78">
        <f>IF(OR(B12="",C12=""),"",C12-D12)</f>
        <v/>
      </c>
      <c r="F12" s="79">
        <f>IF(OR(B12="",C12="",N(C12)=0),"",D12/C12)</f>
        <v/>
      </c>
      <c r="G12" s="79">
        <f>IF(OR(B12="",SUM(Materialliste!$M$13:$M$112)=0),"",D12/SUM(Materialliste!$M$13:$M$112))</f>
        <v/>
      </c>
      <c r="H12" s="80">
        <f>IF(B12="","",COUNTIFS(Materialliste!$E$13:$E$112,B12))</f>
        <v/>
      </c>
      <c r="J12" s="81">
        <f>Stammdaten!G7</f>
        <v/>
      </c>
      <c r="K12" s="82">
        <f>COUNTIFS(Materialliste!$R$13:$R$112,J12,Materialliste!$D$13:$D$112,"&lt;&gt;")</f>
        <v/>
      </c>
      <c r="L12" s="76">
        <f>SUMIFS(Materialliste!$M$13:$M$112,Materialliste!$R$13:$R$112,J12)</f>
        <v/>
      </c>
      <c r="M12" s="83">
        <f>IF(SUM(Materialliste!$M$13:$M$112)=0,0,L12/SUM(Materialliste!$M$13:$M$112))</f>
        <v/>
      </c>
    </row>
    <row r="13" ht="19" customHeight="1">
      <c r="B13" s="75">
        <f>IF(Stammdaten!B8="","",Stammdaten!B8)</f>
        <v/>
      </c>
      <c r="C13" s="76">
        <f>IF(OR(B13="",Stammdaten!C8=""),"",Stammdaten!C8)</f>
        <v/>
      </c>
      <c r="D13" s="77">
        <f>IF(B13="","",SUMIFS(Materialliste!$M$13:$M$112,Materialliste!$E$13:$E$112,B13))</f>
        <v/>
      </c>
      <c r="E13" s="78">
        <f>IF(OR(B13="",C13=""),"",C13-D13)</f>
        <v/>
      </c>
      <c r="F13" s="79">
        <f>IF(OR(B13="",C13="",N(C13)=0),"",D13/C13)</f>
        <v/>
      </c>
      <c r="G13" s="79">
        <f>IF(OR(B13="",SUM(Materialliste!$M$13:$M$112)=0),"",D13/SUM(Materialliste!$M$13:$M$112))</f>
        <v/>
      </c>
      <c r="H13" s="80">
        <f>IF(B13="","",COUNTIFS(Materialliste!$E$13:$E$112,B13))</f>
        <v/>
      </c>
      <c r="J13" s="81">
        <f>Stammdaten!G8</f>
        <v/>
      </c>
      <c r="K13" s="82">
        <f>COUNTIFS(Materialliste!$R$13:$R$112,J13,Materialliste!$D$13:$D$112,"&lt;&gt;")</f>
        <v/>
      </c>
      <c r="L13" s="76">
        <f>SUMIFS(Materialliste!$M$13:$M$112,Materialliste!$R$13:$R$112,J13)</f>
        <v/>
      </c>
      <c r="M13" s="83">
        <f>IF(SUM(Materialliste!$M$13:$M$112)=0,0,L13/SUM(Materialliste!$M$13:$M$112))</f>
        <v/>
      </c>
    </row>
    <row r="14" ht="19" customHeight="1">
      <c r="B14" s="75">
        <f>IF(Stammdaten!B9="","",Stammdaten!B9)</f>
        <v/>
      </c>
      <c r="C14" s="76">
        <f>IF(OR(B14="",Stammdaten!C9=""),"",Stammdaten!C9)</f>
        <v/>
      </c>
      <c r="D14" s="77">
        <f>IF(B14="","",SUMIFS(Materialliste!$M$13:$M$112,Materialliste!$E$13:$E$112,B14))</f>
        <v/>
      </c>
      <c r="E14" s="78">
        <f>IF(OR(B14="",C14=""),"",C14-D14)</f>
        <v/>
      </c>
      <c r="F14" s="79">
        <f>IF(OR(B14="",C14="",N(C14)=0),"",D14/C14)</f>
        <v/>
      </c>
      <c r="G14" s="79">
        <f>IF(OR(B14="",SUM(Materialliste!$M$13:$M$112)=0),"",D14/SUM(Materialliste!$M$13:$M$112))</f>
        <v/>
      </c>
      <c r="H14" s="80">
        <f>IF(B14="","",COUNTIFS(Materialliste!$E$13:$E$112,B14))</f>
        <v/>
      </c>
      <c r="J14" s="81">
        <f>Stammdaten!G9</f>
        <v/>
      </c>
      <c r="K14" s="82">
        <f>COUNTIFS(Materialliste!$R$13:$R$112,J14,Materialliste!$D$13:$D$112,"&lt;&gt;")</f>
        <v/>
      </c>
      <c r="L14" s="76">
        <f>SUMIFS(Materialliste!$M$13:$M$112,Materialliste!$R$13:$R$112,J14)</f>
        <v/>
      </c>
      <c r="M14" s="83">
        <f>IF(SUM(Materialliste!$M$13:$M$112)=0,0,L14/SUM(Materialliste!$M$13:$M$112))</f>
        <v/>
      </c>
    </row>
    <row r="15" ht="19" customHeight="1">
      <c r="B15" s="75">
        <f>IF(Stammdaten!B10="","",Stammdaten!B10)</f>
        <v/>
      </c>
      <c r="C15" s="76">
        <f>IF(OR(B15="",Stammdaten!C10=""),"",Stammdaten!C10)</f>
        <v/>
      </c>
      <c r="D15" s="77">
        <f>IF(B15="","",SUMIFS(Materialliste!$M$13:$M$112,Materialliste!$E$13:$E$112,B15))</f>
        <v/>
      </c>
      <c r="E15" s="78">
        <f>IF(OR(B15="",C15=""),"",C15-D15)</f>
        <v/>
      </c>
      <c r="F15" s="79">
        <f>IF(OR(B15="",C15="",N(C15)=0),"",D15/C15)</f>
        <v/>
      </c>
      <c r="G15" s="79">
        <f>IF(OR(B15="",SUM(Materialliste!$M$13:$M$112)=0),"",D15/SUM(Materialliste!$M$13:$M$112))</f>
        <v/>
      </c>
      <c r="H15" s="80">
        <f>IF(B15="","",COUNTIFS(Materialliste!$E$13:$E$112,B15))</f>
        <v/>
      </c>
      <c r="J15" s="81">
        <f>Stammdaten!G10</f>
        <v/>
      </c>
      <c r="K15" s="82">
        <f>COUNTIFS(Materialliste!$R$13:$R$112,J15,Materialliste!$D$13:$D$112,"&lt;&gt;")</f>
        <v/>
      </c>
      <c r="L15" s="76">
        <f>SUMIFS(Materialliste!$M$13:$M$112,Materialliste!$R$13:$R$112,J15)</f>
        <v/>
      </c>
      <c r="M15" s="83">
        <f>IF(SUM(Materialliste!$M$13:$M$112)=0,0,L15/SUM(Materialliste!$M$13:$M$112))</f>
        <v/>
      </c>
    </row>
    <row r="16" ht="19" customHeight="1">
      <c r="B16" s="75">
        <f>IF(Stammdaten!B11="","",Stammdaten!B11)</f>
        <v/>
      </c>
      <c r="C16" s="76">
        <f>IF(OR(B16="",Stammdaten!C11=""),"",Stammdaten!C11)</f>
        <v/>
      </c>
      <c r="D16" s="77">
        <f>IF(B16="","",SUMIFS(Materialliste!$M$13:$M$112,Materialliste!$E$13:$E$112,B16))</f>
        <v/>
      </c>
      <c r="E16" s="78">
        <f>IF(OR(B16="",C16=""),"",C16-D16)</f>
        <v/>
      </c>
      <c r="F16" s="79">
        <f>IF(OR(B16="",C16="",N(C16)=0),"",D16/C16)</f>
        <v/>
      </c>
      <c r="G16" s="79">
        <f>IF(OR(B16="",SUM(Materialliste!$M$13:$M$112)=0),"",D16/SUM(Materialliste!$M$13:$M$112))</f>
        <v/>
      </c>
      <c r="H16" s="80">
        <f>IF(B16="","",COUNTIFS(Materialliste!$E$13:$E$112,B16))</f>
        <v/>
      </c>
      <c r="J16" s="81">
        <f>Stammdaten!G11</f>
        <v/>
      </c>
      <c r="K16" s="82">
        <f>COUNTIFS(Materialliste!$R$13:$R$112,J16,Materialliste!$D$13:$D$112,"&lt;&gt;")</f>
        <v/>
      </c>
      <c r="L16" s="76">
        <f>SUMIFS(Materialliste!$M$13:$M$112,Materialliste!$R$13:$R$112,J16)</f>
        <v/>
      </c>
      <c r="M16" s="83">
        <f>IF(SUM(Materialliste!$M$13:$M$112)=0,0,L16/SUM(Materialliste!$M$13:$M$112))</f>
        <v/>
      </c>
    </row>
    <row r="17" ht="19" customHeight="1">
      <c r="B17" s="75">
        <f>IF(Stammdaten!B12="","",Stammdaten!B12)</f>
        <v/>
      </c>
      <c r="C17" s="76">
        <f>IF(OR(B17="",Stammdaten!C12=""),"",Stammdaten!C12)</f>
        <v/>
      </c>
      <c r="D17" s="77">
        <f>IF(B17="","",SUMIFS(Materialliste!$M$13:$M$112,Materialliste!$E$13:$E$112,B17))</f>
        <v/>
      </c>
      <c r="E17" s="78">
        <f>IF(OR(B17="",C17=""),"",C17-D17)</f>
        <v/>
      </c>
      <c r="F17" s="79">
        <f>IF(OR(B17="",C17="",N(C17)=0),"",D17/C17)</f>
        <v/>
      </c>
      <c r="G17" s="79">
        <f>IF(OR(B17="",SUM(Materialliste!$M$13:$M$112)=0),"",D17/SUM(Materialliste!$M$13:$M$112))</f>
        <v/>
      </c>
      <c r="H17" s="80">
        <f>IF(B17="","",COUNTIFS(Materialliste!$E$13:$E$112,B17))</f>
        <v/>
      </c>
      <c r="J17" s="81">
        <f>Stammdaten!G12</f>
        <v/>
      </c>
      <c r="K17" s="82">
        <f>COUNTIFS(Materialliste!$R$13:$R$112,J17,Materialliste!$D$13:$D$112,"&lt;&gt;")</f>
        <v/>
      </c>
      <c r="L17" s="76">
        <f>SUMIFS(Materialliste!$M$13:$M$112,Materialliste!$R$13:$R$112,J17)</f>
        <v/>
      </c>
      <c r="M17" s="83">
        <f>IF(SUM(Materialliste!$M$13:$M$112)=0,0,L17/SUM(Materialliste!$M$13:$M$112))</f>
        <v/>
      </c>
    </row>
    <row r="18" ht="19" customHeight="1">
      <c r="B18" s="75">
        <f>IF(Stammdaten!B13="","",Stammdaten!B13)</f>
        <v/>
      </c>
      <c r="C18" s="76">
        <f>IF(OR(B18="",Stammdaten!C13=""),"",Stammdaten!C13)</f>
        <v/>
      </c>
      <c r="D18" s="77">
        <f>IF(B18="","",SUMIFS(Materialliste!$M$13:$M$112,Materialliste!$E$13:$E$112,B18))</f>
        <v/>
      </c>
      <c r="E18" s="78">
        <f>IF(OR(B18="",C18=""),"",C18-D18)</f>
        <v/>
      </c>
      <c r="F18" s="79">
        <f>IF(OR(B18="",C18="",N(C18)=0),"",D18/C18)</f>
        <v/>
      </c>
      <c r="G18" s="79">
        <f>IF(OR(B18="",SUM(Materialliste!$M$13:$M$112)=0),"",D18/SUM(Materialliste!$M$13:$M$112))</f>
        <v/>
      </c>
      <c r="H18" s="80">
        <f>IF(B18="","",COUNTIFS(Materialliste!$E$13:$E$112,B18))</f>
        <v/>
      </c>
      <c r="J18" s="84" t="inlineStr">
        <is>
          <t>Ohne Status</t>
        </is>
      </c>
      <c r="K18" s="85">
        <f>COUNTA(Materialliste!$D$13:$D$112)-SUM(K12:K17)</f>
        <v/>
      </c>
      <c r="L18" s="86">
        <f>SUM(Materialliste!$M$13:$M$112)-SUM(L12:L17)</f>
        <v/>
      </c>
      <c r="M18" s="87">
        <f>IF(SUM(Materialliste!$M$13:$M$112)=0,0,L18/SUM(Materialliste!$M$13:$M$112))</f>
        <v/>
      </c>
    </row>
    <row r="19" ht="19" customHeight="1">
      <c r="B19" s="75">
        <f>IF(Stammdaten!B14="","",Stammdaten!B14)</f>
        <v/>
      </c>
      <c r="C19" s="76">
        <f>IF(OR(B19="",Stammdaten!C14=""),"",Stammdaten!C14)</f>
        <v/>
      </c>
      <c r="D19" s="77">
        <f>IF(B19="","",SUMIFS(Materialliste!$M$13:$M$112,Materialliste!$E$13:$E$112,B19))</f>
        <v/>
      </c>
      <c r="E19" s="78">
        <f>IF(OR(B19="",C19=""),"",C19-D19)</f>
        <v/>
      </c>
      <c r="F19" s="79">
        <f>IF(OR(B19="",C19="",N(C19)=0),"",D19/C19)</f>
        <v/>
      </c>
      <c r="G19" s="79">
        <f>IF(OR(B19="",SUM(Materialliste!$M$13:$M$112)=0),"",D19/SUM(Materialliste!$M$13:$M$112))</f>
        <v/>
      </c>
      <c r="H19" s="80">
        <f>IF(B19="","",COUNTIFS(Materialliste!$E$13:$E$112,B19))</f>
        <v/>
      </c>
      <c r="J19" s="88" t="inlineStr">
        <is>
          <t>Summe</t>
        </is>
      </c>
      <c r="K19" s="89">
        <f>SUM(K12:K18)</f>
        <v/>
      </c>
      <c r="L19" s="90">
        <f>SUM(L12:L18)</f>
        <v/>
      </c>
      <c r="M19" s="91">
        <f>SUM(M12:M18)</f>
        <v/>
      </c>
    </row>
    <row r="20" ht="19" customHeight="1">
      <c r="B20" s="75">
        <f>IF(Stammdaten!B15="","",Stammdaten!B15)</f>
        <v/>
      </c>
      <c r="C20" s="76">
        <f>IF(OR(B20="",Stammdaten!C15=""),"",Stammdaten!C15)</f>
        <v/>
      </c>
      <c r="D20" s="77">
        <f>IF(B20="","",SUMIFS(Materialliste!$M$13:$M$112,Materialliste!$E$13:$E$112,B20))</f>
        <v/>
      </c>
      <c r="E20" s="78">
        <f>IF(OR(B20="",C20=""),"",C20-D20)</f>
        <v/>
      </c>
      <c r="F20" s="79">
        <f>IF(OR(B20="",C20="",N(C20)=0),"",D20/C20)</f>
        <v/>
      </c>
      <c r="G20" s="79">
        <f>IF(OR(B20="",SUM(Materialliste!$M$13:$M$112)=0),"",D20/SUM(Materialliste!$M$13:$M$112))</f>
        <v/>
      </c>
      <c r="H20" s="80">
        <f>IF(B20="","",COUNTIFS(Materialliste!$E$13:$E$112,B20))</f>
        <v/>
      </c>
    </row>
    <row r="21" ht="22" customHeight="1">
      <c r="B21" s="75">
        <f>IF(Stammdaten!B16="","",Stammdaten!B16)</f>
        <v/>
      </c>
      <c r="C21" s="76">
        <f>IF(OR(B21="",Stammdaten!C16=""),"",Stammdaten!C16)</f>
        <v/>
      </c>
      <c r="D21" s="77">
        <f>IF(B21="","",SUMIFS(Materialliste!$M$13:$M$112,Materialliste!$E$13:$E$112,B21))</f>
        <v/>
      </c>
      <c r="E21" s="78">
        <f>IF(OR(B21="",C21=""),"",C21-D21)</f>
        <v/>
      </c>
      <c r="F21" s="79">
        <f>IF(OR(B21="",C21="",N(C21)=0),"",D21/C21)</f>
        <v/>
      </c>
      <c r="G21" s="79">
        <f>IF(OR(B21="",SUM(Materialliste!$M$13:$M$112)=0),"",D21/SUM(Materialliste!$M$13:$M$112))</f>
        <v/>
      </c>
      <c r="H21" s="80">
        <f>IF(B21="","",COUNTIFS(Materialliste!$E$13:$E$112,B21))</f>
        <v/>
      </c>
      <c r="J21" s="73" t="inlineStr">
        <is>
          <t>TERMIN-HINWEISE</t>
        </is>
      </c>
      <c r="K21" s="73" t="n"/>
      <c r="L21" s="73" t="n"/>
      <c r="M21" s="73" t="n"/>
    </row>
    <row r="22" ht="22" customHeight="1">
      <c r="B22" s="75">
        <f>IF(Stammdaten!B17="","",Stammdaten!B17)</f>
        <v/>
      </c>
      <c r="C22" s="76">
        <f>IF(OR(B22="",Stammdaten!C17=""),"",Stammdaten!C17)</f>
        <v/>
      </c>
      <c r="D22" s="77">
        <f>IF(B22="","",SUMIFS(Materialliste!$M$13:$M$112,Materialliste!$E$13:$E$112,B22))</f>
        <v/>
      </c>
      <c r="E22" s="78">
        <f>IF(OR(B22="",C22=""),"",C22-D22)</f>
        <v/>
      </c>
      <c r="F22" s="79">
        <f>IF(OR(B22="",C22="",N(C22)=0),"",D22/C22)</f>
        <v/>
      </c>
      <c r="G22" s="79">
        <f>IF(OR(B22="",SUM(Materialliste!$M$13:$M$112)=0),"",D22/SUM(Materialliste!$M$13:$M$112))</f>
        <v/>
      </c>
      <c r="H22" s="80">
        <f>IF(B22="","",COUNTIFS(Materialliste!$E$13:$E$112,B22))</f>
        <v/>
      </c>
      <c r="J22" s="74" t="inlineStr">
        <is>
          <t>Hinweis</t>
        </is>
      </c>
      <c r="K22" s="44" t="inlineStr">
        <is>
          <t>Pos.</t>
        </is>
      </c>
      <c r="L22" s="44" t="inlineStr">
        <is>
          <t>Bedeutung</t>
        </is>
      </c>
      <c r="M22" s="92" t="n"/>
    </row>
    <row r="23" ht="19" customHeight="1">
      <c r="B23" s="75">
        <f>IF(Stammdaten!B18="","",Stammdaten!B18)</f>
        <v/>
      </c>
      <c r="C23" s="76">
        <f>IF(OR(B23="",Stammdaten!C18=""),"",Stammdaten!C18)</f>
        <v/>
      </c>
      <c r="D23" s="77">
        <f>IF(B23="","",SUMIFS(Materialliste!$M$13:$M$112,Materialliste!$E$13:$E$112,B23))</f>
        <v/>
      </c>
      <c r="E23" s="78">
        <f>IF(OR(B23="",C23=""),"",C23-D23)</f>
        <v/>
      </c>
      <c r="F23" s="79">
        <f>IF(OR(B23="",C23="",N(C23)=0),"",D23/C23)</f>
        <v/>
      </c>
      <c r="G23" s="79">
        <f>IF(OR(B23="",SUM(Materialliste!$M$13:$M$112)=0),"",D23/SUM(Materialliste!$M$13:$M$112))</f>
        <v/>
      </c>
      <c r="H23" s="80">
        <f>IF(B23="","",COUNTIFS(Materialliste!$E$13:$E$112,B23))</f>
        <v/>
      </c>
      <c r="J23" s="81" t="inlineStr">
        <is>
          <t>Überfällig</t>
        </is>
      </c>
      <c r="K23" s="93">
        <f>COUNTIF(Materialliste!$U$13:$U$112,J23)</f>
        <v/>
      </c>
      <c r="L23" s="94" t="inlineStr">
        <is>
          <t>Benötigt-Termin liegt vor dem Stichtag</t>
        </is>
      </c>
      <c r="M23" s="95" t="n"/>
    </row>
    <row r="24" ht="19" customHeight="1">
      <c r="B24" s="75">
        <f>IF(Stammdaten!B19="","",Stammdaten!B19)</f>
        <v/>
      </c>
      <c r="C24" s="76">
        <f>IF(OR(B24="",Stammdaten!C19=""),"",Stammdaten!C19)</f>
        <v/>
      </c>
      <c r="D24" s="77">
        <f>IF(B24="","",SUMIFS(Materialliste!$M$13:$M$112,Materialliste!$E$13:$E$112,B24))</f>
        <v/>
      </c>
      <c r="E24" s="78">
        <f>IF(OR(B24="",C24=""),"",C24-D24)</f>
        <v/>
      </c>
      <c r="F24" s="79">
        <f>IF(OR(B24="",C24="",N(C24)=0),"",D24/C24)</f>
        <v/>
      </c>
      <c r="G24" s="79">
        <f>IF(OR(B24="",SUM(Materialliste!$M$13:$M$112)=0),"",D24/SUM(Materialliste!$M$13:$M$112))</f>
        <v/>
      </c>
      <c r="H24" s="80">
        <f>IF(B24="","",COUNTIFS(Materialliste!$E$13:$E$112,B24))</f>
        <v/>
      </c>
      <c r="J24" s="81" t="inlineStr">
        <is>
          <t>Bestellung fällig</t>
        </is>
      </c>
      <c r="K24" s="93">
        <f>COUNTIF(Materialliste!$U$13:$U$112,J24)</f>
        <v/>
      </c>
      <c r="L24" s="94" t="inlineStr">
        <is>
          <t>Spätester Bestelltermin überschritten</t>
        </is>
      </c>
      <c r="M24" s="95" t="n"/>
    </row>
    <row r="25" ht="19" customHeight="1">
      <c r="B25" s="75">
        <f>IF(Stammdaten!B20="","",Stammdaten!B20)</f>
        <v/>
      </c>
      <c r="C25" s="76">
        <f>IF(OR(B25="",Stammdaten!C20=""),"",Stammdaten!C20)</f>
        <v/>
      </c>
      <c r="D25" s="77">
        <f>IF(B25="","",SUMIFS(Materialliste!$M$13:$M$112,Materialliste!$E$13:$E$112,B25))</f>
        <v/>
      </c>
      <c r="E25" s="78">
        <f>IF(OR(B25="",C25=""),"",C25-D25)</f>
        <v/>
      </c>
      <c r="F25" s="79">
        <f>IF(OR(B25="",C25="",N(C25)=0),"",D25/C25)</f>
        <v/>
      </c>
      <c r="G25" s="79">
        <f>IF(OR(B25="",SUM(Materialliste!$M$13:$M$112)=0),"",D25/SUM(Materialliste!$M$13:$M$112))</f>
        <v/>
      </c>
      <c r="H25" s="80">
        <f>IF(B25="","",COUNTIFS(Materialliste!$E$13:$E$112,B25))</f>
        <v/>
      </c>
      <c r="J25" s="81" t="inlineStr">
        <is>
          <t>Lieferverzug</t>
        </is>
      </c>
      <c r="K25" s="93">
        <f>COUNTIF(Materialliste!$U$13:$U$112,J25)</f>
        <v/>
      </c>
      <c r="L25" s="94" t="inlineStr">
        <is>
          <t>Bestätigter Liefertermin nach Bedarfstermin</t>
        </is>
      </c>
      <c r="M25" s="95" t="n"/>
    </row>
    <row r="26" ht="19" customHeight="1">
      <c r="B26" s="75">
        <f>IF(Stammdaten!B21="","",Stammdaten!B21)</f>
        <v/>
      </c>
      <c r="C26" s="76">
        <f>IF(OR(B26="",Stammdaten!C21=""),"",Stammdaten!C21)</f>
        <v/>
      </c>
      <c r="D26" s="77">
        <f>IF(B26="","",SUMIFS(Materialliste!$M$13:$M$112,Materialliste!$E$13:$E$112,B26))</f>
        <v/>
      </c>
      <c r="E26" s="78">
        <f>IF(OR(B26="",C26=""),"",C26-D26)</f>
        <v/>
      </c>
      <c r="F26" s="79">
        <f>IF(OR(B26="",C26="",N(C26)=0),"",D26/C26)</f>
        <v/>
      </c>
      <c r="G26" s="79">
        <f>IF(OR(B26="",SUM(Materialliste!$M$13:$M$112)=0),"",D26/SUM(Materialliste!$M$13:$M$112))</f>
        <v/>
      </c>
      <c r="H26" s="80">
        <f>IF(B26="","",COUNTIFS(Materialliste!$E$13:$E$112,B26))</f>
        <v/>
      </c>
      <c r="J26" s="81" t="inlineStr">
        <is>
          <t>Jetzt bestellen</t>
        </is>
      </c>
      <c r="K26" s="93">
        <f>COUNTIF(Materialliste!$U$13:$U$112,J26)</f>
        <v/>
      </c>
      <c r="L26" s="94" t="inlineStr">
        <is>
          <t>Bestelltermin innerhalb der Vorwarnzeit</t>
        </is>
      </c>
      <c r="M26" s="95" t="n"/>
    </row>
    <row r="27">
      <c r="B27" s="84" t="inlineStr">
        <is>
          <t>Ohne / unbekannte Kategorie</t>
        </is>
      </c>
      <c r="C27" s="95" t="n"/>
      <c r="D27" s="86">
        <f>SUM(Materialliste!$M$13:$M$112)-SUM(D12:D26)</f>
        <v/>
      </c>
      <c r="E27" s="95" t="n"/>
      <c r="F27" s="95" t="n"/>
      <c r="G27" s="95" t="n"/>
      <c r="H27" s="85">
        <f>COUNTA(Materialliste!$D$13:$D$112)-SUM(H12:H26)</f>
        <v/>
      </c>
      <c r="J27" s="81" t="inlineStr">
        <is>
          <t>Im Plan</t>
        </is>
      </c>
      <c r="K27" s="93">
        <f>COUNTIF(Materialliste!$U$13:$U$112,J27)</f>
        <v/>
      </c>
      <c r="L27" s="94" t="inlineStr">
        <is>
          <t>Termine eingehalten</t>
        </is>
      </c>
      <c r="M27" s="95" t="n"/>
    </row>
    <row r="28" ht="22" customHeight="1">
      <c r="B28" s="88" t="inlineStr">
        <is>
          <t>Summe</t>
        </is>
      </c>
      <c r="C28" s="90">
        <f>SUM(C12:C26)</f>
        <v/>
      </c>
      <c r="D28" s="90">
        <f>SUM(D12:D27)</f>
        <v/>
      </c>
      <c r="E28" s="90">
        <f>C28-D28</f>
        <v/>
      </c>
      <c r="F28" s="91">
        <f>IF(C28=0,"",D28/C28)</f>
        <v/>
      </c>
      <c r="G28" s="91">
        <f>IF(D28=0,"",1)</f>
        <v/>
      </c>
      <c r="H28" s="89">
        <f>SUM(H12:H27)</f>
        <v/>
      </c>
      <c r="J28" s="81" t="inlineStr">
        <is>
          <t>Ohne Termin</t>
        </is>
      </c>
      <c r="K28" s="93">
        <f>COUNTIF(Materialliste!$U$13:$U$112,J28)</f>
        <v/>
      </c>
      <c r="L28" s="94" t="inlineStr">
        <is>
          <t>Kein Benötigt-Datum erfasst</t>
        </is>
      </c>
      <c r="M28" s="95" t="n"/>
    </row>
    <row r="29">
      <c r="B29" s="96" t="inlineStr">
        <is>
          <t>Nicht verteiltes Budget (Reserve)</t>
        </is>
      </c>
      <c r="C29" s="97">
        <f>Budget_Netto-C28</f>
        <v/>
      </c>
      <c r="J29" s="81" t="inlineStr">
        <is>
          <t>Erledigt</t>
        </is>
      </c>
      <c r="K29" s="93">
        <f>COUNTIF(Materialliste!$U$13:$U$112,J29)</f>
        <v/>
      </c>
      <c r="L29" s="94" t="inlineStr">
        <is>
          <t>Vollständig geliefert</t>
        </is>
      </c>
      <c r="M29" s="95" t="n"/>
    </row>
    <row r="30">
      <c r="J30" s="81" t="inlineStr">
        <is>
          <t>Storniert</t>
        </is>
      </c>
      <c r="K30" s="93">
        <f>COUNTIF(Materialliste!$U$13:$U$112,J30)</f>
        <v/>
      </c>
      <c r="L30" s="94" t="inlineStr">
        <is>
          <t>Position entfällt</t>
        </is>
      </c>
      <c r="M30" s="95" t="n"/>
    </row>
    <row r="33" ht="22" customHeight="1">
      <c r="B33" s="73" t="inlineStr">
        <is>
          <t>LIEFERANTEN-ÜBERSICHT</t>
        </is>
      </c>
      <c r="C33" s="73" t="n"/>
      <c r="D33" s="73" t="n"/>
      <c r="E33" s="73" t="n"/>
      <c r="F33" s="73" t="n"/>
      <c r="G33" s="73" t="n"/>
      <c r="H33" s="73" t="n"/>
    </row>
    <row r="34" ht="30" customHeight="1">
      <c r="B34" s="74" t="inlineStr">
        <is>
          <t>Lieferant</t>
        </is>
      </c>
      <c r="C34" s="44" t="inlineStr">
        <is>
          <t>Pos.</t>
        </is>
      </c>
      <c r="D34" s="44" t="inlineStr">
        <is>
          <t>Bestellwert
netto</t>
        </is>
      </c>
      <c r="E34" s="44" t="inlineStr">
        <is>
          <t>davon offen
netto</t>
        </is>
      </c>
      <c r="F34" s="44" t="inlineStr">
        <is>
          <t>Offene Pos.</t>
        </is>
      </c>
      <c r="G34" s="44" t="inlineStr">
        <is>
          <t>Nächster
Bedarf</t>
        </is>
      </c>
      <c r="H34" s="44" t="inlineStr">
        <is>
          <t>Lieferzeit
(AT)</t>
        </is>
      </c>
    </row>
    <row r="35" ht="19" customHeight="1">
      <c r="B35" s="75">
        <f>IF(Stammdaten!J7="","",Stammdaten!J7)</f>
        <v/>
      </c>
      <c r="C35" s="82">
        <f>IF(B35="","",COUNTIFS(Materialliste!$N$13:$N$112,B35))</f>
        <v/>
      </c>
      <c r="D35" s="77">
        <f>IF(B35="","",SUMIFS(Materialliste!$M$13:$M$112,Materialliste!$N$13:$N$112,B35))</f>
        <v/>
      </c>
      <c r="E35" s="76">
        <f>IF(B35="","",SUMIFS(Materialliste!$M$13:$M$112,Materialliste!$N$13:$N$112,B35,Materialliste!$R$13:$R$112,"&lt;&gt;Geliefert",Materialliste!$R$13:$R$112,"&lt;&gt;Storniert"))</f>
        <v/>
      </c>
      <c r="F35" s="82">
        <f>IF(B35="","",COUNTIFS(Materialliste!$N$13:$N$112,B35,Materialliste!$R$13:$R$112,"&lt;&gt;Geliefert",Materialliste!$R$13:$R$112,"&lt;&gt;Storniert"))</f>
        <v/>
      </c>
      <c r="G35" s="98">
        <f>IF(B35="","",_xlfn.MINIFS(Materialliste!$O$13:$O$112,Materialliste!$N$13:$N$112,B35,Materialliste!$R$13:$R$112,"&lt;&gt;Geliefert",Materialliste!$R$13:$R$112,"&lt;&gt;Storniert"))</f>
        <v/>
      </c>
      <c r="H35" s="80">
        <f>IF(OR(B35="",Stammdaten!N7=""),"",Stammdaten!N7)</f>
        <v/>
      </c>
    </row>
    <row r="36" ht="19" customHeight="1">
      <c r="B36" s="75">
        <f>IF(Stammdaten!J8="","",Stammdaten!J8)</f>
        <v/>
      </c>
      <c r="C36" s="82">
        <f>IF(B36="","",COUNTIFS(Materialliste!$N$13:$N$112,B36))</f>
        <v/>
      </c>
      <c r="D36" s="77">
        <f>IF(B36="","",SUMIFS(Materialliste!$M$13:$M$112,Materialliste!$N$13:$N$112,B36))</f>
        <v/>
      </c>
      <c r="E36" s="76">
        <f>IF(B36="","",SUMIFS(Materialliste!$M$13:$M$112,Materialliste!$N$13:$N$112,B36,Materialliste!$R$13:$R$112,"&lt;&gt;Geliefert",Materialliste!$R$13:$R$112,"&lt;&gt;Storniert"))</f>
        <v/>
      </c>
      <c r="F36" s="82">
        <f>IF(B36="","",COUNTIFS(Materialliste!$N$13:$N$112,B36,Materialliste!$R$13:$R$112,"&lt;&gt;Geliefert",Materialliste!$R$13:$R$112,"&lt;&gt;Storniert"))</f>
        <v/>
      </c>
      <c r="G36" s="98">
        <f>IF(B36="","",_xlfn.MINIFS(Materialliste!$O$13:$O$112,Materialliste!$N$13:$N$112,B36,Materialliste!$R$13:$R$112,"&lt;&gt;Geliefert",Materialliste!$R$13:$R$112,"&lt;&gt;Storniert"))</f>
        <v/>
      </c>
      <c r="H36" s="80">
        <f>IF(OR(B36="",Stammdaten!N8=""),"",Stammdaten!N8)</f>
        <v/>
      </c>
    </row>
    <row r="37" ht="19" customHeight="1">
      <c r="B37" s="75">
        <f>IF(Stammdaten!J9="","",Stammdaten!J9)</f>
        <v/>
      </c>
      <c r="C37" s="82">
        <f>IF(B37="","",COUNTIFS(Materialliste!$N$13:$N$112,B37))</f>
        <v/>
      </c>
      <c r="D37" s="77">
        <f>IF(B37="","",SUMIFS(Materialliste!$M$13:$M$112,Materialliste!$N$13:$N$112,B37))</f>
        <v/>
      </c>
      <c r="E37" s="76">
        <f>IF(B37="","",SUMIFS(Materialliste!$M$13:$M$112,Materialliste!$N$13:$N$112,B37,Materialliste!$R$13:$R$112,"&lt;&gt;Geliefert",Materialliste!$R$13:$R$112,"&lt;&gt;Storniert"))</f>
        <v/>
      </c>
      <c r="F37" s="82">
        <f>IF(B37="","",COUNTIFS(Materialliste!$N$13:$N$112,B37,Materialliste!$R$13:$R$112,"&lt;&gt;Geliefert",Materialliste!$R$13:$R$112,"&lt;&gt;Storniert"))</f>
        <v/>
      </c>
      <c r="G37" s="98">
        <f>IF(B37="","",_xlfn.MINIFS(Materialliste!$O$13:$O$112,Materialliste!$N$13:$N$112,B37,Materialliste!$R$13:$R$112,"&lt;&gt;Geliefert",Materialliste!$R$13:$R$112,"&lt;&gt;Storniert"))</f>
        <v/>
      </c>
      <c r="H37" s="80">
        <f>IF(OR(B37="",Stammdaten!N9=""),"",Stammdaten!N9)</f>
        <v/>
      </c>
    </row>
    <row r="38" ht="19" customHeight="1">
      <c r="B38" s="75">
        <f>IF(Stammdaten!J10="","",Stammdaten!J10)</f>
        <v/>
      </c>
      <c r="C38" s="82">
        <f>IF(B38="","",COUNTIFS(Materialliste!$N$13:$N$112,B38))</f>
        <v/>
      </c>
      <c r="D38" s="77">
        <f>IF(B38="","",SUMIFS(Materialliste!$M$13:$M$112,Materialliste!$N$13:$N$112,B38))</f>
        <v/>
      </c>
      <c r="E38" s="76">
        <f>IF(B38="","",SUMIFS(Materialliste!$M$13:$M$112,Materialliste!$N$13:$N$112,B38,Materialliste!$R$13:$R$112,"&lt;&gt;Geliefert",Materialliste!$R$13:$R$112,"&lt;&gt;Storniert"))</f>
        <v/>
      </c>
      <c r="F38" s="82">
        <f>IF(B38="","",COUNTIFS(Materialliste!$N$13:$N$112,B38,Materialliste!$R$13:$R$112,"&lt;&gt;Geliefert",Materialliste!$R$13:$R$112,"&lt;&gt;Storniert"))</f>
        <v/>
      </c>
      <c r="G38" s="98">
        <f>IF(B38="","",_xlfn.MINIFS(Materialliste!$O$13:$O$112,Materialliste!$N$13:$N$112,B38,Materialliste!$R$13:$R$112,"&lt;&gt;Geliefert",Materialliste!$R$13:$R$112,"&lt;&gt;Storniert"))</f>
        <v/>
      </c>
      <c r="H38" s="80">
        <f>IF(OR(B38="",Stammdaten!N10=""),"",Stammdaten!N10)</f>
        <v/>
      </c>
    </row>
    <row r="39" ht="19" customHeight="1">
      <c r="B39" s="75">
        <f>IF(Stammdaten!J11="","",Stammdaten!J11)</f>
        <v/>
      </c>
      <c r="C39" s="82">
        <f>IF(B39="","",COUNTIFS(Materialliste!$N$13:$N$112,B39))</f>
        <v/>
      </c>
      <c r="D39" s="77">
        <f>IF(B39="","",SUMIFS(Materialliste!$M$13:$M$112,Materialliste!$N$13:$N$112,B39))</f>
        <v/>
      </c>
      <c r="E39" s="76">
        <f>IF(B39="","",SUMIFS(Materialliste!$M$13:$M$112,Materialliste!$N$13:$N$112,B39,Materialliste!$R$13:$R$112,"&lt;&gt;Geliefert",Materialliste!$R$13:$R$112,"&lt;&gt;Storniert"))</f>
        <v/>
      </c>
      <c r="F39" s="82">
        <f>IF(B39="","",COUNTIFS(Materialliste!$N$13:$N$112,B39,Materialliste!$R$13:$R$112,"&lt;&gt;Geliefert",Materialliste!$R$13:$R$112,"&lt;&gt;Storniert"))</f>
        <v/>
      </c>
      <c r="G39" s="98">
        <f>IF(B39="","",_xlfn.MINIFS(Materialliste!$O$13:$O$112,Materialliste!$N$13:$N$112,B39,Materialliste!$R$13:$R$112,"&lt;&gt;Geliefert",Materialliste!$R$13:$R$112,"&lt;&gt;Storniert"))</f>
        <v/>
      </c>
      <c r="H39" s="80">
        <f>IF(OR(B39="",Stammdaten!N11=""),"",Stammdaten!N11)</f>
        <v/>
      </c>
    </row>
    <row r="40" ht="19" customHeight="1">
      <c r="B40" s="75">
        <f>IF(Stammdaten!J12="","",Stammdaten!J12)</f>
        <v/>
      </c>
      <c r="C40" s="82">
        <f>IF(B40="","",COUNTIFS(Materialliste!$N$13:$N$112,B40))</f>
        <v/>
      </c>
      <c r="D40" s="77">
        <f>IF(B40="","",SUMIFS(Materialliste!$M$13:$M$112,Materialliste!$N$13:$N$112,B40))</f>
        <v/>
      </c>
      <c r="E40" s="76">
        <f>IF(B40="","",SUMIFS(Materialliste!$M$13:$M$112,Materialliste!$N$13:$N$112,B40,Materialliste!$R$13:$R$112,"&lt;&gt;Geliefert",Materialliste!$R$13:$R$112,"&lt;&gt;Storniert"))</f>
        <v/>
      </c>
      <c r="F40" s="82">
        <f>IF(B40="","",COUNTIFS(Materialliste!$N$13:$N$112,B40,Materialliste!$R$13:$R$112,"&lt;&gt;Geliefert",Materialliste!$R$13:$R$112,"&lt;&gt;Storniert"))</f>
        <v/>
      </c>
      <c r="G40" s="98">
        <f>IF(B40="","",_xlfn.MINIFS(Materialliste!$O$13:$O$112,Materialliste!$N$13:$N$112,B40,Materialliste!$R$13:$R$112,"&lt;&gt;Geliefert",Materialliste!$R$13:$R$112,"&lt;&gt;Storniert"))</f>
        <v/>
      </c>
      <c r="H40" s="80">
        <f>IF(OR(B40="",Stammdaten!N12=""),"",Stammdaten!N12)</f>
        <v/>
      </c>
    </row>
    <row r="41" ht="19" customHeight="1">
      <c r="B41" s="75">
        <f>IF(Stammdaten!J13="","",Stammdaten!J13)</f>
        <v/>
      </c>
      <c r="C41" s="82">
        <f>IF(B41="","",COUNTIFS(Materialliste!$N$13:$N$112,B41))</f>
        <v/>
      </c>
      <c r="D41" s="77">
        <f>IF(B41="","",SUMIFS(Materialliste!$M$13:$M$112,Materialliste!$N$13:$N$112,B41))</f>
        <v/>
      </c>
      <c r="E41" s="76">
        <f>IF(B41="","",SUMIFS(Materialliste!$M$13:$M$112,Materialliste!$N$13:$N$112,B41,Materialliste!$R$13:$R$112,"&lt;&gt;Geliefert",Materialliste!$R$13:$R$112,"&lt;&gt;Storniert"))</f>
        <v/>
      </c>
      <c r="F41" s="82">
        <f>IF(B41="","",COUNTIFS(Materialliste!$N$13:$N$112,B41,Materialliste!$R$13:$R$112,"&lt;&gt;Geliefert",Materialliste!$R$13:$R$112,"&lt;&gt;Storniert"))</f>
        <v/>
      </c>
      <c r="G41" s="98">
        <f>IF(B41="","",_xlfn.MINIFS(Materialliste!$O$13:$O$112,Materialliste!$N$13:$N$112,B41,Materialliste!$R$13:$R$112,"&lt;&gt;Geliefert",Materialliste!$R$13:$R$112,"&lt;&gt;Storniert"))</f>
        <v/>
      </c>
      <c r="H41" s="80">
        <f>IF(OR(B41="",Stammdaten!N13=""),"",Stammdaten!N13)</f>
        <v/>
      </c>
    </row>
    <row r="42" ht="19" customHeight="1">
      <c r="B42" s="75">
        <f>IF(Stammdaten!J14="","",Stammdaten!J14)</f>
        <v/>
      </c>
      <c r="C42" s="82">
        <f>IF(B42="","",COUNTIFS(Materialliste!$N$13:$N$112,B42))</f>
        <v/>
      </c>
      <c r="D42" s="77">
        <f>IF(B42="","",SUMIFS(Materialliste!$M$13:$M$112,Materialliste!$N$13:$N$112,B42))</f>
        <v/>
      </c>
      <c r="E42" s="76">
        <f>IF(B42="","",SUMIFS(Materialliste!$M$13:$M$112,Materialliste!$N$13:$N$112,B42,Materialliste!$R$13:$R$112,"&lt;&gt;Geliefert",Materialliste!$R$13:$R$112,"&lt;&gt;Storniert"))</f>
        <v/>
      </c>
      <c r="F42" s="82">
        <f>IF(B42="","",COUNTIFS(Materialliste!$N$13:$N$112,B42,Materialliste!$R$13:$R$112,"&lt;&gt;Geliefert",Materialliste!$R$13:$R$112,"&lt;&gt;Storniert"))</f>
        <v/>
      </c>
      <c r="G42" s="98">
        <f>IF(B42="","",_xlfn.MINIFS(Materialliste!$O$13:$O$112,Materialliste!$N$13:$N$112,B42,Materialliste!$R$13:$R$112,"&lt;&gt;Geliefert",Materialliste!$R$13:$R$112,"&lt;&gt;Storniert"))</f>
        <v/>
      </c>
      <c r="H42" s="80">
        <f>IF(OR(B42="",Stammdaten!N14=""),"",Stammdaten!N14)</f>
        <v/>
      </c>
    </row>
    <row r="43" ht="19" customHeight="1">
      <c r="B43" s="75">
        <f>IF(Stammdaten!J15="","",Stammdaten!J15)</f>
        <v/>
      </c>
      <c r="C43" s="82">
        <f>IF(B43="","",COUNTIFS(Materialliste!$N$13:$N$112,B43))</f>
        <v/>
      </c>
      <c r="D43" s="77">
        <f>IF(B43="","",SUMIFS(Materialliste!$M$13:$M$112,Materialliste!$N$13:$N$112,B43))</f>
        <v/>
      </c>
      <c r="E43" s="76">
        <f>IF(B43="","",SUMIFS(Materialliste!$M$13:$M$112,Materialliste!$N$13:$N$112,B43,Materialliste!$R$13:$R$112,"&lt;&gt;Geliefert",Materialliste!$R$13:$R$112,"&lt;&gt;Storniert"))</f>
        <v/>
      </c>
      <c r="F43" s="82">
        <f>IF(B43="","",COUNTIFS(Materialliste!$N$13:$N$112,B43,Materialliste!$R$13:$R$112,"&lt;&gt;Geliefert",Materialliste!$R$13:$R$112,"&lt;&gt;Storniert"))</f>
        <v/>
      </c>
      <c r="G43" s="98">
        <f>IF(B43="","",_xlfn.MINIFS(Materialliste!$O$13:$O$112,Materialliste!$N$13:$N$112,B43,Materialliste!$R$13:$R$112,"&lt;&gt;Geliefert",Materialliste!$R$13:$R$112,"&lt;&gt;Storniert"))</f>
        <v/>
      </c>
      <c r="H43" s="80">
        <f>IF(OR(B43="",Stammdaten!N15=""),"",Stammdaten!N15)</f>
        <v/>
      </c>
    </row>
    <row r="44" ht="19" customHeight="1">
      <c r="B44" s="75">
        <f>IF(Stammdaten!J16="","",Stammdaten!J16)</f>
        <v/>
      </c>
      <c r="C44" s="82">
        <f>IF(B44="","",COUNTIFS(Materialliste!$N$13:$N$112,B44))</f>
        <v/>
      </c>
      <c r="D44" s="77">
        <f>IF(B44="","",SUMIFS(Materialliste!$M$13:$M$112,Materialliste!$N$13:$N$112,B44))</f>
        <v/>
      </c>
      <c r="E44" s="76">
        <f>IF(B44="","",SUMIFS(Materialliste!$M$13:$M$112,Materialliste!$N$13:$N$112,B44,Materialliste!$R$13:$R$112,"&lt;&gt;Geliefert",Materialliste!$R$13:$R$112,"&lt;&gt;Storniert"))</f>
        <v/>
      </c>
      <c r="F44" s="82">
        <f>IF(B44="","",COUNTIFS(Materialliste!$N$13:$N$112,B44,Materialliste!$R$13:$R$112,"&lt;&gt;Geliefert",Materialliste!$R$13:$R$112,"&lt;&gt;Storniert"))</f>
        <v/>
      </c>
      <c r="G44" s="98">
        <f>IF(B44="","",_xlfn.MINIFS(Materialliste!$O$13:$O$112,Materialliste!$N$13:$N$112,B44,Materialliste!$R$13:$R$112,"&lt;&gt;Geliefert",Materialliste!$R$13:$R$112,"&lt;&gt;Storniert"))</f>
        <v/>
      </c>
      <c r="H44" s="80">
        <f>IF(OR(B44="",Stammdaten!N16=""),"",Stammdaten!N16)</f>
        <v/>
      </c>
    </row>
    <row r="45" ht="19" customHeight="1">
      <c r="B45" s="75">
        <f>IF(Stammdaten!J17="","",Stammdaten!J17)</f>
        <v/>
      </c>
      <c r="C45" s="82">
        <f>IF(B45="","",COUNTIFS(Materialliste!$N$13:$N$112,B45))</f>
        <v/>
      </c>
      <c r="D45" s="77">
        <f>IF(B45="","",SUMIFS(Materialliste!$M$13:$M$112,Materialliste!$N$13:$N$112,B45))</f>
        <v/>
      </c>
      <c r="E45" s="76">
        <f>IF(B45="","",SUMIFS(Materialliste!$M$13:$M$112,Materialliste!$N$13:$N$112,B45,Materialliste!$R$13:$R$112,"&lt;&gt;Geliefert",Materialliste!$R$13:$R$112,"&lt;&gt;Storniert"))</f>
        <v/>
      </c>
      <c r="F45" s="82">
        <f>IF(B45="","",COUNTIFS(Materialliste!$N$13:$N$112,B45,Materialliste!$R$13:$R$112,"&lt;&gt;Geliefert",Materialliste!$R$13:$R$112,"&lt;&gt;Storniert"))</f>
        <v/>
      </c>
      <c r="G45" s="98">
        <f>IF(B45="","",_xlfn.MINIFS(Materialliste!$O$13:$O$112,Materialliste!$N$13:$N$112,B45,Materialliste!$R$13:$R$112,"&lt;&gt;Geliefert",Materialliste!$R$13:$R$112,"&lt;&gt;Storniert"))</f>
        <v/>
      </c>
      <c r="H45" s="80">
        <f>IF(OR(B45="",Stammdaten!N17=""),"",Stammdaten!N17)</f>
        <v/>
      </c>
    </row>
    <row r="46" ht="19" customHeight="1">
      <c r="B46" s="75">
        <f>IF(Stammdaten!J18="","",Stammdaten!J18)</f>
        <v/>
      </c>
      <c r="C46" s="82">
        <f>IF(B46="","",COUNTIFS(Materialliste!$N$13:$N$112,B46))</f>
        <v/>
      </c>
      <c r="D46" s="77">
        <f>IF(B46="","",SUMIFS(Materialliste!$M$13:$M$112,Materialliste!$N$13:$N$112,B46))</f>
        <v/>
      </c>
      <c r="E46" s="76">
        <f>IF(B46="","",SUMIFS(Materialliste!$M$13:$M$112,Materialliste!$N$13:$N$112,B46,Materialliste!$R$13:$R$112,"&lt;&gt;Geliefert",Materialliste!$R$13:$R$112,"&lt;&gt;Storniert"))</f>
        <v/>
      </c>
      <c r="F46" s="82">
        <f>IF(B46="","",COUNTIFS(Materialliste!$N$13:$N$112,B46,Materialliste!$R$13:$R$112,"&lt;&gt;Geliefert",Materialliste!$R$13:$R$112,"&lt;&gt;Storniert"))</f>
        <v/>
      </c>
      <c r="G46" s="98">
        <f>IF(B46="","",_xlfn.MINIFS(Materialliste!$O$13:$O$112,Materialliste!$N$13:$N$112,B46,Materialliste!$R$13:$R$112,"&lt;&gt;Geliefert",Materialliste!$R$13:$R$112,"&lt;&gt;Storniert"))</f>
        <v/>
      </c>
      <c r="H46" s="80">
        <f>IF(OR(B46="",Stammdaten!N18=""),"",Stammdaten!N18)</f>
        <v/>
      </c>
    </row>
    <row r="47" ht="19" customHeight="1">
      <c r="B47" s="75">
        <f>IF(Stammdaten!J19="","",Stammdaten!J19)</f>
        <v/>
      </c>
      <c r="C47" s="82">
        <f>IF(B47="","",COUNTIFS(Materialliste!$N$13:$N$112,B47))</f>
        <v/>
      </c>
      <c r="D47" s="77">
        <f>IF(B47="","",SUMIFS(Materialliste!$M$13:$M$112,Materialliste!$N$13:$N$112,B47))</f>
        <v/>
      </c>
      <c r="E47" s="76">
        <f>IF(B47="","",SUMIFS(Materialliste!$M$13:$M$112,Materialliste!$N$13:$N$112,B47,Materialliste!$R$13:$R$112,"&lt;&gt;Geliefert",Materialliste!$R$13:$R$112,"&lt;&gt;Storniert"))</f>
        <v/>
      </c>
      <c r="F47" s="82">
        <f>IF(B47="","",COUNTIFS(Materialliste!$N$13:$N$112,B47,Materialliste!$R$13:$R$112,"&lt;&gt;Geliefert",Materialliste!$R$13:$R$112,"&lt;&gt;Storniert"))</f>
        <v/>
      </c>
      <c r="G47" s="98">
        <f>IF(B47="","",_xlfn.MINIFS(Materialliste!$O$13:$O$112,Materialliste!$N$13:$N$112,B47,Materialliste!$R$13:$R$112,"&lt;&gt;Geliefert",Materialliste!$R$13:$R$112,"&lt;&gt;Storniert"))</f>
        <v/>
      </c>
      <c r="H47" s="80">
        <f>IF(OR(B47="",Stammdaten!N19=""),"",Stammdaten!N19)</f>
        <v/>
      </c>
    </row>
    <row r="48" ht="19" customHeight="1">
      <c r="B48" s="75">
        <f>IF(Stammdaten!J20="","",Stammdaten!J20)</f>
        <v/>
      </c>
      <c r="C48" s="82">
        <f>IF(B48="","",COUNTIFS(Materialliste!$N$13:$N$112,B48))</f>
        <v/>
      </c>
      <c r="D48" s="77">
        <f>IF(B48="","",SUMIFS(Materialliste!$M$13:$M$112,Materialliste!$N$13:$N$112,B48))</f>
        <v/>
      </c>
      <c r="E48" s="76">
        <f>IF(B48="","",SUMIFS(Materialliste!$M$13:$M$112,Materialliste!$N$13:$N$112,B48,Materialliste!$R$13:$R$112,"&lt;&gt;Geliefert",Materialliste!$R$13:$R$112,"&lt;&gt;Storniert"))</f>
        <v/>
      </c>
      <c r="F48" s="82">
        <f>IF(B48="","",COUNTIFS(Materialliste!$N$13:$N$112,B48,Materialliste!$R$13:$R$112,"&lt;&gt;Geliefert",Materialliste!$R$13:$R$112,"&lt;&gt;Storniert"))</f>
        <v/>
      </c>
      <c r="G48" s="98">
        <f>IF(B48="","",_xlfn.MINIFS(Materialliste!$O$13:$O$112,Materialliste!$N$13:$N$112,B48,Materialliste!$R$13:$R$112,"&lt;&gt;Geliefert",Materialliste!$R$13:$R$112,"&lt;&gt;Storniert"))</f>
        <v/>
      </c>
      <c r="H48" s="80">
        <f>IF(OR(B48="",Stammdaten!N20=""),"",Stammdaten!N20)</f>
        <v/>
      </c>
    </row>
    <row r="49" ht="19" customHeight="1">
      <c r="B49" s="75">
        <f>IF(Stammdaten!J21="","",Stammdaten!J21)</f>
        <v/>
      </c>
      <c r="C49" s="82">
        <f>IF(B49="","",COUNTIFS(Materialliste!$N$13:$N$112,B49))</f>
        <v/>
      </c>
      <c r="D49" s="77">
        <f>IF(B49="","",SUMIFS(Materialliste!$M$13:$M$112,Materialliste!$N$13:$N$112,B49))</f>
        <v/>
      </c>
      <c r="E49" s="76">
        <f>IF(B49="","",SUMIFS(Materialliste!$M$13:$M$112,Materialliste!$N$13:$N$112,B49,Materialliste!$R$13:$R$112,"&lt;&gt;Geliefert",Materialliste!$R$13:$R$112,"&lt;&gt;Storniert"))</f>
        <v/>
      </c>
      <c r="F49" s="82">
        <f>IF(B49="","",COUNTIFS(Materialliste!$N$13:$N$112,B49,Materialliste!$R$13:$R$112,"&lt;&gt;Geliefert",Materialliste!$R$13:$R$112,"&lt;&gt;Storniert"))</f>
        <v/>
      </c>
      <c r="G49" s="98">
        <f>IF(B49="","",_xlfn.MINIFS(Materialliste!$O$13:$O$112,Materialliste!$N$13:$N$112,B49,Materialliste!$R$13:$R$112,"&lt;&gt;Geliefert",Materialliste!$R$13:$R$112,"&lt;&gt;Storniert"))</f>
        <v/>
      </c>
      <c r="H49" s="80">
        <f>IF(OR(B49="",Stammdaten!N21=""),"",Stammdaten!N21)</f>
        <v/>
      </c>
    </row>
    <row r="50">
      <c r="B50" s="88" t="inlineStr">
        <is>
          <t>Summe</t>
        </is>
      </c>
      <c r="C50" s="89">
        <f>SUM(C35:C49)</f>
        <v/>
      </c>
      <c r="D50" s="90">
        <f>SUM(D35:D49)</f>
        <v/>
      </c>
      <c r="E50" s="90">
        <f>SUM(E35:E49)</f>
        <v/>
      </c>
      <c r="F50" s="89">
        <f>SUM(F35:F49)</f>
        <v/>
      </c>
      <c r="G50" s="99" t="n"/>
      <c r="H50" s="99" t="n"/>
    </row>
  </sheetData>
  <mergeCells count="31">
    <mergeCell ref="E6:F7"/>
    <mergeCell ref="J5:K5"/>
    <mergeCell ref="G6:H7"/>
    <mergeCell ref="C5:D5"/>
    <mergeCell ref="E5:F5"/>
    <mergeCell ref="J21:M21"/>
    <mergeCell ref="B33:H33"/>
    <mergeCell ref="G8:H8"/>
    <mergeCell ref="B5"/>
    <mergeCell ref="L28:M28"/>
    <mergeCell ref="E8:F8"/>
    <mergeCell ref="L6:M7"/>
    <mergeCell ref="L24:M24"/>
    <mergeCell ref="L5:M5"/>
    <mergeCell ref="L23:M23"/>
    <mergeCell ref="L8:M8"/>
    <mergeCell ref="B6:B7"/>
    <mergeCell ref="L30:M30"/>
    <mergeCell ref="J10:M10"/>
    <mergeCell ref="L26:M26"/>
    <mergeCell ref="L29:M29"/>
    <mergeCell ref="C6:D7"/>
    <mergeCell ref="G5:H5"/>
    <mergeCell ref="L25:M25"/>
    <mergeCell ref="L22:M22"/>
    <mergeCell ref="C8:D8"/>
    <mergeCell ref="B8"/>
    <mergeCell ref="J6:K7"/>
    <mergeCell ref="L27:M27"/>
    <mergeCell ref="B10:H10"/>
    <mergeCell ref="J8:K8"/>
  </mergeCells>
  <conditionalFormatting sqref="E6:F7">
    <cfRule type="cellIs" priority="1" operator="lessThan" dxfId="0">
      <formula>0</formula>
    </cfRule>
  </conditionalFormatting>
  <conditionalFormatting sqref="L6:M7">
    <cfRule type="cellIs" priority="2" operator="greaterThan" dxfId="0">
      <formula>0</formula>
    </cfRule>
  </conditionalFormatting>
  <conditionalFormatting sqref="F12:F26">
    <cfRule type="dataBar" priority="3">
      <dataBar showValue="1">
        <cfvo type="num" val="0"/>
        <cfvo type="num" val="1.2"/>
        <color rgb="00D9A07C"/>
      </dataBar>
    </cfRule>
  </conditionalFormatting>
  <conditionalFormatting sqref="F12:F28">
    <cfRule type="cellIs" priority="4" operator="greaterThan" dxfId="14">
      <formula>1</formula>
    </cfRule>
  </conditionalFormatting>
  <conditionalFormatting sqref="E12:E28">
    <cfRule type="cellIs" priority="5" operator="lessThan" dxfId="14">
      <formula>0</formula>
    </cfRule>
  </conditionalFormatting>
  <conditionalFormatting sqref="J12:J17">
    <cfRule type="cellIs" priority="6" operator="equal" dxfId="2">
      <formula>"Geplant"</formula>
    </cfRule>
    <cfRule type="cellIs" priority="7" operator="equal" dxfId="3">
      <formula>"Angefragt"</formula>
    </cfRule>
    <cfRule type="cellIs" priority="8" operator="equal" dxfId="4">
      <formula>"Bestellt"</formula>
    </cfRule>
    <cfRule type="cellIs" priority="9" operator="equal" dxfId="5">
      <formula>"Teilgeliefert"</formula>
    </cfRule>
    <cfRule type="cellIs" priority="10" operator="equal" dxfId="6">
      <formula>"Geliefert"</formula>
    </cfRule>
  </conditionalFormatting>
  <conditionalFormatting sqref="M12:M17">
    <cfRule type="dataBar" priority="11">
      <dataBar showValue="1">
        <cfvo type="num" val="0"/>
        <cfvo type="num" val="1"/>
        <color rgb="009FB3BD"/>
      </dataBar>
    </cfRule>
  </conditionalFormatting>
  <conditionalFormatting sqref="J23:J30">
    <cfRule type="cellIs" priority="12" operator="equal" dxfId="7">
      <formula>"Überfällig"</formula>
    </cfRule>
    <cfRule type="cellIs" priority="13" operator="equal" dxfId="7">
      <formula>"Bestellung fällig"</formula>
    </cfRule>
    <cfRule type="cellIs" priority="14" operator="equal" dxfId="8">
      <formula>"Lieferverzug"</formula>
    </cfRule>
    <cfRule type="cellIs" priority="15" operator="equal" dxfId="9">
      <formula>"Jetzt bestellen"</formula>
    </cfRule>
    <cfRule type="cellIs" priority="16" operator="equal" dxfId="15">
      <formula>"Im Plan"</formula>
    </cfRule>
    <cfRule type="cellIs" priority="17" operator="equal" dxfId="6">
      <formula>"Erledigt"</formula>
    </cfRule>
    <cfRule type="cellIs" priority="18" operator="equal" dxfId="16">
      <formula>"Ohne Termin"</formula>
    </cfRule>
    <cfRule type="cellIs" priority="19" operator="equal" dxfId="17">
      <formula>"Storniert"</formula>
    </cfRule>
  </conditionalFormatting>
  <conditionalFormatting sqref="D35:D49">
    <cfRule type="dataBar" priority="20">
      <dataBar showValue="1">
        <cfvo type="min"/>
        <cfvo type="max"/>
        <color rgb="00D9A07C"/>
      </dataBar>
    </cfRule>
  </conditionalFormatting>
  <pageMargins left="0.75" right="0.75" top="1" bottom="1" header="0.5" footer="0.5"/>
  <pageSetup orientation="portrait" paperSize="9" fitToHeight="0" fitToWidth="1"/>
  <headerFooter>
    <oddHeader/>
    <oddFooter>&amp;L&amp;A – &amp;D&amp;RSeite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2:O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13" customWidth="1" min="5" max="5"/>
    <col width="3" customWidth="1" min="6" max="6"/>
    <col width="16" customWidth="1" min="7" max="7"/>
    <col width="40" customWidth="1" min="8" max="8"/>
    <col width="3" customWidth="1" min="9" max="9"/>
    <col width="30" customWidth="1" min="10" max="10"/>
    <col width="20" customWidth="1" min="11" max="11"/>
    <col width="17" customWidth="1" min="12" max="12"/>
    <col width="34" customWidth="1" min="13" max="13"/>
    <col width="12" customWidth="1" min="14" max="14"/>
    <col width="13" customWidth="1" min="15" max="15"/>
  </cols>
  <sheetData>
    <row r="1" ht="10" customHeight="1"/>
    <row r="2" ht="32" customHeight="1">
      <c r="A2" s="1" t="n"/>
      <c r="B2" s="100" t="inlineStr">
        <is>
          <t>STAMMDATEN</t>
        </is>
      </c>
    </row>
    <row r="3">
      <c r="A3" s="1" t="n"/>
      <c r="B3" s="4" t="inlineStr">
        <is>
          <t>Auswahllisten pflegen – Änderungen wirken automatisch in Materialliste und Auswertung.</t>
        </is>
      </c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</row>
    <row r="5" ht="22" customHeight="1">
      <c r="B5" s="73" t="inlineStr">
        <is>
          <t>KATEGORIEN &amp; PLANBUDGET</t>
        </is>
      </c>
      <c r="C5" s="73" t="n"/>
      <c r="E5" s="73" t="inlineStr">
        <is>
          <t>EINHEITEN</t>
        </is>
      </c>
      <c r="G5" s="73" t="inlineStr">
        <is>
          <t>STATUS (fest)</t>
        </is>
      </c>
      <c r="H5" s="73" t="n"/>
      <c r="J5" s="73" t="inlineStr">
        <is>
          <t>LIEFERANTEN</t>
        </is>
      </c>
      <c r="K5" s="73" t="n"/>
      <c r="L5" s="73" t="n"/>
      <c r="M5" s="73" t="n"/>
      <c r="N5" s="73" t="n"/>
      <c r="O5" s="73" t="n"/>
    </row>
    <row r="6" ht="30" customHeight="1">
      <c r="B6" s="44" t="inlineStr">
        <is>
          <t>Kategorie</t>
        </is>
      </c>
      <c r="C6" s="44" t="inlineStr">
        <is>
          <t>Planbudget netto</t>
        </is>
      </c>
      <c r="E6" s="44" t="inlineStr">
        <is>
          <t>Einheit</t>
        </is>
      </c>
      <c r="G6" s="44" t="inlineStr">
        <is>
          <t>Status</t>
        </is>
      </c>
      <c r="H6" s="44" t="inlineStr">
        <is>
          <t>Bedeutung</t>
        </is>
      </c>
      <c r="J6" s="44" t="inlineStr">
        <is>
          <t>Lieferant</t>
        </is>
      </c>
      <c r="K6" s="44" t="inlineStr">
        <is>
          <t>Ansprechpartner</t>
        </is>
      </c>
      <c r="L6" s="44" t="inlineStr">
        <is>
          <t>Telefon</t>
        </is>
      </c>
      <c r="M6" s="44" t="inlineStr">
        <is>
          <t>E-Mail</t>
        </is>
      </c>
      <c r="N6" s="44" t="inlineStr">
        <is>
          <t>Lieferzeit
(Arbeitstage)</t>
        </is>
      </c>
      <c r="O6" s="44" t="inlineStr">
        <is>
          <t>Kunden-Nr.</t>
        </is>
      </c>
    </row>
    <row r="7" ht="19" customHeight="1">
      <c r="B7" s="101" t="inlineStr">
        <is>
          <t>Holz &amp; Plattenwerkstoffe</t>
        </is>
      </c>
      <c r="C7" s="102" t="n">
        <v>1400</v>
      </c>
      <c r="E7" s="103" t="inlineStr">
        <is>
          <t>Stk.</t>
        </is>
      </c>
      <c r="G7" s="104" t="inlineStr">
        <is>
          <t>Geplant</t>
        </is>
      </c>
      <c r="H7" s="105" t="inlineStr">
        <is>
          <t>Bedarf erfasst, noch nicht angefragt</t>
        </is>
      </c>
      <c r="J7" s="101" t="inlineStr">
        <is>
          <t>Plattenhandel Brenner GmbH</t>
        </is>
      </c>
      <c r="K7" s="101" t="inlineStr">
        <is>
          <t>Jana Albers</t>
        </is>
      </c>
      <c r="L7" s="101" t="inlineStr">
        <is>
          <t>030 23125 410</t>
        </is>
      </c>
      <c r="M7" s="101" t="inlineStr">
        <is>
          <t>j.albers@brenner-platten.de</t>
        </is>
      </c>
      <c r="N7" s="106" t="n">
        <v>5</v>
      </c>
      <c r="O7" s="103" t="inlineStr">
        <is>
          <t>K-20817</t>
        </is>
      </c>
    </row>
    <row r="8" ht="19" customHeight="1">
      <c r="B8" s="101" t="inlineStr">
        <is>
          <t>Metall &amp; Profile</t>
        </is>
      </c>
      <c r="C8" s="102" t="n">
        <v>450</v>
      </c>
      <c r="E8" s="103" t="inlineStr">
        <is>
          <t>Pkt.</t>
        </is>
      </c>
      <c r="G8" s="104" t="inlineStr">
        <is>
          <t>Angefragt</t>
        </is>
      </c>
      <c r="H8" s="105" t="inlineStr">
        <is>
          <t>Angebot angefordert oder liegt vor</t>
        </is>
      </c>
      <c r="J8" s="101" t="inlineStr">
        <is>
          <t>Metallbau Kessler KG</t>
        </is>
      </c>
      <c r="K8" s="101" t="inlineStr">
        <is>
          <t>Tobias Rau</t>
        </is>
      </c>
      <c r="L8" s="101" t="inlineStr">
        <is>
          <t>040 66969 215</t>
        </is>
      </c>
      <c r="M8" s="101" t="inlineStr">
        <is>
          <t>t.rau@kessler-metallbau.de</t>
        </is>
      </c>
      <c r="N8" s="106" t="n">
        <v>8</v>
      </c>
      <c r="O8" s="103" t="inlineStr">
        <is>
          <t>5530-12</t>
        </is>
      </c>
    </row>
    <row r="9" ht="19" customHeight="1">
      <c r="B9" s="101" t="inlineStr">
        <is>
          <t>Befestigung &amp; Kleinteile</t>
        </is>
      </c>
      <c r="C9" s="102" t="n">
        <v>300</v>
      </c>
      <c r="E9" s="103" t="inlineStr">
        <is>
          <t>Karton</t>
        </is>
      </c>
      <c r="G9" s="104" t="inlineStr">
        <is>
          <t>Bestellt</t>
        </is>
      </c>
      <c r="H9" s="105" t="inlineStr">
        <is>
          <t>Auftrag erteilt, Lieferung ausstehend</t>
        </is>
      </c>
      <c r="J9" s="101" t="inlineStr">
        <is>
          <t>Schraubwerk Nord</t>
        </is>
      </c>
      <c r="K9" s="101" t="inlineStr">
        <is>
          <t>Innendienst</t>
        </is>
      </c>
      <c r="L9" s="101" t="inlineStr">
        <is>
          <t>069 90009 330</t>
        </is>
      </c>
      <c r="M9" s="101" t="inlineStr">
        <is>
          <t>bestellung@schraubwerk-nord.de</t>
        </is>
      </c>
      <c r="N9" s="106" t="n">
        <v>2</v>
      </c>
      <c r="O9" s="103" t="n"/>
    </row>
    <row r="10" ht="19" customHeight="1">
      <c r="B10" s="101" t="inlineStr">
        <is>
          <t>Elektro &amp; Beleuchtung</t>
        </is>
      </c>
      <c r="C10" s="102" t="n">
        <v>1300</v>
      </c>
      <c r="E10" s="103" t="inlineStr">
        <is>
          <t>Rolle</t>
        </is>
      </c>
      <c r="G10" s="104" t="inlineStr">
        <is>
          <t>Teilgeliefert</t>
        </is>
      </c>
      <c r="H10" s="105" t="inlineStr">
        <is>
          <t>Teilmenge eingetroffen, Rest offen</t>
        </is>
      </c>
      <c r="J10" s="101" t="inlineStr">
        <is>
          <t>Lichtpunkt Elektro-Großhandel</t>
        </is>
      </c>
      <c r="K10" s="101" t="inlineStr">
        <is>
          <t>Murat Demir</t>
        </is>
      </c>
      <c r="L10" s="101" t="inlineStr">
        <is>
          <t>0221 4710 520</t>
        </is>
      </c>
      <c r="M10" s="101" t="inlineStr">
        <is>
          <t>m.demir@lichtpunkt-elektro.de</t>
        </is>
      </c>
      <c r="N10" s="106" t="n">
        <v>6</v>
      </c>
      <c r="O10" s="103" t="inlineStr">
        <is>
          <t>LP-4471</t>
        </is>
      </c>
    </row>
    <row r="11" ht="19" customHeight="1">
      <c r="B11" s="101" t="inlineStr">
        <is>
          <t>Farben &amp; Oberflächen</t>
        </is>
      </c>
      <c r="C11" s="102" t="n">
        <v>650</v>
      </c>
      <c r="E11" s="103" t="inlineStr">
        <is>
          <t>Satz</t>
        </is>
      </c>
      <c r="G11" s="104" t="inlineStr">
        <is>
          <t>Geliefert</t>
        </is>
      </c>
      <c r="H11" s="105" t="inlineStr">
        <is>
          <t>Vollständig eingetroffen und geprüft</t>
        </is>
      </c>
      <c r="J11" s="101" t="inlineStr">
        <is>
          <t>Farbhaus am Ring</t>
        </is>
      </c>
      <c r="K11" s="101" t="inlineStr">
        <is>
          <t>Sabine Krüger</t>
        </is>
      </c>
      <c r="L11" s="101" t="inlineStr">
        <is>
          <t>089 99998 640</t>
        </is>
      </c>
      <c r="M11" s="101" t="inlineStr">
        <is>
          <t>info@farbhaus-am-ring.de</t>
        </is>
      </c>
      <c r="N11" s="106" t="n">
        <v>3</v>
      </c>
      <c r="O11" s="103" t="n"/>
    </row>
    <row r="12" ht="19" customHeight="1">
      <c r="B12" s="101" t="inlineStr">
        <is>
          <t>Bodenbeläge</t>
        </is>
      </c>
      <c r="C12" s="102" t="n">
        <v>2700</v>
      </c>
      <c r="E12" s="103" t="inlineStr">
        <is>
          <t>Paar</t>
        </is>
      </c>
      <c r="G12" s="104" t="inlineStr">
        <is>
          <t>Storniert</t>
        </is>
      </c>
      <c r="H12" s="105" t="inlineStr">
        <is>
          <t>Position entfällt – Wert wird auf 0 gesetzt</t>
        </is>
      </c>
      <c r="J12" s="101" t="inlineStr">
        <is>
          <t>Bodenkontor Weststadt</t>
        </is>
      </c>
      <c r="K12" s="101" t="inlineStr">
        <is>
          <t>Felix Brandt</t>
        </is>
      </c>
      <c r="L12" s="101" t="inlineStr">
        <is>
          <t>030 23125 780</t>
        </is>
      </c>
      <c r="M12" s="101" t="inlineStr">
        <is>
          <t>f.brandt@bodenkontor-weststadt.de</t>
        </is>
      </c>
      <c r="N12" s="106" t="n">
        <v>10</v>
      </c>
      <c r="O12" s="103" t="inlineStr">
        <is>
          <t>BK-0093</t>
        </is>
      </c>
    </row>
    <row r="13" ht="19" customHeight="1">
      <c r="B13" s="101" t="inlineStr">
        <is>
          <t>Verbrauchsmaterial</t>
        </is>
      </c>
      <c r="C13" s="102" t="n">
        <v>300</v>
      </c>
      <c r="E13" s="103" t="inlineStr">
        <is>
          <t>m</t>
        </is>
      </c>
      <c r="J13" s="101" t="inlineStr">
        <is>
          <t>Handwerkerbedarf Simon</t>
        </is>
      </c>
      <c r="K13" s="101" t="inlineStr">
        <is>
          <t>Abholtheke</t>
        </is>
      </c>
      <c r="L13" s="101" t="inlineStr">
        <is>
          <t>040 66969 905</t>
        </is>
      </c>
      <c r="M13" s="101" t="inlineStr">
        <is>
          <t>service@handwerkerbedarf-simon.de</t>
        </is>
      </c>
      <c r="N13" s="106" t="n">
        <v>1</v>
      </c>
      <c r="O13" s="103" t="n"/>
    </row>
    <row r="14" ht="19" customHeight="1">
      <c r="B14" s="101" t="inlineStr">
        <is>
          <t>Werkzeug &amp; Zubehör</t>
        </is>
      </c>
      <c r="C14" s="102" t="n">
        <v>150</v>
      </c>
      <c r="E14" s="103" t="inlineStr">
        <is>
          <t>lfm</t>
        </is>
      </c>
      <c r="G14" s="107" t="inlineStr">
        <is>
          <t>Statusbezeichnungen nicht umbenennen – sie werden in Formeln ausgewertet.</t>
        </is>
      </c>
      <c r="J14" s="101" t="inlineStr">
        <is>
          <t>Akustikwerk Haller</t>
        </is>
      </c>
      <c r="K14" s="101" t="inlineStr">
        <is>
          <t>Nina Haller</t>
        </is>
      </c>
      <c r="L14" s="101" t="inlineStr">
        <is>
          <t>069 90009 118</t>
        </is>
      </c>
      <c r="M14" s="101" t="inlineStr">
        <is>
          <t>n.haller@akustikwerk-haller.de</t>
        </is>
      </c>
      <c r="N14" s="106" t="n">
        <v>15</v>
      </c>
      <c r="O14" s="103" t="inlineStr">
        <is>
          <t>AH-218</t>
        </is>
      </c>
    </row>
    <row r="15" ht="19" customHeight="1">
      <c r="B15" s="101" t="inlineStr">
        <is>
          <t>Sonstiges</t>
        </is>
      </c>
      <c r="C15" s="102" t="n">
        <v>2000</v>
      </c>
      <c r="E15" s="103" t="inlineStr">
        <is>
          <t>m²</t>
        </is>
      </c>
      <c r="J15" s="101" t="n"/>
      <c r="K15" s="101" t="n"/>
      <c r="L15" s="101" t="n"/>
      <c r="M15" s="101" t="n"/>
      <c r="N15" s="106" t="n"/>
      <c r="O15" s="103" t="n"/>
    </row>
    <row r="16" ht="19" customHeight="1">
      <c r="B16" s="101" t="n"/>
      <c r="C16" s="102" t="n"/>
      <c r="E16" s="103" t="inlineStr">
        <is>
          <t>m³</t>
        </is>
      </c>
      <c r="J16" s="101" t="n"/>
      <c r="K16" s="101" t="n"/>
      <c r="L16" s="101" t="n"/>
      <c r="M16" s="101" t="n"/>
      <c r="N16" s="106" t="n"/>
      <c r="O16" s="103" t="n"/>
    </row>
    <row r="17" ht="19" customHeight="1">
      <c r="B17" s="101" t="n"/>
      <c r="C17" s="102" t="n"/>
      <c r="E17" s="103" t="inlineStr">
        <is>
          <t>kg</t>
        </is>
      </c>
      <c r="J17" s="101" t="n"/>
      <c r="K17" s="101" t="n"/>
      <c r="L17" s="101" t="n"/>
      <c r="M17" s="101" t="n"/>
      <c r="N17" s="106" t="n"/>
      <c r="O17" s="103" t="n"/>
    </row>
    <row r="18" ht="19" customHeight="1">
      <c r="B18" s="101" t="n"/>
      <c r="C18" s="102" t="n"/>
      <c r="E18" s="103" t="inlineStr">
        <is>
          <t>l</t>
        </is>
      </c>
      <c r="J18" s="101" t="n"/>
      <c r="K18" s="101" t="n"/>
      <c r="L18" s="101" t="n"/>
      <c r="M18" s="101" t="n"/>
      <c r="N18" s="106" t="n"/>
      <c r="O18" s="103" t="n"/>
    </row>
    <row r="19" ht="19" customHeight="1">
      <c r="B19" s="101" t="n"/>
      <c r="C19" s="102" t="n"/>
      <c r="E19" s="103" t="inlineStr">
        <is>
          <t>Eimer</t>
        </is>
      </c>
      <c r="J19" s="101" t="n"/>
      <c r="K19" s="101" t="n"/>
      <c r="L19" s="101" t="n"/>
      <c r="M19" s="101" t="n"/>
      <c r="N19" s="106" t="n"/>
      <c r="O19" s="103" t="n"/>
    </row>
    <row r="20" ht="19" customHeight="1">
      <c r="B20" s="101" t="n"/>
      <c r="C20" s="102" t="n"/>
      <c r="E20" s="103" t="inlineStr">
        <is>
          <t>Kartusche</t>
        </is>
      </c>
      <c r="J20" s="101" t="n"/>
      <c r="K20" s="101" t="n"/>
      <c r="L20" s="101" t="n"/>
      <c r="M20" s="101" t="n"/>
      <c r="N20" s="106" t="n"/>
      <c r="O20" s="103" t="n"/>
    </row>
    <row r="21" ht="19" customHeight="1">
      <c r="B21" s="101" t="n"/>
      <c r="C21" s="102" t="n"/>
      <c r="E21" s="103" t="inlineStr">
        <is>
          <t>Sack</t>
        </is>
      </c>
      <c r="J21" s="101" t="n"/>
      <c r="K21" s="101" t="n"/>
      <c r="L21" s="101" t="n"/>
      <c r="M21" s="101" t="n"/>
      <c r="N21" s="106" t="n"/>
      <c r="O21" s="103" t="n"/>
    </row>
    <row r="22" ht="19" customHeight="1">
      <c r="E22" s="103" t="n"/>
    </row>
    <row r="23" ht="19" customHeight="1">
      <c r="B23" s="108" t="inlineStr">
        <is>
          <t>Summe Planbudgets</t>
        </is>
      </c>
      <c r="C23" s="109">
        <f>SUM(C7:C21)</f>
        <v/>
      </c>
      <c r="E23" s="103" t="n"/>
      <c r="J23" s="107" t="inlineStr">
        <is>
          <t>Lieferzeit in Arbeitstagen (Mo–Fr) – daraus berechnet die Materialliste den spätesten Bestelltermin.</t>
        </is>
      </c>
    </row>
    <row r="24" ht="19" customHeight="1">
      <c r="E24" s="103" t="n"/>
    </row>
    <row r="25" ht="19" customHeight="1">
      <c r="B25" s="110" t="inlineStr">
        <is>
          <t>Lücken in den Listen vermeiden: Auswahlfelder lesen bis zum ersten leeren Eintrag.</t>
        </is>
      </c>
      <c r="C25" s="110" t="n"/>
      <c r="E25" s="103" t="n"/>
    </row>
    <row r="26" ht="19" customHeight="1">
      <c r="B26" s="110" t="n"/>
      <c r="C26" s="110" t="n"/>
      <c r="E26" s="103" t="n"/>
    </row>
  </sheetData>
  <mergeCells count="4">
    <mergeCell ref="G5:H5"/>
    <mergeCell ref="B5:C5"/>
    <mergeCell ref="J5:O5"/>
    <mergeCell ref="B25:C26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CE4D9"/>
    <outlinePr summaryBelow="1" summaryRight="1"/>
    <pageSetUpPr fitToPage="1"/>
  </sheetPr>
  <dimension ref="A2:D45"/>
  <sheetViews>
    <sheetView showGridLines="0" workbookViewId="0">
      <selection activeCell="A1" sqref="A1"/>
    </sheetView>
  </sheetViews>
  <sheetFormatPr baseColWidth="8" defaultRowHeight="15"/>
  <cols>
    <col width="1.6" customWidth="1" min="1" max="1"/>
    <col width="5" customWidth="1" min="2" max="2"/>
    <col width="28" customWidth="1" min="3" max="3"/>
    <col width="92" customWidth="1" min="4" max="4"/>
  </cols>
  <sheetData>
    <row r="1" ht="10" customHeight="1"/>
    <row r="2" ht="36" customHeight="1">
      <c r="A2" s="1" t="n"/>
      <c r="B2" s="2" t="inlineStr">
        <is>
          <t>ANLEITUNG</t>
        </is>
      </c>
    </row>
    <row r="3">
      <c r="A3" s="1" t="n"/>
      <c r="B3" s="4" t="inlineStr">
        <is>
          <t>In wenigen Minuten zur eigenen Materialliste – alle Funktionen auf einen Blick</t>
        </is>
      </c>
      <c r="C3" s="5" t="n"/>
      <c r="D3" s="5" t="n"/>
    </row>
    <row r="5" ht="24" customHeight="1">
      <c r="B5" s="111" t="inlineStr">
        <is>
          <t>SO IST DIE VORLAGE AUFGEBAUT</t>
        </is>
      </c>
      <c r="C5" s="111" t="n"/>
      <c r="D5" s="111" t="n"/>
    </row>
    <row r="6" ht="35" customHeight="1">
      <c r="B6" s="112" t="inlineStr">
        <is>
          <t>1</t>
        </is>
      </c>
      <c r="C6" s="113" t="inlineStr">
        <is>
          <t>Materialliste</t>
        </is>
      </c>
      <c r="D6" s="114" t="inlineStr">
        <is>
          <t>Herzstück der Vorlage: Projektkopf, Kennzahlen und bis zu 100 Positionen mit Mengen, Kosten, Beschaffung und Lieferstatus. Nur hier werden Positionen erfasst.</t>
        </is>
      </c>
    </row>
    <row r="7" ht="35" customHeight="1">
      <c r="B7" s="112" t="inlineStr">
        <is>
          <t>2</t>
        </is>
      </c>
      <c r="C7" s="113" t="inlineStr">
        <is>
          <t>Auswertung</t>
        </is>
      </c>
      <c r="D7" s="114" t="inlineStr">
        <is>
          <t>Rechnet vollautomatisch: Plan/Ist je Kategorie, Status der Positionen, Termin-Hinweise und Lieferanten-Übersicht inklusive Diagramm. Keine Eingaben nötig.</t>
        </is>
      </c>
    </row>
    <row r="8" ht="35" customHeight="1">
      <c r="B8" s="112" t="inlineStr">
        <is>
          <t>3</t>
        </is>
      </c>
      <c r="C8" s="113" t="inlineStr">
        <is>
          <t>Stammdaten</t>
        </is>
      </c>
      <c r="D8" s="114" t="inlineStr">
        <is>
          <t>Auswahllisten für Kategorien (mit Planbudget), Einheiten und Lieferanten (mit Lieferzeit). Einmal anpassen – alle Auswahlfelder übernehmen die Änderungen.</t>
        </is>
      </c>
    </row>
    <row r="9" ht="12" customHeight="1"/>
    <row r="10" ht="24" customHeight="1">
      <c r="B10" s="111" t="inlineStr">
        <is>
          <t>IN 6 SCHRITTEN ZUR FERTIGEN MATERIALLISTE</t>
        </is>
      </c>
      <c r="C10" s="111" t="n"/>
      <c r="D10" s="111" t="n"/>
    </row>
    <row r="11" ht="35" customHeight="1">
      <c r="B11" s="112" t="inlineStr">
        <is>
          <t>1</t>
        </is>
      </c>
      <c r="C11" s="113" t="inlineStr">
        <is>
          <t>Stammdaten anpassen</t>
        </is>
      </c>
      <c r="D11" s="114" t="inlineStr">
        <is>
          <t>Eigene Kategorien und optional ein Planbudget je Kategorie eintragen. Einheiten ergänzen und Lieferanten mit Lieferzeit in Arbeitstagen erfassen. Listen ohne Leerzeilen führen.</t>
        </is>
      </c>
    </row>
    <row r="12" ht="49.5" customHeight="1">
      <c r="B12" s="112" t="inlineStr">
        <is>
          <t>2</t>
        </is>
      </c>
      <c r="C12" s="113" t="inlineStr">
        <is>
          <t>Projektkopf ausfüllen</t>
        </is>
      </c>
      <c r="D12" s="114" t="inlineStr">
        <is>
          <t>In der Materialliste Projekt, Projekt-Nr., Auftraggeber, Einsatzort, Verantwortliche Person, Erstellungsdatum, Version, Budget netto, MwSt.-Satz und Vorwarnzeit eintragen. Der Stichtag ist das Bezugsdatum für alle Termin-Hinweise.</t>
        </is>
      </c>
    </row>
    <row r="13" ht="35" customHeight="1">
      <c r="B13" s="112" t="inlineStr">
        <is>
          <t>3</t>
        </is>
      </c>
      <c r="C13" s="113" t="inlineStr">
        <is>
          <t>Positionen erfassen</t>
        </is>
      </c>
      <c r="D13" s="114" t="inlineStr">
        <is>
          <t>Je Zeile ein Material: Artikelnummer (optional), eine eindeutige Bezeichnung mit Maßen, Güte oder Norm, dann Kategorie und Einheit aus der Liste wählen. Die Positionsnummer entsteht automatisch.</t>
        </is>
      </c>
    </row>
    <row r="14" ht="49.5" customHeight="1">
      <c r="B14" s="112" t="inlineStr">
        <is>
          <t>4</t>
        </is>
      </c>
      <c r="C14" s="113" t="inlineStr">
        <is>
          <t>Mengen und Preise eintragen</t>
        </is>
      </c>
      <c r="D14" s="114" t="inlineStr">
        <is>
          <t>Bedarf = reine Menge laut Plan oder Aufmaß. Zuschlag deckt Verschnitt und Reserve ab. Mit der VPE (Verpackungseinheit) wird die Bestellmenge auf ganze Gebinde aufgerundet. Einzelpreis netto und ggf. Rabatt ergänzen – Gesamt netto rechnet sich selbst.</t>
        </is>
      </c>
    </row>
    <row r="15" ht="49.5" customHeight="1">
      <c r="B15" s="112" t="inlineStr">
        <is>
          <t>5</t>
        </is>
      </c>
      <c r="C15" s="113" t="inlineStr">
        <is>
          <t>Beschaffung steuern</t>
        </is>
      </c>
      <c r="D15" s="114" t="inlineStr">
        <is>
          <t>Lieferant wählen und eintragen, wann das Material benötigt wird. Die Spalte „Bestellen bis“ zieht die Lieferzeit automatisch ab. Status pflegen, bestätigten Liefertermin und gelieferte Menge nachtragen – die offene Menge und der Termin-Hinweis aktualisieren sich sofort.</t>
        </is>
      </c>
    </row>
    <row r="16" ht="35" customHeight="1">
      <c r="B16" s="112" t="inlineStr">
        <is>
          <t>6</t>
        </is>
      </c>
      <c r="C16" s="113" t="inlineStr">
        <is>
          <t>Auswerten und filtern</t>
        </is>
      </c>
      <c r="D16" s="114" t="inlineStr">
        <is>
          <t>Über die Filterpfeile in Zeile 12 nach Kategorie, Lieferant oder Status filtern: Zeile 10 zeigt die Summe der sichtbaren Positionen. Das Blatt Auswertung liefert den Gesamtüberblick für Besprechungen und Berichte.</t>
        </is>
      </c>
    </row>
    <row r="17" ht="12" customHeight="1"/>
    <row r="18" ht="24" customHeight="1">
      <c r="B18" s="111" t="inlineStr">
        <is>
          <t>FARBEN UND FELDER</t>
        </is>
      </c>
      <c r="C18" s="111" t="n"/>
      <c r="D18" s="111" t="n"/>
    </row>
    <row r="19" ht="20.5" customHeight="1">
      <c r="B19" s="115" t="inlineStr"/>
      <c r="C19" s="113" t="inlineStr">
        <is>
          <t>Weiße Zellen</t>
        </is>
      </c>
      <c r="D19" s="114" t="inlineStr">
        <is>
          <t>Eingabefelder – hier werden Daten eingetragen oder aus einer Liste gewählt (Pfeil am Zellrand).</t>
        </is>
      </c>
    </row>
    <row r="20" ht="20.5" customHeight="1">
      <c r="B20" s="116" t="inlineStr"/>
      <c r="C20" s="113" t="inlineStr">
        <is>
          <t>Sandfarbene Zellen</t>
        </is>
      </c>
      <c r="D20" s="114" t="inlineStr">
        <is>
          <t>Automatische Berechnung – nicht überschreiben. Spaltenköpfe in Kupfer kennzeichnen berechnete Spalten.</t>
        </is>
      </c>
    </row>
    <row r="21" ht="35" customHeight="1">
      <c r="B21" s="117" t="inlineStr"/>
      <c r="C21" s="113" t="inlineStr">
        <is>
          <t>Gruppenband (Zeile 11)</t>
        </is>
      </c>
      <c r="D21" s="114" t="inlineStr">
        <is>
          <t>Fasst die Spalten thematisch zusammen: Artikel · Mengenermittlung · Kosten · Beschaffung &amp; Termine · Lieferstatus · Notiz.</t>
        </is>
      </c>
    </row>
    <row r="22" ht="12" customHeight="1"/>
    <row r="23" ht="24" customHeight="1">
      <c r="B23" s="111" t="inlineStr">
        <is>
          <t>BERECHNETE SPALTEN</t>
        </is>
      </c>
      <c r="C23" s="111" t="n"/>
      <c r="D23" s="111" t="n"/>
    </row>
    <row r="24" ht="35" customHeight="1">
      <c r="B24" s="118" t="inlineStr">
        <is>
          <t>ƒ</t>
        </is>
      </c>
      <c r="C24" s="113" t="inlineStr">
        <is>
          <t>Bestellmenge</t>
        </is>
      </c>
      <c r="D24" s="114" t="inlineStr">
        <is>
          <t>Bedarf × (1 + Zuschlag), aufgerundet auf ein Vielfaches der VPE. Beispiel: 86 m² + 8 % = 92,88 m²; bei Paketen à 2,2 m² ergibt das 43 Pakete = 94,6 m².</t>
        </is>
      </c>
    </row>
    <row r="25" ht="35" customHeight="1">
      <c r="B25" s="118" t="inlineStr">
        <is>
          <t>ƒ</t>
        </is>
      </c>
      <c r="C25" s="113" t="inlineStr">
        <is>
          <t>Gesamt netto</t>
        </is>
      </c>
      <c r="D25" s="114" t="inlineStr">
        <is>
          <t>Bestellmenge × Einzelpreis × (1 − Rabatt). Stornierte Positionen werden mit 0 bewertet und durchgestrichen dargestellt.</t>
        </is>
      </c>
    </row>
    <row r="26" ht="35" customHeight="1">
      <c r="B26" s="118" t="inlineStr">
        <is>
          <t>ƒ</t>
        </is>
      </c>
      <c r="C26" s="113" t="inlineStr">
        <is>
          <t>Bestellen bis</t>
        </is>
      </c>
      <c r="D26" s="114" t="inlineStr">
        <is>
          <t>Benötigt am minus Lieferzeit des Lieferanten in Arbeitstagen (Montag bis Freitag; Feiertage werden nicht berücksichtigt).</t>
        </is>
      </c>
    </row>
    <row r="27" ht="20.5" customHeight="1">
      <c r="B27" s="118" t="inlineStr">
        <is>
          <t>ƒ</t>
        </is>
      </c>
      <c r="C27" s="113" t="inlineStr">
        <is>
          <t>Offen (Menge)</t>
        </is>
      </c>
      <c r="D27" s="114" t="inlineStr">
        <is>
          <t>Bestellmenge minus gelieferte Menge – zeigt sofort, was noch aussteht.</t>
        </is>
      </c>
    </row>
    <row r="28" ht="20.5" customHeight="1">
      <c r="B28" s="118" t="inlineStr">
        <is>
          <t>ƒ</t>
        </is>
      </c>
      <c r="C28" s="113" t="inlineStr">
        <is>
          <t>Liefergrad</t>
        </is>
      </c>
      <c r="D28" s="114" t="inlineStr">
        <is>
          <t>Wert der gelieferten Mengen im Verhältnis zum gesamten Bestellwert (Kennzahl im Projektkopf).</t>
        </is>
      </c>
    </row>
    <row r="29" ht="12" customHeight="1"/>
    <row r="30" ht="24" customHeight="1">
      <c r="B30" s="111" t="inlineStr">
        <is>
          <t>TERMIN-HINWEISE – SO WIRD BEWERTET (Prüfung in dieser Reihenfolge)</t>
        </is>
      </c>
      <c r="C30" s="111" t="n"/>
      <c r="D30" s="111" t="n"/>
    </row>
    <row r="31" ht="20.5" customHeight="1">
      <c r="B31" s="117" t="inlineStr">
        <is>
          <t>1</t>
        </is>
      </c>
      <c r="C31" s="113" t="inlineStr">
        <is>
          <t>Storniert / Erledigt</t>
        </is>
      </c>
      <c r="D31" s="114" t="inlineStr">
        <is>
          <t>Status „Storniert“ bzw. „Geliefert“ – keine weitere Prüfung.</t>
        </is>
      </c>
    </row>
    <row r="32" ht="20.5" customHeight="1">
      <c r="B32" s="117" t="inlineStr">
        <is>
          <t>2</t>
        </is>
      </c>
      <c r="C32" s="113" t="inlineStr">
        <is>
          <t>Ohne Termin</t>
        </is>
      </c>
      <c r="D32" s="114" t="inlineStr">
        <is>
          <t>Es ist kein Datum in „Benötigt am“ eingetragen.</t>
        </is>
      </c>
    </row>
    <row r="33" ht="20.5" customHeight="1">
      <c r="B33" s="117" t="inlineStr">
        <is>
          <t>3</t>
        </is>
      </c>
      <c r="C33" s="113" t="inlineStr">
        <is>
          <t>Überfällig</t>
        </is>
      </c>
      <c r="D33" s="114" t="inlineStr">
        <is>
          <t>Der Stichtag liegt nach dem Datum „Benötigt am“ und die Position ist noch nicht geliefert.</t>
        </is>
      </c>
    </row>
    <row r="34" ht="20.5" customHeight="1">
      <c r="B34" s="117" t="inlineStr">
        <is>
          <t>4</t>
        </is>
      </c>
      <c r="C34" s="113" t="inlineStr">
        <is>
          <t>Lieferverzug</t>
        </is>
      </c>
      <c r="D34" s="114" t="inlineStr">
        <is>
          <t>Der bestätigte Liefertermin liegt nach dem Datum „Benötigt am“ (wird zusätzlich rot hervorgehoben).</t>
        </is>
      </c>
    </row>
    <row r="35" ht="20.5" customHeight="1">
      <c r="B35" s="117" t="inlineStr">
        <is>
          <t>5</t>
        </is>
      </c>
      <c r="C35" s="113" t="inlineStr">
        <is>
          <t>Im Plan</t>
        </is>
      </c>
      <c r="D35" s="114" t="inlineStr">
        <is>
          <t>Status „Bestellt“ oder „Teilgeliefert“ ohne Terminkonflikt.</t>
        </is>
      </c>
    </row>
    <row r="36" ht="20.5" customHeight="1">
      <c r="B36" s="117" t="inlineStr">
        <is>
          <t>6</t>
        </is>
      </c>
      <c r="C36" s="113" t="inlineStr">
        <is>
          <t>Bestellung fällig</t>
        </is>
      </c>
      <c r="D36" s="114" t="inlineStr">
        <is>
          <t>Noch nicht bestellt und der späteste Bestelltermin ist bereits überschritten.</t>
        </is>
      </c>
    </row>
    <row r="37" ht="20.5" customHeight="1">
      <c r="B37" s="117" t="inlineStr">
        <is>
          <t>7</t>
        </is>
      </c>
      <c r="C37" s="113" t="inlineStr">
        <is>
          <t>Jetzt bestellen</t>
        </is>
      </c>
      <c r="D37" s="114" t="inlineStr">
        <is>
          <t>Noch nicht bestellt, der Bestelltermin liegt innerhalb der Vorwarnzeit (Projektkopf).</t>
        </is>
      </c>
    </row>
    <row r="38" ht="20.5" customHeight="1">
      <c r="B38" s="117" t="inlineStr">
        <is>
          <t>8</t>
        </is>
      </c>
      <c r="C38" s="113" t="inlineStr">
        <is>
          <t>Im Plan</t>
        </is>
      </c>
      <c r="D38" s="114" t="inlineStr">
        <is>
          <t>Alle übrigen Fälle.</t>
        </is>
      </c>
    </row>
    <row r="39" ht="12" customHeight="1"/>
    <row r="40" ht="24" customHeight="1">
      <c r="B40" s="111" t="inlineStr">
        <is>
          <t>PRAXIS-TIPPS</t>
        </is>
      </c>
      <c r="C40" s="111" t="n"/>
      <c r="D40" s="111" t="n"/>
    </row>
    <row r="41" ht="20.5" customHeight="1">
      <c r="B41" s="112" t="inlineStr">
        <is>
          <t>✓</t>
        </is>
      </c>
      <c r="C41" s="113" t="inlineStr">
        <is>
          <t>Tagesaktueller Stichtag</t>
        </is>
      </c>
      <c r="D41" s="114" t="inlineStr">
        <is>
          <t>Im Feld Stichtag die Formel =HEUTE() eintragen, damit die Hinweise jeden Tag automatisch neu bewertet werden.</t>
        </is>
      </c>
    </row>
    <row r="42" ht="35" customHeight="1">
      <c r="B42" s="112" t="inlineStr">
        <is>
          <t>✓</t>
        </is>
      </c>
      <c r="C42" s="113" t="inlineStr">
        <is>
          <t>Beispieldaten entfernen</t>
        </is>
      </c>
      <c r="D42" s="114" t="inlineStr">
        <is>
          <t>Nur die weißen Eingabezellen der Positionszeilen markieren und mit Entf leeren. Die sandfarbenen Formelspalten bleiben erhalten und sind sofort wieder einsatzbereit.</t>
        </is>
      </c>
    </row>
    <row r="43" ht="35" customHeight="1">
      <c r="B43" s="112" t="inlineStr">
        <is>
          <t>✓</t>
        </is>
      </c>
      <c r="C43" s="113" t="inlineStr">
        <is>
          <t>Mehr Zeilen benötigt</t>
        </is>
      </c>
      <c r="D43" s="114" t="inlineStr">
        <is>
          <t>Eine ganze Zeile innerhalb des Positionsbereichs markieren, kopieren und über „Kopierte Zellen einfügen“ ergänzen. Formeln, Formatierung und Summen werden dabei automatisch mitgeführt.</t>
        </is>
      </c>
    </row>
    <row r="44" ht="35" customHeight="1">
      <c r="B44" s="112" t="inlineStr">
        <is>
          <t>✓</t>
        </is>
      </c>
      <c r="C44" s="113" t="inlineStr">
        <is>
          <t>Formeln schützen</t>
        </is>
      </c>
      <c r="D44" s="114" t="inlineStr">
        <is>
          <t>Überprüfen › Blatt schützen aktivieren. Vorher die weißen Eingabefelder markieren und unter Zellen formatieren › Schutz das Häkchen bei „Gesperrt“ entfernen.</t>
        </is>
      </c>
    </row>
    <row r="45" ht="35" customHeight="1">
      <c r="B45" s="112" t="inlineStr">
        <is>
          <t>✓</t>
        </is>
      </c>
      <c r="C45" s="113" t="inlineStr">
        <is>
          <t>Drucken und Weitergeben</t>
        </is>
      </c>
      <c r="D45" s="114" t="inlineStr">
        <is>
          <t>Druckbereich und Seitenlayout sind eingerichtet (A4 quer, Spaltenköpfe wiederholen sich auf jeder Seite). Für Lieferanten lässt sich die Liste vorher nach Lieferant filtern.</t>
        </is>
      </c>
    </row>
  </sheetData>
  <mergeCells count="6">
    <mergeCell ref="B10:D10"/>
    <mergeCell ref="B5:D5"/>
    <mergeCell ref="B23:D23"/>
    <mergeCell ref="B40:D40"/>
    <mergeCell ref="B18:D18"/>
    <mergeCell ref="B30:D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2026-10-17T08:05:46Z</dcterms:created>
  <dcterms:modified xmlns:dcterms="http://purl.org/dc/terms/" xmlns:xsi="http://www.w3.org/2001/XMLSchema-instance" xsi:type="dcterms:W3CDTF">2026-10-17T08:05:46Z</dcterms:modified>
</cp:coreProperties>
</file>