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ergi\Documents\SEO\SEO\AA_Webs\Excel Aleman\Generador\"/>
    </mc:Choice>
  </mc:AlternateContent>
  <xr:revisionPtr revIDLastSave="0" documentId="13_ncr:1_{C6213C5E-7394-4630-9B52-E56AE2417FF1}" xr6:coauthVersionLast="47" xr6:coauthVersionMax="47" xr10:uidLastSave="{00000000-0000-0000-0000-000000000000}"/>
  <bookViews>
    <workbookView xWindow="1035" yWindow="1035" windowWidth="25500" windowHeight="13500" tabRatio="500" xr2:uid="{00000000-000D-0000-FFFF-FFFF00000000}"/>
  </bookViews>
  <sheets>
    <sheet name="Cockpit" sheetId="1" r:id="rId1"/>
    <sheet name="Team" sheetId="2" r:id="rId2"/>
    <sheet name="Projekte" sheetId="3" r:id="rId3"/>
    <sheet name="Einsatzplanung" sheetId="4" r:id="rId4"/>
    <sheet name="Auslastung" sheetId="5" r:id="rId5"/>
    <sheet name="Anleitung"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14" i="5" l="1"/>
  <c r="J14" i="5"/>
  <c r="E14" i="5"/>
  <c r="C14" i="5"/>
  <c r="Q14" i="5" s="1"/>
  <c r="B14" i="5"/>
  <c r="E13" i="5"/>
  <c r="C13" i="5"/>
  <c r="P13" i="5" s="1"/>
  <c r="B13" i="5"/>
  <c r="K12" i="5"/>
  <c r="H12" i="5"/>
  <c r="E12" i="5"/>
  <c r="C12" i="5"/>
  <c r="O12" i="5" s="1"/>
  <c r="B12" i="5"/>
  <c r="G11" i="5"/>
  <c r="E11" i="5"/>
  <c r="C11" i="5"/>
  <c r="N11" i="5" s="1"/>
  <c r="B11" i="5"/>
  <c r="I10" i="5"/>
  <c r="E10" i="5"/>
  <c r="C10" i="5"/>
  <c r="M10" i="5" s="1"/>
  <c r="B10" i="5"/>
  <c r="E9" i="5"/>
  <c r="C9" i="5"/>
  <c r="L9" i="5" s="1"/>
  <c r="B9" i="5"/>
  <c r="G8" i="5"/>
  <c r="E8" i="5"/>
  <c r="C8" i="5"/>
  <c r="K8" i="5" s="1"/>
  <c r="B8" i="5"/>
  <c r="E7" i="5"/>
  <c r="C7" i="5"/>
  <c r="J7" i="5" s="1"/>
  <c r="B7" i="5"/>
  <c r="E6" i="5"/>
  <c r="C6" i="5"/>
  <c r="I6" i="5" s="1"/>
  <c r="B6" i="5"/>
  <c r="U51" i="4"/>
  <c r="T51" i="4"/>
  <c r="S51" i="4"/>
  <c r="R51" i="4"/>
  <c r="Q51" i="4"/>
  <c r="P51" i="4"/>
  <c r="O51" i="4"/>
  <c r="N51" i="4"/>
  <c r="M51" i="4"/>
  <c r="L51" i="4"/>
  <c r="K51" i="4"/>
  <c r="J51" i="4"/>
  <c r="I51" i="4"/>
  <c r="V50" i="4"/>
  <c r="U50" i="4"/>
  <c r="W50" i="4" s="1"/>
  <c r="G50" i="4"/>
  <c r="W49" i="4"/>
  <c r="V49" i="4"/>
  <c r="U49" i="4"/>
  <c r="G49" i="4"/>
  <c r="W48" i="4"/>
  <c r="V48" i="4"/>
  <c r="U48" i="4"/>
  <c r="G48" i="4"/>
  <c r="V47" i="4"/>
  <c r="U47" i="4"/>
  <c r="W47" i="4" s="1"/>
  <c r="G47" i="4"/>
  <c r="V46" i="4"/>
  <c r="U46" i="4"/>
  <c r="W46" i="4" s="1"/>
  <c r="G46" i="4"/>
  <c r="V45" i="4"/>
  <c r="U45" i="4"/>
  <c r="W45" i="4" s="1"/>
  <c r="G45" i="4"/>
  <c r="W44" i="4"/>
  <c r="V44" i="4"/>
  <c r="U44" i="4"/>
  <c r="G44" i="4"/>
  <c r="W43" i="4"/>
  <c r="V43" i="4"/>
  <c r="U43" i="4"/>
  <c r="G43" i="4"/>
  <c r="V42" i="4"/>
  <c r="U42" i="4"/>
  <c r="W42" i="4" s="1"/>
  <c r="G42" i="4"/>
  <c r="V41" i="4"/>
  <c r="U41" i="4"/>
  <c r="W41" i="4" s="1"/>
  <c r="G41" i="4"/>
  <c r="V40" i="4"/>
  <c r="U40" i="4"/>
  <c r="W40" i="4" s="1"/>
  <c r="G40" i="4"/>
  <c r="W39" i="4"/>
  <c r="V39" i="4"/>
  <c r="U39" i="4"/>
  <c r="G39" i="4"/>
  <c r="W38" i="4"/>
  <c r="V38" i="4"/>
  <c r="U38" i="4"/>
  <c r="G38" i="4"/>
  <c r="V37" i="4"/>
  <c r="U37" i="4"/>
  <c r="W37" i="4" s="1"/>
  <c r="G37" i="4"/>
  <c r="V36" i="4"/>
  <c r="U36" i="4"/>
  <c r="W36" i="4" s="1"/>
  <c r="G36" i="4"/>
  <c r="V35" i="4"/>
  <c r="U35" i="4"/>
  <c r="W35" i="4" s="1"/>
  <c r="G35" i="4"/>
  <c r="W34" i="4"/>
  <c r="V34" i="4"/>
  <c r="U34" i="4"/>
  <c r="G34" i="4"/>
  <c r="W33" i="4"/>
  <c r="V33" i="4"/>
  <c r="U33" i="4"/>
  <c r="G33" i="4"/>
  <c r="V32" i="4"/>
  <c r="U32" i="4"/>
  <c r="W32" i="4" s="1"/>
  <c r="G32" i="4"/>
  <c r="V31" i="4"/>
  <c r="U31" i="4"/>
  <c r="W31" i="4" s="1"/>
  <c r="G31" i="4"/>
  <c r="V30" i="4"/>
  <c r="U30" i="4"/>
  <c r="W30" i="4" s="1"/>
  <c r="G30" i="4"/>
  <c r="W29" i="4"/>
  <c r="V29" i="4"/>
  <c r="U29" i="4"/>
  <c r="G29" i="4"/>
  <c r="W28" i="4"/>
  <c r="V28" i="4"/>
  <c r="U28" i="4"/>
  <c r="G28" i="4"/>
  <c r="V27" i="4"/>
  <c r="U27" i="4"/>
  <c r="W27" i="4" s="1"/>
  <c r="G27" i="4"/>
  <c r="V26" i="4"/>
  <c r="U26" i="4"/>
  <c r="W26" i="4" s="1"/>
  <c r="G26" i="4"/>
  <c r="V25" i="4"/>
  <c r="U25" i="4"/>
  <c r="W25" i="4" s="1"/>
  <c r="G25" i="4"/>
  <c r="W24" i="4"/>
  <c r="V24" i="4"/>
  <c r="U24" i="4"/>
  <c r="G24" i="4"/>
  <c r="V23" i="4"/>
  <c r="W23" i="4" s="1"/>
  <c r="U23" i="4"/>
  <c r="G23" i="4"/>
  <c r="V22" i="4"/>
  <c r="U22" i="4"/>
  <c r="W22" i="4" s="1"/>
  <c r="G22" i="4"/>
  <c r="V21" i="4"/>
  <c r="U21" i="4"/>
  <c r="W21" i="4" s="1"/>
  <c r="G21" i="4"/>
  <c r="V20" i="4"/>
  <c r="U20" i="4"/>
  <c r="W20" i="4" s="1"/>
  <c r="G20" i="4"/>
  <c r="W19" i="4"/>
  <c r="V19" i="4"/>
  <c r="U19" i="4"/>
  <c r="G19" i="4"/>
  <c r="V18" i="4"/>
  <c r="W18" i="4" s="1"/>
  <c r="U18" i="4"/>
  <c r="G18" i="4"/>
  <c r="V17" i="4"/>
  <c r="U17" i="4"/>
  <c r="W17" i="4" s="1"/>
  <c r="G17" i="4"/>
  <c r="V16" i="4"/>
  <c r="U16" i="4"/>
  <c r="W16" i="4" s="1"/>
  <c r="G16" i="4"/>
  <c r="V15" i="4"/>
  <c r="U15" i="4"/>
  <c r="W15" i="4" s="1"/>
  <c r="G15" i="4"/>
  <c r="W14" i="4"/>
  <c r="V14" i="4"/>
  <c r="U14" i="4"/>
  <c r="G14" i="4"/>
  <c r="V13" i="4"/>
  <c r="W13" i="4" s="1"/>
  <c r="U13" i="4"/>
  <c r="G13" i="4"/>
  <c r="V12" i="4"/>
  <c r="U12" i="4"/>
  <c r="W12" i="4" s="1"/>
  <c r="G12" i="4"/>
  <c r="V11" i="4"/>
  <c r="U11" i="4"/>
  <c r="W11" i="4" s="1"/>
  <c r="G11" i="4"/>
  <c r="V10" i="4"/>
  <c r="U10" i="4"/>
  <c r="W10" i="4" s="1"/>
  <c r="G10" i="4"/>
  <c r="W9" i="4"/>
  <c r="V9" i="4"/>
  <c r="U9" i="4"/>
  <c r="G9" i="4"/>
  <c r="V8" i="4"/>
  <c r="W8" i="4" s="1"/>
  <c r="U8" i="4"/>
  <c r="G8" i="4"/>
  <c r="V7" i="4"/>
  <c r="U7" i="4"/>
  <c r="W7" i="4" s="1"/>
  <c r="G7" i="4"/>
  <c r="V6" i="4"/>
  <c r="U6" i="4"/>
  <c r="W6" i="4" s="1"/>
  <c r="G6" i="4"/>
  <c r="M12" i="3"/>
  <c r="O11" i="3"/>
  <c r="O10" i="3"/>
  <c r="O9" i="3"/>
  <c r="O8" i="3"/>
  <c r="O7" i="3"/>
  <c r="O6" i="3"/>
  <c r="O12" i="3" s="1"/>
  <c r="L15" i="2"/>
  <c r="K15" i="2"/>
  <c r="J15" i="2"/>
  <c r="M14" i="2"/>
  <c r="O14" i="5" s="1"/>
  <c r="K14" i="2"/>
  <c r="M13" i="2"/>
  <c r="N13" i="5" s="1"/>
  <c r="K13" i="2"/>
  <c r="N12" i="2"/>
  <c r="O12" i="2" s="1"/>
  <c r="M12" i="2"/>
  <c r="J12" i="5" s="1"/>
  <c r="K12" i="2"/>
  <c r="M11" i="2"/>
  <c r="L11" i="5" s="1"/>
  <c r="K11" i="2"/>
  <c r="N10" i="2"/>
  <c r="O10" i="2" s="1"/>
  <c r="M10" i="2"/>
  <c r="K10" i="2"/>
  <c r="M9" i="2"/>
  <c r="N9" i="2" s="1"/>
  <c r="O9" i="2" s="1"/>
  <c r="K9" i="2"/>
  <c r="M8" i="2"/>
  <c r="N8" i="2" s="1"/>
  <c r="O8" i="2" s="1"/>
  <c r="K8" i="2"/>
  <c r="N7" i="2"/>
  <c r="O7" i="2" s="1"/>
  <c r="M7" i="2"/>
  <c r="K7" i="5" s="1"/>
  <c r="K7" i="2"/>
  <c r="M6" i="2"/>
  <c r="R15" i="5" s="1"/>
  <c r="K6" i="2"/>
  <c r="B35" i="1"/>
  <c r="B34" i="1"/>
  <c r="B33" i="1"/>
  <c r="B32" i="1"/>
  <c r="B29" i="1"/>
  <c r="I21" i="1"/>
  <c r="R20" i="1"/>
  <c r="Q20" i="1"/>
  <c r="I20" i="1"/>
  <c r="R19" i="1"/>
  <c r="I19" i="1"/>
  <c r="R18" i="1"/>
  <c r="I18" i="1"/>
  <c r="R17" i="1"/>
  <c r="Q17" i="1"/>
  <c r="I17" i="1"/>
  <c r="I22" i="1" s="1"/>
  <c r="R16" i="1"/>
  <c r="I16" i="1"/>
  <c r="R15" i="1"/>
  <c r="R14" i="1"/>
  <c r="R13" i="1"/>
  <c r="R12" i="1"/>
  <c r="R11" i="1"/>
  <c r="Q11" i="1"/>
  <c r="B11" i="1"/>
  <c r="R10" i="1"/>
  <c r="Q10" i="1"/>
  <c r="R9" i="1"/>
  <c r="F8" i="1"/>
  <c r="B8" i="1"/>
  <c r="K21" i="1" l="1"/>
  <c r="M21" i="1" s="1"/>
  <c r="P11" i="3"/>
  <c r="K18" i="1"/>
  <c r="P8" i="3"/>
  <c r="P6" i="3"/>
  <c r="W51" i="4"/>
  <c r="F11" i="1"/>
  <c r="K16" i="1"/>
  <c r="J11" i="1"/>
  <c r="P9" i="3"/>
  <c r="K19" i="1"/>
  <c r="M19" i="1" s="1"/>
  <c r="L21" i="1"/>
  <c r="J8" i="1"/>
  <c r="L16" i="1"/>
  <c r="P7" i="3"/>
  <c r="K17" i="1"/>
  <c r="L19" i="1"/>
  <c r="K20" i="1"/>
  <c r="P10" i="3"/>
  <c r="R14" i="5"/>
  <c r="K6" i="5"/>
  <c r="L7" i="5"/>
  <c r="M8" i="5"/>
  <c r="N9" i="5"/>
  <c r="O10" i="5"/>
  <c r="P11" i="5"/>
  <c r="Q12" i="5"/>
  <c r="R13" i="5"/>
  <c r="J6" i="5"/>
  <c r="L8" i="5"/>
  <c r="M9" i="5"/>
  <c r="N10" i="5"/>
  <c r="O11" i="5"/>
  <c r="P12" i="5"/>
  <c r="Q13" i="5"/>
  <c r="L6" i="5"/>
  <c r="M7" i="5"/>
  <c r="N8" i="5"/>
  <c r="O9" i="5"/>
  <c r="P10" i="5"/>
  <c r="Q11" i="5"/>
  <c r="R12" i="5"/>
  <c r="Q14" i="1"/>
  <c r="M6" i="5"/>
  <c r="N7" i="5"/>
  <c r="O8" i="5"/>
  <c r="P9" i="5"/>
  <c r="Q10" i="5"/>
  <c r="R11" i="5"/>
  <c r="N14" i="2"/>
  <c r="O14" i="2" s="1"/>
  <c r="Q19" i="1"/>
  <c r="B28" i="1"/>
  <c r="N6" i="5"/>
  <c r="O7" i="5"/>
  <c r="P8" i="5"/>
  <c r="Q9" i="5"/>
  <c r="R10" i="5"/>
  <c r="S11" i="5"/>
  <c r="Q9" i="1"/>
  <c r="O6" i="5"/>
  <c r="P7" i="5"/>
  <c r="Q8" i="5"/>
  <c r="R9" i="5"/>
  <c r="G15" i="5"/>
  <c r="H9" i="5"/>
  <c r="J11" i="5"/>
  <c r="Q18" i="1"/>
  <c r="N13" i="2"/>
  <c r="O13" i="2" s="1"/>
  <c r="Q15" i="1"/>
  <c r="B27" i="1"/>
  <c r="Q16" i="1"/>
  <c r="P6" i="5"/>
  <c r="Q7" i="5"/>
  <c r="R8" i="5"/>
  <c r="H15" i="5"/>
  <c r="Q6" i="5"/>
  <c r="R7" i="5"/>
  <c r="I15" i="5"/>
  <c r="R6" i="5"/>
  <c r="J15" i="5"/>
  <c r="M15" i="2"/>
  <c r="G14" i="5"/>
  <c r="K15" i="5"/>
  <c r="G13" i="5"/>
  <c r="H14" i="5"/>
  <c r="L15" i="5"/>
  <c r="B30" i="1"/>
  <c r="N6" i="2"/>
  <c r="N11" i="2"/>
  <c r="O11" i="2" s="1"/>
  <c r="G12" i="5"/>
  <c r="H13" i="5"/>
  <c r="I14" i="5"/>
  <c r="M15" i="5"/>
  <c r="N15" i="5"/>
  <c r="G10" i="5"/>
  <c r="H11" i="5"/>
  <c r="I12" i="5"/>
  <c r="J13" i="5"/>
  <c r="K14" i="5"/>
  <c r="O15" i="5"/>
  <c r="I13" i="5"/>
  <c r="Q12" i="1"/>
  <c r="B31" i="1"/>
  <c r="G9" i="5"/>
  <c r="H10" i="5"/>
  <c r="I11" i="5"/>
  <c r="T11" i="5" s="1"/>
  <c r="J32" i="1" s="1"/>
  <c r="K13" i="5"/>
  <c r="L14" i="5"/>
  <c r="P15" i="5"/>
  <c r="Q15" i="5"/>
  <c r="L13" i="5"/>
  <c r="Q13" i="1"/>
  <c r="G7" i="5"/>
  <c r="H8" i="5"/>
  <c r="S8" i="5" s="1"/>
  <c r="I9" i="5"/>
  <c r="J10" i="5"/>
  <c r="K11" i="5"/>
  <c r="L12" i="5"/>
  <c r="M13" i="5"/>
  <c r="N14" i="5"/>
  <c r="G6" i="5"/>
  <c r="H7" i="5"/>
  <c r="I8" i="5"/>
  <c r="J9" i="5"/>
  <c r="K10" i="5"/>
  <c r="M12" i="5"/>
  <c r="H6" i="5"/>
  <c r="I7" i="5"/>
  <c r="J8" i="5"/>
  <c r="K9" i="5"/>
  <c r="L10" i="5"/>
  <c r="M11" i="5"/>
  <c r="U11" i="5" s="1"/>
  <c r="N12" i="5"/>
  <c r="O13" i="5"/>
  <c r="P14" i="5"/>
  <c r="V11" i="5" l="1"/>
  <c r="G32" i="1"/>
  <c r="U7" i="5"/>
  <c r="T7" i="5"/>
  <c r="J28" i="1" s="1"/>
  <c r="S7" i="5"/>
  <c r="U12" i="5"/>
  <c r="T12" i="5"/>
  <c r="J33" i="1" s="1"/>
  <c r="S12" i="5"/>
  <c r="T9" i="3"/>
  <c r="R9" i="3"/>
  <c r="N15" i="2"/>
  <c r="O6" i="2"/>
  <c r="O15" i="2" s="1"/>
  <c r="T15" i="5"/>
  <c r="S15" i="5"/>
  <c r="Q28" i="1"/>
  <c r="Q27" i="1"/>
  <c r="U13" i="5"/>
  <c r="T13" i="5"/>
  <c r="J34" i="1" s="1"/>
  <c r="S13" i="5"/>
  <c r="K22" i="1"/>
  <c r="M22" i="1" s="1"/>
  <c r="M16" i="1"/>
  <c r="U6" i="5"/>
  <c r="T6" i="5"/>
  <c r="J27" i="1" s="1"/>
  <c r="S6" i="5"/>
  <c r="T8" i="5"/>
  <c r="J29" i="1" s="1"/>
  <c r="T8" i="3"/>
  <c r="R8" i="3"/>
  <c r="M20" i="1"/>
  <c r="L20" i="1"/>
  <c r="R7" i="3"/>
  <c r="T7" i="3"/>
  <c r="U14" i="5"/>
  <c r="T14" i="5"/>
  <c r="J35" i="1" s="1"/>
  <c r="S14" i="5"/>
  <c r="M18" i="1"/>
  <c r="L18" i="1"/>
  <c r="L22" i="1" s="1"/>
  <c r="U10" i="5"/>
  <c r="T10" i="5"/>
  <c r="J31" i="1" s="1"/>
  <c r="S10" i="5"/>
  <c r="M17" i="1"/>
  <c r="L17" i="1"/>
  <c r="U9" i="5"/>
  <c r="T9" i="5"/>
  <c r="J30" i="1" s="1"/>
  <c r="S9" i="5"/>
  <c r="P12" i="3"/>
  <c r="T12" i="3" s="1"/>
  <c r="T6" i="3"/>
  <c r="R6" i="3"/>
  <c r="T11" i="3"/>
  <c r="R11" i="3"/>
  <c r="U8" i="5"/>
  <c r="T10" i="3"/>
  <c r="R10" i="3"/>
  <c r="V10" i="5" l="1"/>
  <c r="G31" i="1"/>
  <c r="V12" i="5"/>
  <c r="G33" i="1"/>
  <c r="G35" i="1"/>
  <c r="V14" i="5"/>
  <c r="R12" i="3"/>
  <c r="V7" i="5"/>
  <c r="G28" i="1"/>
  <c r="V8" i="5"/>
  <c r="G29" i="1"/>
  <c r="U15" i="5"/>
  <c r="V6" i="5"/>
  <c r="G27" i="1"/>
  <c r="V13" i="5"/>
  <c r="G34" i="1"/>
  <c r="G30" i="1"/>
  <c r="V9" i="5"/>
</calcChain>
</file>

<file path=xl/sharedStrings.xml><?xml version="1.0" encoding="utf-8"?>
<sst xmlns="http://schemas.openxmlformats.org/spreadsheetml/2006/main" count="288" uniqueCount="178">
  <si>
    <t>KAPAZITÄTS- &amp; RESSOURCENPLANUNG</t>
  </si>
  <si>
    <t>Unternehmen</t>
  </si>
  <si>
    <t>Nordlicht Industries GmbH</t>
  </si>
  <si>
    <t>Cockpit · Geschäftsjahr 2027</t>
  </si>
  <si>
    <t>Geschäftsjahr</t>
  </si>
  <si>
    <t>Stand</t>
  </si>
  <si>
    <t>Okt 2026</t>
  </si>
  <si>
    <t>Portfolio-Auslastung, Kapazität und Budget auf einen Blick</t>
  </si>
  <si>
    <t>Team-Ressourcen</t>
  </si>
  <si>
    <t>Projekte im Portfolio</t>
  </si>
  <si>
    <t>Ø Auslastung p.a.</t>
  </si>
  <si>
    <t>Monat</t>
  </si>
  <si>
    <t>Kapazität</t>
  </si>
  <si>
    <t>Geplant</t>
  </si>
  <si>
    <t>Jan</t>
  </si>
  <si>
    <t>Gesamtbudget</t>
  </si>
  <si>
    <t>Verplante Kosten</t>
  </si>
  <si>
    <t>Restbudget</t>
  </si>
  <si>
    <t>Feb</t>
  </si>
  <si>
    <t>Mär</t>
  </si>
  <si>
    <t>Apr</t>
  </si>
  <si>
    <t>PROJEKTPORTFOLIO</t>
  </si>
  <si>
    <t>Mai</t>
  </si>
  <si>
    <t>Jun</t>
  </si>
  <si>
    <t>Projekt</t>
  </si>
  <si>
    <t>Status</t>
  </si>
  <si>
    <t>Budget (€)</t>
  </si>
  <si>
    <t>Verplant (€)</t>
  </si>
  <si>
    <t>Abweichung (€)</t>
  </si>
  <si>
    <t>Ausschöpfung</t>
  </si>
  <si>
    <t>Jul</t>
  </si>
  <si>
    <t>Kernplattform-Modernisierung</t>
  </si>
  <si>
    <t>Aktiv</t>
  </si>
  <si>
    <t>Aug</t>
  </si>
  <si>
    <t>Kundenportal 2.0</t>
  </si>
  <si>
    <t>Sep</t>
  </si>
  <si>
    <t>Datenplattform &amp; Reporting</t>
  </si>
  <si>
    <t>Okt</t>
  </si>
  <si>
    <t>Cloud-Migration</t>
  </si>
  <si>
    <t>Nov</t>
  </si>
  <si>
    <t>Markteinführung Produktlinie</t>
  </si>
  <si>
    <t>Dez</t>
  </si>
  <si>
    <t>Interne Prozesse &amp; Enablement</t>
  </si>
  <si>
    <t>Laufend</t>
  </si>
  <si>
    <t>Gesamt</t>
  </si>
  <si>
    <t>ENGPÄSSE · ÜBERLASTETE RESSOURCEN</t>
  </si>
  <si>
    <t>Ressource</t>
  </si>
  <si>
    <t>Überlastete Monate</t>
  </si>
  <si>
    <t>Spitzen-Auslastung</t>
  </si>
  <si>
    <t>Verplant</t>
  </si>
  <si>
    <t>Frei</t>
  </si>
  <si>
    <t>STAMMDATEN</t>
  </si>
  <si>
    <t>Team</t>
  </si>
  <si>
    <t>Rollen, Kapazität und Kostensätze · Basis für die gesamte Planung</t>
  </si>
  <si>
    <t>Nr.</t>
  </si>
  <si>
    <t>Name</t>
  </si>
  <si>
    <t>Rolle</t>
  </si>
  <si>
    <t>Kostenstelle</t>
  </si>
  <si>
    <t>Standort</t>
  </si>
  <si>
    <t>FTE</t>
  </si>
  <si>
    <t>Std/
Woche</t>
  </si>
  <si>
    <t>€/Std</t>
  </si>
  <si>
    <t>Kapazität
h/Monat</t>
  </si>
  <si>
    <t>Kapazität
h/Jahr</t>
  </si>
  <si>
    <t>Kapazität
€/Jahr</t>
  </si>
  <si>
    <t>TM-01</t>
  </si>
  <si>
    <t>Carla Vogt</t>
  </si>
  <si>
    <t>Programm-Managerin</t>
  </si>
  <si>
    <t>PMO</t>
  </si>
  <si>
    <t>Köln</t>
  </si>
  <si>
    <t>TM-02</t>
  </si>
  <si>
    <t>Mehmet Yıldız</t>
  </si>
  <si>
    <t>Lead Developer</t>
  </si>
  <si>
    <t>Engineering</t>
  </si>
  <si>
    <t>Berlin</t>
  </si>
  <si>
    <t>TM-03</t>
  </si>
  <si>
    <t>Julia Brandt</t>
  </si>
  <si>
    <t>Softwareentwicklerin</t>
  </si>
  <si>
    <t>TM-04</t>
  </si>
  <si>
    <t>Felix Horn</t>
  </si>
  <si>
    <t>Softwareentwickler</t>
  </si>
  <si>
    <t>Leipzig</t>
  </si>
  <si>
    <t>TM-05</t>
  </si>
  <si>
    <t>Nadia Scholz</t>
  </si>
  <si>
    <t>Produktdesignerin</t>
  </si>
  <si>
    <t>Design</t>
  </si>
  <si>
    <t>Hamburg</t>
  </si>
  <si>
    <t>TM-06</t>
  </si>
  <si>
    <t>Robert Kraus</t>
  </si>
  <si>
    <t>Data Analyst</t>
  </si>
  <si>
    <t>Data &amp; Analytics</t>
  </si>
  <si>
    <t>München</t>
  </si>
  <si>
    <t>TM-07</t>
  </si>
  <si>
    <t>Elena Petrova</t>
  </si>
  <si>
    <t>QA-Lead</t>
  </si>
  <si>
    <t>Quality</t>
  </si>
  <si>
    <t>TM-08</t>
  </si>
  <si>
    <t>Tobias Lang</t>
  </si>
  <si>
    <t>Cloud Engineer</t>
  </si>
  <si>
    <t>Platform</t>
  </si>
  <si>
    <t>Frankfurt</t>
  </si>
  <si>
    <t>TM-09</t>
  </si>
  <si>
    <t>Hanna Weiß</t>
  </si>
  <si>
    <t>Marketing-Lead</t>
  </si>
  <si>
    <t>Marketing</t>
  </si>
  <si>
    <t>Gesamt / Ø</t>
  </si>
  <si>
    <t>Std/Woche = FTE × 40 · Kapazität h/Monat = Std/Woche × 52 ÷ 12 (gerundet). Blau hinterlegte Felder sind Eingaben.</t>
  </si>
  <si>
    <t>PORTFOLIO</t>
  </si>
  <si>
    <t>Projekte</t>
  </si>
  <si>
    <t>Projektregister mit Budget, Zeitraum und automatischer Soll-/Ist-Abweichung</t>
  </si>
  <si>
    <t>Code</t>
  </si>
  <si>
    <t>Projektname</t>
  </si>
  <si>
    <t>Projektleitung</t>
  </si>
  <si>
    <t>Prio</t>
  </si>
  <si>
    <t>Start</t>
  </si>
  <si>
    <t>Ende</t>
  </si>
  <si>
    <t>Geplant (h)</t>
  </si>
  <si>
    <t>Geplante
Kosten (€)</t>
  </si>
  <si>
    <t>Abwei-
chung (€)</t>
  </si>
  <si>
    <t>Aus-
schöpf.</t>
  </si>
  <si>
    <t>PRJ-01</t>
  </si>
  <si>
    <t>Hoch</t>
  </si>
  <si>
    <t>Jan 27</t>
  </si>
  <si>
    <t>Sep 27</t>
  </si>
  <si>
    <t>PRJ-02</t>
  </si>
  <si>
    <t>Feb 27</t>
  </si>
  <si>
    <t>Aug 27</t>
  </si>
  <si>
    <t>PRJ-03</t>
  </si>
  <si>
    <t>Mittel</t>
  </si>
  <si>
    <t>Apr 27</t>
  </si>
  <si>
    <t>Dez 27</t>
  </si>
  <si>
    <t>PRJ-04</t>
  </si>
  <si>
    <t>Jun 27</t>
  </si>
  <si>
    <t>PRJ-05</t>
  </si>
  <si>
    <t>Mai 27</t>
  </si>
  <si>
    <t>Nov 27</t>
  </si>
  <si>
    <t>PRJ-06</t>
  </si>
  <si>
    <t>Niedrig</t>
  </si>
  <si>
    <t>Geplant (h), Geplante Kosten und Abweichung werden automatisch aus der Einsatzplanung ermittelt.</t>
  </si>
  <si>
    <t>PLANUNG</t>
  </si>
  <si>
    <t>Einsatzplanung</t>
  </si>
  <si>
    <t>Geplante Stunden je Projekt und Ressource – pro Monat. Kosten werden automatisch berechnet.</t>
  </si>
  <si>
    <t>Summe
Std</t>
  </si>
  <si>
    <t>Kosten (€)</t>
  </si>
  <si>
    <t>Gesamt geplant</t>
  </si>
  <si>
    <t>ANALYSE</t>
  </si>
  <si>
    <t>Auslastung</t>
  </si>
  <si>
    <t>Monatliche Auslastung je Ressource (geplante Stunden ÷ Kapazität) – Heatmap mit Überlastwarnung</t>
  </si>
  <si>
    <t>Ø</t>
  </si>
  <si>
    <t>Peak</t>
  </si>
  <si>
    <t>Über-
last</t>
  </si>
  <si>
    <t>Team gesamt</t>
  </si>
  <si>
    <t>Heatmap:</t>
  </si>
  <si>
    <t xml:space="preserve">  </t>
  </si>
  <si>
    <t>niedrig</t>
  </si>
  <si>
    <t>solide (~85 %)</t>
  </si>
  <si>
    <t>Überlast (&gt;100 %)</t>
  </si>
  <si>
    <t>HANDBUCH</t>
  </si>
  <si>
    <t>Anleitung</t>
  </si>
  <si>
    <t>So arbeiten Sie mit der Ressourcenplanung 2027</t>
  </si>
  <si>
    <t>1 · Team pflegen</t>
  </si>
  <si>
    <t>Blatt »Team«: Name, Rolle, Kostenstelle, Standort, FTE und Stundensatz eintragen. Std/Woche, Kapazität und Kapazitätskosten werden automatisch berechnet (FTE × 40 Std.).</t>
  </si>
  <si>
    <t>2 · Projekte anlegen</t>
  </si>
  <si>
    <t>Blatt »Projekte«: Projektregister mit Projektleitung, Priorität, Status, Zeitraum und Budget führen. Geplante Stunden, Kosten und Budgetabweichung kommen automatisch aus der Einsatzplanung.</t>
  </si>
  <si>
    <t>3 · Einsätze planen</t>
  </si>
  <si>
    <t>Blatt »Einsatzplanung«: je Zeile eine Kombination aus Projekt und Ressource wählen (Dropdown) und die geplanten Stunden pro Monat eintragen. Rolle, Stundensatz und Kosten werden automatisch ergänzt. Neue Zeilen einfach in den freien Puffer ergänzen.</t>
  </si>
  <si>
    <t>4 · Auslastung prüfen</t>
  </si>
  <si>
    <t>Blatt »Auslastung«: zeigt die monatliche Auslastung je Ressource als Heatmap. Werte über 100 % (Überlast) werden kräftig rot markiert, Ø, Spitze und Anzahl Überlastmonate je Ressource ausgewiesen.</t>
  </si>
  <si>
    <t>5 · Cockpit lesen</t>
  </si>
  <si>
    <t>Blatt »Cockpit«: fasst Kennzahlen, Projektportfolio (Budget vs. Plan), Engpässe und die Monatsauslastung automatisch zusammen – ideal für Status-Meetings.</t>
  </si>
  <si>
    <t>Konventionen &amp; Annahmen</t>
  </si>
  <si>
    <t>•  Blau hinterlegte Zellen sind Eingaben – alle übrigen Felder sind Formeln und sollten nicht überschrieben werden.</t>
  </si>
  <si>
    <t>•  Auslastung = geplante Stunden ÷ Kapazität h/Monat. Kapazität h/Monat = Std/Woche × 52 ÷ 12 (durchschnittlicher Monat).</t>
  </si>
  <si>
    <t>•  Alle Namen, Projekte und Zahlen sind Beispieldaten und können vollständig überschrieben werden.</t>
  </si>
  <si>
    <t>•  Status-Logik: Überlastet (ein Monat &gt; 100 %) · Hoch (Ø ≥ 85 %) · Solide (Ø ≥ 60 %) · Gering (Ø &gt; 0) · Frei.</t>
  </si>
  <si>
    <t>Legende:</t>
  </si>
  <si>
    <t xml:space="preserve">  Eingabe  </t>
  </si>
  <si>
    <t xml:space="preserve">  Formel / automatisch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</si>
</sst>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
    <numFmt numFmtId="165" formatCode="#,##0&quot; €&quot;"/>
    <numFmt numFmtId="166" formatCode="0.0"/>
  </numFmts>
  <fonts count="21" x14ac:knownFonts="1">
    <font>
      <sz val="11"/>
      <color theme="1"/>
      <name val="Calibri"/>
      <family val="2"/>
      <charset val="1"/>
    </font>
    <font>
      <b/>
      <sz val="9"/>
      <color rgb="FF3B5BA9"/>
      <name val="Calibri"/>
      <charset val="1"/>
    </font>
    <font>
      <b/>
      <sz val="9"/>
      <color rgb="FF76808F"/>
      <name val="Calibri"/>
      <charset val="1"/>
    </font>
    <font>
      <b/>
      <sz val="10"/>
      <color rgb="FF1C2534"/>
      <name val="Calibri"/>
      <charset val="1"/>
    </font>
    <font>
      <b/>
      <sz val="22"/>
      <color rgb="FF16233B"/>
      <name val="Calibri"/>
      <charset val="1"/>
    </font>
    <font>
      <sz val="10"/>
      <color rgb="FF76808F"/>
      <name val="Calibri"/>
      <charset val="1"/>
    </font>
    <font>
      <b/>
      <sz val="26"/>
      <color rgb="FF3B5BA9"/>
      <name val="Calibri"/>
      <charset val="1"/>
    </font>
    <font>
      <b/>
      <sz val="26"/>
      <color rgb="FF16233B"/>
      <name val="Calibri"/>
      <charset val="1"/>
    </font>
    <font>
      <sz val="8"/>
      <color rgb="FFFFFFFF"/>
      <name val="Calibri"/>
      <charset val="1"/>
    </font>
    <font>
      <b/>
      <sz val="26"/>
      <color rgb="FF2F7D5B"/>
      <name val="Calibri"/>
      <charset val="1"/>
    </font>
    <font>
      <b/>
      <sz val="10"/>
      <color rgb="FF16233B"/>
      <name val="Calibri"/>
      <charset val="1"/>
    </font>
    <font>
      <sz val="10"/>
      <color rgb="FF1C2534"/>
      <name val="Calibri"/>
      <charset val="1"/>
    </font>
    <font>
      <b/>
      <sz val="10"/>
      <color rgb="FF3B5BA9"/>
      <name val="Calibri"/>
      <charset val="1"/>
    </font>
    <font>
      <sz val="9"/>
      <color rgb="FF76808F"/>
      <name val="Calibri"/>
      <charset val="1"/>
    </font>
    <font>
      <i/>
      <sz val="9"/>
      <color rgb="FF76808F"/>
      <name val="Calibri"/>
      <charset val="1"/>
    </font>
    <font>
      <sz val="9"/>
      <color rgb="FF1C2534"/>
      <name val="Calibri"/>
      <charset val="1"/>
    </font>
    <font>
      <b/>
      <sz val="9"/>
      <color rgb="FF16233B"/>
      <name val="Calibri"/>
      <charset val="1"/>
    </font>
    <font>
      <b/>
      <sz val="9"/>
      <color rgb="FF1C2534"/>
      <name val="Calibri"/>
      <charset val="1"/>
    </font>
    <font>
      <sz val="9"/>
      <color rgb="FF2F7D5B"/>
      <name val="Calibri"/>
      <charset val="1"/>
    </font>
    <font>
      <sz val="9"/>
      <color rgb="FF7A2318"/>
      <name val="Calibri"/>
      <charset val="1"/>
    </font>
    <font>
      <b/>
      <sz val="11"/>
      <color rgb="FF3B5BA9"/>
      <name val="Calibri"/>
      <charset val="1"/>
    </font>
  </fonts>
  <fills count="7">
    <fill>
      <patternFill patternType="none"/>
    </fill>
    <fill>
      <patternFill patternType="gray125"/>
    </fill>
    <fill>
      <patternFill patternType="solid">
        <fgColor rgb="FF16233B"/>
        <bgColor rgb="FF1C2534"/>
      </patternFill>
    </fill>
    <fill>
      <patternFill patternType="solid">
        <fgColor rgb="FFEEF3FC"/>
        <bgColor rgb="FFEEF3FB"/>
      </patternFill>
    </fill>
    <fill>
      <patternFill patternType="solid">
        <fgColor rgb="FFEEF3FB"/>
        <bgColor rgb="FFEEF3FC"/>
      </patternFill>
    </fill>
    <fill>
      <patternFill patternType="solid">
        <fgColor rgb="FFCFE8D8"/>
        <bgColor rgb="FFD9D9D9"/>
      </patternFill>
    </fill>
    <fill>
      <patternFill patternType="solid">
        <fgColor rgb="FFE7A79B"/>
        <bgColor rgb="FFFF8080"/>
      </patternFill>
    </fill>
  </fills>
  <borders count="10">
    <border>
      <left/>
      <right/>
      <top/>
      <bottom/>
      <diagonal/>
    </border>
    <border>
      <left/>
      <right/>
      <top/>
      <bottom style="thin">
        <color rgb="FF3B5BA9"/>
      </bottom>
      <diagonal/>
    </border>
    <border>
      <left/>
      <right/>
      <top style="thin">
        <color rgb="FF3B5BA9"/>
      </top>
      <bottom/>
      <diagonal/>
    </border>
    <border>
      <left/>
      <right/>
      <top/>
      <bottom style="thin">
        <color rgb="FFE2E7EF"/>
      </bottom>
      <diagonal/>
    </border>
    <border>
      <left/>
      <right/>
      <top/>
      <bottom style="thin">
        <color rgb="FFCBD4E0"/>
      </bottom>
      <diagonal/>
    </border>
    <border>
      <left/>
      <right/>
      <top style="thin">
        <color rgb="FFCBD4E0"/>
      </top>
      <bottom style="thin">
        <color rgb="FFE2E7EF"/>
      </bottom>
      <diagonal/>
    </border>
    <border>
      <left/>
      <right/>
      <top/>
      <bottom style="thin">
        <color rgb="FF16233B"/>
      </bottom>
      <diagonal/>
    </border>
    <border>
      <left/>
      <right/>
      <top style="thin">
        <color rgb="FF16233B"/>
      </top>
      <bottom style="thin">
        <color rgb="FFE2E7EF"/>
      </bottom>
      <diagonal/>
    </border>
    <border>
      <left style="thin">
        <color rgb="FFFFFFFF"/>
      </left>
      <right style="thin">
        <color rgb="FFFFFFFF"/>
      </right>
      <top/>
      <bottom style="thin">
        <color rgb="FFFFFFFF"/>
      </bottom>
      <diagonal/>
    </border>
    <border>
      <left style="thin">
        <color rgb="FFE2E7EF"/>
      </left>
      <right style="thin">
        <color rgb="FFE2E7EF"/>
      </right>
      <top style="thin">
        <color rgb="FFE2E7EF"/>
      </top>
      <bottom style="thin">
        <color rgb="FFE2E7EF"/>
      </bottom>
      <diagonal/>
    </border>
  </borders>
  <cellStyleXfs count="1">
    <xf numFmtId="0" fontId="0" fillId="0" borderId="0"/>
  </cellStyleXfs>
  <cellXfs count="83">
    <xf numFmtId="0" fontId="0" fillId="0" borderId="0" xfId="0"/>
    <xf numFmtId="3" fontId="3" fillId="0" borderId="3" xfId="0" applyNumberFormat="1" applyFont="1" applyBorder="1" applyAlignment="1">
      <alignment horizontal="center" vertical="center"/>
    </xf>
    <xf numFmtId="165" fontId="10" fillId="0" borderId="5" xfId="0" applyNumberFormat="1" applyFont="1" applyBorder="1" applyAlignment="1">
      <alignment horizontal="center" vertical="center"/>
    </xf>
    <xf numFmtId="0" fontId="10" fillId="0" borderId="5" xfId="0" applyFont="1" applyBorder="1" applyAlignment="1">
      <alignment horizontal="left" vertical="center" indent="1"/>
    </xf>
    <xf numFmtId="165" fontId="11" fillId="0" borderId="3"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horizontal="left" vertical="center" indent="1"/>
    </xf>
    <xf numFmtId="0" fontId="2" fillId="0" borderId="4" xfId="0" applyFont="1" applyBorder="1" applyAlignment="1">
      <alignment horizontal="center" vertical="center"/>
    </xf>
    <xf numFmtId="0" fontId="2" fillId="0" borderId="4" xfId="0" applyFont="1" applyBorder="1" applyAlignment="1">
      <alignment horizontal="left" vertical="center" indent="1"/>
    </xf>
    <xf numFmtId="165" fontId="9" fillId="0" borderId="0" xfId="0" applyNumberFormat="1" applyFont="1" applyAlignment="1">
      <alignment horizontal="left" vertical="center" indent="1"/>
    </xf>
    <xf numFmtId="165" fontId="7" fillId="0" borderId="0" xfId="0" applyNumberFormat="1" applyFont="1" applyAlignment="1">
      <alignment horizontal="left" vertical="center" indent="1"/>
    </xf>
    <xf numFmtId="164" fontId="7" fillId="0" borderId="0" xfId="0" applyNumberFormat="1" applyFont="1" applyAlignment="1">
      <alignment horizontal="left" vertical="center" indent="1"/>
    </xf>
    <xf numFmtId="3" fontId="6" fillId="0" borderId="0" xfId="0" applyNumberFormat="1" applyFont="1" applyAlignment="1">
      <alignment horizontal="left" vertical="center" indent="1"/>
    </xf>
    <xf numFmtId="0" fontId="2" fillId="0" borderId="2" xfId="0" applyFont="1" applyBorder="1" applyAlignment="1">
      <alignment horizontal="left" vertical="center" indent="1"/>
    </xf>
    <xf numFmtId="0" fontId="3" fillId="3" borderId="1" xfId="0" applyFont="1" applyFill="1" applyBorder="1" applyAlignment="1">
      <alignment horizontal="left" vertical="center" indent="1"/>
    </xf>
    <xf numFmtId="0" fontId="0" fillId="2" borderId="0" xfId="0" applyFill="1"/>
    <xf numFmtId="0" fontId="1" fillId="0" borderId="0" xfId="0" applyFont="1" applyAlignment="1">
      <alignment horizontal="left" vertical="center" indent="1"/>
    </xf>
    <xf numFmtId="0" fontId="2" fillId="0" borderId="0" xfId="0" applyFont="1" applyAlignment="1">
      <alignment horizontal="right" vertical="center"/>
    </xf>
    <xf numFmtId="0" fontId="3" fillId="3" borderId="1" xfId="0" applyFont="1" applyFill="1" applyBorder="1" applyAlignment="1">
      <alignment horizontal="left" vertical="center" indent="1"/>
    </xf>
    <xf numFmtId="0" fontId="4" fillId="0" borderId="0" xfId="0" applyFont="1" applyAlignment="1">
      <alignment horizontal="left" vertical="center" indent="1"/>
    </xf>
    <xf numFmtId="1" fontId="3" fillId="3" borderId="1" xfId="0" applyNumberFormat="1" applyFont="1" applyFill="1" applyBorder="1" applyAlignment="1">
      <alignment horizontal="left" vertical="center" indent="1"/>
    </xf>
    <xf numFmtId="0" fontId="5" fillId="0" borderId="0" xfId="0" applyFont="1" applyAlignment="1">
      <alignment horizontal="left" vertical="center" indent="1"/>
    </xf>
    <xf numFmtId="0" fontId="8" fillId="0" borderId="0" xfId="0" applyFont="1"/>
    <xf numFmtId="0" fontId="0" fillId="0" borderId="3" xfId="0" applyBorder="1"/>
    <xf numFmtId="0" fontId="10" fillId="0" borderId="0" xfId="0" applyFont="1" applyAlignment="1">
      <alignment horizontal="left" vertical="center" indent="1"/>
    </xf>
    <xf numFmtId="0" fontId="0" fillId="0" borderId="4" xfId="0" applyBorder="1"/>
    <xf numFmtId="0" fontId="2" fillId="0" borderId="4" xfId="0" applyFont="1" applyBorder="1" applyAlignment="1">
      <alignment horizontal="center" vertical="center"/>
    </xf>
    <xf numFmtId="165" fontId="11" fillId="0" borderId="3" xfId="0" applyNumberFormat="1" applyFont="1" applyBorder="1" applyAlignment="1">
      <alignment horizontal="center" vertical="center"/>
    </xf>
    <xf numFmtId="164" fontId="12" fillId="0" borderId="3" xfId="0" applyNumberFormat="1" applyFont="1" applyBorder="1" applyAlignment="1">
      <alignment horizontal="center" vertical="center"/>
    </xf>
    <xf numFmtId="0" fontId="0" fillId="0" borderId="5" xfId="0" applyBorder="1"/>
    <xf numFmtId="165" fontId="10" fillId="0" borderId="5" xfId="0" applyNumberFormat="1" applyFont="1" applyBorder="1" applyAlignment="1">
      <alignment horizontal="center" vertical="center"/>
    </xf>
    <xf numFmtId="164" fontId="10" fillId="0" borderId="5" xfId="0" applyNumberFormat="1" applyFont="1" applyBorder="1" applyAlignment="1">
      <alignment horizontal="center" vertical="center"/>
    </xf>
    <xf numFmtId="165" fontId="8" fillId="0" borderId="0" xfId="0" applyNumberFormat="1" applyFont="1"/>
    <xf numFmtId="0" fontId="2" fillId="0" borderId="6" xfId="0" applyFont="1" applyBorder="1" applyAlignment="1">
      <alignment horizontal="center" vertical="center" wrapText="1"/>
    </xf>
    <xf numFmtId="0" fontId="13" fillId="0" borderId="3" xfId="0" applyFont="1" applyBorder="1" applyAlignment="1">
      <alignment horizontal="center" vertical="center"/>
    </xf>
    <xf numFmtId="0" fontId="11" fillId="3" borderId="3" xfId="0" applyFont="1" applyFill="1" applyBorder="1" applyAlignment="1">
      <alignment horizontal="left" vertical="center" indent="1"/>
    </xf>
    <xf numFmtId="166" fontId="11" fillId="3" borderId="3" xfId="0" applyNumberFormat="1" applyFont="1" applyFill="1" applyBorder="1" applyAlignment="1">
      <alignment horizontal="center" vertical="center"/>
    </xf>
    <xf numFmtId="3" fontId="11" fillId="0" borderId="3" xfId="0" applyNumberFormat="1" applyFont="1" applyBorder="1" applyAlignment="1">
      <alignment horizontal="center" vertical="center"/>
    </xf>
    <xf numFmtId="165" fontId="11" fillId="3" borderId="3" xfId="0" applyNumberFormat="1" applyFont="1" applyFill="1" applyBorder="1" applyAlignment="1">
      <alignment horizontal="center" vertical="center"/>
    </xf>
    <xf numFmtId="3" fontId="12" fillId="0" borderId="3" xfId="0" applyNumberFormat="1" applyFont="1" applyBorder="1" applyAlignment="1">
      <alignment horizontal="center" vertical="center"/>
    </xf>
    <xf numFmtId="0" fontId="0" fillId="0" borderId="7" xfId="0" applyBorder="1"/>
    <xf numFmtId="166" fontId="10" fillId="0" borderId="7" xfId="0" applyNumberFormat="1" applyFont="1" applyBorder="1" applyAlignment="1">
      <alignment horizontal="center" vertical="center"/>
    </xf>
    <xf numFmtId="3" fontId="10" fillId="0" borderId="7" xfId="0" applyNumberFormat="1" applyFont="1" applyBorder="1" applyAlignment="1">
      <alignment horizontal="center" vertical="center"/>
    </xf>
    <xf numFmtId="165" fontId="10" fillId="0" borderId="7" xfId="0" applyNumberFormat="1" applyFont="1" applyBorder="1" applyAlignment="1">
      <alignment horizontal="center" vertical="center"/>
    </xf>
    <xf numFmtId="0" fontId="14" fillId="0" borderId="0" xfId="0" applyFont="1"/>
    <xf numFmtId="0" fontId="1" fillId="0" borderId="3" xfId="0" applyFont="1" applyBorder="1" applyAlignment="1">
      <alignment horizontal="center" vertical="center"/>
    </xf>
    <xf numFmtId="0" fontId="11" fillId="3" borderId="3" xfId="0" applyFont="1" applyFill="1" applyBorder="1" applyAlignment="1">
      <alignment horizontal="center" vertical="center"/>
    </xf>
    <xf numFmtId="164" fontId="10" fillId="0" borderId="7" xfId="0" applyNumberFormat="1" applyFont="1" applyBorder="1" applyAlignment="1">
      <alignment horizontal="center" vertical="center"/>
    </xf>
    <xf numFmtId="0" fontId="2" fillId="0" borderId="6" xfId="0" applyFont="1" applyBorder="1" applyAlignment="1">
      <alignment horizontal="center" vertical="center"/>
    </xf>
    <xf numFmtId="3" fontId="15" fillId="3" borderId="3" xfId="0" applyNumberFormat="1" applyFont="1" applyFill="1" applyBorder="1" applyAlignment="1">
      <alignment horizontal="center" vertical="center"/>
    </xf>
    <xf numFmtId="3" fontId="10" fillId="0" borderId="3" xfId="0" applyNumberFormat="1" applyFont="1" applyBorder="1" applyAlignment="1">
      <alignment horizontal="center" vertical="center"/>
    </xf>
    <xf numFmtId="165" fontId="13" fillId="0" borderId="3" xfId="0" applyNumberFormat="1" applyFont="1" applyBorder="1" applyAlignment="1">
      <alignment horizontal="center" vertical="center"/>
    </xf>
    <xf numFmtId="3" fontId="16" fillId="0" borderId="7" xfId="0" applyNumberFormat="1" applyFont="1" applyBorder="1" applyAlignment="1">
      <alignment horizontal="center" vertical="center"/>
    </xf>
    <xf numFmtId="164" fontId="15" fillId="0" borderId="8" xfId="0" applyNumberFormat="1" applyFont="1" applyBorder="1" applyAlignment="1">
      <alignment horizontal="center" vertical="center"/>
    </xf>
    <xf numFmtId="164" fontId="16" fillId="0" borderId="3" xfId="0" applyNumberFormat="1" applyFont="1" applyBorder="1" applyAlignment="1">
      <alignment horizontal="center" vertical="center"/>
    </xf>
    <xf numFmtId="3" fontId="16" fillId="0" borderId="3" xfId="0" applyNumberFormat="1" applyFont="1" applyBorder="1" applyAlignment="1">
      <alignment horizontal="center" vertical="center"/>
    </xf>
    <xf numFmtId="164" fontId="16" fillId="0" borderId="7" xfId="0" applyNumberFormat="1" applyFont="1" applyBorder="1" applyAlignment="1">
      <alignment horizontal="center" vertical="center"/>
    </xf>
    <xf numFmtId="0" fontId="17" fillId="0" borderId="0" xfId="0" applyFont="1"/>
    <xf numFmtId="0" fontId="0" fillId="4" borderId="9" xfId="0" applyFill="1" applyBorder="1"/>
    <xf numFmtId="0" fontId="0" fillId="5" borderId="9" xfId="0" applyFill="1" applyBorder="1"/>
    <xf numFmtId="0" fontId="0" fillId="6" borderId="9" xfId="0" applyFill="1" applyBorder="1"/>
    <xf numFmtId="0" fontId="20" fillId="0" borderId="0" xfId="0" applyFont="1" applyAlignment="1">
      <alignment horizontal="left" vertical="center" indent="1"/>
    </xf>
    <xf numFmtId="0" fontId="17" fillId="0" borderId="0" xfId="0" applyFont="1" applyAlignment="1">
      <alignment horizontal="left" vertical="center"/>
    </xf>
    <xf numFmtId="0" fontId="15" fillId="3" borderId="1" xfId="0" applyFont="1" applyFill="1" applyBorder="1" applyAlignment="1">
      <alignment horizontal="center" vertical="center"/>
    </xf>
    <xf numFmtId="0" fontId="13" fillId="0" borderId="0" xfId="0" applyFont="1" applyAlignment="1">
      <alignment horizontal="left" vertical="center"/>
    </xf>
    <xf numFmtId="164" fontId="3" fillId="0" borderId="3" xfId="0" applyNumberFormat="1" applyFont="1" applyBorder="1" applyAlignment="1">
      <alignment horizontal="center" vertical="center"/>
    </xf>
    <xf numFmtId="0" fontId="2" fillId="0" borderId="6" xfId="0" applyFont="1" applyBorder="1" applyAlignment="1">
      <alignment horizontal="left" vertical="center" indent="1"/>
    </xf>
    <xf numFmtId="0" fontId="2" fillId="0" borderId="6" xfId="0" applyFont="1" applyBorder="1" applyAlignment="1">
      <alignment horizontal="center" vertical="center" wrapText="1"/>
    </xf>
    <xf numFmtId="0" fontId="3" fillId="3" borderId="3" xfId="0" applyFont="1" applyFill="1" applyBorder="1" applyAlignment="1">
      <alignment horizontal="left" vertical="center" indent="1"/>
    </xf>
    <xf numFmtId="0" fontId="11" fillId="3" borderId="3" xfId="0" applyFont="1" applyFill="1" applyBorder="1" applyAlignment="1">
      <alignment horizontal="left" vertical="center" indent="1"/>
    </xf>
    <xf numFmtId="0" fontId="10" fillId="0" borderId="7" xfId="0" applyFont="1" applyBorder="1" applyAlignment="1">
      <alignment horizontal="left" vertical="center" indent="1"/>
    </xf>
    <xf numFmtId="165" fontId="10" fillId="0" borderId="7" xfId="0" applyNumberFormat="1" applyFont="1" applyBorder="1" applyAlignment="1">
      <alignment horizontal="center" vertical="center"/>
    </xf>
    <xf numFmtId="165" fontId="11" fillId="3" borderId="3" xfId="0" applyNumberFormat="1" applyFont="1" applyFill="1" applyBorder="1" applyAlignment="1">
      <alignment horizontal="center" vertical="center"/>
    </xf>
    <xf numFmtId="165" fontId="3" fillId="0" borderId="3" xfId="0" applyNumberFormat="1" applyFont="1" applyBorder="1" applyAlignment="1">
      <alignment horizontal="center" vertical="center"/>
    </xf>
    <xf numFmtId="0" fontId="13" fillId="0" borderId="3" xfId="0" applyFont="1" applyBorder="1" applyAlignment="1">
      <alignment horizontal="left" vertical="center" indent="1"/>
    </xf>
    <xf numFmtId="165" fontId="12" fillId="0" borderId="3" xfId="0" applyNumberFormat="1" applyFont="1" applyBorder="1" applyAlignment="1">
      <alignment horizontal="center" vertical="center"/>
    </xf>
    <xf numFmtId="0" fontId="2" fillId="0" borderId="6" xfId="0" applyFont="1" applyBorder="1" applyAlignment="1">
      <alignment horizontal="center" vertical="center"/>
    </xf>
    <xf numFmtId="0" fontId="3" fillId="0" borderId="3" xfId="0" applyFont="1" applyBorder="1" applyAlignment="1">
      <alignment horizontal="left" vertical="center" indent="1"/>
    </xf>
    <xf numFmtId="0" fontId="16" fillId="0" borderId="3" xfId="0" applyFont="1" applyBorder="1" applyAlignment="1">
      <alignment horizontal="center" vertical="center"/>
    </xf>
    <xf numFmtId="0" fontId="13" fillId="0" borderId="0" xfId="0" applyFont="1" applyAlignment="1">
      <alignment horizontal="left" vertical="center" indent="1"/>
    </xf>
    <xf numFmtId="0" fontId="18" fillId="0" borderId="0" xfId="0" applyFont="1" applyAlignment="1">
      <alignment horizontal="left" vertical="center" indent="1"/>
    </xf>
    <xf numFmtId="0" fontId="19" fillId="0" borderId="0" xfId="0" applyFont="1" applyAlignment="1">
      <alignment horizontal="left" vertical="center" indent="1"/>
    </xf>
    <xf numFmtId="0" fontId="11" fillId="0" borderId="0" xfId="0" applyFont="1" applyAlignment="1">
      <alignment horizontal="left" vertical="center" wrapText="1"/>
    </xf>
  </cellXfs>
  <cellStyles count="1">
    <cellStyle name="Standard" xfId="0" builtinId="0"/>
  </cellStyles>
  <dxfs count="12">
    <dxf>
      <font>
        <b/>
        <sz val="9"/>
        <color rgb="FFB07C1E"/>
        <name val="Calibri"/>
        <charset val="1"/>
      </font>
      <fill>
        <patternFill>
          <bgColor rgb="FFF7EDD6"/>
        </patternFill>
      </fill>
    </dxf>
    <dxf>
      <font>
        <b/>
        <sz val="9"/>
        <color rgb="FF2F7D5B"/>
        <name val="Calibri"/>
        <charset val="1"/>
      </font>
      <fill>
        <patternFill>
          <bgColor rgb="FFE3F0EA"/>
        </patternFill>
      </fill>
    </dxf>
    <dxf>
      <font>
        <b/>
        <sz val="9"/>
        <color rgb="FF2F7D5B"/>
        <name val="Calibri"/>
        <charset val="1"/>
      </font>
      <fill>
        <patternFill>
          <bgColor rgb="FFE3F0EA"/>
        </patternFill>
      </fill>
    </dxf>
    <dxf>
      <font>
        <b/>
        <sz val="9"/>
        <color rgb="FFBE4A3B"/>
        <name val="Calibri"/>
        <charset val="1"/>
      </font>
      <fill>
        <patternFill>
          <bgColor rgb="FFF6E0DC"/>
        </patternFill>
      </fill>
    </dxf>
    <dxf>
      <font>
        <b/>
        <sz val="9"/>
        <color rgb="FF7A2318"/>
        <name val="Calibri"/>
        <charset val="1"/>
      </font>
      <fill>
        <patternFill>
          <bgColor rgb="FFE7A79B"/>
        </patternFill>
      </fill>
    </dxf>
    <dxf>
      <font>
        <b/>
        <sz val="10"/>
        <color rgb="FFBE4A3B"/>
        <name val="Calibri"/>
        <charset val="1"/>
      </font>
    </dxf>
    <dxf>
      <font>
        <b/>
        <sz val="10"/>
        <color rgb="FFBE4A3B"/>
        <name val="Calibri"/>
        <charset val="1"/>
      </font>
    </dxf>
    <dxf>
      <font>
        <b/>
        <sz val="10"/>
        <color rgb="FFBE4A3B"/>
        <name val="Calibri"/>
        <charset val="1"/>
      </font>
    </dxf>
    <dxf>
      <font>
        <b/>
        <sz val="10"/>
        <color rgb="FFBE4A3B"/>
        <name val="Calibri"/>
        <charset val="1"/>
      </font>
    </dxf>
    <dxf>
      <font>
        <b/>
        <sz val="26"/>
        <color rgb="FFBE4A3B"/>
        <name val="Calibri"/>
        <charset val="1"/>
      </font>
    </dxf>
    <dxf>
      <font>
        <b/>
        <sz val="26"/>
        <color rgb="FFBE4A3B"/>
        <name val="Calibri"/>
        <charset val="1"/>
      </font>
    </dxf>
    <dxf>
      <font>
        <b/>
        <sz val="10"/>
        <color rgb="FFBE4A3B"/>
        <name val="Calibri"/>
        <charset val="1"/>
      </font>
      <fill>
        <patternFill>
          <bgColor rgb="FFF6E0D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B07C1E"/>
      <rgbColor rgb="FF800080"/>
      <rgbColor rgb="FF008080"/>
      <rgbColor rgb="FFD9D9D9"/>
      <rgbColor rgb="FF878787"/>
      <rgbColor rgb="FF9999FF"/>
      <rgbColor rgb="FFBE4A3B"/>
      <rgbColor rgb="FFF7EDD6"/>
      <rgbColor rgb="FFE3F0EA"/>
      <rgbColor rgb="FF660066"/>
      <rgbColor rgb="FFFF8080"/>
      <rgbColor rgb="FF0066CC"/>
      <rgbColor rgb="FFCBD4E0"/>
      <rgbColor rgb="FF000080"/>
      <rgbColor rgb="FFFF00FF"/>
      <rgbColor rgb="FFFFFF00"/>
      <rgbColor rgb="FF00FFFF"/>
      <rgbColor rgb="FF800080"/>
      <rgbColor rgb="FF800000"/>
      <rgbColor rgb="FF008080"/>
      <rgbColor rgb="FF0000FF"/>
      <rgbColor rgb="FF00CCFF"/>
      <rgbColor rgb="FFEEF3FC"/>
      <rgbColor rgb="FFCFE8D8"/>
      <rgbColor rgb="FFF9F9F9"/>
      <rgbColor rgb="FFE2E7EF"/>
      <rgbColor rgb="FFE7A79B"/>
      <rgbColor rgb="FFEEF3FB"/>
      <rgbColor rgb="FFF6E0DC"/>
      <rgbColor rgb="FF3B5BA9"/>
      <rgbColor rgb="FF33CCCC"/>
      <rgbColor rgb="FF99CC00"/>
      <rgbColor rgb="FFFFCC00"/>
      <rgbColor rgb="FFFF9900"/>
      <rgbColor rgb="FFFF6600"/>
      <rgbColor rgb="FF76808F"/>
      <rgbColor rgb="FF4F81BD"/>
      <rgbColor rgb="FF16233B"/>
      <rgbColor rgb="FF2F7D5B"/>
      <rgbColor rgb="FF003300"/>
      <rgbColor rgb="FF333300"/>
      <rgbColor rgb="FF7A2318"/>
      <rgbColor rgb="FF993366"/>
      <rgbColor rgb="FF333399"/>
      <rgbColor rgb="FF1C2534"/>
      <rgbColor rgb="00003366"/>
      <rgbColor rgb="00339966"/>
      <rgbColor rgb="00003300"/>
      <rgbColor rgb="00333300"/>
      <rgbColor rgb="00993300"/>
      <rgbColor rgb="00993366"/>
      <rgbColor rgb="00333399"/>
      <rgbColor rgb="00333333"/>
    </indexedColors>
    <mruColors>
      <color rgb="FFF2F6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Auslastung je Monat – Kapazität vs. Plan</a:t>
            </a:r>
          </a:p>
        </c:rich>
      </c:tx>
      <c:overlay val="0"/>
      <c:spPr>
        <a:noFill/>
        <a:ln w="0">
          <a:noFill/>
        </a:ln>
      </c:spPr>
    </c:title>
    <c:autoTitleDeleted val="0"/>
    <c:plotArea>
      <c:layout/>
      <c:barChart>
        <c:barDir val="col"/>
        <c:grouping val="clustered"/>
        <c:varyColors val="0"/>
        <c:ser>
          <c:idx val="0"/>
          <c:order val="0"/>
          <c:tx>
            <c:strRef>
              <c:f>Cockpit!$Q$8</c:f>
              <c:strCache>
                <c:ptCount val="1"/>
                <c:pt idx="0">
                  <c:v>Kapazität</c:v>
                </c:pt>
              </c:strCache>
            </c:strRef>
          </c:tx>
          <c:spPr>
            <a:solidFill>
              <a:srgbClr val="CBD4E0"/>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Cockpit!$P$9:$P$20</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Cockpit!$Q$9:$Q$20</c:f>
              <c:numCache>
                <c:formatCode>General</c:formatCode>
                <c:ptCount val="12"/>
                <c:pt idx="0">
                  <c:v>1472</c:v>
                </c:pt>
                <c:pt idx="1">
                  <c:v>1472</c:v>
                </c:pt>
                <c:pt idx="2">
                  <c:v>1472</c:v>
                </c:pt>
                <c:pt idx="3">
                  <c:v>1472</c:v>
                </c:pt>
                <c:pt idx="4">
                  <c:v>1472</c:v>
                </c:pt>
                <c:pt idx="5">
                  <c:v>1472</c:v>
                </c:pt>
                <c:pt idx="6">
                  <c:v>1472</c:v>
                </c:pt>
                <c:pt idx="7">
                  <c:v>1472</c:v>
                </c:pt>
                <c:pt idx="8">
                  <c:v>1472</c:v>
                </c:pt>
                <c:pt idx="9">
                  <c:v>1472</c:v>
                </c:pt>
                <c:pt idx="10">
                  <c:v>1472</c:v>
                </c:pt>
                <c:pt idx="11">
                  <c:v>1472</c:v>
                </c:pt>
              </c:numCache>
            </c:numRef>
          </c:val>
          <c:extLst>
            <c:ext xmlns:c16="http://schemas.microsoft.com/office/drawing/2014/chart" uri="{C3380CC4-5D6E-409C-BE32-E72D297353CC}">
              <c16:uniqueId val="{00000000-2FE4-47E6-8122-FABF564122BB}"/>
            </c:ext>
          </c:extLst>
        </c:ser>
        <c:ser>
          <c:idx val="1"/>
          <c:order val="1"/>
          <c:tx>
            <c:strRef>
              <c:f>Cockpit!$R$8</c:f>
              <c:strCache>
                <c:ptCount val="1"/>
                <c:pt idx="0">
                  <c:v>Geplant</c:v>
                </c:pt>
              </c:strCache>
            </c:strRef>
          </c:tx>
          <c:spPr>
            <a:solidFill>
              <a:srgbClr val="3B5BA9"/>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Cockpit!$P$9:$P$20</c:f>
              <c:strCache>
                <c:ptCount val="12"/>
                <c:pt idx="0">
                  <c:v>Jan</c:v>
                </c:pt>
                <c:pt idx="1">
                  <c:v>Feb</c:v>
                </c:pt>
                <c:pt idx="2">
                  <c:v>Mär</c:v>
                </c:pt>
                <c:pt idx="3">
                  <c:v>Apr</c:v>
                </c:pt>
                <c:pt idx="4">
                  <c:v>Mai</c:v>
                </c:pt>
                <c:pt idx="5">
                  <c:v>Jun</c:v>
                </c:pt>
                <c:pt idx="6">
                  <c:v>Jul</c:v>
                </c:pt>
                <c:pt idx="7">
                  <c:v>Aug</c:v>
                </c:pt>
                <c:pt idx="8">
                  <c:v>Sep</c:v>
                </c:pt>
                <c:pt idx="9">
                  <c:v>Okt</c:v>
                </c:pt>
                <c:pt idx="10">
                  <c:v>Nov</c:v>
                </c:pt>
                <c:pt idx="11">
                  <c:v>Dez</c:v>
                </c:pt>
              </c:strCache>
            </c:strRef>
          </c:cat>
          <c:val>
            <c:numRef>
              <c:f>Cockpit!$R$9:$R$20</c:f>
              <c:numCache>
                <c:formatCode>General</c:formatCode>
                <c:ptCount val="12"/>
                <c:pt idx="0">
                  <c:v>740</c:v>
                </c:pt>
                <c:pt idx="1">
                  <c:v>1030</c:v>
                </c:pt>
                <c:pt idx="2">
                  <c:v>1180</c:v>
                </c:pt>
                <c:pt idx="3">
                  <c:v>1260</c:v>
                </c:pt>
                <c:pt idx="4">
                  <c:v>1250</c:v>
                </c:pt>
                <c:pt idx="5">
                  <c:v>1180</c:v>
                </c:pt>
                <c:pt idx="6">
                  <c:v>950</c:v>
                </c:pt>
                <c:pt idx="7">
                  <c:v>470</c:v>
                </c:pt>
                <c:pt idx="8">
                  <c:v>630</c:v>
                </c:pt>
                <c:pt idx="9">
                  <c:v>570</c:v>
                </c:pt>
                <c:pt idx="10">
                  <c:v>500</c:v>
                </c:pt>
                <c:pt idx="11">
                  <c:v>320</c:v>
                </c:pt>
              </c:numCache>
            </c:numRef>
          </c:val>
          <c:extLst>
            <c:ext xmlns:c16="http://schemas.microsoft.com/office/drawing/2014/chart" uri="{C3380CC4-5D6E-409C-BE32-E72D297353CC}">
              <c16:uniqueId val="{00000001-2FE4-47E6-8122-FABF564122BB}"/>
            </c:ext>
          </c:extLst>
        </c:ser>
        <c:dLbls>
          <c:showLegendKey val="0"/>
          <c:showVal val="0"/>
          <c:showCatName val="0"/>
          <c:showSerName val="0"/>
          <c:showPercent val="0"/>
          <c:showBubbleSize val="0"/>
        </c:dLbls>
        <c:gapWidth val="55"/>
        <c:axId val="41551259"/>
        <c:axId val="69189138"/>
      </c:barChart>
      <c:catAx>
        <c:axId val="4155125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69189138"/>
        <c:crosses val="autoZero"/>
        <c:auto val="1"/>
        <c:lblAlgn val="ctr"/>
        <c:lblOffset val="100"/>
        <c:noMultiLvlLbl val="0"/>
      </c:catAx>
      <c:valAx>
        <c:axId val="69189138"/>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1551259"/>
        <c:crosses val="autoZero"/>
        <c:crossBetween val="between"/>
      </c:valAx>
      <c:spPr>
        <a:solidFill>
          <a:schemeClr val="bg1"/>
        </a:solid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2F6F7"/>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Budgetausschöpfung</a:t>
            </a:r>
          </a:p>
        </c:rich>
      </c:tx>
      <c:overlay val="0"/>
      <c:spPr>
        <a:noFill/>
        <a:ln w="0">
          <a:noFill/>
        </a:ln>
      </c:spPr>
    </c:title>
    <c:autoTitleDeleted val="0"/>
    <c:plotArea>
      <c:layout/>
      <c:doughnutChart>
        <c:varyColors val="1"/>
        <c:ser>
          <c:idx val="0"/>
          <c:order val="0"/>
          <c:spPr>
            <a:solidFill>
              <a:srgbClr val="4F81BD"/>
            </a:solidFill>
            <a:ln w="0">
              <a:noFill/>
            </a:ln>
          </c:spPr>
          <c:dPt>
            <c:idx val="0"/>
            <c:bubble3D val="0"/>
            <c:spPr>
              <a:solidFill>
                <a:srgbClr val="3B5BA9"/>
              </a:solidFill>
              <a:ln w="0">
                <a:noFill/>
              </a:ln>
            </c:spPr>
            <c:extLst>
              <c:ext xmlns:c16="http://schemas.microsoft.com/office/drawing/2014/chart" uri="{C3380CC4-5D6E-409C-BE32-E72D297353CC}">
                <c16:uniqueId val="{00000001-BDC7-4DE6-BC14-A0D9CDE719BC}"/>
              </c:ext>
            </c:extLst>
          </c:dPt>
          <c:dPt>
            <c:idx val="1"/>
            <c:bubble3D val="0"/>
            <c:spPr>
              <a:solidFill>
                <a:srgbClr val="E2E7EF"/>
              </a:solidFill>
              <a:ln w="0">
                <a:noFill/>
              </a:ln>
            </c:spPr>
            <c:extLst>
              <c:ext xmlns:c16="http://schemas.microsoft.com/office/drawing/2014/chart" uri="{C3380CC4-5D6E-409C-BE32-E72D297353CC}">
                <c16:uniqueId val="{00000003-BDC7-4DE6-BC14-A0D9CDE719BC}"/>
              </c:ext>
            </c:extLst>
          </c:dPt>
          <c:dLbls>
            <c:dLbl>
              <c:idx val="0"/>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6="http://schemas.microsoft.com/office/drawing/2014/chart" uri="{C3380CC4-5D6E-409C-BE32-E72D297353CC}">
                  <c16:uniqueId val="{00000001-BDC7-4DE6-BC14-A0D9CDE719BC}"/>
                </c:ext>
              </c:extLst>
            </c:dLbl>
            <c:dLbl>
              <c:idx val="1"/>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extLst>
                <c:ext xmlns:c16="http://schemas.microsoft.com/office/drawing/2014/chart" uri="{C3380CC4-5D6E-409C-BE32-E72D297353CC}">
                  <c16:uniqueId val="{00000003-BDC7-4DE6-BC14-A0D9CDE719BC}"/>
                </c:ext>
              </c:extLst>
            </c:dLbl>
            <c:spPr>
              <a:noFill/>
              <a:ln>
                <a:noFill/>
              </a:ln>
              <a:effectLst/>
            </c:spPr>
            <c:txPr>
              <a:bodyPr wrap="square"/>
              <a:lstStyle/>
              <a:p>
                <a:pPr>
                  <a:defRPr sz="1000" b="0" strike="noStrike" spc="-1">
                    <a:solidFill>
                      <a:srgbClr val="000000"/>
                    </a:solidFill>
                    <a:latin typeface="Calibri"/>
                  </a:defRPr>
                </a:pPr>
                <a:endParaRPr lang="de-DE"/>
              </a:p>
            </c:txPr>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Cockpit!$P$27:$P$28</c:f>
              <c:strCache>
                <c:ptCount val="2"/>
                <c:pt idx="0">
                  <c:v>Verplant</c:v>
                </c:pt>
                <c:pt idx="1">
                  <c:v>Frei</c:v>
                </c:pt>
              </c:strCache>
            </c:strRef>
          </c:cat>
          <c:val>
            <c:numRef>
              <c:f>Cockpit!$Q$27:$Q$28</c:f>
              <c:numCache>
                <c:formatCode>General</c:formatCode>
                <c:ptCount val="2"/>
                <c:pt idx="0" formatCode="#,##0&quot; €&quot;">
                  <c:v>808670</c:v>
                </c:pt>
                <c:pt idx="1">
                  <c:v>591330</c:v>
                </c:pt>
              </c:numCache>
            </c:numRef>
          </c:val>
          <c:extLst>
            <c:ext xmlns:c16="http://schemas.microsoft.com/office/drawing/2014/chart" uri="{C3380CC4-5D6E-409C-BE32-E72D297353CC}">
              <c16:uniqueId val="{00000004-BDC7-4DE6-BC14-A0D9CDE719BC}"/>
            </c:ext>
          </c:extLst>
        </c:ser>
        <c:dLbls>
          <c:showLegendKey val="0"/>
          <c:showVal val="0"/>
          <c:showCatName val="0"/>
          <c:showSerName val="0"/>
          <c:showPercent val="0"/>
          <c:showBubbleSize val="0"/>
          <c:showLeaderLines val="1"/>
        </c:dLbls>
        <c:firstSliceAng val="0"/>
        <c:holeSize val="50"/>
      </c:doughnut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2F6F7"/>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6</xdr:row>
      <xdr:rowOff>0</xdr:rowOff>
    </xdr:from>
    <xdr:to>
      <xdr:col>26</xdr:col>
      <xdr:colOff>151560</xdr:colOff>
      <xdr:row>19</xdr:row>
      <xdr:rowOff>21960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0</xdr:colOff>
      <xdr:row>23</xdr:row>
      <xdr:rowOff>0</xdr:rowOff>
    </xdr:from>
    <xdr:to>
      <xdr:col>26</xdr:col>
      <xdr:colOff>123825</xdr:colOff>
      <xdr:row>35</xdr:row>
      <xdr:rowOff>89640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9"/>
  <sheetViews>
    <sheetView showGridLines="0" tabSelected="1" zoomScaleNormal="100" workbookViewId="0">
      <selection activeCell="N37" sqref="N37"/>
    </sheetView>
  </sheetViews>
  <sheetFormatPr baseColWidth="10" defaultColWidth="8.7109375" defaultRowHeight="15" x14ac:dyDescent="0.25"/>
  <cols>
    <col min="1" max="1" width="1.5703125" customWidth="1"/>
    <col min="2" max="13" width="10.140625" customWidth="1"/>
    <col min="14" max="14" width="2.42578125" customWidth="1"/>
    <col min="16" max="18" width="2.140625" customWidth="1"/>
  </cols>
  <sheetData>
    <row r="1" spans="1:18" x14ac:dyDescent="0.25">
      <c r="A1" s="15"/>
    </row>
    <row r="2" spans="1:18" x14ac:dyDescent="0.25">
      <c r="A2" s="15"/>
      <c r="B2" s="16" t="s">
        <v>0</v>
      </c>
      <c r="J2" s="17" t="s">
        <v>1</v>
      </c>
      <c r="K2" s="14" t="s">
        <v>2</v>
      </c>
      <c r="L2" s="14"/>
      <c r="M2" s="14"/>
    </row>
    <row r="3" spans="1:18" ht="30" customHeight="1" x14ac:dyDescent="0.25">
      <c r="A3" s="15"/>
      <c r="B3" s="19" t="s">
        <v>3</v>
      </c>
      <c r="J3" s="17" t="s">
        <v>4</v>
      </c>
      <c r="K3" s="20">
        <v>2027</v>
      </c>
      <c r="L3" s="17" t="s">
        <v>5</v>
      </c>
      <c r="M3" s="18" t="s">
        <v>6</v>
      </c>
    </row>
    <row r="4" spans="1:18" x14ac:dyDescent="0.25">
      <c r="A4" s="15"/>
      <c r="B4" s="21" t="s">
        <v>7</v>
      </c>
    </row>
    <row r="5" spans="1:18" x14ac:dyDescent="0.25">
      <c r="A5" s="15"/>
    </row>
    <row r="6" spans="1:18" x14ac:dyDescent="0.25">
      <c r="A6" s="15"/>
    </row>
    <row r="7" spans="1:18" x14ac:dyDescent="0.25">
      <c r="A7" s="15"/>
      <c r="B7" s="13" t="s">
        <v>8</v>
      </c>
      <c r="C7" s="13"/>
      <c r="D7" s="13"/>
      <c r="E7" s="13"/>
      <c r="F7" s="13" t="s">
        <v>9</v>
      </c>
      <c r="G7" s="13"/>
      <c r="H7" s="13"/>
      <c r="I7" s="13"/>
      <c r="J7" s="13" t="s">
        <v>10</v>
      </c>
      <c r="K7" s="13"/>
      <c r="L7" s="13"/>
      <c r="M7" s="13"/>
    </row>
    <row r="8" spans="1:18" ht="30" customHeight="1" x14ac:dyDescent="0.25">
      <c r="A8" s="15"/>
      <c r="B8" s="12">
        <f>COUNTA(Team!$C$6:$C$14)</f>
        <v>9</v>
      </c>
      <c r="C8" s="12"/>
      <c r="D8" s="12"/>
      <c r="E8" s="12"/>
      <c r="F8" s="12">
        <f>COUNTA(Projekte!$C$6:$C$11)</f>
        <v>6</v>
      </c>
      <c r="G8" s="12"/>
      <c r="H8" s="12"/>
      <c r="I8" s="12"/>
      <c r="J8" s="11">
        <f>IFERROR(SUM(Einsatzplanung!$U$6:$U$50)/SUM(Team!$N$6:$N$14),0)</f>
        <v>0.57065217391304346</v>
      </c>
      <c r="K8" s="11"/>
      <c r="L8" s="11"/>
      <c r="M8" s="11"/>
      <c r="P8" s="22" t="s">
        <v>11</v>
      </c>
      <c r="Q8" s="22" t="s">
        <v>12</v>
      </c>
      <c r="R8" s="22" t="s">
        <v>13</v>
      </c>
    </row>
    <row r="9" spans="1:18" x14ac:dyDescent="0.25">
      <c r="A9" s="15"/>
      <c r="B9" s="23"/>
      <c r="C9" s="23"/>
      <c r="D9" s="23"/>
      <c r="E9" s="23"/>
      <c r="F9" s="23"/>
      <c r="G9" s="23"/>
      <c r="H9" s="23"/>
      <c r="I9" s="23"/>
      <c r="J9" s="23"/>
      <c r="K9" s="23"/>
      <c r="L9" s="23"/>
      <c r="M9" s="23"/>
      <c r="P9" s="22" t="s">
        <v>14</v>
      </c>
      <c r="Q9" s="22">
        <f>SUM(Team!$M$6:$M$14)</f>
        <v>1472</v>
      </c>
      <c r="R9" s="22">
        <f>SUM(Einsatzplanung!$I$6:$I$50)</f>
        <v>740</v>
      </c>
    </row>
    <row r="10" spans="1:18" x14ac:dyDescent="0.25">
      <c r="A10" s="15"/>
      <c r="B10" s="13" t="s">
        <v>15</v>
      </c>
      <c r="C10" s="13"/>
      <c r="D10" s="13"/>
      <c r="E10" s="13"/>
      <c r="F10" s="13" t="s">
        <v>16</v>
      </c>
      <c r="G10" s="13"/>
      <c r="H10" s="13"/>
      <c r="I10" s="13"/>
      <c r="J10" s="13" t="s">
        <v>17</v>
      </c>
      <c r="K10" s="13"/>
      <c r="L10" s="13"/>
      <c r="M10" s="13"/>
      <c r="P10" s="22" t="s">
        <v>18</v>
      </c>
      <c r="Q10" s="22">
        <f>SUM(Team!$M$6:$M$14)</f>
        <v>1472</v>
      </c>
      <c r="R10" s="22">
        <f>SUM(Einsatzplanung!$J$6:$J$50)</f>
        <v>1030</v>
      </c>
    </row>
    <row r="11" spans="1:18" ht="30" customHeight="1" x14ac:dyDescent="0.25">
      <c r="A11" s="15"/>
      <c r="B11" s="10">
        <f>SUM(Projekte!$M$6:$M$11)</f>
        <v>1400000</v>
      </c>
      <c r="C11" s="10"/>
      <c r="D11" s="10"/>
      <c r="E11" s="10"/>
      <c r="F11" s="10">
        <f>SUM(Einsatzplanung!$W$6:$W$50)</f>
        <v>808670</v>
      </c>
      <c r="G11" s="10"/>
      <c r="H11" s="10"/>
      <c r="I11" s="10"/>
      <c r="J11" s="9">
        <f>B11-F11</f>
        <v>591330</v>
      </c>
      <c r="K11" s="9"/>
      <c r="L11" s="9"/>
      <c r="M11" s="9"/>
      <c r="P11" s="22" t="s">
        <v>19</v>
      </c>
      <c r="Q11" s="22">
        <f>SUM(Team!$M$6:$M$14)</f>
        <v>1472</v>
      </c>
      <c r="R11" s="22">
        <f>SUM(Einsatzplanung!$K$6:$K$50)</f>
        <v>1180</v>
      </c>
    </row>
    <row r="12" spans="1:18" x14ac:dyDescent="0.25">
      <c r="A12" s="15"/>
      <c r="B12" s="23"/>
      <c r="C12" s="23"/>
      <c r="D12" s="23"/>
      <c r="E12" s="23"/>
      <c r="F12" s="23"/>
      <c r="G12" s="23"/>
      <c r="H12" s="23"/>
      <c r="I12" s="23"/>
      <c r="J12" s="23"/>
      <c r="K12" s="23"/>
      <c r="L12" s="23"/>
      <c r="M12" s="23"/>
      <c r="P12" s="22" t="s">
        <v>20</v>
      </c>
      <c r="Q12" s="22">
        <f>SUM(Team!$M$6:$M$14)</f>
        <v>1472</v>
      </c>
      <c r="R12" s="22">
        <f>SUM(Einsatzplanung!$L$6:$L$50)</f>
        <v>1260</v>
      </c>
    </row>
    <row r="13" spans="1:18" x14ac:dyDescent="0.25">
      <c r="A13" s="15"/>
      <c r="B13" s="24" t="s">
        <v>21</v>
      </c>
      <c r="P13" s="22" t="s">
        <v>22</v>
      </c>
      <c r="Q13" s="22">
        <f>SUM(Team!$M$6:$M$14)</f>
        <v>1472</v>
      </c>
      <c r="R13" s="22">
        <f>SUM(Einsatzplanung!$M$6:$M$50)</f>
        <v>1250</v>
      </c>
    </row>
    <row r="14" spans="1:18" x14ac:dyDescent="0.25">
      <c r="A14" s="15"/>
      <c r="B14" s="25"/>
      <c r="C14" s="25"/>
      <c r="D14" s="25"/>
      <c r="E14" s="25"/>
      <c r="F14" s="25"/>
      <c r="G14" s="25"/>
      <c r="H14" s="25"/>
      <c r="I14" s="25"/>
      <c r="J14" s="25"/>
      <c r="K14" s="25"/>
      <c r="L14" s="25"/>
      <c r="M14" s="25"/>
      <c r="P14" s="22" t="s">
        <v>23</v>
      </c>
      <c r="Q14" s="22">
        <f>SUM(Team!$M$6:$M$14)</f>
        <v>1472</v>
      </c>
      <c r="R14" s="22">
        <f>SUM(Einsatzplanung!$N$6:$N$50)</f>
        <v>1180</v>
      </c>
    </row>
    <row r="15" spans="1:18" x14ac:dyDescent="0.25">
      <c r="A15" s="15"/>
      <c r="B15" s="8" t="s">
        <v>24</v>
      </c>
      <c r="C15" s="8"/>
      <c r="D15" s="8"/>
      <c r="E15" s="8"/>
      <c r="F15" s="8"/>
      <c r="G15" s="7" t="s">
        <v>25</v>
      </c>
      <c r="H15" s="7"/>
      <c r="I15" s="7" t="s">
        <v>26</v>
      </c>
      <c r="J15" s="7"/>
      <c r="K15" s="26" t="s">
        <v>27</v>
      </c>
      <c r="L15" s="26" t="s">
        <v>28</v>
      </c>
      <c r="M15" s="26" t="s">
        <v>29</v>
      </c>
      <c r="P15" s="22" t="s">
        <v>30</v>
      </c>
      <c r="Q15" s="22">
        <f>SUM(Team!$M$6:$M$14)</f>
        <v>1472</v>
      </c>
      <c r="R15" s="22">
        <f>SUM(Einsatzplanung!$O$6:$O$50)</f>
        <v>950</v>
      </c>
    </row>
    <row r="16" spans="1:18" x14ac:dyDescent="0.25">
      <c r="A16" s="15"/>
      <c r="B16" s="6" t="s">
        <v>31</v>
      </c>
      <c r="C16" s="6"/>
      <c r="D16" s="6"/>
      <c r="E16" s="6"/>
      <c r="F16" s="6"/>
      <c r="G16" s="5" t="s">
        <v>32</v>
      </c>
      <c r="H16" s="5"/>
      <c r="I16" s="4">
        <f>INDEX(Projekte!$M$6:$M$11,MATCH(B16,Projekte!$C$6:$C$11,0))</f>
        <v>420000</v>
      </c>
      <c r="J16" s="4"/>
      <c r="K16" s="27">
        <f>SUMIF(Einsatzplanung!$B$6:$B$50,B16,Einsatzplanung!$W$6:$W$50)</f>
        <v>236330</v>
      </c>
      <c r="L16" s="27">
        <f t="shared" ref="L16:L21" si="0">I16-K16</f>
        <v>183670</v>
      </c>
      <c r="M16" s="28">
        <f t="shared" ref="M16:M22" si="1">IFERROR(K16/I16,0)</f>
        <v>0.56269047619047619</v>
      </c>
      <c r="P16" s="22" t="s">
        <v>33</v>
      </c>
      <c r="Q16" s="22">
        <f>SUM(Team!$M$6:$M$14)</f>
        <v>1472</v>
      </c>
      <c r="R16" s="22">
        <f>SUM(Einsatzplanung!$P$6:$P$50)</f>
        <v>470</v>
      </c>
    </row>
    <row r="17" spans="1:18" x14ac:dyDescent="0.25">
      <c r="A17" s="15"/>
      <c r="B17" s="6" t="s">
        <v>34</v>
      </c>
      <c r="C17" s="6"/>
      <c r="D17" s="6"/>
      <c r="E17" s="6"/>
      <c r="F17" s="6"/>
      <c r="G17" s="5" t="s">
        <v>32</v>
      </c>
      <c r="H17" s="5"/>
      <c r="I17" s="4">
        <f>INDEX(Projekte!$M$6:$M$11,MATCH(B17,Projekte!$C$6:$C$11,0))</f>
        <v>300000</v>
      </c>
      <c r="J17" s="4"/>
      <c r="K17" s="27">
        <f>SUMIF(Einsatzplanung!$B$6:$B$50,B17,Einsatzplanung!$W$6:$W$50)</f>
        <v>160300</v>
      </c>
      <c r="L17" s="27">
        <f t="shared" si="0"/>
        <v>139700</v>
      </c>
      <c r="M17" s="28">
        <f t="shared" si="1"/>
        <v>0.53433333333333333</v>
      </c>
      <c r="P17" s="22" t="s">
        <v>35</v>
      </c>
      <c r="Q17" s="22">
        <f>SUM(Team!$M$6:$M$14)</f>
        <v>1472</v>
      </c>
      <c r="R17" s="22">
        <f>SUM(Einsatzplanung!$Q$6:$Q$50)</f>
        <v>630</v>
      </c>
    </row>
    <row r="18" spans="1:18" x14ac:dyDescent="0.25">
      <c r="A18" s="15"/>
      <c r="B18" s="6" t="s">
        <v>36</v>
      </c>
      <c r="C18" s="6"/>
      <c r="D18" s="6"/>
      <c r="E18" s="6"/>
      <c r="F18" s="6"/>
      <c r="G18" s="5" t="s">
        <v>13</v>
      </c>
      <c r="H18" s="5"/>
      <c r="I18" s="4">
        <f>INDEX(Projekte!$M$6:$M$11,MATCH(B18,Projekte!$C$6:$C$11,0))</f>
        <v>260000</v>
      </c>
      <c r="J18" s="4"/>
      <c r="K18" s="27">
        <f>SUMIF(Einsatzplanung!$B$6:$B$50,B18,Einsatzplanung!$W$6:$W$50)</f>
        <v>163800</v>
      </c>
      <c r="L18" s="27">
        <f t="shared" si="0"/>
        <v>96200</v>
      </c>
      <c r="M18" s="28">
        <f t="shared" si="1"/>
        <v>0.63</v>
      </c>
      <c r="P18" s="22" t="s">
        <v>37</v>
      </c>
      <c r="Q18" s="22">
        <f>SUM(Team!$M$6:$M$14)</f>
        <v>1472</v>
      </c>
      <c r="R18" s="22">
        <f>SUM(Einsatzplanung!$R$6:$R$50)</f>
        <v>570</v>
      </c>
    </row>
    <row r="19" spans="1:18" x14ac:dyDescent="0.25">
      <c r="A19" s="15"/>
      <c r="B19" s="6" t="s">
        <v>38</v>
      </c>
      <c r="C19" s="6"/>
      <c r="D19" s="6"/>
      <c r="E19" s="6"/>
      <c r="F19" s="6"/>
      <c r="G19" s="5" t="s">
        <v>32</v>
      </c>
      <c r="H19" s="5"/>
      <c r="I19" s="4">
        <f>INDEX(Projekte!$M$6:$M$11,MATCH(B19,Projekte!$C$6:$C$11,0))</f>
        <v>180000</v>
      </c>
      <c r="J19" s="4"/>
      <c r="K19" s="27">
        <f>SUMIF(Einsatzplanung!$B$6:$B$50,B19,Einsatzplanung!$W$6:$W$50)</f>
        <v>90480</v>
      </c>
      <c r="L19" s="27">
        <f t="shared" si="0"/>
        <v>89520</v>
      </c>
      <c r="M19" s="28">
        <f t="shared" si="1"/>
        <v>0.50266666666666671</v>
      </c>
      <c r="P19" s="22" t="s">
        <v>39</v>
      </c>
      <c r="Q19" s="22">
        <f>SUM(Team!$M$6:$M$14)</f>
        <v>1472</v>
      </c>
      <c r="R19" s="22">
        <f>SUM(Einsatzplanung!$S$6:$S$50)</f>
        <v>500</v>
      </c>
    </row>
    <row r="20" spans="1:18" x14ac:dyDescent="0.25">
      <c r="A20" s="15"/>
      <c r="B20" s="6" t="s">
        <v>40</v>
      </c>
      <c r="C20" s="6"/>
      <c r="D20" s="6"/>
      <c r="E20" s="6"/>
      <c r="F20" s="6"/>
      <c r="G20" s="5" t="s">
        <v>13</v>
      </c>
      <c r="H20" s="5"/>
      <c r="I20" s="4">
        <f>INDEX(Projekte!$M$6:$M$11,MATCH(B20,Projekte!$C$6:$C$11,0))</f>
        <v>150000</v>
      </c>
      <c r="J20" s="4"/>
      <c r="K20" s="27">
        <f>SUMIF(Einsatzplanung!$B$6:$B$50,B20,Einsatzplanung!$W$6:$W$50)</f>
        <v>90560</v>
      </c>
      <c r="L20" s="27">
        <f t="shared" si="0"/>
        <v>59440</v>
      </c>
      <c r="M20" s="28">
        <f t="shared" si="1"/>
        <v>0.60373333333333334</v>
      </c>
      <c r="P20" s="22" t="s">
        <v>41</v>
      </c>
      <c r="Q20" s="22">
        <f>SUM(Team!$M$6:$M$14)</f>
        <v>1472</v>
      </c>
      <c r="R20" s="22">
        <f>SUM(Einsatzplanung!$T$6:$T$50)</f>
        <v>320</v>
      </c>
    </row>
    <row r="21" spans="1:18" x14ac:dyDescent="0.25">
      <c r="A21" s="15"/>
      <c r="B21" s="6" t="s">
        <v>42</v>
      </c>
      <c r="C21" s="6"/>
      <c r="D21" s="6"/>
      <c r="E21" s="6"/>
      <c r="F21" s="6"/>
      <c r="G21" s="5" t="s">
        <v>43</v>
      </c>
      <c r="H21" s="5"/>
      <c r="I21" s="4">
        <f>INDEX(Projekte!$M$6:$M$11,MATCH(B21,Projekte!$C$6:$C$11,0))</f>
        <v>90000</v>
      </c>
      <c r="J21" s="4"/>
      <c r="K21" s="27">
        <f>SUMIF(Einsatzplanung!$B$6:$B$50,B21,Einsatzplanung!$W$6:$W$50)</f>
        <v>67200</v>
      </c>
      <c r="L21" s="27">
        <f t="shared" si="0"/>
        <v>22800</v>
      </c>
      <c r="M21" s="28">
        <f t="shared" si="1"/>
        <v>0.7466666666666667</v>
      </c>
    </row>
    <row r="22" spans="1:18" x14ac:dyDescent="0.25">
      <c r="A22" s="15"/>
      <c r="B22" s="3" t="s">
        <v>44</v>
      </c>
      <c r="C22" s="3"/>
      <c r="D22" s="3"/>
      <c r="E22" s="3"/>
      <c r="F22" s="3"/>
      <c r="G22" s="29"/>
      <c r="H22" s="29"/>
      <c r="I22" s="2">
        <f>SUM(I16:I21)</f>
        <v>1400000</v>
      </c>
      <c r="J22" s="2"/>
      <c r="K22" s="30">
        <f>SUM(K16:K21)</f>
        <v>808670</v>
      </c>
      <c r="L22" s="30">
        <f>SUM(L16:L21)</f>
        <v>591330</v>
      </c>
      <c r="M22" s="31">
        <f t="shared" si="1"/>
        <v>0.57762142857142862</v>
      </c>
    </row>
    <row r="23" spans="1:18" x14ac:dyDescent="0.25">
      <c r="A23" s="15"/>
    </row>
    <row r="24" spans="1:18" x14ac:dyDescent="0.25">
      <c r="A24" s="15"/>
      <c r="B24" s="24" t="s">
        <v>45</v>
      </c>
    </row>
    <row r="25" spans="1:18" x14ac:dyDescent="0.25">
      <c r="A25" s="15"/>
      <c r="B25" s="25"/>
      <c r="C25" s="25"/>
      <c r="D25" s="25"/>
      <c r="E25" s="25"/>
      <c r="F25" s="25"/>
      <c r="G25" s="25"/>
      <c r="H25" s="25"/>
      <c r="I25" s="25"/>
      <c r="J25" s="25"/>
      <c r="K25" s="25"/>
      <c r="L25" s="25"/>
      <c r="M25" s="25"/>
    </row>
    <row r="26" spans="1:18" x14ac:dyDescent="0.25">
      <c r="A26" s="15"/>
      <c r="B26" s="8" t="s">
        <v>46</v>
      </c>
      <c r="C26" s="8"/>
      <c r="D26" s="8"/>
      <c r="E26" s="8"/>
      <c r="F26" s="8"/>
      <c r="G26" s="7" t="s">
        <v>47</v>
      </c>
      <c r="H26" s="7"/>
      <c r="I26" s="7"/>
      <c r="J26" s="7" t="s">
        <v>48</v>
      </c>
      <c r="K26" s="7"/>
      <c r="L26" s="7"/>
      <c r="M26" s="7"/>
    </row>
    <row r="27" spans="1:18" x14ac:dyDescent="0.25">
      <c r="A27" s="15"/>
      <c r="B27" s="6" t="str">
        <f>Auslastung!$C$6</f>
        <v>Carla Vogt</v>
      </c>
      <c r="C27" s="6"/>
      <c r="D27" s="6"/>
      <c r="E27" s="6"/>
      <c r="F27" s="6"/>
      <c r="G27" s="1">
        <f>Auslastung!$U$6</f>
        <v>0</v>
      </c>
      <c r="H27" s="1"/>
      <c r="I27" s="1"/>
      <c r="J27" s="65">
        <f>Auslastung!$T$6</f>
        <v>0.86705202312138729</v>
      </c>
      <c r="K27" s="65"/>
      <c r="L27" s="65"/>
      <c r="M27" s="65"/>
      <c r="P27" s="22" t="s">
        <v>49</v>
      </c>
      <c r="Q27" s="32">
        <f>F11</f>
        <v>808670</v>
      </c>
      <c r="R27" s="22"/>
    </row>
    <row r="28" spans="1:18" x14ac:dyDescent="0.25">
      <c r="A28" s="15"/>
      <c r="B28" s="6" t="str">
        <f>Auslastung!$C$7</f>
        <v>Mehmet Yıldız</v>
      </c>
      <c r="C28" s="6"/>
      <c r="D28" s="6"/>
      <c r="E28" s="6"/>
      <c r="F28" s="6"/>
      <c r="G28" s="1">
        <f>Auslastung!$U$7</f>
        <v>3</v>
      </c>
      <c r="H28" s="1"/>
      <c r="I28" s="1"/>
      <c r="J28" s="65">
        <f>Auslastung!$T$7</f>
        <v>1.1560693641618498</v>
      </c>
      <c r="K28" s="65"/>
      <c r="L28" s="65"/>
      <c r="M28" s="65"/>
      <c r="P28" s="22" t="s">
        <v>50</v>
      </c>
      <c r="Q28" s="22">
        <f>MAX(B11-F11,0)</f>
        <v>591330</v>
      </c>
      <c r="R28" s="22"/>
    </row>
    <row r="29" spans="1:18" x14ac:dyDescent="0.25">
      <c r="A29" s="15"/>
      <c r="B29" s="6" t="str">
        <f>Auslastung!$C$8</f>
        <v>Julia Brandt</v>
      </c>
      <c r="C29" s="6"/>
      <c r="D29" s="6"/>
      <c r="E29" s="6"/>
      <c r="F29" s="6"/>
      <c r="G29" s="1">
        <f>Auslastung!$U$8</f>
        <v>2</v>
      </c>
      <c r="H29" s="1"/>
      <c r="I29" s="1"/>
      <c r="J29" s="65">
        <f>Auslastung!$T$8</f>
        <v>1.0404624277456647</v>
      </c>
      <c r="K29" s="65"/>
      <c r="L29" s="65"/>
      <c r="M29" s="65"/>
    </row>
    <row r="30" spans="1:18" x14ac:dyDescent="0.25">
      <c r="A30" s="15"/>
      <c r="B30" s="6" t="str">
        <f>Auslastung!$C$9</f>
        <v>Felix Horn</v>
      </c>
      <c r="C30" s="6"/>
      <c r="D30" s="6"/>
      <c r="E30" s="6"/>
      <c r="F30" s="6"/>
      <c r="G30" s="1">
        <f>Auslastung!$U$9</f>
        <v>2</v>
      </c>
      <c r="H30" s="1"/>
      <c r="I30" s="1"/>
      <c r="J30" s="65">
        <f>Auslastung!$T$9</f>
        <v>1.0071942446043165</v>
      </c>
      <c r="K30" s="65"/>
      <c r="L30" s="65"/>
      <c r="M30" s="65"/>
    </row>
    <row r="31" spans="1:18" x14ac:dyDescent="0.25">
      <c r="A31" s="15"/>
      <c r="B31" s="6" t="str">
        <f>Auslastung!$C$10</f>
        <v>Nadia Scholz</v>
      </c>
      <c r="C31" s="6"/>
      <c r="D31" s="6"/>
      <c r="E31" s="6"/>
      <c r="F31" s="6"/>
      <c r="G31" s="1">
        <f>Auslastung!$U$10</f>
        <v>1</v>
      </c>
      <c r="H31" s="1"/>
      <c r="I31" s="1"/>
      <c r="J31" s="65">
        <f>Auslastung!$T$10</f>
        <v>1.0404624277456647</v>
      </c>
      <c r="K31" s="65"/>
      <c r="L31" s="65"/>
      <c r="M31" s="65"/>
    </row>
    <row r="32" spans="1:18" x14ac:dyDescent="0.25">
      <c r="A32" s="15"/>
      <c r="B32" s="6" t="str">
        <f>Auslastung!$C$11</f>
        <v>Robert Kraus</v>
      </c>
      <c r="C32" s="6"/>
      <c r="D32" s="6"/>
      <c r="E32" s="6"/>
      <c r="F32" s="6"/>
      <c r="G32" s="1">
        <f>Auslastung!$U$11</f>
        <v>0</v>
      </c>
      <c r="H32" s="1"/>
      <c r="I32" s="1"/>
      <c r="J32" s="65">
        <f>Auslastung!$T$11</f>
        <v>0.92485549132947975</v>
      </c>
      <c r="K32" s="65"/>
      <c r="L32" s="65"/>
      <c r="M32" s="65"/>
    </row>
    <row r="33" spans="1:13" x14ac:dyDescent="0.25">
      <c r="A33" s="15"/>
      <c r="B33" s="6" t="str">
        <f>Auslastung!$C$12</f>
        <v>Elena Petrova</v>
      </c>
      <c r="C33" s="6"/>
      <c r="D33" s="6"/>
      <c r="E33" s="6"/>
      <c r="F33" s="6"/>
      <c r="G33" s="1">
        <f>Auslastung!$U$12</f>
        <v>1</v>
      </c>
      <c r="H33" s="1"/>
      <c r="I33" s="1"/>
      <c r="J33" s="65">
        <f>Auslastung!$T$12</f>
        <v>1.0256410256410255</v>
      </c>
      <c r="K33" s="65"/>
      <c r="L33" s="65"/>
      <c r="M33" s="65"/>
    </row>
    <row r="34" spans="1:13" x14ac:dyDescent="0.25">
      <c r="A34" s="15"/>
      <c r="B34" s="6" t="str">
        <f>Auslastung!$C$13</f>
        <v>Tobias Lang</v>
      </c>
      <c r="C34" s="6"/>
      <c r="D34" s="6"/>
      <c r="E34" s="6"/>
      <c r="F34" s="6"/>
      <c r="G34" s="1">
        <f>Auslastung!$U$13</f>
        <v>2</v>
      </c>
      <c r="H34" s="1"/>
      <c r="I34" s="1"/>
      <c r="J34" s="65">
        <f>Auslastung!$T$13</f>
        <v>1.2138728323699421</v>
      </c>
      <c r="K34" s="65"/>
      <c r="L34" s="65"/>
      <c r="M34" s="65"/>
    </row>
    <row r="35" spans="1:13" x14ac:dyDescent="0.25">
      <c r="A35" s="15"/>
      <c r="B35" s="6" t="str">
        <f>Auslastung!$C$14</f>
        <v>Hanna Weiß</v>
      </c>
      <c r="C35" s="6"/>
      <c r="D35" s="6"/>
      <c r="E35" s="6"/>
      <c r="F35" s="6"/>
      <c r="G35" s="1">
        <f>Auslastung!$U$14</f>
        <v>2</v>
      </c>
      <c r="H35" s="1"/>
      <c r="I35" s="1"/>
      <c r="J35" s="65">
        <f>Auslastung!$T$14</f>
        <v>1.079136690647482</v>
      </c>
      <c r="K35" s="65"/>
      <c r="L35" s="65"/>
      <c r="M35" s="65"/>
    </row>
    <row r="36" spans="1:13" x14ac:dyDescent="0.25">
      <c r="A36" s="15"/>
    </row>
    <row r="37" spans="1:13" x14ac:dyDescent="0.25">
      <c r="A37" s="15"/>
    </row>
    <row r="38" spans="1:13" x14ac:dyDescent="0.25">
      <c r="A38" s="15"/>
    </row>
    <row r="39" spans="1:13" x14ac:dyDescent="0.25">
      <c r="A39" s="15"/>
    </row>
    <row r="40" spans="1:13" x14ac:dyDescent="0.25">
      <c r="A40" s="15"/>
    </row>
    <row r="41" spans="1:13" x14ac:dyDescent="0.25">
      <c r="A41" s="15"/>
    </row>
    <row r="42" spans="1:13" x14ac:dyDescent="0.25">
      <c r="A42" s="15"/>
    </row>
    <row r="43" spans="1:13" x14ac:dyDescent="0.25">
      <c r="A43" s="15"/>
    </row>
    <row r="44" spans="1:13" x14ac:dyDescent="0.25">
      <c r="A44" s="15"/>
    </row>
    <row r="45" spans="1:13" x14ac:dyDescent="0.25">
      <c r="A45" s="15"/>
    </row>
    <row r="46" spans="1:13" x14ac:dyDescent="0.25">
      <c r="A46" s="15"/>
    </row>
    <row r="47" spans="1:13" x14ac:dyDescent="0.25">
      <c r="A47" s="15"/>
    </row>
    <row r="48" spans="1:13" x14ac:dyDescent="0.25">
      <c r="A48" s="15"/>
    </row>
    <row r="49" spans="1:1" x14ac:dyDescent="0.25">
      <c r="A49" s="15"/>
    </row>
    <row r="50" spans="1:1" x14ac:dyDescent="0.25">
      <c r="A50" s="15"/>
    </row>
    <row r="51" spans="1:1" x14ac:dyDescent="0.25">
      <c r="A51" s="15"/>
    </row>
    <row r="52" spans="1:1" x14ac:dyDescent="0.25">
      <c r="A52" s="15"/>
    </row>
    <row r="53" spans="1:1" x14ac:dyDescent="0.25">
      <c r="A53" s="15"/>
    </row>
    <row r="54" spans="1:1" x14ac:dyDescent="0.25">
      <c r="A54" s="15"/>
    </row>
    <row r="55" spans="1:1" x14ac:dyDescent="0.25">
      <c r="A55" s="15"/>
    </row>
    <row r="56" spans="1:1" x14ac:dyDescent="0.25">
      <c r="A56" s="15"/>
    </row>
    <row r="57" spans="1:1" x14ac:dyDescent="0.25">
      <c r="A57" s="15"/>
    </row>
    <row r="58" spans="1:1" x14ac:dyDescent="0.25">
      <c r="A58" s="15"/>
    </row>
    <row r="59" spans="1:1" x14ac:dyDescent="0.25">
      <c r="A59" s="15"/>
    </row>
    <row r="60" spans="1:1" x14ac:dyDescent="0.25">
      <c r="A60" s="15"/>
    </row>
    <row r="61" spans="1:1" x14ac:dyDescent="0.25">
      <c r="A61" s="15"/>
    </row>
    <row r="62" spans="1:1" x14ac:dyDescent="0.25">
      <c r="A62" s="15"/>
    </row>
    <row r="63" spans="1:1" x14ac:dyDescent="0.25">
      <c r="A63" s="15"/>
    </row>
    <row r="64" spans="1:1" x14ac:dyDescent="0.25">
      <c r="A64" s="15"/>
    </row>
    <row r="65" spans="1:1" x14ac:dyDescent="0.25">
      <c r="A65" s="15"/>
    </row>
    <row r="66" spans="1:1" x14ac:dyDescent="0.25">
      <c r="A66" s="15"/>
    </row>
    <row r="67" spans="1:1" x14ac:dyDescent="0.25">
      <c r="A67" s="15"/>
    </row>
    <row r="68" spans="1:1" x14ac:dyDescent="0.25">
      <c r="A68" s="15"/>
    </row>
    <row r="69" spans="1:1" x14ac:dyDescent="0.25">
      <c r="A69" s="15"/>
    </row>
  </sheetData>
  <mergeCells count="66">
    <mergeCell ref="B34:F34"/>
    <mergeCell ref="G34:I34"/>
    <mergeCell ref="J34:M34"/>
    <mergeCell ref="B35:F35"/>
    <mergeCell ref="G35:I35"/>
    <mergeCell ref="J35:M35"/>
    <mergeCell ref="B32:F32"/>
    <mergeCell ref="G32:I32"/>
    <mergeCell ref="J32:M32"/>
    <mergeCell ref="B33:F33"/>
    <mergeCell ref="G33:I33"/>
    <mergeCell ref="J33:M33"/>
    <mergeCell ref="B30:F30"/>
    <mergeCell ref="G30:I30"/>
    <mergeCell ref="J30:M30"/>
    <mergeCell ref="B31:F31"/>
    <mergeCell ref="G31:I31"/>
    <mergeCell ref="J31:M31"/>
    <mergeCell ref="B28:F28"/>
    <mergeCell ref="G28:I28"/>
    <mergeCell ref="J28:M28"/>
    <mergeCell ref="B29:F29"/>
    <mergeCell ref="G29:I29"/>
    <mergeCell ref="J29:M29"/>
    <mergeCell ref="B26:F26"/>
    <mergeCell ref="G26:I26"/>
    <mergeCell ref="J26:M26"/>
    <mergeCell ref="B27:F27"/>
    <mergeCell ref="G27:I27"/>
    <mergeCell ref="J27:M27"/>
    <mergeCell ref="B21:F21"/>
    <mergeCell ref="G21:H21"/>
    <mergeCell ref="I21:J21"/>
    <mergeCell ref="B22:F22"/>
    <mergeCell ref="I22:J22"/>
    <mergeCell ref="B19:F19"/>
    <mergeCell ref="G19:H19"/>
    <mergeCell ref="I19:J19"/>
    <mergeCell ref="B20:F20"/>
    <mergeCell ref="G20:H20"/>
    <mergeCell ref="I20:J20"/>
    <mergeCell ref="B17:F17"/>
    <mergeCell ref="G17:H17"/>
    <mergeCell ref="I17:J17"/>
    <mergeCell ref="B18:F18"/>
    <mergeCell ref="G18:H18"/>
    <mergeCell ref="I18:J18"/>
    <mergeCell ref="B15:F15"/>
    <mergeCell ref="G15:H15"/>
    <mergeCell ref="I15:J15"/>
    <mergeCell ref="B16:F16"/>
    <mergeCell ref="G16:H16"/>
    <mergeCell ref="I16:J16"/>
    <mergeCell ref="B10:E10"/>
    <mergeCell ref="F10:I10"/>
    <mergeCell ref="J10:M10"/>
    <mergeCell ref="B11:E11"/>
    <mergeCell ref="F11:I11"/>
    <mergeCell ref="J11:M11"/>
    <mergeCell ref="K2:M2"/>
    <mergeCell ref="B7:E7"/>
    <mergeCell ref="F7:I7"/>
    <mergeCell ref="J7:M7"/>
    <mergeCell ref="B8:E8"/>
    <mergeCell ref="F8:I8"/>
    <mergeCell ref="J8:M8"/>
  </mergeCells>
  <conditionalFormatting sqref="G27:I35">
    <cfRule type="cellIs" dxfId="11" priority="6" operator="greaterThan">
      <formula>0</formula>
    </cfRule>
  </conditionalFormatting>
  <conditionalFormatting sqref="J8">
    <cfRule type="cellIs" dxfId="10" priority="3" operator="greaterThan">
      <formula>1</formula>
    </cfRule>
  </conditionalFormatting>
  <conditionalFormatting sqref="J11">
    <cfRule type="cellIs" dxfId="9" priority="2" operator="lessThan">
      <formula>0</formula>
    </cfRule>
  </conditionalFormatting>
  <conditionalFormatting sqref="J27:M35">
    <cfRule type="cellIs" dxfId="8" priority="7" operator="greaterThan">
      <formula>1</formula>
    </cfRule>
  </conditionalFormatting>
  <conditionalFormatting sqref="L16:L21">
    <cfRule type="cellIs" dxfId="7" priority="4" operator="lessThan">
      <formula>0</formula>
    </cfRule>
  </conditionalFormatting>
  <conditionalFormatting sqref="M16:M21">
    <cfRule type="dataBar" priority="5">
      <dataBar>
        <cfvo type="num" val="0"/>
        <cfvo type="num" val="1.2"/>
        <color rgb="FF3B5BA9"/>
      </dataBar>
      <extLst>
        <ext xmlns:x14="http://schemas.microsoft.com/office/spreadsheetml/2009/9/main" uri="{B025F937-C7B1-47D3-B67F-A62EFF666E3E}">
          <x14:id>{CD3F794C-B643-49B9-8834-209C8BF7EEDE}</x14:id>
        </ext>
      </extLst>
    </cfRule>
  </conditionalFormatting>
  <printOptions horizontalCentered="1"/>
  <pageMargins left="0.75" right="0.75" top="1" bottom="1" header="0.511811023622047" footer="0.511811023622047"/>
  <pageSetup fitToHeight="0"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dataBar" id="{CD3F794C-B643-49B9-8834-209C8BF7EEDE}">
            <x14:dataBar axisPosition="none">
              <x14:cfvo type="num">
                <xm:f>0</xm:f>
              </x14:cfvo>
              <x14:cfvo type="num">
                <xm:f>1.2</xm:f>
              </x14:cfvo>
              <x14:negativeFillColor rgb="FF3B5BA9"/>
            </x14:dataBar>
          </x14:cfRule>
          <xm:sqref>M16:M21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9"/>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7109375" defaultRowHeight="15" x14ac:dyDescent="0.25"/>
  <cols>
    <col min="1" max="1" width="1.5703125" customWidth="1"/>
    <col min="2" max="2" width="6" customWidth="1"/>
    <col min="3" max="4" width="12" customWidth="1"/>
    <col min="5" max="5" width="13" customWidth="1"/>
    <col min="6" max="7" width="12" customWidth="1"/>
    <col min="8" max="8" width="10" customWidth="1"/>
    <col min="9" max="9" width="11" customWidth="1"/>
    <col min="10" max="10" width="7" customWidth="1"/>
    <col min="11" max="12" width="8" customWidth="1"/>
    <col min="13" max="14" width="11" customWidth="1"/>
    <col min="15" max="15" width="12" customWidth="1"/>
    <col min="16" max="16" width="6" customWidth="1"/>
  </cols>
  <sheetData>
    <row r="1" spans="1:16" x14ac:dyDescent="0.25">
      <c r="A1" s="15"/>
    </row>
    <row r="2" spans="1:16" x14ac:dyDescent="0.25">
      <c r="A2" s="15"/>
      <c r="B2" s="16" t="s">
        <v>51</v>
      </c>
    </row>
    <row r="3" spans="1:16" ht="30" customHeight="1" x14ac:dyDescent="0.25">
      <c r="A3" s="15"/>
      <c r="B3" s="19" t="s">
        <v>52</v>
      </c>
    </row>
    <row r="4" spans="1:16" x14ac:dyDescent="0.25">
      <c r="A4" s="15"/>
      <c r="B4" s="21" t="s">
        <v>53</v>
      </c>
    </row>
    <row r="5" spans="1:16" ht="27.75" customHeight="1" x14ac:dyDescent="0.25">
      <c r="A5" s="15"/>
      <c r="B5" s="33" t="s">
        <v>54</v>
      </c>
      <c r="C5" s="66" t="s">
        <v>55</v>
      </c>
      <c r="D5" s="66"/>
      <c r="E5" s="66" t="s">
        <v>56</v>
      </c>
      <c r="F5" s="66"/>
      <c r="G5" s="66" t="s">
        <v>57</v>
      </c>
      <c r="H5" s="66"/>
      <c r="I5" s="33" t="s">
        <v>58</v>
      </c>
      <c r="J5" s="33" t="s">
        <v>59</v>
      </c>
      <c r="K5" s="33" t="s">
        <v>60</v>
      </c>
      <c r="L5" s="33" t="s">
        <v>61</v>
      </c>
      <c r="M5" s="33" t="s">
        <v>62</v>
      </c>
      <c r="N5" s="33" t="s">
        <v>63</v>
      </c>
      <c r="O5" s="67" t="s">
        <v>64</v>
      </c>
      <c r="P5" s="67"/>
    </row>
    <row r="6" spans="1:16" x14ac:dyDescent="0.25">
      <c r="A6" s="15"/>
      <c r="B6" s="34" t="s">
        <v>65</v>
      </c>
      <c r="C6" s="68" t="s">
        <v>66</v>
      </c>
      <c r="D6" s="68"/>
      <c r="E6" s="69" t="s">
        <v>67</v>
      </c>
      <c r="F6" s="69"/>
      <c r="G6" s="69" t="s">
        <v>68</v>
      </c>
      <c r="H6" s="69"/>
      <c r="I6" s="35" t="s">
        <v>69</v>
      </c>
      <c r="J6" s="36">
        <v>1</v>
      </c>
      <c r="K6" s="37">
        <f t="shared" ref="K6:K14" si="0">J6*40</f>
        <v>40</v>
      </c>
      <c r="L6" s="38">
        <v>105</v>
      </c>
      <c r="M6" s="39">
        <f t="shared" ref="M6:M14" si="1">ROUND(K6*52/12,0)</f>
        <v>173</v>
      </c>
      <c r="N6" s="37">
        <f t="shared" ref="N6:N14" si="2">M6*12</f>
        <v>2076</v>
      </c>
      <c r="O6" s="4">
        <f t="shared" ref="O6:O14" si="3">N6*L6</f>
        <v>217980</v>
      </c>
      <c r="P6" s="4"/>
    </row>
    <row r="7" spans="1:16" x14ac:dyDescent="0.25">
      <c r="A7" s="15"/>
      <c r="B7" s="34" t="s">
        <v>70</v>
      </c>
      <c r="C7" s="68" t="s">
        <v>71</v>
      </c>
      <c r="D7" s="68"/>
      <c r="E7" s="69" t="s">
        <v>72</v>
      </c>
      <c r="F7" s="69"/>
      <c r="G7" s="69" t="s">
        <v>73</v>
      </c>
      <c r="H7" s="69"/>
      <c r="I7" s="35" t="s">
        <v>74</v>
      </c>
      <c r="J7" s="36">
        <v>1</v>
      </c>
      <c r="K7" s="37">
        <f t="shared" si="0"/>
        <v>40</v>
      </c>
      <c r="L7" s="38">
        <v>90</v>
      </c>
      <c r="M7" s="39">
        <f t="shared" si="1"/>
        <v>173</v>
      </c>
      <c r="N7" s="37">
        <f t="shared" si="2"/>
        <v>2076</v>
      </c>
      <c r="O7" s="4">
        <f t="shared" si="3"/>
        <v>186840</v>
      </c>
      <c r="P7" s="4"/>
    </row>
    <row r="8" spans="1:16" x14ac:dyDescent="0.25">
      <c r="A8" s="15"/>
      <c r="B8" s="34" t="s">
        <v>75</v>
      </c>
      <c r="C8" s="68" t="s">
        <v>76</v>
      </c>
      <c r="D8" s="68"/>
      <c r="E8" s="69" t="s">
        <v>77</v>
      </c>
      <c r="F8" s="69"/>
      <c r="G8" s="69" t="s">
        <v>73</v>
      </c>
      <c r="H8" s="69"/>
      <c r="I8" s="35" t="s">
        <v>74</v>
      </c>
      <c r="J8" s="36">
        <v>1</v>
      </c>
      <c r="K8" s="37">
        <f t="shared" si="0"/>
        <v>40</v>
      </c>
      <c r="L8" s="38">
        <v>72</v>
      </c>
      <c r="M8" s="39">
        <f t="shared" si="1"/>
        <v>173</v>
      </c>
      <c r="N8" s="37">
        <f t="shared" si="2"/>
        <v>2076</v>
      </c>
      <c r="O8" s="4">
        <f t="shared" si="3"/>
        <v>149472</v>
      </c>
      <c r="P8" s="4"/>
    </row>
    <row r="9" spans="1:16" x14ac:dyDescent="0.25">
      <c r="A9" s="15"/>
      <c r="B9" s="34" t="s">
        <v>78</v>
      </c>
      <c r="C9" s="68" t="s">
        <v>79</v>
      </c>
      <c r="D9" s="68"/>
      <c r="E9" s="69" t="s">
        <v>80</v>
      </c>
      <c r="F9" s="69"/>
      <c r="G9" s="69" t="s">
        <v>73</v>
      </c>
      <c r="H9" s="69"/>
      <c r="I9" s="35" t="s">
        <v>81</v>
      </c>
      <c r="J9" s="36">
        <v>0.8</v>
      </c>
      <c r="K9" s="37">
        <f t="shared" si="0"/>
        <v>32</v>
      </c>
      <c r="L9" s="38">
        <v>68</v>
      </c>
      <c r="M9" s="39">
        <f t="shared" si="1"/>
        <v>139</v>
      </c>
      <c r="N9" s="37">
        <f t="shared" si="2"/>
        <v>1668</v>
      </c>
      <c r="O9" s="4">
        <f t="shared" si="3"/>
        <v>113424</v>
      </c>
      <c r="P9" s="4"/>
    </row>
    <row r="10" spans="1:16" x14ac:dyDescent="0.25">
      <c r="A10" s="15"/>
      <c r="B10" s="34" t="s">
        <v>82</v>
      </c>
      <c r="C10" s="68" t="s">
        <v>83</v>
      </c>
      <c r="D10" s="68"/>
      <c r="E10" s="69" t="s">
        <v>84</v>
      </c>
      <c r="F10" s="69"/>
      <c r="G10" s="69" t="s">
        <v>85</v>
      </c>
      <c r="H10" s="69"/>
      <c r="I10" s="35" t="s">
        <v>86</v>
      </c>
      <c r="J10" s="36">
        <v>1</v>
      </c>
      <c r="K10" s="37">
        <f t="shared" si="0"/>
        <v>40</v>
      </c>
      <c r="L10" s="38">
        <v>78</v>
      </c>
      <c r="M10" s="39">
        <f t="shared" si="1"/>
        <v>173</v>
      </c>
      <c r="N10" s="37">
        <f t="shared" si="2"/>
        <v>2076</v>
      </c>
      <c r="O10" s="4">
        <f t="shared" si="3"/>
        <v>161928</v>
      </c>
      <c r="P10" s="4"/>
    </row>
    <row r="11" spans="1:16" x14ac:dyDescent="0.25">
      <c r="A11" s="15"/>
      <c r="B11" s="34" t="s">
        <v>87</v>
      </c>
      <c r="C11" s="68" t="s">
        <v>88</v>
      </c>
      <c r="D11" s="68"/>
      <c r="E11" s="69" t="s">
        <v>89</v>
      </c>
      <c r="F11" s="69"/>
      <c r="G11" s="69" t="s">
        <v>90</v>
      </c>
      <c r="H11" s="69"/>
      <c r="I11" s="35" t="s">
        <v>91</v>
      </c>
      <c r="J11" s="36">
        <v>1</v>
      </c>
      <c r="K11" s="37">
        <f t="shared" si="0"/>
        <v>40</v>
      </c>
      <c r="L11" s="38">
        <v>80</v>
      </c>
      <c r="M11" s="39">
        <f t="shared" si="1"/>
        <v>173</v>
      </c>
      <c r="N11" s="37">
        <f t="shared" si="2"/>
        <v>2076</v>
      </c>
      <c r="O11" s="4">
        <f t="shared" si="3"/>
        <v>166080</v>
      </c>
      <c r="P11" s="4"/>
    </row>
    <row r="12" spans="1:16" x14ac:dyDescent="0.25">
      <c r="A12" s="15"/>
      <c r="B12" s="34" t="s">
        <v>92</v>
      </c>
      <c r="C12" s="68" t="s">
        <v>93</v>
      </c>
      <c r="D12" s="68"/>
      <c r="E12" s="69" t="s">
        <v>94</v>
      </c>
      <c r="F12" s="69"/>
      <c r="G12" s="69" t="s">
        <v>95</v>
      </c>
      <c r="H12" s="69"/>
      <c r="I12" s="35" t="s">
        <v>74</v>
      </c>
      <c r="J12" s="36">
        <v>0.9</v>
      </c>
      <c r="K12" s="37">
        <f t="shared" si="0"/>
        <v>36</v>
      </c>
      <c r="L12" s="38">
        <v>66</v>
      </c>
      <c r="M12" s="39">
        <f t="shared" si="1"/>
        <v>156</v>
      </c>
      <c r="N12" s="37">
        <f t="shared" si="2"/>
        <v>1872</v>
      </c>
      <c r="O12" s="4">
        <f t="shared" si="3"/>
        <v>123552</v>
      </c>
      <c r="P12" s="4"/>
    </row>
    <row r="13" spans="1:16" x14ac:dyDescent="0.25">
      <c r="A13" s="15"/>
      <c r="B13" s="34" t="s">
        <v>96</v>
      </c>
      <c r="C13" s="68" t="s">
        <v>97</v>
      </c>
      <c r="D13" s="68"/>
      <c r="E13" s="69" t="s">
        <v>98</v>
      </c>
      <c r="F13" s="69"/>
      <c r="G13" s="69" t="s">
        <v>99</v>
      </c>
      <c r="H13" s="69"/>
      <c r="I13" s="35" t="s">
        <v>100</v>
      </c>
      <c r="J13" s="36">
        <v>1</v>
      </c>
      <c r="K13" s="37">
        <f t="shared" si="0"/>
        <v>40</v>
      </c>
      <c r="L13" s="38">
        <v>88</v>
      </c>
      <c r="M13" s="39">
        <f t="shared" si="1"/>
        <v>173</v>
      </c>
      <c r="N13" s="37">
        <f t="shared" si="2"/>
        <v>2076</v>
      </c>
      <c r="O13" s="4">
        <f t="shared" si="3"/>
        <v>182688</v>
      </c>
      <c r="P13" s="4"/>
    </row>
    <row r="14" spans="1:16" x14ac:dyDescent="0.25">
      <c r="A14" s="15"/>
      <c r="B14" s="34" t="s">
        <v>101</v>
      </c>
      <c r="C14" s="68" t="s">
        <v>102</v>
      </c>
      <c r="D14" s="68"/>
      <c r="E14" s="69" t="s">
        <v>103</v>
      </c>
      <c r="F14" s="69"/>
      <c r="G14" s="69" t="s">
        <v>104</v>
      </c>
      <c r="H14" s="69"/>
      <c r="I14" s="35" t="s">
        <v>86</v>
      </c>
      <c r="J14" s="36">
        <v>0.8</v>
      </c>
      <c r="K14" s="37">
        <f t="shared" si="0"/>
        <v>32</v>
      </c>
      <c r="L14" s="38">
        <v>70</v>
      </c>
      <c r="M14" s="39">
        <f t="shared" si="1"/>
        <v>139</v>
      </c>
      <c r="N14" s="37">
        <f t="shared" si="2"/>
        <v>1668</v>
      </c>
      <c r="O14" s="4">
        <f t="shared" si="3"/>
        <v>116760</v>
      </c>
      <c r="P14" s="4"/>
    </row>
    <row r="15" spans="1:16" x14ac:dyDescent="0.25">
      <c r="A15" s="15"/>
      <c r="B15" s="40"/>
      <c r="C15" s="70" t="s">
        <v>105</v>
      </c>
      <c r="D15" s="70"/>
      <c r="E15" s="40"/>
      <c r="F15" s="40"/>
      <c r="G15" s="40"/>
      <c r="H15" s="40"/>
      <c r="I15" s="40"/>
      <c r="J15" s="41">
        <f>SUM(J6:J14)</f>
        <v>8.5</v>
      </c>
      <c r="K15" s="42">
        <f>SUM(K6:K14)</f>
        <v>340</v>
      </c>
      <c r="L15" s="43">
        <f>ROUND(AVERAGE(L6:L14),0)</f>
        <v>80</v>
      </c>
      <c r="M15" s="42">
        <f>SUM(M6:M14)</f>
        <v>1472</v>
      </c>
      <c r="N15" s="42">
        <f>SUM(N6:N14)</f>
        <v>17664</v>
      </c>
      <c r="O15" s="71">
        <f>SUM(O6:O14)</f>
        <v>1418724</v>
      </c>
      <c r="P15" s="71"/>
    </row>
    <row r="16" spans="1:16" x14ac:dyDescent="0.25">
      <c r="A16" s="15"/>
    </row>
    <row r="17" spans="1:3" x14ac:dyDescent="0.25">
      <c r="A17" s="15"/>
      <c r="C17" s="44" t="s">
        <v>106</v>
      </c>
    </row>
    <row r="18" spans="1:3" x14ac:dyDescent="0.25">
      <c r="A18" s="15"/>
    </row>
    <row r="19" spans="1:3" x14ac:dyDescent="0.25">
      <c r="A19" s="15"/>
    </row>
    <row r="20" spans="1:3" x14ac:dyDescent="0.25">
      <c r="A20" s="15"/>
    </row>
    <row r="21" spans="1:3" x14ac:dyDescent="0.25">
      <c r="A21" s="15"/>
    </row>
    <row r="22" spans="1:3" x14ac:dyDescent="0.25">
      <c r="A22" s="15"/>
    </row>
    <row r="23" spans="1:3" x14ac:dyDescent="0.25">
      <c r="A23" s="15"/>
    </row>
    <row r="24" spans="1:3" x14ac:dyDescent="0.25">
      <c r="A24" s="15"/>
    </row>
    <row r="25" spans="1:3" x14ac:dyDescent="0.25">
      <c r="A25" s="15"/>
    </row>
    <row r="26" spans="1:3" x14ac:dyDescent="0.25">
      <c r="A26" s="15"/>
    </row>
    <row r="27" spans="1:3" x14ac:dyDescent="0.25">
      <c r="A27" s="15"/>
    </row>
    <row r="28" spans="1:3" x14ac:dyDescent="0.25">
      <c r="A28" s="15"/>
    </row>
    <row r="29" spans="1:3" x14ac:dyDescent="0.25">
      <c r="A29" s="15"/>
    </row>
    <row r="30" spans="1:3" x14ac:dyDescent="0.25">
      <c r="A30" s="15"/>
    </row>
    <row r="31" spans="1:3" x14ac:dyDescent="0.25">
      <c r="A31" s="15"/>
    </row>
    <row r="32" spans="1:3" x14ac:dyDescent="0.25">
      <c r="A32" s="15"/>
    </row>
    <row r="33" spans="1:1" x14ac:dyDescent="0.25">
      <c r="A33" s="15"/>
    </row>
    <row r="34" spans="1:1" x14ac:dyDescent="0.25">
      <c r="A34" s="15"/>
    </row>
    <row r="35" spans="1:1" x14ac:dyDescent="0.25">
      <c r="A35" s="15"/>
    </row>
    <row r="36" spans="1:1" x14ac:dyDescent="0.25">
      <c r="A36" s="15"/>
    </row>
    <row r="37" spans="1:1" x14ac:dyDescent="0.25">
      <c r="A37" s="15"/>
    </row>
    <row r="38" spans="1:1" x14ac:dyDescent="0.25">
      <c r="A38" s="15"/>
    </row>
    <row r="39" spans="1:1" x14ac:dyDescent="0.25">
      <c r="A39" s="15"/>
    </row>
  </sheetData>
  <mergeCells count="42">
    <mergeCell ref="C15:D15"/>
    <mergeCell ref="O15:P15"/>
    <mergeCell ref="C13:D13"/>
    <mergeCell ref="E13:F13"/>
    <mergeCell ref="G13:H13"/>
    <mergeCell ref="O13:P13"/>
    <mergeCell ref="C14:D14"/>
    <mergeCell ref="E14:F14"/>
    <mergeCell ref="G14:H14"/>
    <mergeCell ref="O14:P14"/>
    <mergeCell ref="C11:D11"/>
    <mergeCell ref="E11:F11"/>
    <mergeCell ref="G11:H11"/>
    <mergeCell ref="O11:P11"/>
    <mergeCell ref="C12:D12"/>
    <mergeCell ref="E12:F12"/>
    <mergeCell ref="G12:H12"/>
    <mergeCell ref="O12:P12"/>
    <mergeCell ref="C9:D9"/>
    <mergeCell ref="E9:F9"/>
    <mergeCell ref="G9:H9"/>
    <mergeCell ref="O9:P9"/>
    <mergeCell ref="C10:D10"/>
    <mergeCell ref="E10:F10"/>
    <mergeCell ref="G10:H10"/>
    <mergeCell ref="O10:P10"/>
    <mergeCell ref="C7:D7"/>
    <mergeCell ref="E7:F7"/>
    <mergeCell ref="G7:H7"/>
    <mergeCell ref="O7:P7"/>
    <mergeCell ref="C8:D8"/>
    <mergeCell ref="E8:F8"/>
    <mergeCell ref="G8:H8"/>
    <mergeCell ref="O8:P8"/>
    <mergeCell ref="C5:D5"/>
    <mergeCell ref="E5:F5"/>
    <mergeCell ref="G5:H5"/>
    <mergeCell ref="O5:P5"/>
    <mergeCell ref="C6:D6"/>
    <mergeCell ref="E6:F6"/>
    <mergeCell ref="G6:H6"/>
    <mergeCell ref="O6:P6"/>
  </mergeCells>
  <dataValidations count="1">
    <dataValidation type="list" allowBlank="1" sqref="J6:J14" xr:uid="{00000000-0002-0000-0100-000000000000}">
      <formula1>"0.5,0.6,0.7,0.8,0.9,1.0"</formula1>
      <formula2>0</formula2>
    </dataValidation>
  </dataValidations>
  <printOptions horizontalCentered="1"/>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9"/>
  <sheetViews>
    <sheetView showGridLines="0"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8.7109375" defaultRowHeight="15" x14ac:dyDescent="0.25"/>
  <cols>
    <col min="1" max="1" width="1.5703125" customWidth="1"/>
    <col min="2" max="2" width="7" customWidth="1"/>
    <col min="3" max="7" width="12" customWidth="1"/>
    <col min="8" max="8" width="9" customWidth="1"/>
    <col min="9" max="9" width="8" customWidth="1"/>
    <col min="10" max="10" width="9" customWidth="1"/>
    <col min="11" max="12" width="8" customWidth="1"/>
    <col min="13" max="13" width="11" customWidth="1"/>
    <col min="14" max="14" width="4" customWidth="1"/>
    <col min="15" max="15" width="10" customWidth="1"/>
    <col min="16" max="16" width="11" customWidth="1"/>
    <col min="17" max="17" width="5" customWidth="1"/>
    <col min="18" max="18" width="11" customWidth="1"/>
    <col min="19" max="19" width="4" customWidth="1"/>
    <col min="20" max="20" width="9" customWidth="1"/>
  </cols>
  <sheetData>
    <row r="1" spans="1:20" x14ac:dyDescent="0.25">
      <c r="A1" s="15"/>
    </row>
    <row r="2" spans="1:20" x14ac:dyDescent="0.25">
      <c r="A2" s="15"/>
      <c r="B2" s="16" t="s">
        <v>107</v>
      </c>
    </row>
    <row r="3" spans="1:20" ht="30" customHeight="1" x14ac:dyDescent="0.25">
      <c r="A3" s="15"/>
      <c r="B3" s="19" t="s">
        <v>108</v>
      </c>
    </row>
    <row r="4" spans="1:20" x14ac:dyDescent="0.25">
      <c r="A4" s="15"/>
      <c r="B4" s="21" t="s">
        <v>109</v>
      </c>
    </row>
    <row r="5" spans="1:20" ht="27.75" customHeight="1" x14ac:dyDescent="0.25">
      <c r="A5" s="15"/>
      <c r="B5" s="33" t="s">
        <v>110</v>
      </c>
      <c r="C5" s="66" t="s">
        <v>111</v>
      </c>
      <c r="D5" s="66"/>
      <c r="E5" s="66"/>
      <c r="F5" s="66"/>
      <c r="G5" s="66" t="s">
        <v>112</v>
      </c>
      <c r="H5" s="66"/>
      <c r="I5" s="33" t="s">
        <v>113</v>
      </c>
      <c r="J5" s="33" t="s">
        <v>25</v>
      </c>
      <c r="K5" s="33" t="s">
        <v>114</v>
      </c>
      <c r="L5" s="33" t="s">
        <v>115</v>
      </c>
      <c r="M5" s="67" t="s">
        <v>26</v>
      </c>
      <c r="N5" s="67"/>
      <c r="O5" s="33" t="s">
        <v>116</v>
      </c>
      <c r="P5" s="67" t="s">
        <v>117</v>
      </c>
      <c r="Q5" s="67"/>
      <c r="R5" s="67" t="s">
        <v>118</v>
      </c>
      <c r="S5" s="67"/>
      <c r="T5" s="33" t="s">
        <v>119</v>
      </c>
    </row>
    <row r="6" spans="1:20" x14ac:dyDescent="0.25">
      <c r="A6" s="15"/>
      <c r="B6" s="45" t="s">
        <v>120</v>
      </c>
      <c r="C6" s="68" t="s">
        <v>31</v>
      </c>
      <c r="D6" s="68"/>
      <c r="E6" s="68"/>
      <c r="F6" s="68"/>
      <c r="G6" s="69" t="s">
        <v>66</v>
      </c>
      <c r="H6" s="69"/>
      <c r="I6" s="46" t="s">
        <v>121</v>
      </c>
      <c r="J6" s="46" t="s">
        <v>32</v>
      </c>
      <c r="K6" s="46" t="s">
        <v>122</v>
      </c>
      <c r="L6" s="46" t="s">
        <v>123</v>
      </c>
      <c r="M6" s="72">
        <v>420000</v>
      </c>
      <c r="N6" s="72"/>
      <c r="O6" s="37">
        <f>SUMIF(Einsatzplanung!$B$6:$B$50,C6,Einsatzplanung!$U$6:$U$50)</f>
        <v>2740</v>
      </c>
      <c r="P6" s="73">
        <f>SUMIF(Einsatzplanung!$B$6:$B$50,C6,Einsatzplanung!$W$6:$W$50)</f>
        <v>236330</v>
      </c>
      <c r="Q6" s="73"/>
      <c r="R6" s="4">
        <f t="shared" ref="R6:R11" si="0">M6-P6</f>
        <v>183670</v>
      </c>
      <c r="S6" s="4"/>
      <c r="T6" s="28">
        <f t="shared" ref="T6:T12" si="1">IFERROR(P6/M6,0)</f>
        <v>0.56269047619047619</v>
      </c>
    </row>
    <row r="7" spans="1:20" x14ac:dyDescent="0.25">
      <c r="A7" s="15"/>
      <c r="B7" s="45" t="s">
        <v>124</v>
      </c>
      <c r="C7" s="68" t="s">
        <v>34</v>
      </c>
      <c r="D7" s="68"/>
      <c r="E7" s="68"/>
      <c r="F7" s="68"/>
      <c r="G7" s="69" t="s">
        <v>83</v>
      </c>
      <c r="H7" s="69"/>
      <c r="I7" s="46" t="s">
        <v>121</v>
      </c>
      <c r="J7" s="46" t="s">
        <v>32</v>
      </c>
      <c r="K7" s="46" t="s">
        <v>125</v>
      </c>
      <c r="L7" s="46" t="s">
        <v>126</v>
      </c>
      <c r="M7" s="72">
        <v>300000</v>
      </c>
      <c r="N7" s="72"/>
      <c r="O7" s="37">
        <f>SUMIF(Einsatzplanung!$B$6:$B$50,C7,Einsatzplanung!$U$6:$U$50)</f>
        <v>2220</v>
      </c>
      <c r="P7" s="73">
        <f>SUMIF(Einsatzplanung!$B$6:$B$50,C7,Einsatzplanung!$W$6:$W$50)</f>
        <v>160300</v>
      </c>
      <c r="Q7" s="73"/>
      <c r="R7" s="4">
        <f t="shared" si="0"/>
        <v>139700</v>
      </c>
      <c r="S7" s="4"/>
      <c r="T7" s="28">
        <f t="shared" si="1"/>
        <v>0.53433333333333333</v>
      </c>
    </row>
    <row r="8" spans="1:20" x14ac:dyDescent="0.25">
      <c r="A8" s="15"/>
      <c r="B8" s="45" t="s">
        <v>127</v>
      </c>
      <c r="C8" s="68" t="s">
        <v>36</v>
      </c>
      <c r="D8" s="68"/>
      <c r="E8" s="68"/>
      <c r="F8" s="68"/>
      <c r="G8" s="69" t="s">
        <v>88</v>
      </c>
      <c r="H8" s="69"/>
      <c r="I8" s="46" t="s">
        <v>128</v>
      </c>
      <c r="J8" s="46" t="s">
        <v>13</v>
      </c>
      <c r="K8" s="46" t="s">
        <v>129</v>
      </c>
      <c r="L8" s="46" t="s">
        <v>130</v>
      </c>
      <c r="M8" s="72">
        <v>260000</v>
      </c>
      <c r="N8" s="72"/>
      <c r="O8" s="37">
        <f>SUMIF(Einsatzplanung!$B$6:$B$50,C8,Einsatzplanung!$U$6:$U$50)</f>
        <v>2090</v>
      </c>
      <c r="P8" s="73">
        <f>SUMIF(Einsatzplanung!$B$6:$B$50,C8,Einsatzplanung!$W$6:$W$50)</f>
        <v>163800</v>
      </c>
      <c r="Q8" s="73"/>
      <c r="R8" s="4">
        <f t="shared" si="0"/>
        <v>96200</v>
      </c>
      <c r="S8" s="4"/>
      <c r="T8" s="28">
        <f t="shared" si="1"/>
        <v>0.63</v>
      </c>
    </row>
    <row r="9" spans="1:20" x14ac:dyDescent="0.25">
      <c r="A9" s="15"/>
      <c r="B9" s="45" t="s">
        <v>131</v>
      </c>
      <c r="C9" s="68" t="s">
        <v>38</v>
      </c>
      <c r="D9" s="68"/>
      <c r="E9" s="68"/>
      <c r="F9" s="68"/>
      <c r="G9" s="69" t="s">
        <v>97</v>
      </c>
      <c r="H9" s="69"/>
      <c r="I9" s="46" t="s">
        <v>121</v>
      </c>
      <c r="J9" s="46" t="s">
        <v>32</v>
      </c>
      <c r="K9" s="46" t="s">
        <v>122</v>
      </c>
      <c r="L9" s="46" t="s">
        <v>132</v>
      </c>
      <c r="M9" s="72">
        <v>180000</v>
      </c>
      <c r="N9" s="72"/>
      <c r="O9" s="37">
        <f>SUMIF(Einsatzplanung!$B$6:$B$50,C9,Einsatzplanung!$U$6:$U$50)</f>
        <v>1060</v>
      </c>
      <c r="P9" s="73">
        <f>SUMIF(Einsatzplanung!$B$6:$B$50,C9,Einsatzplanung!$W$6:$W$50)</f>
        <v>90480</v>
      </c>
      <c r="Q9" s="73"/>
      <c r="R9" s="4">
        <f t="shared" si="0"/>
        <v>89520</v>
      </c>
      <c r="S9" s="4"/>
      <c r="T9" s="28">
        <f t="shared" si="1"/>
        <v>0.50266666666666671</v>
      </c>
    </row>
    <row r="10" spans="1:20" x14ac:dyDescent="0.25">
      <c r="A10" s="15"/>
      <c r="B10" s="45" t="s">
        <v>133</v>
      </c>
      <c r="C10" s="68" t="s">
        <v>40</v>
      </c>
      <c r="D10" s="68"/>
      <c r="E10" s="68"/>
      <c r="F10" s="68"/>
      <c r="G10" s="69" t="s">
        <v>102</v>
      </c>
      <c r="H10" s="69"/>
      <c r="I10" s="46" t="s">
        <v>128</v>
      </c>
      <c r="J10" s="46" t="s">
        <v>13</v>
      </c>
      <c r="K10" s="46" t="s">
        <v>134</v>
      </c>
      <c r="L10" s="46" t="s">
        <v>135</v>
      </c>
      <c r="M10" s="72">
        <v>150000</v>
      </c>
      <c r="N10" s="72"/>
      <c r="O10" s="37">
        <f>SUMIF(Einsatzplanung!$B$6:$B$50,C10,Einsatzplanung!$U$6:$U$50)</f>
        <v>1240</v>
      </c>
      <c r="P10" s="73">
        <f>SUMIF(Einsatzplanung!$B$6:$B$50,C10,Einsatzplanung!$W$6:$W$50)</f>
        <v>90560</v>
      </c>
      <c r="Q10" s="73"/>
      <c r="R10" s="4">
        <f t="shared" si="0"/>
        <v>59440</v>
      </c>
      <c r="S10" s="4"/>
      <c r="T10" s="28">
        <f t="shared" si="1"/>
        <v>0.60373333333333334</v>
      </c>
    </row>
    <row r="11" spans="1:20" x14ac:dyDescent="0.25">
      <c r="A11" s="15"/>
      <c r="B11" s="45" t="s">
        <v>136</v>
      </c>
      <c r="C11" s="68" t="s">
        <v>42</v>
      </c>
      <c r="D11" s="68"/>
      <c r="E11" s="68"/>
      <c r="F11" s="68"/>
      <c r="G11" s="69" t="s">
        <v>66</v>
      </c>
      <c r="H11" s="69"/>
      <c r="I11" s="46" t="s">
        <v>137</v>
      </c>
      <c r="J11" s="46" t="s">
        <v>43</v>
      </c>
      <c r="K11" s="46" t="s">
        <v>122</v>
      </c>
      <c r="L11" s="46" t="s">
        <v>130</v>
      </c>
      <c r="M11" s="72">
        <v>90000</v>
      </c>
      <c r="N11" s="72"/>
      <c r="O11" s="37">
        <f>SUMIF(Einsatzplanung!$B$6:$B$50,C11,Einsatzplanung!$U$6:$U$50)</f>
        <v>730</v>
      </c>
      <c r="P11" s="73">
        <f>SUMIF(Einsatzplanung!$B$6:$B$50,C11,Einsatzplanung!$W$6:$W$50)</f>
        <v>67200</v>
      </c>
      <c r="Q11" s="73"/>
      <c r="R11" s="4">
        <f t="shared" si="0"/>
        <v>22800</v>
      </c>
      <c r="S11" s="4"/>
      <c r="T11" s="28">
        <f t="shared" si="1"/>
        <v>0.7466666666666667</v>
      </c>
    </row>
    <row r="12" spans="1:20" x14ac:dyDescent="0.25">
      <c r="A12" s="15"/>
      <c r="B12" s="40"/>
      <c r="C12" s="70" t="s">
        <v>44</v>
      </c>
      <c r="D12" s="70"/>
      <c r="E12" s="70"/>
      <c r="F12" s="70"/>
      <c r="G12" s="40"/>
      <c r="H12" s="40"/>
      <c r="I12" s="40"/>
      <c r="J12" s="40"/>
      <c r="K12" s="40"/>
      <c r="L12" s="40"/>
      <c r="M12" s="71">
        <f>SUM(M6:M11)</f>
        <v>1400000</v>
      </c>
      <c r="N12" s="71"/>
      <c r="O12" s="42">
        <f>SUM(O6:O11)</f>
        <v>10080</v>
      </c>
      <c r="P12" s="71">
        <f>SUM(P6:P11)</f>
        <v>808670</v>
      </c>
      <c r="Q12" s="71"/>
      <c r="R12" s="71">
        <f>SUM(R6:R11)</f>
        <v>591330</v>
      </c>
      <c r="S12" s="71"/>
      <c r="T12" s="47">
        <f t="shared" si="1"/>
        <v>0.57762142857142862</v>
      </c>
    </row>
    <row r="13" spans="1:20" x14ac:dyDescent="0.25">
      <c r="A13" s="15"/>
    </row>
    <row r="14" spans="1:20" x14ac:dyDescent="0.25">
      <c r="A14" s="15"/>
      <c r="C14" s="44" t="s">
        <v>138</v>
      </c>
    </row>
    <row r="15" spans="1:20" x14ac:dyDescent="0.25">
      <c r="A15" s="15"/>
    </row>
    <row r="16" spans="1:20" x14ac:dyDescent="0.25">
      <c r="A16" s="15"/>
    </row>
    <row r="17" spans="1:1" x14ac:dyDescent="0.25">
      <c r="A17" s="15"/>
    </row>
    <row r="18" spans="1:1" x14ac:dyDescent="0.25">
      <c r="A18" s="15"/>
    </row>
    <row r="19" spans="1:1" x14ac:dyDescent="0.25">
      <c r="A19" s="15"/>
    </row>
    <row r="20" spans="1:1" x14ac:dyDescent="0.25">
      <c r="A20" s="15"/>
    </row>
    <row r="21" spans="1:1" x14ac:dyDescent="0.25">
      <c r="A21" s="15"/>
    </row>
    <row r="22" spans="1:1" x14ac:dyDescent="0.25">
      <c r="A22" s="15"/>
    </row>
    <row r="23" spans="1:1" x14ac:dyDescent="0.25">
      <c r="A23" s="15"/>
    </row>
    <row r="24" spans="1:1" x14ac:dyDescent="0.25">
      <c r="A24" s="15"/>
    </row>
    <row r="25" spans="1:1" x14ac:dyDescent="0.25">
      <c r="A25" s="15"/>
    </row>
    <row r="26" spans="1:1" x14ac:dyDescent="0.25">
      <c r="A26" s="15"/>
    </row>
    <row r="27" spans="1:1" x14ac:dyDescent="0.25">
      <c r="A27" s="15"/>
    </row>
    <row r="28" spans="1:1" x14ac:dyDescent="0.25">
      <c r="A28" s="15"/>
    </row>
    <row r="29" spans="1:1" x14ac:dyDescent="0.25">
      <c r="A29" s="15"/>
    </row>
  </sheetData>
  <mergeCells count="39">
    <mergeCell ref="C12:F12"/>
    <mergeCell ref="M12:N12"/>
    <mergeCell ref="P12:Q12"/>
    <mergeCell ref="R12:S12"/>
    <mergeCell ref="C11:F11"/>
    <mergeCell ref="G11:H11"/>
    <mergeCell ref="M11:N11"/>
    <mergeCell ref="P11:Q11"/>
    <mergeCell ref="R11:S11"/>
    <mergeCell ref="C10:F10"/>
    <mergeCell ref="G10:H10"/>
    <mergeCell ref="M10:N10"/>
    <mergeCell ref="P10:Q10"/>
    <mergeCell ref="R10:S10"/>
    <mergeCell ref="C9:F9"/>
    <mergeCell ref="G9:H9"/>
    <mergeCell ref="M9:N9"/>
    <mergeCell ref="P9:Q9"/>
    <mergeCell ref="R9:S9"/>
    <mergeCell ref="C8:F8"/>
    <mergeCell ref="G8:H8"/>
    <mergeCell ref="M8:N8"/>
    <mergeCell ref="P8:Q8"/>
    <mergeCell ref="R8:S8"/>
    <mergeCell ref="C7:F7"/>
    <mergeCell ref="G7:H7"/>
    <mergeCell ref="M7:N7"/>
    <mergeCell ref="P7:Q7"/>
    <mergeCell ref="R7:S7"/>
    <mergeCell ref="C6:F6"/>
    <mergeCell ref="G6:H6"/>
    <mergeCell ref="M6:N6"/>
    <mergeCell ref="P6:Q6"/>
    <mergeCell ref="R6:S6"/>
    <mergeCell ref="C5:F5"/>
    <mergeCell ref="G5:H5"/>
    <mergeCell ref="M5:N5"/>
    <mergeCell ref="P5:Q5"/>
    <mergeCell ref="R5:S5"/>
  </mergeCells>
  <conditionalFormatting sqref="R6:R11">
    <cfRule type="cellIs" dxfId="6" priority="2" operator="lessThan">
      <formula>0</formula>
    </cfRule>
  </conditionalFormatting>
  <conditionalFormatting sqref="T6:T11">
    <cfRule type="cellIs" dxfId="5" priority="3" operator="greaterThan">
      <formula>1</formula>
    </cfRule>
    <cfRule type="dataBar" priority="4">
      <dataBar>
        <cfvo type="num" val="0"/>
        <cfvo type="num" val="1.2"/>
        <color rgb="FF3B5BA9"/>
      </dataBar>
      <extLst>
        <ext xmlns:x14="http://schemas.microsoft.com/office/spreadsheetml/2009/9/main" uri="{B025F937-C7B1-47D3-B67F-A62EFF666E3E}">
          <x14:id>{C610D716-B3F1-47EB-B67E-3FE32F687035}</x14:id>
        </ext>
      </extLst>
    </cfRule>
  </conditionalFormatting>
  <printOptions horizontalCentered="1"/>
  <pageMargins left="0.75" right="0.75" top="1" bottom="1" header="0.511811023622047" footer="0.511811023622047"/>
  <pageSetup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dataBar" id="{C610D716-B3F1-47EB-B67E-3FE32F687035}">
            <x14:dataBar axisPosition="none">
              <x14:cfvo type="num">
                <xm:f>0</xm:f>
              </x14:cfvo>
              <x14:cfvo type="num">
                <xm:f>1.2</xm:f>
              </x14:cfvo>
              <x14:negativeFillColor rgb="FF3B5BA9"/>
            </x14:dataBar>
          </x14:cfRule>
          <xm:sqref>T6:T11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69"/>
  <sheetViews>
    <sheetView showGridLines="0" zoomScaleNormal="100" workbookViewId="0">
      <pane xSplit="8" ySplit="5" topLeftCell="I6" activePane="bottomRight" state="frozen"/>
      <selection pane="topRight" activeCell="I1" sqref="I1"/>
      <selection pane="bottomLeft" activeCell="A6" sqref="A6"/>
      <selection pane="bottomRight"/>
    </sheetView>
  </sheetViews>
  <sheetFormatPr baseColWidth="10" defaultColWidth="8.7109375" defaultRowHeight="15" x14ac:dyDescent="0.25"/>
  <cols>
    <col min="1" max="1" width="1.5703125" customWidth="1"/>
    <col min="2" max="5" width="11" customWidth="1"/>
    <col min="6" max="6" width="9" customWidth="1"/>
    <col min="7" max="7" width="10" customWidth="1"/>
    <col min="8" max="8" width="8" customWidth="1"/>
    <col min="9" max="20" width="5.140625" customWidth="1"/>
    <col min="21" max="22" width="7.42578125" customWidth="1"/>
    <col min="23" max="23" width="8" customWidth="1"/>
    <col min="24" max="24" width="4" customWidth="1"/>
  </cols>
  <sheetData>
    <row r="1" spans="1:24" x14ac:dyDescent="0.25">
      <c r="A1" s="15"/>
    </row>
    <row r="2" spans="1:24" x14ac:dyDescent="0.25">
      <c r="A2" s="15"/>
      <c r="B2" s="16" t="s">
        <v>139</v>
      </c>
    </row>
    <row r="3" spans="1:24" ht="30" customHeight="1" x14ac:dyDescent="0.25">
      <c r="A3" s="15"/>
      <c r="B3" s="19" t="s">
        <v>140</v>
      </c>
    </row>
    <row r="4" spans="1:24" x14ac:dyDescent="0.25">
      <c r="A4" s="15"/>
      <c r="B4" s="21" t="s">
        <v>141</v>
      </c>
    </row>
    <row r="5" spans="1:24" ht="25.5" customHeight="1" x14ac:dyDescent="0.25">
      <c r="A5" s="15"/>
      <c r="B5" s="66" t="s">
        <v>24</v>
      </c>
      <c r="C5" s="66"/>
      <c r="D5" s="66"/>
      <c r="E5" s="66" t="s">
        <v>46</v>
      </c>
      <c r="F5" s="66"/>
      <c r="G5" s="66" t="s">
        <v>56</v>
      </c>
      <c r="H5" s="66"/>
      <c r="I5" s="48" t="s">
        <v>14</v>
      </c>
      <c r="J5" s="48" t="s">
        <v>18</v>
      </c>
      <c r="K5" s="48" t="s">
        <v>19</v>
      </c>
      <c r="L5" s="48" t="s">
        <v>20</v>
      </c>
      <c r="M5" s="48" t="s">
        <v>22</v>
      </c>
      <c r="N5" s="48" t="s">
        <v>23</v>
      </c>
      <c r="O5" s="48" t="s">
        <v>30</v>
      </c>
      <c r="P5" s="48" t="s">
        <v>33</v>
      </c>
      <c r="Q5" s="48" t="s">
        <v>35</v>
      </c>
      <c r="R5" s="48" t="s">
        <v>37</v>
      </c>
      <c r="S5" s="48" t="s">
        <v>39</v>
      </c>
      <c r="T5" s="48" t="s">
        <v>41</v>
      </c>
      <c r="U5" s="33" t="s">
        <v>142</v>
      </c>
      <c r="V5" s="33" t="s">
        <v>61</v>
      </c>
      <c r="W5" s="67" t="s">
        <v>143</v>
      </c>
      <c r="X5" s="67"/>
    </row>
    <row r="6" spans="1:24" x14ac:dyDescent="0.25">
      <c r="A6" s="15"/>
      <c r="B6" s="69" t="s">
        <v>31</v>
      </c>
      <c r="C6" s="69"/>
      <c r="D6" s="69"/>
      <c r="E6" s="68" t="s">
        <v>66</v>
      </c>
      <c r="F6" s="68"/>
      <c r="G6" s="74" t="str">
        <f>IFERROR(INDEX(Team!$E$6:$E$14,MATCH(E6,Team!$C$6:$C$14,0)),"")</f>
        <v>Programm-Managerin</v>
      </c>
      <c r="H6" s="74"/>
      <c r="I6" s="49">
        <v>90</v>
      </c>
      <c r="J6" s="49">
        <v>100</v>
      </c>
      <c r="K6" s="49">
        <v>110</v>
      </c>
      <c r="L6" s="49">
        <v>90</v>
      </c>
      <c r="M6" s="49">
        <v>80</v>
      </c>
      <c r="N6" s="49">
        <v>70</v>
      </c>
      <c r="O6" s="49">
        <v>40</v>
      </c>
      <c r="P6" s="49">
        <v>20</v>
      </c>
      <c r="Q6" s="49">
        <v>30</v>
      </c>
      <c r="R6" s="49"/>
      <c r="S6" s="49"/>
      <c r="T6" s="49"/>
      <c r="U6" s="50">
        <f t="shared" ref="U6:U50" si="0">SUM(I6:T6)</f>
        <v>630</v>
      </c>
      <c r="V6" s="51">
        <f>IFERROR(INDEX(Team!$L$6:$L$14,MATCH(E6,Team!$C$6:$C$14,0)),"")</f>
        <v>105</v>
      </c>
      <c r="W6" s="75">
        <f t="shared" ref="W6:W50" si="1">IF(U6=0,"",U6*V6)</f>
        <v>66150</v>
      </c>
      <c r="X6" s="75"/>
    </row>
    <row r="7" spans="1:24" x14ac:dyDescent="0.25">
      <c r="A7" s="15"/>
      <c r="B7" s="69" t="s">
        <v>42</v>
      </c>
      <c r="C7" s="69"/>
      <c r="D7" s="69"/>
      <c r="E7" s="68" t="s">
        <v>66</v>
      </c>
      <c r="F7" s="68"/>
      <c r="G7" s="74" t="str">
        <f>IFERROR(INDEX(Team!$E$6:$E$14,MATCH(E7,Team!$C$6:$C$14,0)),"")</f>
        <v>Programm-Managerin</v>
      </c>
      <c r="H7" s="74"/>
      <c r="I7" s="49">
        <v>40</v>
      </c>
      <c r="J7" s="49">
        <v>40</v>
      </c>
      <c r="K7" s="49">
        <v>40</v>
      </c>
      <c r="L7" s="49">
        <v>40</v>
      </c>
      <c r="M7" s="49">
        <v>40</v>
      </c>
      <c r="N7" s="49">
        <v>40</v>
      </c>
      <c r="O7" s="49">
        <v>40</v>
      </c>
      <c r="P7" s="49">
        <v>20</v>
      </c>
      <c r="Q7" s="49">
        <v>40</v>
      </c>
      <c r="R7" s="49">
        <v>40</v>
      </c>
      <c r="S7" s="49">
        <v>40</v>
      </c>
      <c r="T7" s="49">
        <v>40</v>
      </c>
      <c r="U7" s="50">
        <f t="shared" si="0"/>
        <v>460</v>
      </c>
      <c r="V7" s="51">
        <f>IFERROR(INDEX(Team!$L$6:$L$14,MATCH(E7,Team!$C$6:$C$14,0)),"")</f>
        <v>105</v>
      </c>
      <c r="W7" s="75">
        <f t="shared" si="1"/>
        <v>48300</v>
      </c>
      <c r="X7" s="75"/>
    </row>
    <row r="8" spans="1:24" x14ac:dyDescent="0.25">
      <c r="A8" s="15"/>
      <c r="B8" s="69" t="s">
        <v>31</v>
      </c>
      <c r="C8" s="69"/>
      <c r="D8" s="69"/>
      <c r="E8" s="68" t="s">
        <v>71</v>
      </c>
      <c r="F8" s="68"/>
      <c r="G8" s="74" t="str">
        <f>IFERROR(INDEX(Team!$E$6:$E$14,MATCH(E8,Team!$C$6:$C$14,0)),"")</f>
        <v>Lead Developer</v>
      </c>
      <c r="H8" s="74"/>
      <c r="I8" s="49">
        <v>120</v>
      </c>
      <c r="J8" s="49">
        <v>140</v>
      </c>
      <c r="K8" s="49">
        <v>140</v>
      </c>
      <c r="L8" s="49">
        <v>120</v>
      </c>
      <c r="M8" s="49">
        <v>110</v>
      </c>
      <c r="N8" s="49">
        <v>90</v>
      </c>
      <c r="O8" s="49">
        <v>60</v>
      </c>
      <c r="P8" s="49">
        <v>40</v>
      </c>
      <c r="Q8" s="49">
        <v>40</v>
      </c>
      <c r="R8" s="49"/>
      <c r="S8" s="49"/>
      <c r="T8" s="49"/>
      <c r="U8" s="50">
        <f t="shared" si="0"/>
        <v>860</v>
      </c>
      <c r="V8" s="51">
        <f>IFERROR(INDEX(Team!$L$6:$L$14,MATCH(E8,Team!$C$6:$C$14,0)),"")</f>
        <v>90</v>
      </c>
      <c r="W8" s="75">
        <f t="shared" si="1"/>
        <v>77400</v>
      </c>
      <c r="X8" s="75"/>
    </row>
    <row r="9" spans="1:24" x14ac:dyDescent="0.25">
      <c r="A9" s="15"/>
      <c r="B9" s="69" t="s">
        <v>38</v>
      </c>
      <c r="C9" s="69"/>
      <c r="D9" s="69"/>
      <c r="E9" s="68" t="s">
        <v>71</v>
      </c>
      <c r="F9" s="68"/>
      <c r="G9" s="74" t="str">
        <f>IFERROR(INDEX(Team!$E$6:$E$14,MATCH(E9,Team!$C$6:$C$14,0)),"")</f>
        <v>Lead Developer</v>
      </c>
      <c r="H9" s="74"/>
      <c r="I9" s="49">
        <v>60</v>
      </c>
      <c r="J9" s="49">
        <v>60</v>
      </c>
      <c r="K9" s="49">
        <v>60</v>
      </c>
      <c r="L9" s="49">
        <v>40</v>
      </c>
      <c r="M9" s="49">
        <v>20</v>
      </c>
      <c r="N9" s="49">
        <v>10</v>
      </c>
      <c r="O9" s="49"/>
      <c r="P9" s="49"/>
      <c r="Q9" s="49"/>
      <c r="R9" s="49"/>
      <c r="S9" s="49"/>
      <c r="T9" s="49"/>
      <c r="U9" s="50">
        <f t="shared" si="0"/>
        <v>250</v>
      </c>
      <c r="V9" s="51">
        <f>IFERROR(INDEX(Team!$L$6:$L$14,MATCH(E9,Team!$C$6:$C$14,0)),"")</f>
        <v>90</v>
      </c>
      <c r="W9" s="75">
        <f t="shared" si="1"/>
        <v>22500</v>
      </c>
      <c r="X9" s="75"/>
    </row>
    <row r="10" spans="1:24" x14ac:dyDescent="0.25">
      <c r="A10" s="15"/>
      <c r="B10" s="69" t="s">
        <v>31</v>
      </c>
      <c r="C10" s="69"/>
      <c r="D10" s="69"/>
      <c r="E10" s="68" t="s">
        <v>76</v>
      </c>
      <c r="F10" s="68"/>
      <c r="G10" s="74" t="str">
        <f>IFERROR(INDEX(Team!$E$6:$E$14,MATCH(E10,Team!$C$6:$C$14,0)),"")</f>
        <v>Softwareentwicklerin</v>
      </c>
      <c r="H10" s="74"/>
      <c r="I10" s="49">
        <v>80</v>
      </c>
      <c r="J10" s="49">
        <v>100</v>
      </c>
      <c r="K10" s="49">
        <v>110</v>
      </c>
      <c r="L10" s="49">
        <v>90</v>
      </c>
      <c r="M10" s="49">
        <v>60</v>
      </c>
      <c r="N10" s="49">
        <v>40</v>
      </c>
      <c r="O10" s="49"/>
      <c r="P10" s="49"/>
      <c r="Q10" s="49"/>
      <c r="R10" s="49"/>
      <c r="S10" s="49"/>
      <c r="T10" s="49"/>
      <c r="U10" s="50">
        <f t="shared" si="0"/>
        <v>480</v>
      </c>
      <c r="V10" s="51">
        <f>IFERROR(INDEX(Team!$L$6:$L$14,MATCH(E10,Team!$C$6:$C$14,0)),"")</f>
        <v>72</v>
      </c>
      <c r="W10" s="75">
        <f t="shared" si="1"/>
        <v>34560</v>
      </c>
      <c r="X10" s="75"/>
    </row>
    <row r="11" spans="1:24" x14ac:dyDescent="0.25">
      <c r="A11" s="15"/>
      <c r="B11" s="69" t="s">
        <v>34</v>
      </c>
      <c r="C11" s="69"/>
      <c r="D11" s="69"/>
      <c r="E11" s="68" t="s">
        <v>76</v>
      </c>
      <c r="F11" s="68"/>
      <c r="G11" s="74" t="str">
        <f>IFERROR(INDEX(Team!$E$6:$E$14,MATCH(E11,Team!$C$6:$C$14,0)),"")</f>
        <v>Softwareentwicklerin</v>
      </c>
      <c r="H11" s="74"/>
      <c r="I11" s="49"/>
      <c r="J11" s="49">
        <v>40</v>
      </c>
      <c r="K11" s="49">
        <v>60</v>
      </c>
      <c r="L11" s="49">
        <v>90</v>
      </c>
      <c r="M11" s="49">
        <v>120</v>
      </c>
      <c r="N11" s="49">
        <v>110</v>
      </c>
      <c r="O11" s="49">
        <v>90</v>
      </c>
      <c r="P11" s="49">
        <v>40</v>
      </c>
      <c r="Q11" s="49">
        <v>20</v>
      </c>
      <c r="R11" s="49"/>
      <c r="S11" s="49"/>
      <c r="T11" s="49"/>
      <c r="U11" s="50">
        <f t="shared" si="0"/>
        <v>570</v>
      </c>
      <c r="V11" s="51">
        <f>IFERROR(INDEX(Team!$L$6:$L$14,MATCH(E11,Team!$C$6:$C$14,0)),"")</f>
        <v>72</v>
      </c>
      <c r="W11" s="75">
        <f t="shared" si="1"/>
        <v>41040</v>
      </c>
      <c r="X11" s="75"/>
    </row>
    <row r="12" spans="1:24" x14ac:dyDescent="0.25">
      <c r="A12" s="15"/>
      <c r="B12" s="69" t="s">
        <v>34</v>
      </c>
      <c r="C12" s="69"/>
      <c r="D12" s="69"/>
      <c r="E12" s="68" t="s">
        <v>79</v>
      </c>
      <c r="F12" s="68"/>
      <c r="G12" s="74" t="str">
        <f>IFERROR(INDEX(Team!$E$6:$E$14,MATCH(E12,Team!$C$6:$C$14,0)),"")</f>
        <v>Softwareentwickler</v>
      </c>
      <c r="H12" s="74"/>
      <c r="I12" s="49"/>
      <c r="J12" s="49">
        <v>60</v>
      </c>
      <c r="K12" s="49">
        <v>80</v>
      </c>
      <c r="L12" s="49">
        <v>90</v>
      </c>
      <c r="M12" s="49">
        <v>90</v>
      </c>
      <c r="N12" s="49">
        <v>80</v>
      </c>
      <c r="O12" s="49">
        <v>70</v>
      </c>
      <c r="P12" s="49">
        <v>30</v>
      </c>
      <c r="Q12" s="49"/>
      <c r="R12" s="49"/>
      <c r="S12" s="49"/>
      <c r="T12" s="49"/>
      <c r="U12" s="50">
        <f t="shared" si="0"/>
        <v>500</v>
      </c>
      <c r="V12" s="51">
        <f>IFERROR(INDEX(Team!$L$6:$L$14,MATCH(E12,Team!$C$6:$C$14,0)),"")</f>
        <v>68</v>
      </c>
      <c r="W12" s="75">
        <f t="shared" si="1"/>
        <v>34000</v>
      </c>
      <c r="X12" s="75"/>
    </row>
    <row r="13" spans="1:24" x14ac:dyDescent="0.25">
      <c r="A13" s="15"/>
      <c r="B13" s="69" t="s">
        <v>36</v>
      </c>
      <c r="C13" s="69"/>
      <c r="D13" s="69"/>
      <c r="E13" s="68" t="s">
        <v>79</v>
      </c>
      <c r="F13" s="68"/>
      <c r="G13" s="74" t="str">
        <f>IFERROR(INDEX(Team!$E$6:$E$14,MATCH(E13,Team!$C$6:$C$14,0)),"")</f>
        <v>Softwareentwickler</v>
      </c>
      <c r="H13" s="74"/>
      <c r="I13" s="49"/>
      <c r="J13" s="49"/>
      <c r="K13" s="49"/>
      <c r="L13" s="49">
        <v>40</v>
      </c>
      <c r="M13" s="49">
        <v>40</v>
      </c>
      <c r="N13" s="49">
        <v>60</v>
      </c>
      <c r="O13" s="49">
        <v>70</v>
      </c>
      <c r="P13" s="49">
        <v>40</v>
      </c>
      <c r="Q13" s="49">
        <v>90</v>
      </c>
      <c r="R13" s="49">
        <v>100</v>
      </c>
      <c r="S13" s="49">
        <v>90</v>
      </c>
      <c r="T13" s="49">
        <v>60</v>
      </c>
      <c r="U13" s="50">
        <f t="shared" si="0"/>
        <v>590</v>
      </c>
      <c r="V13" s="51">
        <f>IFERROR(INDEX(Team!$L$6:$L$14,MATCH(E13,Team!$C$6:$C$14,0)),"")</f>
        <v>68</v>
      </c>
      <c r="W13" s="75">
        <f t="shared" si="1"/>
        <v>40120</v>
      </c>
      <c r="X13" s="75"/>
    </row>
    <row r="14" spans="1:24" x14ac:dyDescent="0.25">
      <c r="A14" s="15"/>
      <c r="B14" s="69" t="s">
        <v>34</v>
      </c>
      <c r="C14" s="69"/>
      <c r="D14" s="69"/>
      <c r="E14" s="68" t="s">
        <v>83</v>
      </c>
      <c r="F14" s="68"/>
      <c r="G14" s="74" t="str">
        <f>IFERROR(INDEX(Team!$E$6:$E$14,MATCH(E14,Team!$C$6:$C$14,0)),"")</f>
        <v>Produktdesignerin</v>
      </c>
      <c r="H14" s="74"/>
      <c r="I14" s="49">
        <v>70</v>
      </c>
      <c r="J14" s="49">
        <v>120</v>
      </c>
      <c r="K14" s="49">
        <v>140</v>
      </c>
      <c r="L14" s="49">
        <v>150</v>
      </c>
      <c r="M14" s="49">
        <v>120</v>
      </c>
      <c r="N14" s="49">
        <v>90</v>
      </c>
      <c r="O14" s="49">
        <v>60</v>
      </c>
      <c r="P14" s="49">
        <v>30</v>
      </c>
      <c r="Q14" s="49"/>
      <c r="R14" s="49"/>
      <c r="S14" s="49"/>
      <c r="T14" s="49"/>
      <c r="U14" s="50">
        <f t="shared" si="0"/>
        <v>780</v>
      </c>
      <c r="V14" s="51">
        <f>IFERROR(INDEX(Team!$L$6:$L$14,MATCH(E14,Team!$C$6:$C$14,0)),"")</f>
        <v>78</v>
      </c>
      <c r="W14" s="75">
        <f t="shared" si="1"/>
        <v>60840</v>
      </c>
      <c r="X14" s="75"/>
    </row>
    <row r="15" spans="1:24" x14ac:dyDescent="0.25">
      <c r="A15" s="15"/>
      <c r="B15" s="69" t="s">
        <v>40</v>
      </c>
      <c r="C15" s="69"/>
      <c r="D15" s="69"/>
      <c r="E15" s="68" t="s">
        <v>83</v>
      </c>
      <c r="F15" s="68"/>
      <c r="G15" s="74" t="str">
        <f>IFERROR(INDEX(Team!$E$6:$E$14,MATCH(E15,Team!$C$6:$C$14,0)),"")</f>
        <v>Produktdesignerin</v>
      </c>
      <c r="H15" s="74"/>
      <c r="I15" s="49"/>
      <c r="J15" s="49"/>
      <c r="K15" s="49"/>
      <c r="L15" s="49"/>
      <c r="M15" s="49">
        <v>60</v>
      </c>
      <c r="N15" s="49">
        <v>80</v>
      </c>
      <c r="O15" s="49">
        <v>90</v>
      </c>
      <c r="P15" s="49">
        <v>40</v>
      </c>
      <c r="Q15" s="49">
        <v>80</v>
      </c>
      <c r="R15" s="49">
        <v>70</v>
      </c>
      <c r="S15" s="49">
        <v>50</v>
      </c>
      <c r="T15" s="49"/>
      <c r="U15" s="50">
        <f t="shared" si="0"/>
        <v>470</v>
      </c>
      <c r="V15" s="51">
        <f>IFERROR(INDEX(Team!$L$6:$L$14,MATCH(E15,Team!$C$6:$C$14,0)),"")</f>
        <v>78</v>
      </c>
      <c r="W15" s="75">
        <f t="shared" si="1"/>
        <v>36660</v>
      </c>
      <c r="X15" s="75"/>
    </row>
    <row r="16" spans="1:24" x14ac:dyDescent="0.25">
      <c r="A16" s="15"/>
      <c r="B16" s="69" t="s">
        <v>36</v>
      </c>
      <c r="C16" s="69"/>
      <c r="D16" s="69"/>
      <c r="E16" s="68" t="s">
        <v>88</v>
      </c>
      <c r="F16" s="68"/>
      <c r="G16" s="74" t="str">
        <f>IFERROR(INDEX(Team!$E$6:$E$14,MATCH(E16,Team!$C$6:$C$14,0)),"")</f>
        <v>Data Analyst</v>
      </c>
      <c r="H16" s="74"/>
      <c r="I16" s="49"/>
      <c r="J16" s="49"/>
      <c r="K16" s="49"/>
      <c r="L16" s="49">
        <v>120</v>
      </c>
      <c r="M16" s="49">
        <v>130</v>
      </c>
      <c r="N16" s="49">
        <v>140</v>
      </c>
      <c r="O16" s="49">
        <v>130</v>
      </c>
      <c r="P16" s="49">
        <v>60</v>
      </c>
      <c r="Q16" s="49">
        <v>120</v>
      </c>
      <c r="R16" s="49">
        <v>130</v>
      </c>
      <c r="S16" s="49">
        <v>120</v>
      </c>
      <c r="T16" s="49">
        <v>90</v>
      </c>
      <c r="U16" s="50">
        <f t="shared" si="0"/>
        <v>1040</v>
      </c>
      <c r="V16" s="51">
        <f>IFERROR(INDEX(Team!$L$6:$L$14,MATCH(E16,Team!$C$6:$C$14,0)),"")</f>
        <v>80</v>
      </c>
      <c r="W16" s="75">
        <f t="shared" si="1"/>
        <v>83200</v>
      </c>
      <c r="X16" s="75"/>
    </row>
    <row r="17" spans="1:24" x14ac:dyDescent="0.25">
      <c r="A17" s="15"/>
      <c r="B17" s="69" t="s">
        <v>31</v>
      </c>
      <c r="C17" s="69"/>
      <c r="D17" s="69"/>
      <c r="E17" s="68" t="s">
        <v>88</v>
      </c>
      <c r="F17" s="68"/>
      <c r="G17" s="74" t="str">
        <f>IFERROR(INDEX(Team!$E$6:$E$14,MATCH(E17,Team!$C$6:$C$14,0)),"")</f>
        <v>Data Analyst</v>
      </c>
      <c r="H17" s="74"/>
      <c r="I17" s="49">
        <v>60</v>
      </c>
      <c r="J17" s="49">
        <v>70</v>
      </c>
      <c r="K17" s="49">
        <v>60</v>
      </c>
      <c r="L17" s="49">
        <v>40</v>
      </c>
      <c r="M17" s="49"/>
      <c r="N17" s="49"/>
      <c r="O17" s="49"/>
      <c r="P17" s="49"/>
      <c r="Q17" s="49"/>
      <c r="R17" s="49"/>
      <c r="S17" s="49"/>
      <c r="T17" s="49"/>
      <c r="U17" s="50">
        <f t="shared" si="0"/>
        <v>230</v>
      </c>
      <c r="V17" s="51">
        <f>IFERROR(INDEX(Team!$L$6:$L$14,MATCH(E17,Team!$C$6:$C$14,0)),"")</f>
        <v>80</v>
      </c>
      <c r="W17" s="75">
        <f t="shared" si="1"/>
        <v>18400</v>
      </c>
      <c r="X17" s="75"/>
    </row>
    <row r="18" spans="1:24" x14ac:dyDescent="0.25">
      <c r="A18" s="15"/>
      <c r="B18" s="69" t="s">
        <v>31</v>
      </c>
      <c r="C18" s="69"/>
      <c r="D18" s="69"/>
      <c r="E18" s="68" t="s">
        <v>93</v>
      </c>
      <c r="F18" s="68"/>
      <c r="G18" s="74" t="str">
        <f>IFERROR(INDEX(Team!$E$6:$E$14,MATCH(E18,Team!$C$6:$C$14,0)),"")</f>
        <v>QA-Lead</v>
      </c>
      <c r="H18" s="74"/>
      <c r="I18" s="49"/>
      <c r="J18" s="49">
        <v>40</v>
      </c>
      <c r="K18" s="49">
        <v>60</v>
      </c>
      <c r="L18" s="49">
        <v>80</v>
      </c>
      <c r="M18" s="49">
        <v>70</v>
      </c>
      <c r="N18" s="49">
        <v>60</v>
      </c>
      <c r="O18" s="49">
        <v>40</v>
      </c>
      <c r="P18" s="49"/>
      <c r="Q18" s="49"/>
      <c r="R18" s="49"/>
      <c r="S18" s="49"/>
      <c r="T18" s="49"/>
      <c r="U18" s="50">
        <f t="shared" si="0"/>
        <v>350</v>
      </c>
      <c r="V18" s="51">
        <f>IFERROR(INDEX(Team!$L$6:$L$14,MATCH(E18,Team!$C$6:$C$14,0)),"")</f>
        <v>66</v>
      </c>
      <c r="W18" s="75">
        <f t="shared" si="1"/>
        <v>23100</v>
      </c>
      <c r="X18" s="75"/>
    </row>
    <row r="19" spans="1:24" x14ac:dyDescent="0.25">
      <c r="A19" s="15"/>
      <c r="B19" s="69" t="s">
        <v>34</v>
      </c>
      <c r="C19" s="69"/>
      <c r="D19" s="69"/>
      <c r="E19" s="68" t="s">
        <v>93</v>
      </c>
      <c r="F19" s="68"/>
      <c r="G19" s="74" t="str">
        <f>IFERROR(INDEX(Team!$E$6:$E$14,MATCH(E19,Team!$C$6:$C$14,0)),"")</f>
        <v>QA-Lead</v>
      </c>
      <c r="H19" s="74"/>
      <c r="I19" s="49"/>
      <c r="J19" s="49"/>
      <c r="K19" s="49">
        <v>40</v>
      </c>
      <c r="L19" s="49">
        <v>60</v>
      </c>
      <c r="M19" s="49">
        <v>80</v>
      </c>
      <c r="N19" s="49">
        <v>80</v>
      </c>
      <c r="O19" s="49">
        <v>70</v>
      </c>
      <c r="P19" s="49">
        <v>40</v>
      </c>
      <c r="Q19" s="49"/>
      <c r="R19" s="49"/>
      <c r="S19" s="49"/>
      <c r="T19" s="49"/>
      <c r="U19" s="50">
        <f t="shared" si="0"/>
        <v>370</v>
      </c>
      <c r="V19" s="51">
        <f>IFERROR(INDEX(Team!$L$6:$L$14,MATCH(E19,Team!$C$6:$C$14,0)),"")</f>
        <v>66</v>
      </c>
      <c r="W19" s="75">
        <f t="shared" si="1"/>
        <v>24420</v>
      </c>
      <c r="X19" s="75"/>
    </row>
    <row r="20" spans="1:24" x14ac:dyDescent="0.25">
      <c r="A20" s="15"/>
      <c r="B20" s="69" t="s">
        <v>38</v>
      </c>
      <c r="C20" s="69"/>
      <c r="D20" s="69"/>
      <c r="E20" s="68" t="s">
        <v>93</v>
      </c>
      <c r="F20" s="68"/>
      <c r="G20" s="74" t="str">
        <f>IFERROR(INDEX(Team!$E$6:$E$14,MATCH(E20,Team!$C$6:$C$14,0)),"")</f>
        <v>QA-Lead</v>
      </c>
      <c r="H20" s="74"/>
      <c r="I20" s="49">
        <v>40</v>
      </c>
      <c r="J20" s="49">
        <v>50</v>
      </c>
      <c r="K20" s="49">
        <v>40</v>
      </c>
      <c r="L20" s="49">
        <v>20</v>
      </c>
      <c r="M20" s="49"/>
      <c r="N20" s="49"/>
      <c r="O20" s="49"/>
      <c r="P20" s="49"/>
      <c r="Q20" s="49"/>
      <c r="R20" s="49"/>
      <c r="S20" s="49"/>
      <c r="T20" s="49"/>
      <c r="U20" s="50">
        <f t="shared" si="0"/>
        <v>150</v>
      </c>
      <c r="V20" s="51">
        <f>IFERROR(INDEX(Team!$L$6:$L$14,MATCH(E20,Team!$C$6:$C$14,0)),"")</f>
        <v>66</v>
      </c>
      <c r="W20" s="75">
        <f t="shared" si="1"/>
        <v>9900</v>
      </c>
      <c r="X20" s="75"/>
    </row>
    <row r="21" spans="1:24" x14ac:dyDescent="0.25">
      <c r="A21" s="15"/>
      <c r="B21" s="69" t="s">
        <v>38</v>
      </c>
      <c r="C21" s="69"/>
      <c r="D21" s="69"/>
      <c r="E21" s="68" t="s">
        <v>97</v>
      </c>
      <c r="F21" s="68"/>
      <c r="G21" s="74" t="str">
        <f>IFERROR(INDEX(Team!$E$6:$E$14,MATCH(E21,Team!$C$6:$C$14,0)),"")</f>
        <v>Cloud Engineer</v>
      </c>
      <c r="H21" s="74"/>
      <c r="I21" s="49">
        <v>110</v>
      </c>
      <c r="J21" s="49">
        <v>130</v>
      </c>
      <c r="K21" s="49">
        <v>150</v>
      </c>
      <c r="L21" s="49">
        <v>120</v>
      </c>
      <c r="M21" s="49">
        <v>90</v>
      </c>
      <c r="N21" s="49">
        <v>60</v>
      </c>
      <c r="O21" s="49"/>
      <c r="P21" s="49"/>
      <c r="Q21" s="49"/>
      <c r="R21" s="49"/>
      <c r="S21" s="49"/>
      <c r="T21" s="49"/>
      <c r="U21" s="50">
        <f t="shared" si="0"/>
        <v>660</v>
      </c>
      <c r="V21" s="51">
        <f>IFERROR(INDEX(Team!$L$6:$L$14,MATCH(E21,Team!$C$6:$C$14,0)),"")</f>
        <v>88</v>
      </c>
      <c r="W21" s="75">
        <f t="shared" si="1"/>
        <v>58080</v>
      </c>
      <c r="X21" s="75"/>
    </row>
    <row r="22" spans="1:24" x14ac:dyDescent="0.25">
      <c r="A22" s="15"/>
      <c r="B22" s="69" t="s">
        <v>31</v>
      </c>
      <c r="C22" s="69"/>
      <c r="D22" s="69"/>
      <c r="E22" s="68" t="s">
        <v>97</v>
      </c>
      <c r="F22" s="68"/>
      <c r="G22" s="74" t="str">
        <f>IFERROR(INDEX(Team!$E$6:$E$14,MATCH(E22,Team!$C$6:$C$14,0)),"")</f>
        <v>Cloud Engineer</v>
      </c>
      <c r="H22" s="74"/>
      <c r="I22" s="49">
        <v>40</v>
      </c>
      <c r="J22" s="49">
        <v>50</v>
      </c>
      <c r="K22" s="49">
        <v>60</v>
      </c>
      <c r="L22" s="49">
        <v>40</v>
      </c>
      <c r="M22" s="49"/>
      <c r="N22" s="49"/>
      <c r="O22" s="49"/>
      <c r="P22" s="49"/>
      <c r="Q22" s="49"/>
      <c r="R22" s="49"/>
      <c r="S22" s="49"/>
      <c r="T22" s="49"/>
      <c r="U22" s="50">
        <f t="shared" si="0"/>
        <v>190</v>
      </c>
      <c r="V22" s="51">
        <f>IFERROR(INDEX(Team!$L$6:$L$14,MATCH(E22,Team!$C$6:$C$14,0)),"")</f>
        <v>88</v>
      </c>
      <c r="W22" s="75">
        <f t="shared" si="1"/>
        <v>16720</v>
      </c>
      <c r="X22" s="75"/>
    </row>
    <row r="23" spans="1:24" x14ac:dyDescent="0.25">
      <c r="A23" s="15"/>
      <c r="B23" s="69" t="s">
        <v>36</v>
      </c>
      <c r="C23" s="69"/>
      <c r="D23" s="69"/>
      <c r="E23" s="68" t="s">
        <v>97</v>
      </c>
      <c r="F23" s="68"/>
      <c r="G23" s="74" t="str">
        <f>IFERROR(INDEX(Team!$E$6:$E$14,MATCH(E23,Team!$C$6:$C$14,0)),"")</f>
        <v>Cloud Engineer</v>
      </c>
      <c r="H23" s="74"/>
      <c r="I23" s="49"/>
      <c r="J23" s="49"/>
      <c r="K23" s="49"/>
      <c r="L23" s="49"/>
      <c r="M23" s="49">
        <v>40</v>
      </c>
      <c r="N23" s="49">
        <v>50</v>
      </c>
      <c r="O23" s="49">
        <v>60</v>
      </c>
      <c r="P23" s="49">
        <v>40</v>
      </c>
      <c r="Q23" s="49">
        <v>70</v>
      </c>
      <c r="R23" s="49">
        <v>80</v>
      </c>
      <c r="S23" s="49">
        <v>70</v>
      </c>
      <c r="T23" s="49">
        <v>50</v>
      </c>
      <c r="U23" s="50">
        <f t="shared" si="0"/>
        <v>460</v>
      </c>
      <c r="V23" s="51">
        <f>IFERROR(INDEX(Team!$L$6:$L$14,MATCH(E23,Team!$C$6:$C$14,0)),"")</f>
        <v>88</v>
      </c>
      <c r="W23" s="75">
        <f t="shared" si="1"/>
        <v>40480</v>
      </c>
      <c r="X23" s="75"/>
    </row>
    <row r="24" spans="1:24" x14ac:dyDescent="0.25">
      <c r="A24" s="15"/>
      <c r="B24" s="69" t="s">
        <v>40</v>
      </c>
      <c r="C24" s="69"/>
      <c r="D24" s="69"/>
      <c r="E24" s="68" t="s">
        <v>102</v>
      </c>
      <c r="F24" s="68"/>
      <c r="G24" s="74" t="str">
        <f>IFERROR(INDEX(Team!$E$6:$E$14,MATCH(E24,Team!$C$6:$C$14,0)),"")</f>
        <v>Marketing-Lead</v>
      </c>
      <c r="H24" s="74"/>
      <c r="I24" s="49"/>
      <c r="J24" s="49"/>
      <c r="K24" s="49"/>
      <c r="L24" s="49"/>
      <c r="M24" s="49">
        <v>80</v>
      </c>
      <c r="N24" s="49">
        <v>100</v>
      </c>
      <c r="O24" s="49">
        <v>110</v>
      </c>
      <c r="P24" s="49">
        <v>60</v>
      </c>
      <c r="Q24" s="49">
        <v>120</v>
      </c>
      <c r="R24" s="49">
        <v>130</v>
      </c>
      <c r="S24" s="49">
        <v>110</v>
      </c>
      <c r="T24" s="49">
        <v>60</v>
      </c>
      <c r="U24" s="50">
        <f t="shared" si="0"/>
        <v>770</v>
      </c>
      <c r="V24" s="51">
        <f>IFERROR(INDEX(Team!$L$6:$L$14,MATCH(E24,Team!$C$6:$C$14,0)),"")</f>
        <v>70</v>
      </c>
      <c r="W24" s="75">
        <f t="shared" si="1"/>
        <v>53900</v>
      </c>
      <c r="X24" s="75"/>
    </row>
    <row r="25" spans="1:24" x14ac:dyDescent="0.25">
      <c r="A25" s="15"/>
      <c r="B25" s="69" t="s">
        <v>42</v>
      </c>
      <c r="C25" s="69"/>
      <c r="D25" s="69"/>
      <c r="E25" s="68" t="s">
        <v>102</v>
      </c>
      <c r="F25" s="68"/>
      <c r="G25" s="74" t="str">
        <f>IFERROR(INDEX(Team!$E$6:$E$14,MATCH(E25,Team!$C$6:$C$14,0)),"")</f>
        <v>Marketing-Lead</v>
      </c>
      <c r="H25" s="74"/>
      <c r="I25" s="49">
        <v>30</v>
      </c>
      <c r="J25" s="49">
        <v>30</v>
      </c>
      <c r="K25" s="49">
        <v>30</v>
      </c>
      <c r="L25" s="49">
        <v>30</v>
      </c>
      <c r="M25" s="49">
        <v>20</v>
      </c>
      <c r="N25" s="49">
        <v>20</v>
      </c>
      <c r="O25" s="49">
        <v>20</v>
      </c>
      <c r="P25" s="49">
        <v>10</v>
      </c>
      <c r="Q25" s="49">
        <v>20</v>
      </c>
      <c r="R25" s="49">
        <v>20</v>
      </c>
      <c r="S25" s="49">
        <v>20</v>
      </c>
      <c r="T25" s="49">
        <v>20</v>
      </c>
      <c r="U25" s="50">
        <f t="shared" si="0"/>
        <v>270</v>
      </c>
      <c r="V25" s="51">
        <f>IFERROR(INDEX(Team!$L$6:$L$14,MATCH(E25,Team!$C$6:$C$14,0)),"")</f>
        <v>70</v>
      </c>
      <c r="W25" s="75">
        <f t="shared" si="1"/>
        <v>18900</v>
      </c>
      <c r="X25" s="75"/>
    </row>
    <row r="26" spans="1:24" x14ac:dyDescent="0.25">
      <c r="A26" s="15"/>
      <c r="B26" s="69"/>
      <c r="C26" s="69"/>
      <c r="D26" s="69"/>
      <c r="E26" s="68"/>
      <c r="F26" s="68"/>
      <c r="G26" s="74" t="str">
        <f>IFERROR(INDEX(Team!$E$6:$E$14,MATCH(E26,Team!$C$6:$C$14,0)),"")</f>
        <v/>
      </c>
      <c r="H26" s="74"/>
      <c r="I26" s="49"/>
      <c r="J26" s="49"/>
      <c r="K26" s="49"/>
      <c r="L26" s="49"/>
      <c r="M26" s="49"/>
      <c r="N26" s="49"/>
      <c r="O26" s="49"/>
      <c r="P26" s="49"/>
      <c r="Q26" s="49"/>
      <c r="R26" s="49"/>
      <c r="S26" s="49"/>
      <c r="T26" s="49"/>
      <c r="U26" s="50">
        <f t="shared" si="0"/>
        <v>0</v>
      </c>
      <c r="V26" s="51" t="str">
        <f>IFERROR(INDEX(Team!$L$6:$L$14,MATCH(E26,Team!$C$6:$C$14,0)),"")</f>
        <v/>
      </c>
      <c r="W26" s="75" t="str">
        <f t="shared" si="1"/>
        <v/>
      </c>
      <c r="X26" s="75"/>
    </row>
    <row r="27" spans="1:24" x14ac:dyDescent="0.25">
      <c r="A27" s="15"/>
      <c r="B27" s="69"/>
      <c r="C27" s="69"/>
      <c r="D27" s="69"/>
      <c r="E27" s="68"/>
      <c r="F27" s="68"/>
      <c r="G27" s="74" t="str">
        <f>IFERROR(INDEX(Team!$E$6:$E$14,MATCH(E27,Team!$C$6:$C$14,0)),"")</f>
        <v/>
      </c>
      <c r="H27" s="74"/>
      <c r="I27" s="49"/>
      <c r="J27" s="49"/>
      <c r="K27" s="49"/>
      <c r="L27" s="49"/>
      <c r="M27" s="49"/>
      <c r="N27" s="49"/>
      <c r="O27" s="49"/>
      <c r="P27" s="49"/>
      <c r="Q27" s="49"/>
      <c r="R27" s="49"/>
      <c r="S27" s="49"/>
      <c r="T27" s="49"/>
      <c r="U27" s="50">
        <f t="shared" si="0"/>
        <v>0</v>
      </c>
      <c r="V27" s="51" t="str">
        <f>IFERROR(INDEX(Team!$L$6:$L$14,MATCH(E27,Team!$C$6:$C$14,0)),"")</f>
        <v/>
      </c>
      <c r="W27" s="75" t="str">
        <f t="shared" si="1"/>
        <v/>
      </c>
      <c r="X27" s="75"/>
    </row>
    <row r="28" spans="1:24" x14ac:dyDescent="0.25">
      <c r="A28" s="15"/>
      <c r="B28" s="69"/>
      <c r="C28" s="69"/>
      <c r="D28" s="69"/>
      <c r="E28" s="68"/>
      <c r="F28" s="68"/>
      <c r="G28" s="74" t="str">
        <f>IFERROR(INDEX(Team!$E$6:$E$14,MATCH(E28,Team!$C$6:$C$14,0)),"")</f>
        <v/>
      </c>
      <c r="H28" s="74"/>
      <c r="I28" s="49"/>
      <c r="J28" s="49"/>
      <c r="K28" s="49"/>
      <c r="L28" s="49"/>
      <c r="M28" s="49"/>
      <c r="N28" s="49"/>
      <c r="O28" s="49"/>
      <c r="P28" s="49"/>
      <c r="Q28" s="49"/>
      <c r="R28" s="49"/>
      <c r="S28" s="49"/>
      <c r="T28" s="49"/>
      <c r="U28" s="50">
        <f t="shared" si="0"/>
        <v>0</v>
      </c>
      <c r="V28" s="51" t="str">
        <f>IFERROR(INDEX(Team!$L$6:$L$14,MATCH(E28,Team!$C$6:$C$14,0)),"")</f>
        <v/>
      </c>
      <c r="W28" s="75" t="str">
        <f t="shared" si="1"/>
        <v/>
      </c>
      <c r="X28" s="75"/>
    </row>
    <row r="29" spans="1:24" x14ac:dyDescent="0.25">
      <c r="A29" s="15"/>
      <c r="B29" s="69"/>
      <c r="C29" s="69"/>
      <c r="D29" s="69"/>
      <c r="E29" s="68"/>
      <c r="F29" s="68"/>
      <c r="G29" s="74" t="str">
        <f>IFERROR(INDEX(Team!$E$6:$E$14,MATCH(E29,Team!$C$6:$C$14,0)),"")</f>
        <v/>
      </c>
      <c r="H29" s="74"/>
      <c r="I29" s="49"/>
      <c r="J29" s="49"/>
      <c r="K29" s="49"/>
      <c r="L29" s="49"/>
      <c r="M29" s="49"/>
      <c r="N29" s="49"/>
      <c r="O29" s="49"/>
      <c r="P29" s="49"/>
      <c r="Q29" s="49"/>
      <c r="R29" s="49"/>
      <c r="S29" s="49"/>
      <c r="T29" s="49"/>
      <c r="U29" s="50">
        <f t="shared" si="0"/>
        <v>0</v>
      </c>
      <c r="V29" s="51" t="str">
        <f>IFERROR(INDEX(Team!$L$6:$L$14,MATCH(E29,Team!$C$6:$C$14,0)),"")</f>
        <v/>
      </c>
      <c r="W29" s="75" t="str">
        <f t="shared" si="1"/>
        <v/>
      </c>
      <c r="X29" s="75"/>
    </row>
    <row r="30" spans="1:24" x14ac:dyDescent="0.25">
      <c r="A30" s="15"/>
      <c r="B30" s="69"/>
      <c r="C30" s="69"/>
      <c r="D30" s="69"/>
      <c r="E30" s="68"/>
      <c r="F30" s="68"/>
      <c r="G30" s="74" t="str">
        <f>IFERROR(INDEX(Team!$E$6:$E$14,MATCH(E30,Team!$C$6:$C$14,0)),"")</f>
        <v/>
      </c>
      <c r="H30" s="74"/>
      <c r="I30" s="49"/>
      <c r="J30" s="49"/>
      <c r="K30" s="49"/>
      <c r="L30" s="49"/>
      <c r="M30" s="49"/>
      <c r="N30" s="49"/>
      <c r="O30" s="49"/>
      <c r="P30" s="49"/>
      <c r="Q30" s="49"/>
      <c r="R30" s="49"/>
      <c r="S30" s="49"/>
      <c r="T30" s="49"/>
      <c r="U30" s="50">
        <f t="shared" si="0"/>
        <v>0</v>
      </c>
      <c r="V30" s="51" t="str">
        <f>IFERROR(INDEX(Team!$L$6:$L$14,MATCH(E30,Team!$C$6:$C$14,0)),"")</f>
        <v/>
      </c>
      <c r="W30" s="75" t="str">
        <f t="shared" si="1"/>
        <v/>
      </c>
      <c r="X30" s="75"/>
    </row>
    <row r="31" spans="1:24" x14ac:dyDescent="0.25">
      <c r="A31" s="15"/>
      <c r="B31" s="69"/>
      <c r="C31" s="69"/>
      <c r="D31" s="69"/>
      <c r="E31" s="68"/>
      <c r="F31" s="68"/>
      <c r="G31" s="74" t="str">
        <f>IFERROR(INDEX(Team!$E$6:$E$14,MATCH(E31,Team!$C$6:$C$14,0)),"")</f>
        <v/>
      </c>
      <c r="H31" s="74"/>
      <c r="I31" s="49"/>
      <c r="J31" s="49"/>
      <c r="K31" s="49"/>
      <c r="L31" s="49"/>
      <c r="M31" s="49"/>
      <c r="N31" s="49"/>
      <c r="O31" s="49"/>
      <c r="P31" s="49"/>
      <c r="Q31" s="49"/>
      <c r="R31" s="49"/>
      <c r="S31" s="49"/>
      <c r="T31" s="49"/>
      <c r="U31" s="50">
        <f t="shared" si="0"/>
        <v>0</v>
      </c>
      <c r="V31" s="51" t="str">
        <f>IFERROR(INDEX(Team!$L$6:$L$14,MATCH(E31,Team!$C$6:$C$14,0)),"")</f>
        <v/>
      </c>
      <c r="W31" s="75" t="str">
        <f t="shared" si="1"/>
        <v/>
      </c>
      <c r="X31" s="75"/>
    </row>
    <row r="32" spans="1:24" x14ac:dyDescent="0.25">
      <c r="A32" s="15"/>
      <c r="B32" s="69"/>
      <c r="C32" s="69"/>
      <c r="D32" s="69"/>
      <c r="E32" s="68"/>
      <c r="F32" s="68"/>
      <c r="G32" s="74" t="str">
        <f>IFERROR(INDEX(Team!$E$6:$E$14,MATCH(E32,Team!$C$6:$C$14,0)),"")</f>
        <v/>
      </c>
      <c r="H32" s="74"/>
      <c r="I32" s="49"/>
      <c r="J32" s="49"/>
      <c r="K32" s="49"/>
      <c r="L32" s="49"/>
      <c r="M32" s="49"/>
      <c r="N32" s="49"/>
      <c r="O32" s="49"/>
      <c r="P32" s="49"/>
      <c r="Q32" s="49"/>
      <c r="R32" s="49"/>
      <c r="S32" s="49"/>
      <c r="T32" s="49"/>
      <c r="U32" s="50">
        <f t="shared" si="0"/>
        <v>0</v>
      </c>
      <c r="V32" s="51" t="str">
        <f>IFERROR(INDEX(Team!$L$6:$L$14,MATCH(E32,Team!$C$6:$C$14,0)),"")</f>
        <v/>
      </c>
      <c r="W32" s="75" t="str">
        <f t="shared" si="1"/>
        <v/>
      </c>
      <c r="X32" s="75"/>
    </row>
    <row r="33" spans="1:24" x14ac:dyDescent="0.25">
      <c r="A33" s="15"/>
      <c r="B33" s="69"/>
      <c r="C33" s="69"/>
      <c r="D33" s="69"/>
      <c r="E33" s="68"/>
      <c r="F33" s="68"/>
      <c r="G33" s="74" t="str">
        <f>IFERROR(INDEX(Team!$E$6:$E$14,MATCH(E33,Team!$C$6:$C$14,0)),"")</f>
        <v/>
      </c>
      <c r="H33" s="74"/>
      <c r="I33" s="49"/>
      <c r="J33" s="49"/>
      <c r="K33" s="49"/>
      <c r="L33" s="49"/>
      <c r="M33" s="49"/>
      <c r="N33" s="49"/>
      <c r="O33" s="49"/>
      <c r="P33" s="49"/>
      <c r="Q33" s="49"/>
      <c r="R33" s="49"/>
      <c r="S33" s="49"/>
      <c r="T33" s="49"/>
      <c r="U33" s="50">
        <f t="shared" si="0"/>
        <v>0</v>
      </c>
      <c r="V33" s="51" t="str">
        <f>IFERROR(INDEX(Team!$L$6:$L$14,MATCH(E33,Team!$C$6:$C$14,0)),"")</f>
        <v/>
      </c>
      <c r="W33" s="75" t="str">
        <f t="shared" si="1"/>
        <v/>
      </c>
      <c r="X33" s="75"/>
    </row>
    <row r="34" spans="1:24" x14ac:dyDescent="0.25">
      <c r="A34" s="15"/>
      <c r="B34" s="69"/>
      <c r="C34" s="69"/>
      <c r="D34" s="69"/>
      <c r="E34" s="68"/>
      <c r="F34" s="68"/>
      <c r="G34" s="74" t="str">
        <f>IFERROR(INDEX(Team!$E$6:$E$14,MATCH(E34,Team!$C$6:$C$14,0)),"")</f>
        <v/>
      </c>
      <c r="H34" s="74"/>
      <c r="I34" s="49"/>
      <c r="J34" s="49"/>
      <c r="K34" s="49"/>
      <c r="L34" s="49"/>
      <c r="M34" s="49"/>
      <c r="N34" s="49"/>
      <c r="O34" s="49"/>
      <c r="P34" s="49"/>
      <c r="Q34" s="49"/>
      <c r="R34" s="49"/>
      <c r="S34" s="49"/>
      <c r="T34" s="49"/>
      <c r="U34" s="50">
        <f t="shared" si="0"/>
        <v>0</v>
      </c>
      <c r="V34" s="51" t="str">
        <f>IFERROR(INDEX(Team!$L$6:$L$14,MATCH(E34,Team!$C$6:$C$14,0)),"")</f>
        <v/>
      </c>
      <c r="W34" s="75" t="str">
        <f t="shared" si="1"/>
        <v/>
      </c>
      <c r="X34" s="75"/>
    </row>
    <row r="35" spans="1:24" x14ac:dyDescent="0.25">
      <c r="A35" s="15"/>
      <c r="B35" s="69"/>
      <c r="C35" s="69"/>
      <c r="D35" s="69"/>
      <c r="E35" s="68"/>
      <c r="F35" s="68"/>
      <c r="G35" s="74" t="str">
        <f>IFERROR(INDEX(Team!$E$6:$E$14,MATCH(E35,Team!$C$6:$C$14,0)),"")</f>
        <v/>
      </c>
      <c r="H35" s="74"/>
      <c r="I35" s="49"/>
      <c r="J35" s="49"/>
      <c r="K35" s="49"/>
      <c r="L35" s="49"/>
      <c r="M35" s="49"/>
      <c r="N35" s="49"/>
      <c r="O35" s="49"/>
      <c r="P35" s="49"/>
      <c r="Q35" s="49"/>
      <c r="R35" s="49"/>
      <c r="S35" s="49"/>
      <c r="T35" s="49"/>
      <c r="U35" s="50">
        <f t="shared" si="0"/>
        <v>0</v>
      </c>
      <c r="V35" s="51" t="str">
        <f>IFERROR(INDEX(Team!$L$6:$L$14,MATCH(E35,Team!$C$6:$C$14,0)),"")</f>
        <v/>
      </c>
      <c r="W35" s="75" t="str">
        <f t="shared" si="1"/>
        <v/>
      </c>
      <c r="X35" s="75"/>
    </row>
    <row r="36" spans="1:24" x14ac:dyDescent="0.25">
      <c r="A36" s="15"/>
      <c r="B36" s="69"/>
      <c r="C36" s="69"/>
      <c r="D36" s="69"/>
      <c r="E36" s="68"/>
      <c r="F36" s="68"/>
      <c r="G36" s="74" t="str">
        <f>IFERROR(INDEX(Team!$E$6:$E$14,MATCH(E36,Team!$C$6:$C$14,0)),"")</f>
        <v/>
      </c>
      <c r="H36" s="74"/>
      <c r="I36" s="49"/>
      <c r="J36" s="49"/>
      <c r="K36" s="49"/>
      <c r="L36" s="49"/>
      <c r="M36" s="49"/>
      <c r="N36" s="49"/>
      <c r="O36" s="49"/>
      <c r="P36" s="49"/>
      <c r="Q36" s="49"/>
      <c r="R36" s="49"/>
      <c r="S36" s="49"/>
      <c r="T36" s="49"/>
      <c r="U36" s="50">
        <f t="shared" si="0"/>
        <v>0</v>
      </c>
      <c r="V36" s="51" t="str">
        <f>IFERROR(INDEX(Team!$L$6:$L$14,MATCH(E36,Team!$C$6:$C$14,0)),"")</f>
        <v/>
      </c>
      <c r="W36" s="75" t="str">
        <f t="shared" si="1"/>
        <v/>
      </c>
      <c r="X36" s="75"/>
    </row>
    <row r="37" spans="1:24" x14ac:dyDescent="0.25">
      <c r="A37" s="15"/>
      <c r="B37" s="69"/>
      <c r="C37" s="69"/>
      <c r="D37" s="69"/>
      <c r="E37" s="68"/>
      <c r="F37" s="68"/>
      <c r="G37" s="74" t="str">
        <f>IFERROR(INDEX(Team!$E$6:$E$14,MATCH(E37,Team!$C$6:$C$14,0)),"")</f>
        <v/>
      </c>
      <c r="H37" s="74"/>
      <c r="I37" s="49"/>
      <c r="J37" s="49"/>
      <c r="K37" s="49"/>
      <c r="L37" s="49"/>
      <c r="M37" s="49"/>
      <c r="N37" s="49"/>
      <c r="O37" s="49"/>
      <c r="P37" s="49"/>
      <c r="Q37" s="49"/>
      <c r="R37" s="49"/>
      <c r="S37" s="49"/>
      <c r="T37" s="49"/>
      <c r="U37" s="50">
        <f t="shared" si="0"/>
        <v>0</v>
      </c>
      <c r="V37" s="51" t="str">
        <f>IFERROR(INDEX(Team!$L$6:$L$14,MATCH(E37,Team!$C$6:$C$14,0)),"")</f>
        <v/>
      </c>
      <c r="W37" s="75" t="str">
        <f t="shared" si="1"/>
        <v/>
      </c>
      <c r="X37" s="75"/>
    </row>
    <row r="38" spans="1:24" x14ac:dyDescent="0.25">
      <c r="A38" s="15"/>
      <c r="B38" s="69"/>
      <c r="C38" s="69"/>
      <c r="D38" s="69"/>
      <c r="E38" s="68"/>
      <c r="F38" s="68"/>
      <c r="G38" s="74" t="str">
        <f>IFERROR(INDEX(Team!$E$6:$E$14,MATCH(E38,Team!$C$6:$C$14,0)),"")</f>
        <v/>
      </c>
      <c r="H38" s="74"/>
      <c r="I38" s="49"/>
      <c r="J38" s="49"/>
      <c r="K38" s="49"/>
      <c r="L38" s="49"/>
      <c r="M38" s="49"/>
      <c r="N38" s="49"/>
      <c r="O38" s="49"/>
      <c r="P38" s="49"/>
      <c r="Q38" s="49"/>
      <c r="R38" s="49"/>
      <c r="S38" s="49"/>
      <c r="T38" s="49"/>
      <c r="U38" s="50">
        <f t="shared" si="0"/>
        <v>0</v>
      </c>
      <c r="V38" s="51" t="str">
        <f>IFERROR(INDEX(Team!$L$6:$L$14,MATCH(E38,Team!$C$6:$C$14,0)),"")</f>
        <v/>
      </c>
      <c r="W38" s="75" t="str">
        <f t="shared" si="1"/>
        <v/>
      </c>
      <c r="X38" s="75"/>
    </row>
    <row r="39" spans="1:24" x14ac:dyDescent="0.25">
      <c r="A39" s="15"/>
      <c r="B39" s="69"/>
      <c r="C39" s="69"/>
      <c r="D39" s="69"/>
      <c r="E39" s="68"/>
      <c r="F39" s="68"/>
      <c r="G39" s="74" t="str">
        <f>IFERROR(INDEX(Team!$E$6:$E$14,MATCH(E39,Team!$C$6:$C$14,0)),"")</f>
        <v/>
      </c>
      <c r="H39" s="74"/>
      <c r="I39" s="49"/>
      <c r="J39" s="49"/>
      <c r="K39" s="49"/>
      <c r="L39" s="49"/>
      <c r="M39" s="49"/>
      <c r="N39" s="49"/>
      <c r="O39" s="49"/>
      <c r="P39" s="49"/>
      <c r="Q39" s="49"/>
      <c r="R39" s="49"/>
      <c r="S39" s="49"/>
      <c r="T39" s="49"/>
      <c r="U39" s="50">
        <f t="shared" si="0"/>
        <v>0</v>
      </c>
      <c r="V39" s="51" t="str">
        <f>IFERROR(INDEX(Team!$L$6:$L$14,MATCH(E39,Team!$C$6:$C$14,0)),"")</f>
        <v/>
      </c>
      <c r="W39" s="75" t="str">
        <f t="shared" si="1"/>
        <v/>
      </c>
      <c r="X39" s="75"/>
    </row>
    <row r="40" spans="1:24" x14ac:dyDescent="0.25">
      <c r="A40" s="15"/>
      <c r="B40" s="69"/>
      <c r="C40" s="69"/>
      <c r="D40" s="69"/>
      <c r="E40" s="68"/>
      <c r="F40" s="68"/>
      <c r="G40" s="74" t="str">
        <f>IFERROR(INDEX(Team!$E$6:$E$14,MATCH(E40,Team!$C$6:$C$14,0)),"")</f>
        <v/>
      </c>
      <c r="H40" s="74"/>
      <c r="I40" s="49"/>
      <c r="J40" s="49"/>
      <c r="K40" s="49"/>
      <c r="L40" s="49"/>
      <c r="M40" s="49"/>
      <c r="N40" s="49"/>
      <c r="O40" s="49"/>
      <c r="P40" s="49"/>
      <c r="Q40" s="49"/>
      <c r="R40" s="49"/>
      <c r="S40" s="49"/>
      <c r="T40" s="49"/>
      <c r="U40" s="50">
        <f t="shared" si="0"/>
        <v>0</v>
      </c>
      <c r="V40" s="51" t="str">
        <f>IFERROR(INDEX(Team!$L$6:$L$14,MATCH(E40,Team!$C$6:$C$14,0)),"")</f>
        <v/>
      </c>
      <c r="W40" s="75" t="str">
        <f t="shared" si="1"/>
        <v/>
      </c>
      <c r="X40" s="75"/>
    </row>
    <row r="41" spans="1:24" x14ac:dyDescent="0.25">
      <c r="A41" s="15"/>
      <c r="B41" s="69"/>
      <c r="C41" s="69"/>
      <c r="D41" s="69"/>
      <c r="E41" s="68"/>
      <c r="F41" s="68"/>
      <c r="G41" s="74" t="str">
        <f>IFERROR(INDEX(Team!$E$6:$E$14,MATCH(E41,Team!$C$6:$C$14,0)),"")</f>
        <v/>
      </c>
      <c r="H41" s="74"/>
      <c r="I41" s="49"/>
      <c r="J41" s="49"/>
      <c r="K41" s="49"/>
      <c r="L41" s="49"/>
      <c r="M41" s="49"/>
      <c r="N41" s="49"/>
      <c r="O41" s="49"/>
      <c r="P41" s="49"/>
      <c r="Q41" s="49"/>
      <c r="R41" s="49"/>
      <c r="S41" s="49"/>
      <c r="T41" s="49"/>
      <c r="U41" s="50">
        <f t="shared" si="0"/>
        <v>0</v>
      </c>
      <c r="V41" s="51" t="str">
        <f>IFERROR(INDEX(Team!$L$6:$L$14,MATCH(E41,Team!$C$6:$C$14,0)),"")</f>
        <v/>
      </c>
      <c r="W41" s="75" t="str">
        <f t="shared" si="1"/>
        <v/>
      </c>
      <c r="X41" s="75"/>
    </row>
    <row r="42" spans="1:24" x14ac:dyDescent="0.25">
      <c r="A42" s="15"/>
      <c r="B42" s="69"/>
      <c r="C42" s="69"/>
      <c r="D42" s="69"/>
      <c r="E42" s="68"/>
      <c r="F42" s="68"/>
      <c r="G42" s="74" t="str">
        <f>IFERROR(INDEX(Team!$E$6:$E$14,MATCH(E42,Team!$C$6:$C$14,0)),"")</f>
        <v/>
      </c>
      <c r="H42" s="74"/>
      <c r="I42" s="49"/>
      <c r="J42" s="49"/>
      <c r="K42" s="49"/>
      <c r="L42" s="49"/>
      <c r="M42" s="49"/>
      <c r="N42" s="49"/>
      <c r="O42" s="49"/>
      <c r="P42" s="49"/>
      <c r="Q42" s="49"/>
      <c r="R42" s="49"/>
      <c r="S42" s="49"/>
      <c r="T42" s="49"/>
      <c r="U42" s="50">
        <f t="shared" si="0"/>
        <v>0</v>
      </c>
      <c r="V42" s="51" t="str">
        <f>IFERROR(INDEX(Team!$L$6:$L$14,MATCH(E42,Team!$C$6:$C$14,0)),"")</f>
        <v/>
      </c>
      <c r="W42" s="75" t="str">
        <f t="shared" si="1"/>
        <v/>
      </c>
      <c r="X42" s="75"/>
    </row>
    <row r="43" spans="1:24" x14ac:dyDescent="0.25">
      <c r="A43" s="15"/>
      <c r="B43" s="69"/>
      <c r="C43" s="69"/>
      <c r="D43" s="69"/>
      <c r="E43" s="68"/>
      <c r="F43" s="68"/>
      <c r="G43" s="74" t="str">
        <f>IFERROR(INDEX(Team!$E$6:$E$14,MATCH(E43,Team!$C$6:$C$14,0)),"")</f>
        <v/>
      </c>
      <c r="H43" s="74"/>
      <c r="I43" s="49"/>
      <c r="J43" s="49"/>
      <c r="K43" s="49"/>
      <c r="L43" s="49"/>
      <c r="M43" s="49"/>
      <c r="N43" s="49"/>
      <c r="O43" s="49"/>
      <c r="P43" s="49"/>
      <c r="Q43" s="49"/>
      <c r="R43" s="49"/>
      <c r="S43" s="49"/>
      <c r="T43" s="49"/>
      <c r="U43" s="50">
        <f t="shared" si="0"/>
        <v>0</v>
      </c>
      <c r="V43" s="51" t="str">
        <f>IFERROR(INDEX(Team!$L$6:$L$14,MATCH(E43,Team!$C$6:$C$14,0)),"")</f>
        <v/>
      </c>
      <c r="W43" s="75" t="str">
        <f t="shared" si="1"/>
        <v/>
      </c>
      <c r="X43" s="75"/>
    </row>
    <row r="44" spans="1:24" x14ac:dyDescent="0.25">
      <c r="A44" s="15"/>
      <c r="B44" s="69"/>
      <c r="C44" s="69"/>
      <c r="D44" s="69"/>
      <c r="E44" s="68"/>
      <c r="F44" s="68"/>
      <c r="G44" s="74" t="str">
        <f>IFERROR(INDEX(Team!$E$6:$E$14,MATCH(E44,Team!$C$6:$C$14,0)),"")</f>
        <v/>
      </c>
      <c r="H44" s="74"/>
      <c r="I44" s="49"/>
      <c r="J44" s="49"/>
      <c r="K44" s="49"/>
      <c r="L44" s="49"/>
      <c r="M44" s="49"/>
      <c r="N44" s="49"/>
      <c r="O44" s="49"/>
      <c r="P44" s="49"/>
      <c r="Q44" s="49"/>
      <c r="R44" s="49"/>
      <c r="S44" s="49"/>
      <c r="T44" s="49"/>
      <c r="U44" s="50">
        <f t="shared" si="0"/>
        <v>0</v>
      </c>
      <c r="V44" s="51" t="str">
        <f>IFERROR(INDEX(Team!$L$6:$L$14,MATCH(E44,Team!$C$6:$C$14,0)),"")</f>
        <v/>
      </c>
      <c r="W44" s="75" t="str">
        <f t="shared" si="1"/>
        <v/>
      </c>
      <c r="X44" s="75"/>
    </row>
    <row r="45" spans="1:24" x14ac:dyDescent="0.25">
      <c r="A45" s="15"/>
      <c r="B45" s="69"/>
      <c r="C45" s="69"/>
      <c r="D45" s="69"/>
      <c r="E45" s="68"/>
      <c r="F45" s="68"/>
      <c r="G45" s="74" t="str">
        <f>IFERROR(INDEX(Team!$E$6:$E$14,MATCH(E45,Team!$C$6:$C$14,0)),"")</f>
        <v/>
      </c>
      <c r="H45" s="74"/>
      <c r="I45" s="49"/>
      <c r="J45" s="49"/>
      <c r="K45" s="49"/>
      <c r="L45" s="49"/>
      <c r="M45" s="49"/>
      <c r="N45" s="49"/>
      <c r="O45" s="49"/>
      <c r="P45" s="49"/>
      <c r="Q45" s="49"/>
      <c r="R45" s="49"/>
      <c r="S45" s="49"/>
      <c r="T45" s="49"/>
      <c r="U45" s="50">
        <f t="shared" si="0"/>
        <v>0</v>
      </c>
      <c r="V45" s="51" t="str">
        <f>IFERROR(INDEX(Team!$L$6:$L$14,MATCH(E45,Team!$C$6:$C$14,0)),"")</f>
        <v/>
      </c>
      <c r="W45" s="75" t="str">
        <f t="shared" si="1"/>
        <v/>
      </c>
      <c r="X45" s="75"/>
    </row>
    <row r="46" spans="1:24" x14ac:dyDescent="0.25">
      <c r="A46" s="15"/>
      <c r="B46" s="69"/>
      <c r="C46" s="69"/>
      <c r="D46" s="69"/>
      <c r="E46" s="68"/>
      <c r="F46" s="68"/>
      <c r="G46" s="74" t="str">
        <f>IFERROR(INDEX(Team!$E$6:$E$14,MATCH(E46,Team!$C$6:$C$14,0)),"")</f>
        <v/>
      </c>
      <c r="H46" s="74"/>
      <c r="I46" s="49"/>
      <c r="J46" s="49"/>
      <c r="K46" s="49"/>
      <c r="L46" s="49"/>
      <c r="M46" s="49"/>
      <c r="N46" s="49"/>
      <c r="O46" s="49"/>
      <c r="P46" s="49"/>
      <c r="Q46" s="49"/>
      <c r="R46" s="49"/>
      <c r="S46" s="49"/>
      <c r="T46" s="49"/>
      <c r="U46" s="50">
        <f t="shared" si="0"/>
        <v>0</v>
      </c>
      <c r="V46" s="51" t="str">
        <f>IFERROR(INDEX(Team!$L$6:$L$14,MATCH(E46,Team!$C$6:$C$14,0)),"")</f>
        <v/>
      </c>
      <c r="W46" s="75" t="str">
        <f t="shared" si="1"/>
        <v/>
      </c>
      <c r="X46" s="75"/>
    </row>
    <row r="47" spans="1:24" x14ac:dyDescent="0.25">
      <c r="A47" s="15"/>
      <c r="B47" s="69"/>
      <c r="C47" s="69"/>
      <c r="D47" s="69"/>
      <c r="E47" s="68"/>
      <c r="F47" s="68"/>
      <c r="G47" s="74" t="str">
        <f>IFERROR(INDEX(Team!$E$6:$E$14,MATCH(E47,Team!$C$6:$C$14,0)),"")</f>
        <v/>
      </c>
      <c r="H47" s="74"/>
      <c r="I47" s="49"/>
      <c r="J47" s="49"/>
      <c r="K47" s="49"/>
      <c r="L47" s="49"/>
      <c r="M47" s="49"/>
      <c r="N47" s="49"/>
      <c r="O47" s="49"/>
      <c r="P47" s="49"/>
      <c r="Q47" s="49"/>
      <c r="R47" s="49"/>
      <c r="S47" s="49"/>
      <c r="T47" s="49"/>
      <c r="U47" s="50">
        <f t="shared" si="0"/>
        <v>0</v>
      </c>
      <c r="V47" s="51" t="str">
        <f>IFERROR(INDEX(Team!$L$6:$L$14,MATCH(E47,Team!$C$6:$C$14,0)),"")</f>
        <v/>
      </c>
      <c r="W47" s="75" t="str">
        <f t="shared" si="1"/>
        <v/>
      </c>
      <c r="X47" s="75"/>
    </row>
    <row r="48" spans="1:24" x14ac:dyDescent="0.25">
      <c r="A48" s="15"/>
      <c r="B48" s="69"/>
      <c r="C48" s="69"/>
      <c r="D48" s="69"/>
      <c r="E48" s="68"/>
      <c r="F48" s="68"/>
      <c r="G48" s="74" t="str">
        <f>IFERROR(INDEX(Team!$E$6:$E$14,MATCH(E48,Team!$C$6:$C$14,0)),"")</f>
        <v/>
      </c>
      <c r="H48" s="74"/>
      <c r="I48" s="49"/>
      <c r="J48" s="49"/>
      <c r="K48" s="49"/>
      <c r="L48" s="49"/>
      <c r="M48" s="49"/>
      <c r="N48" s="49"/>
      <c r="O48" s="49"/>
      <c r="P48" s="49"/>
      <c r="Q48" s="49"/>
      <c r="R48" s="49"/>
      <c r="S48" s="49"/>
      <c r="T48" s="49"/>
      <c r="U48" s="50">
        <f t="shared" si="0"/>
        <v>0</v>
      </c>
      <c r="V48" s="51" t="str">
        <f>IFERROR(INDEX(Team!$L$6:$L$14,MATCH(E48,Team!$C$6:$C$14,0)),"")</f>
        <v/>
      </c>
      <c r="W48" s="75" t="str">
        <f t="shared" si="1"/>
        <v/>
      </c>
      <c r="X48" s="75"/>
    </row>
    <row r="49" spans="1:24" x14ac:dyDescent="0.25">
      <c r="A49" s="15"/>
      <c r="B49" s="69"/>
      <c r="C49" s="69"/>
      <c r="D49" s="69"/>
      <c r="E49" s="68"/>
      <c r="F49" s="68"/>
      <c r="G49" s="74" t="str">
        <f>IFERROR(INDEX(Team!$E$6:$E$14,MATCH(E49,Team!$C$6:$C$14,0)),"")</f>
        <v/>
      </c>
      <c r="H49" s="74"/>
      <c r="I49" s="49"/>
      <c r="J49" s="49"/>
      <c r="K49" s="49"/>
      <c r="L49" s="49"/>
      <c r="M49" s="49"/>
      <c r="N49" s="49"/>
      <c r="O49" s="49"/>
      <c r="P49" s="49"/>
      <c r="Q49" s="49"/>
      <c r="R49" s="49"/>
      <c r="S49" s="49"/>
      <c r="T49" s="49"/>
      <c r="U49" s="50">
        <f t="shared" si="0"/>
        <v>0</v>
      </c>
      <c r="V49" s="51" t="str">
        <f>IFERROR(INDEX(Team!$L$6:$L$14,MATCH(E49,Team!$C$6:$C$14,0)),"")</f>
        <v/>
      </c>
      <c r="W49" s="75" t="str">
        <f t="shared" si="1"/>
        <v/>
      </c>
      <c r="X49" s="75"/>
    </row>
    <row r="50" spans="1:24" x14ac:dyDescent="0.25">
      <c r="A50" s="15"/>
      <c r="B50" s="69"/>
      <c r="C50" s="69"/>
      <c r="D50" s="69"/>
      <c r="E50" s="68"/>
      <c r="F50" s="68"/>
      <c r="G50" s="74" t="str">
        <f>IFERROR(INDEX(Team!$E$6:$E$14,MATCH(E50,Team!$C$6:$C$14,0)),"")</f>
        <v/>
      </c>
      <c r="H50" s="74"/>
      <c r="I50" s="49"/>
      <c r="J50" s="49"/>
      <c r="K50" s="49"/>
      <c r="L50" s="49"/>
      <c r="M50" s="49"/>
      <c r="N50" s="49"/>
      <c r="O50" s="49"/>
      <c r="P50" s="49"/>
      <c r="Q50" s="49"/>
      <c r="R50" s="49"/>
      <c r="S50" s="49"/>
      <c r="T50" s="49"/>
      <c r="U50" s="50">
        <f t="shared" si="0"/>
        <v>0</v>
      </c>
      <c r="V50" s="51" t="str">
        <f>IFERROR(INDEX(Team!$L$6:$L$14,MATCH(E50,Team!$C$6:$C$14,0)),"")</f>
        <v/>
      </c>
      <c r="W50" s="75" t="str">
        <f t="shared" si="1"/>
        <v/>
      </c>
      <c r="X50" s="75"/>
    </row>
    <row r="51" spans="1:24" x14ac:dyDescent="0.25">
      <c r="A51" s="15"/>
      <c r="B51" s="70" t="s">
        <v>144</v>
      </c>
      <c r="C51" s="70"/>
      <c r="D51" s="70"/>
      <c r="E51" s="70"/>
      <c r="F51" s="70"/>
      <c r="G51" s="70"/>
      <c r="H51" s="70"/>
      <c r="I51" s="52">
        <f t="shared" ref="I51:U51" si="2">SUM(I6:I50)</f>
        <v>740</v>
      </c>
      <c r="J51" s="52">
        <f t="shared" si="2"/>
        <v>1030</v>
      </c>
      <c r="K51" s="52">
        <f t="shared" si="2"/>
        <v>1180</v>
      </c>
      <c r="L51" s="52">
        <f t="shared" si="2"/>
        <v>1260</v>
      </c>
      <c r="M51" s="52">
        <f t="shared" si="2"/>
        <v>1250</v>
      </c>
      <c r="N51" s="52">
        <f t="shared" si="2"/>
        <v>1180</v>
      </c>
      <c r="O51" s="52">
        <f t="shared" si="2"/>
        <v>950</v>
      </c>
      <c r="P51" s="52">
        <f t="shared" si="2"/>
        <v>470</v>
      </c>
      <c r="Q51" s="52">
        <f t="shared" si="2"/>
        <v>630</v>
      </c>
      <c r="R51" s="52">
        <f t="shared" si="2"/>
        <v>570</v>
      </c>
      <c r="S51" s="52">
        <f t="shared" si="2"/>
        <v>500</v>
      </c>
      <c r="T51" s="52">
        <f t="shared" si="2"/>
        <v>320</v>
      </c>
      <c r="U51" s="42">
        <f t="shared" si="2"/>
        <v>10080</v>
      </c>
      <c r="V51" s="40"/>
      <c r="W51" s="71">
        <f>SUM(W6:W50)</f>
        <v>808670</v>
      </c>
      <c r="X51" s="71"/>
    </row>
    <row r="52" spans="1:24" x14ac:dyDescent="0.25">
      <c r="A52" s="15"/>
    </row>
    <row r="53" spans="1:24" x14ac:dyDescent="0.25">
      <c r="A53" s="15"/>
    </row>
    <row r="54" spans="1:24" x14ac:dyDescent="0.25">
      <c r="A54" s="15"/>
    </row>
    <row r="55" spans="1:24" x14ac:dyDescent="0.25">
      <c r="A55" s="15"/>
    </row>
    <row r="56" spans="1:24" x14ac:dyDescent="0.25">
      <c r="A56" s="15"/>
    </row>
    <row r="57" spans="1:24" x14ac:dyDescent="0.25">
      <c r="A57" s="15"/>
    </row>
    <row r="58" spans="1:24" x14ac:dyDescent="0.25">
      <c r="A58" s="15"/>
    </row>
    <row r="59" spans="1:24" x14ac:dyDescent="0.25">
      <c r="A59" s="15"/>
    </row>
    <row r="60" spans="1:24" x14ac:dyDescent="0.25">
      <c r="A60" s="15"/>
    </row>
    <row r="61" spans="1:24" x14ac:dyDescent="0.25">
      <c r="A61" s="15"/>
    </row>
    <row r="62" spans="1:24" x14ac:dyDescent="0.25">
      <c r="A62" s="15"/>
    </row>
    <row r="63" spans="1:24" x14ac:dyDescent="0.25">
      <c r="A63" s="15"/>
    </row>
    <row r="64" spans="1:24" x14ac:dyDescent="0.25">
      <c r="A64" s="15"/>
    </row>
    <row r="65" spans="1:1" x14ac:dyDescent="0.25">
      <c r="A65" s="15"/>
    </row>
    <row r="66" spans="1:1" x14ac:dyDescent="0.25">
      <c r="A66" s="15"/>
    </row>
    <row r="67" spans="1:1" x14ac:dyDescent="0.25">
      <c r="A67" s="15"/>
    </row>
    <row r="68" spans="1:1" x14ac:dyDescent="0.25">
      <c r="A68" s="15"/>
    </row>
    <row r="69" spans="1:1" x14ac:dyDescent="0.25">
      <c r="A69" s="15"/>
    </row>
  </sheetData>
  <mergeCells count="186">
    <mergeCell ref="B50:D50"/>
    <mergeCell ref="E50:F50"/>
    <mergeCell ref="G50:H50"/>
    <mergeCell ref="W50:X50"/>
    <mergeCell ref="B51:H51"/>
    <mergeCell ref="W51:X51"/>
    <mergeCell ref="B47:D47"/>
    <mergeCell ref="E47:F47"/>
    <mergeCell ref="G47:H47"/>
    <mergeCell ref="W47:X47"/>
    <mergeCell ref="B48:D48"/>
    <mergeCell ref="E48:F48"/>
    <mergeCell ref="G48:H48"/>
    <mergeCell ref="W48:X48"/>
    <mergeCell ref="B49:D49"/>
    <mergeCell ref="E49:F49"/>
    <mergeCell ref="G49:H49"/>
    <mergeCell ref="W49:X49"/>
    <mergeCell ref="B44:D44"/>
    <mergeCell ref="E44:F44"/>
    <mergeCell ref="G44:H44"/>
    <mergeCell ref="W44:X44"/>
    <mergeCell ref="B45:D45"/>
    <mergeCell ref="E45:F45"/>
    <mergeCell ref="G45:H45"/>
    <mergeCell ref="W45:X45"/>
    <mergeCell ref="B46:D46"/>
    <mergeCell ref="E46:F46"/>
    <mergeCell ref="G46:H46"/>
    <mergeCell ref="W46:X46"/>
    <mergeCell ref="B41:D41"/>
    <mergeCell ref="E41:F41"/>
    <mergeCell ref="G41:H41"/>
    <mergeCell ref="W41:X41"/>
    <mergeCell ref="B42:D42"/>
    <mergeCell ref="E42:F42"/>
    <mergeCell ref="G42:H42"/>
    <mergeCell ref="W42:X42"/>
    <mergeCell ref="B43:D43"/>
    <mergeCell ref="E43:F43"/>
    <mergeCell ref="G43:H43"/>
    <mergeCell ref="W43:X43"/>
    <mergeCell ref="B38:D38"/>
    <mergeCell ref="E38:F38"/>
    <mergeCell ref="G38:H38"/>
    <mergeCell ref="W38:X38"/>
    <mergeCell ref="B39:D39"/>
    <mergeCell ref="E39:F39"/>
    <mergeCell ref="G39:H39"/>
    <mergeCell ref="W39:X39"/>
    <mergeCell ref="B40:D40"/>
    <mergeCell ref="E40:F40"/>
    <mergeCell ref="G40:H40"/>
    <mergeCell ref="W40:X40"/>
    <mergeCell ref="B35:D35"/>
    <mergeCell ref="E35:F35"/>
    <mergeCell ref="G35:H35"/>
    <mergeCell ref="W35:X35"/>
    <mergeCell ref="B36:D36"/>
    <mergeCell ref="E36:F36"/>
    <mergeCell ref="G36:H36"/>
    <mergeCell ref="W36:X36"/>
    <mergeCell ref="B37:D37"/>
    <mergeCell ref="E37:F37"/>
    <mergeCell ref="G37:H37"/>
    <mergeCell ref="W37:X37"/>
    <mergeCell ref="B32:D32"/>
    <mergeCell ref="E32:F32"/>
    <mergeCell ref="G32:H32"/>
    <mergeCell ref="W32:X32"/>
    <mergeCell ref="B33:D33"/>
    <mergeCell ref="E33:F33"/>
    <mergeCell ref="G33:H33"/>
    <mergeCell ref="W33:X33"/>
    <mergeCell ref="B34:D34"/>
    <mergeCell ref="E34:F34"/>
    <mergeCell ref="G34:H34"/>
    <mergeCell ref="W34:X34"/>
    <mergeCell ref="B29:D29"/>
    <mergeCell ref="E29:F29"/>
    <mergeCell ref="G29:H29"/>
    <mergeCell ref="W29:X29"/>
    <mergeCell ref="B30:D30"/>
    <mergeCell ref="E30:F30"/>
    <mergeCell ref="G30:H30"/>
    <mergeCell ref="W30:X30"/>
    <mergeCell ref="B31:D31"/>
    <mergeCell ref="E31:F31"/>
    <mergeCell ref="G31:H31"/>
    <mergeCell ref="W31:X31"/>
    <mergeCell ref="B26:D26"/>
    <mergeCell ref="E26:F26"/>
    <mergeCell ref="G26:H26"/>
    <mergeCell ref="W26:X26"/>
    <mergeCell ref="B27:D27"/>
    <mergeCell ref="E27:F27"/>
    <mergeCell ref="G27:H27"/>
    <mergeCell ref="W27:X27"/>
    <mergeCell ref="B28:D28"/>
    <mergeCell ref="E28:F28"/>
    <mergeCell ref="G28:H28"/>
    <mergeCell ref="W28:X28"/>
    <mergeCell ref="B23:D23"/>
    <mergeCell ref="E23:F23"/>
    <mergeCell ref="G23:H23"/>
    <mergeCell ref="W23:X23"/>
    <mergeCell ref="B24:D24"/>
    <mergeCell ref="E24:F24"/>
    <mergeCell ref="G24:H24"/>
    <mergeCell ref="W24:X24"/>
    <mergeCell ref="B25:D25"/>
    <mergeCell ref="E25:F25"/>
    <mergeCell ref="G25:H25"/>
    <mergeCell ref="W25:X25"/>
    <mergeCell ref="B20:D20"/>
    <mergeCell ref="E20:F20"/>
    <mergeCell ref="G20:H20"/>
    <mergeCell ref="W20:X20"/>
    <mergeCell ref="B21:D21"/>
    <mergeCell ref="E21:F21"/>
    <mergeCell ref="G21:H21"/>
    <mergeCell ref="W21:X21"/>
    <mergeCell ref="B22:D22"/>
    <mergeCell ref="E22:F22"/>
    <mergeCell ref="G22:H22"/>
    <mergeCell ref="W22:X22"/>
    <mergeCell ref="B17:D17"/>
    <mergeCell ref="E17:F17"/>
    <mergeCell ref="G17:H17"/>
    <mergeCell ref="W17:X17"/>
    <mergeCell ref="B18:D18"/>
    <mergeCell ref="E18:F18"/>
    <mergeCell ref="G18:H18"/>
    <mergeCell ref="W18:X18"/>
    <mergeCell ref="B19:D19"/>
    <mergeCell ref="E19:F19"/>
    <mergeCell ref="G19:H19"/>
    <mergeCell ref="W19:X19"/>
    <mergeCell ref="B14:D14"/>
    <mergeCell ref="E14:F14"/>
    <mergeCell ref="G14:H14"/>
    <mergeCell ref="W14:X14"/>
    <mergeCell ref="B15:D15"/>
    <mergeCell ref="E15:F15"/>
    <mergeCell ref="G15:H15"/>
    <mergeCell ref="W15:X15"/>
    <mergeCell ref="B16:D16"/>
    <mergeCell ref="E16:F16"/>
    <mergeCell ref="G16:H16"/>
    <mergeCell ref="W16:X16"/>
    <mergeCell ref="B11:D11"/>
    <mergeCell ref="E11:F11"/>
    <mergeCell ref="G11:H11"/>
    <mergeCell ref="W11:X11"/>
    <mergeCell ref="B12:D12"/>
    <mergeCell ref="E12:F12"/>
    <mergeCell ref="G12:H12"/>
    <mergeCell ref="W12:X12"/>
    <mergeCell ref="B13:D13"/>
    <mergeCell ref="E13:F13"/>
    <mergeCell ref="G13:H13"/>
    <mergeCell ref="W13:X13"/>
    <mergeCell ref="B8:D8"/>
    <mergeCell ref="E8:F8"/>
    <mergeCell ref="G8:H8"/>
    <mergeCell ref="W8:X8"/>
    <mergeCell ref="B9:D9"/>
    <mergeCell ref="E9:F9"/>
    <mergeCell ref="G9:H9"/>
    <mergeCell ref="W9:X9"/>
    <mergeCell ref="B10:D10"/>
    <mergeCell ref="E10:F10"/>
    <mergeCell ref="G10:H10"/>
    <mergeCell ref="W10:X10"/>
    <mergeCell ref="B5:D5"/>
    <mergeCell ref="E5:F5"/>
    <mergeCell ref="G5:H5"/>
    <mergeCell ref="W5:X5"/>
    <mergeCell ref="B6:D6"/>
    <mergeCell ref="E6:F6"/>
    <mergeCell ref="G6:H6"/>
    <mergeCell ref="W6:X6"/>
    <mergeCell ref="B7:D7"/>
    <mergeCell ref="E7:F7"/>
    <mergeCell ref="G7:H7"/>
    <mergeCell ref="W7:X7"/>
  </mergeCells>
  <printOptions horizontalCentered="1"/>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xr:uid="{00000000-0002-0000-0300-000000000000}">
          <x14:formula1>
            <xm:f>Projekte!$C$6:$C$11</xm:f>
          </x14:formula1>
          <x14:formula2>
            <xm:f>0</xm:f>
          </x14:formula2>
          <xm:sqref>B6:B50</xm:sqref>
        </x14:dataValidation>
        <x14:dataValidation type="list" allowBlank="1" xr:uid="{00000000-0002-0000-0300-000001000000}">
          <x14:formula1>
            <xm:f>Team!$C$6:$C$14</xm:f>
          </x14:formula1>
          <x14:formula2>
            <xm:f>0</xm:f>
          </x14:formula2>
          <xm:sqref>E6:E50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29"/>
  <sheetViews>
    <sheetView showGridLines="0" zoomScaleNormal="100" workbookViewId="0">
      <pane xSplit="6" ySplit="5" topLeftCell="G6" activePane="bottomRight" state="frozen"/>
      <selection pane="topRight" activeCell="G1" sqref="G1"/>
      <selection pane="bottomLeft" activeCell="A6" sqref="A6"/>
      <selection pane="bottomRight"/>
    </sheetView>
  </sheetViews>
  <sheetFormatPr baseColWidth="10" defaultColWidth="8.7109375" defaultRowHeight="15" x14ac:dyDescent="0.25"/>
  <cols>
    <col min="1" max="1" width="1.5703125" customWidth="1"/>
    <col min="2" max="2" width="6" customWidth="1"/>
    <col min="3" max="5" width="12" customWidth="1"/>
    <col min="6" max="6" width="9" customWidth="1"/>
    <col min="7" max="18" width="5.5703125" customWidth="1"/>
    <col min="19" max="21" width="7" customWidth="1"/>
    <col min="22" max="22" width="8" customWidth="1"/>
    <col min="23" max="23" width="5" customWidth="1"/>
  </cols>
  <sheetData>
    <row r="1" spans="1:23" x14ac:dyDescent="0.25">
      <c r="A1" s="15"/>
    </row>
    <row r="2" spans="1:23" x14ac:dyDescent="0.25">
      <c r="A2" s="15"/>
      <c r="B2" s="16" t="s">
        <v>145</v>
      </c>
    </row>
    <row r="3" spans="1:23" ht="30" customHeight="1" x14ac:dyDescent="0.25">
      <c r="A3" s="15"/>
      <c r="B3" s="19" t="s">
        <v>146</v>
      </c>
    </row>
    <row r="4" spans="1:23" x14ac:dyDescent="0.25">
      <c r="A4" s="15"/>
      <c r="B4" s="21" t="s">
        <v>147</v>
      </c>
    </row>
    <row r="5" spans="1:23" ht="25.5" customHeight="1" x14ac:dyDescent="0.25">
      <c r="A5" s="15"/>
      <c r="B5" s="48" t="s">
        <v>54</v>
      </c>
      <c r="C5" s="66" t="s">
        <v>46</v>
      </c>
      <c r="D5" s="66"/>
      <c r="E5" s="66" t="s">
        <v>57</v>
      </c>
      <c r="F5" s="66"/>
      <c r="G5" s="48" t="s">
        <v>14</v>
      </c>
      <c r="H5" s="48" t="s">
        <v>18</v>
      </c>
      <c r="I5" s="48" t="s">
        <v>19</v>
      </c>
      <c r="J5" s="48" t="s">
        <v>20</v>
      </c>
      <c r="K5" s="48" t="s">
        <v>22</v>
      </c>
      <c r="L5" s="48" t="s">
        <v>23</v>
      </c>
      <c r="M5" s="48" t="s">
        <v>30</v>
      </c>
      <c r="N5" s="48" t="s">
        <v>33</v>
      </c>
      <c r="O5" s="48" t="s">
        <v>35</v>
      </c>
      <c r="P5" s="48" t="s">
        <v>37</v>
      </c>
      <c r="Q5" s="48" t="s">
        <v>39</v>
      </c>
      <c r="R5" s="48" t="s">
        <v>41</v>
      </c>
      <c r="S5" s="33" t="s">
        <v>148</v>
      </c>
      <c r="T5" s="33" t="s">
        <v>149</v>
      </c>
      <c r="U5" s="33" t="s">
        <v>150</v>
      </c>
      <c r="V5" s="76" t="s">
        <v>25</v>
      </c>
      <c r="W5" s="76"/>
    </row>
    <row r="6" spans="1:23" x14ac:dyDescent="0.25">
      <c r="A6" s="15"/>
      <c r="B6" s="34" t="str">
        <f>Team!B6</f>
        <v>TM-01</v>
      </c>
      <c r="C6" s="77" t="str">
        <f>Team!C6</f>
        <v>Carla Vogt</v>
      </c>
      <c r="D6" s="77"/>
      <c r="E6" s="74" t="str">
        <f>Team!G6</f>
        <v>PMO</v>
      </c>
      <c r="F6" s="74"/>
      <c r="G6" s="53">
        <f>IFERROR(SUMIF(Einsatzplanung!$E$6:$E$50,$C6,Einsatzplanung!$I$6:$I$50)/Team!$M$6,0)</f>
        <v>0.75144508670520227</v>
      </c>
      <c r="H6" s="53">
        <f>IFERROR(SUMIF(Einsatzplanung!$E$6:$E$50,$C6,Einsatzplanung!$J$6:$J$50)/Team!$M$6,0)</f>
        <v>0.80924855491329484</v>
      </c>
      <c r="I6" s="53">
        <f>IFERROR(SUMIF(Einsatzplanung!$E$6:$E$50,$C6,Einsatzplanung!$K$6:$K$50)/Team!$M$6,0)</f>
        <v>0.86705202312138729</v>
      </c>
      <c r="J6" s="53">
        <f>IFERROR(SUMIF(Einsatzplanung!$E$6:$E$50,$C6,Einsatzplanung!$L$6:$L$50)/Team!$M$6,0)</f>
        <v>0.75144508670520227</v>
      </c>
      <c r="K6" s="53">
        <f>IFERROR(SUMIF(Einsatzplanung!$E$6:$E$50,$C6,Einsatzplanung!$M$6:$M$50)/Team!$M$6,0)</f>
        <v>0.69364161849710981</v>
      </c>
      <c r="L6" s="53">
        <f>IFERROR(SUMIF(Einsatzplanung!$E$6:$E$50,$C6,Einsatzplanung!$N$6:$N$50)/Team!$M$6,0)</f>
        <v>0.63583815028901736</v>
      </c>
      <c r="M6" s="53">
        <f>IFERROR(SUMIF(Einsatzplanung!$E$6:$E$50,$C6,Einsatzplanung!$O$6:$O$50)/Team!$M$6,0)</f>
        <v>0.46242774566473988</v>
      </c>
      <c r="N6" s="53">
        <f>IFERROR(SUMIF(Einsatzplanung!$E$6:$E$50,$C6,Einsatzplanung!$P$6:$P$50)/Team!$M$6,0)</f>
        <v>0.23121387283236994</v>
      </c>
      <c r="O6" s="53">
        <f>IFERROR(SUMIF(Einsatzplanung!$E$6:$E$50,$C6,Einsatzplanung!$Q$6:$Q$50)/Team!$M$6,0)</f>
        <v>0.40462427745664742</v>
      </c>
      <c r="P6" s="53">
        <f>IFERROR(SUMIF(Einsatzplanung!$E$6:$E$50,$C6,Einsatzplanung!$R$6:$R$50)/Team!$M$6,0)</f>
        <v>0.23121387283236994</v>
      </c>
      <c r="Q6" s="53">
        <f>IFERROR(SUMIF(Einsatzplanung!$E$6:$E$50,$C6,Einsatzplanung!$S$6:$S$50)/Team!$M$6,0)</f>
        <v>0.23121387283236994</v>
      </c>
      <c r="R6" s="53">
        <f>IFERROR(SUMIF(Einsatzplanung!$E$6:$E$50,$C6,Einsatzplanung!$T$6:$T$50)/Team!$M$6,0)</f>
        <v>0.23121387283236994</v>
      </c>
      <c r="S6" s="54">
        <f t="shared" ref="S6:S15" si="0">AVERAGE(G6:R6)</f>
        <v>0.52504816955684019</v>
      </c>
      <c r="T6" s="54">
        <f t="shared" ref="T6:T15" si="1">MAX(G6:R6)</f>
        <v>0.86705202312138729</v>
      </c>
      <c r="U6" s="55">
        <f t="shared" ref="U6:U14" si="2">SUMPRODUCT(--(G6:R6&gt;1))</f>
        <v>0</v>
      </c>
      <c r="V6" s="78" t="str">
        <f t="shared" ref="V6:V14" si="3">IF(U6&gt;0,"Überlastet",IF(S6&gt;=0.85,"Hoch",IF(S6&gt;=0.6,"Solide",IF(S6&gt;0,"Gering","Frei"))))</f>
        <v>Gering</v>
      </c>
      <c r="W6" s="78"/>
    </row>
    <row r="7" spans="1:23" x14ac:dyDescent="0.25">
      <c r="A7" s="15"/>
      <c r="B7" s="34" t="str">
        <f>Team!B7</f>
        <v>TM-02</v>
      </c>
      <c r="C7" s="77" t="str">
        <f>Team!C7</f>
        <v>Mehmet Yıldız</v>
      </c>
      <c r="D7" s="77"/>
      <c r="E7" s="74" t="str">
        <f>Team!G7</f>
        <v>Engineering</v>
      </c>
      <c r="F7" s="74"/>
      <c r="G7" s="53">
        <f>IFERROR(SUMIF(Einsatzplanung!$E$6:$E$50,$C7,Einsatzplanung!$I$6:$I$50)/Team!$M$7,0)</f>
        <v>1.0404624277456647</v>
      </c>
      <c r="H7" s="53">
        <f>IFERROR(SUMIF(Einsatzplanung!$E$6:$E$50,$C7,Einsatzplanung!$J$6:$J$50)/Team!$M$7,0)</f>
        <v>1.1560693641618498</v>
      </c>
      <c r="I7" s="53">
        <f>IFERROR(SUMIF(Einsatzplanung!$E$6:$E$50,$C7,Einsatzplanung!$K$6:$K$50)/Team!$M$7,0)</f>
        <v>1.1560693641618498</v>
      </c>
      <c r="J7" s="53">
        <f>IFERROR(SUMIF(Einsatzplanung!$E$6:$E$50,$C7,Einsatzplanung!$L$6:$L$50)/Team!$M$7,0)</f>
        <v>0.92485549132947975</v>
      </c>
      <c r="K7" s="53">
        <f>IFERROR(SUMIF(Einsatzplanung!$E$6:$E$50,$C7,Einsatzplanung!$M$6:$M$50)/Team!$M$7,0)</f>
        <v>0.75144508670520227</v>
      </c>
      <c r="L7" s="53">
        <f>IFERROR(SUMIF(Einsatzplanung!$E$6:$E$50,$C7,Einsatzplanung!$N$6:$N$50)/Team!$M$7,0)</f>
        <v>0.5780346820809249</v>
      </c>
      <c r="M7" s="53">
        <f>IFERROR(SUMIF(Einsatzplanung!$E$6:$E$50,$C7,Einsatzplanung!$O$6:$O$50)/Team!$M$7,0)</f>
        <v>0.34682080924855491</v>
      </c>
      <c r="N7" s="53">
        <f>IFERROR(SUMIF(Einsatzplanung!$E$6:$E$50,$C7,Einsatzplanung!$P$6:$P$50)/Team!$M$7,0)</f>
        <v>0.23121387283236994</v>
      </c>
      <c r="O7" s="53">
        <f>IFERROR(SUMIF(Einsatzplanung!$E$6:$E$50,$C7,Einsatzplanung!$Q$6:$Q$50)/Team!$M$7,0)</f>
        <v>0.23121387283236994</v>
      </c>
      <c r="P7" s="53">
        <f>IFERROR(SUMIF(Einsatzplanung!$E$6:$E$50,$C7,Einsatzplanung!$R$6:$R$50)/Team!$M$7,0)</f>
        <v>0</v>
      </c>
      <c r="Q7" s="53">
        <f>IFERROR(SUMIF(Einsatzplanung!$E$6:$E$50,$C7,Einsatzplanung!$S$6:$S$50)/Team!$M$7,0)</f>
        <v>0</v>
      </c>
      <c r="R7" s="53">
        <f>IFERROR(SUMIF(Einsatzplanung!$E$6:$E$50,$C7,Einsatzplanung!$T$6:$T$50)/Team!$M$7,0)</f>
        <v>0</v>
      </c>
      <c r="S7" s="54">
        <f t="shared" si="0"/>
        <v>0.53468208092485559</v>
      </c>
      <c r="T7" s="54">
        <f t="shared" si="1"/>
        <v>1.1560693641618498</v>
      </c>
      <c r="U7" s="55">
        <f t="shared" si="2"/>
        <v>3</v>
      </c>
      <c r="V7" s="78" t="str">
        <f t="shared" si="3"/>
        <v>Überlastet</v>
      </c>
      <c r="W7" s="78"/>
    </row>
    <row r="8" spans="1:23" x14ac:dyDescent="0.25">
      <c r="A8" s="15"/>
      <c r="B8" s="34" t="str">
        <f>Team!B8</f>
        <v>TM-03</v>
      </c>
      <c r="C8" s="77" t="str">
        <f>Team!C8</f>
        <v>Julia Brandt</v>
      </c>
      <c r="D8" s="77"/>
      <c r="E8" s="74" t="str">
        <f>Team!G8</f>
        <v>Engineering</v>
      </c>
      <c r="F8" s="74"/>
      <c r="G8" s="53">
        <f>IFERROR(SUMIF(Einsatzplanung!$E$6:$E$50,$C8,Einsatzplanung!$I$6:$I$50)/Team!$M$8,0)</f>
        <v>0.46242774566473988</v>
      </c>
      <c r="H8" s="53">
        <f>IFERROR(SUMIF(Einsatzplanung!$E$6:$E$50,$C8,Einsatzplanung!$J$6:$J$50)/Team!$M$8,0)</f>
        <v>0.80924855491329484</v>
      </c>
      <c r="I8" s="53">
        <f>IFERROR(SUMIF(Einsatzplanung!$E$6:$E$50,$C8,Einsatzplanung!$K$6:$K$50)/Team!$M$8,0)</f>
        <v>0.98265895953757221</v>
      </c>
      <c r="J8" s="53">
        <f>IFERROR(SUMIF(Einsatzplanung!$E$6:$E$50,$C8,Einsatzplanung!$L$6:$L$50)/Team!$M$8,0)</f>
        <v>1.0404624277456647</v>
      </c>
      <c r="K8" s="53">
        <f>IFERROR(SUMIF(Einsatzplanung!$E$6:$E$50,$C8,Einsatzplanung!$M$6:$M$50)/Team!$M$8,0)</f>
        <v>1.0404624277456647</v>
      </c>
      <c r="L8" s="53">
        <f>IFERROR(SUMIF(Einsatzplanung!$E$6:$E$50,$C8,Einsatzplanung!$N$6:$N$50)/Team!$M$8,0)</f>
        <v>0.86705202312138729</v>
      </c>
      <c r="M8" s="53">
        <f>IFERROR(SUMIF(Einsatzplanung!$E$6:$E$50,$C8,Einsatzplanung!$O$6:$O$50)/Team!$M$8,0)</f>
        <v>0.52023121387283233</v>
      </c>
      <c r="N8" s="53">
        <f>IFERROR(SUMIF(Einsatzplanung!$E$6:$E$50,$C8,Einsatzplanung!$P$6:$P$50)/Team!$M$8,0)</f>
        <v>0.23121387283236994</v>
      </c>
      <c r="O8" s="53">
        <f>IFERROR(SUMIF(Einsatzplanung!$E$6:$E$50,$C8,Einsatzplanung!$Q$6:$Q$50)/Team!$M$8,0)</f>
        <v>0.11560693641618497</v>
      </c>
      <c r="P8" s="53">
        <f>IFERROR(SUMIF(Einsatzplanung!$E$6:$E$50,$C8,Einsatzplanung!$R$6:$R$50)/Team!$M$8,0)</f>
        <v>0</v>
      </c>
      <c r="Q8" s="53">
        <f>IFERROR(SUMIF(Einsatzplanung!$E$6:$E$50,$C8,Einsatzplanung!$S$6:$S$50)/Team!$M$8,0)</f>
        <v>0</v>
      </c>
      <c r="R8" s="53">
        <f>IFERROR(SUMIF(Einsatzplanung!$E$6:$E$50,$C8,Einsatzplanung!$T$6:$T$50)/Team!$M$8,0)</f>
        <v>0</v>
      </c>
      <c r="S8" s="54">
        <f t="shared" si="0"/>
        <v>0.5057803468208093</v>
      </c>
      <c r="T8" s="54">
        <f t="shared" si="1"/>
        <v>1.0404624277456647</v>
      </c>
      <c r="U8" s="55">
        <f t="shared" si="2"/>
        <v>2</v>
      </c>
      <c r="V8" s="78" t="str">
        <f t="shared" si="3"/>
        <v>Überlastet</v>
      </c>
      <c r="W8" s="78"/>
    </row>
    <row r="9" spans="1:23" x14ac:dyDescent="0.25">
      <c r="A9" s="15"/>
      <c r="B9" s="34" t="str">
        <f>Team!B9</f>
        <v>TM-04</v>
      </c>
      <c r="C9" s="77" t="str">
        <f>Team!C9</f>
        <v>Felix Horn</v>
      </c>
      <c r="D9" s="77"/>
      <c r="E9" s="74" t="str">
        <f>Team!G9</f>
        <v>Engineering</v>
      </c>
      <c r="F9" s="74"/>
      <c r="G9" s="53">
        <f>IFERROR(SUMIF(Einsatzplanung!$E$6:$E$50,$C9,Einsatzplanung!$I$6:$I$50)/Team!$M$9,0)</f>
        <v>0</v>
      </c>
      <c r="H9" s="53">
        <f>IFERROR(SUMIF(Einsatzplanung!$E$6:$E$50,$C9,Einsatzplanung!$J$6:$J$50)/Team!$M$9,0)</f>
        <v>0.43165467625899279</v>
      </c>
      <c r="I9" s="53">
        <f>IFERROR(SUMIF(Einsatzplanung!$E$6:$E$50,$C9,Einsatzplanung!$K$6:$K$50)/Team!$M$9,0)</f>
        <v>0.57553956834532372</v>
      </c>
      <c r="J9" s="53">
        <f>IFERROR(SUMIF(Einsatzplanung!$E$6:$E$50,$C9,Einsatzplanung!$L$6:$L$50)/Team!$M$9,0)</f>
        <v>0.93525179856115104</v>
      </c>
      <c r="K9" s="53">
        <f>IFERROR(SUMIF(Einsatzplanung!$E$6:$E$50,$C9,Einsatzplanung!$M$6:$M$50)/Team!$M$9,0)</f>
        <v>0.93525179856115104</v>
      </c>
      <c r="L9" s="53">
        <f>IFERROR(SUMIF(Einsatzplanung!$E$6:$E$50,$C9,Einsatzplanung!$N$6:$N$50)/Team!$M$9,0)</f>
        <v>1.0071942446043165</v>
      </c>
      <c r="M9" s="53">
        <f>IFERROR(SUMIF(Einsatzplanung!$E$6:$E$50,$C9,Einsatzplanung!$O$6:$O$50)/Team!$M$9,0)</f>
        <v>1.0071942446043165</v>
      </c>
      <c r="N9" s="53">
        <f>IFERROR(SUMIF(Einsatzplanung!$E$6:$E$50,$C9,Einsatzplanung!$P$6:$P$50)/Team!$M$9,0)</f>
        <v>0.50359712230215825</v>
      </c>
      <c r="O9" s="53">
        <f>IFERROR(SUMIF(Einsatzplanung!$E$6:$E$50,$C9,Einsatzplanung!$Q$6:$Q$50)/Team!$M$9,0)</f>
        <v>0.64748201438848918</v>
      </c>
      <c r="P9" s="53">
        <f>IFERROR(SUMIF(Einsatzplanung!$E$6:$E$50,$C9,Einsatzplanung!$R$6:$R$50)/Team!$M$9,0)</f>
        <v>0.71942446043165464</v>
      </c>
      <c r="Q9" s="53">
        <f>IFERROR(SUMIF(Einsatzplanung!$E$6:$E$50,$C9,Einsatzplanung!$S$6:$S$50)/Team!$M$9,0)</f>
        <v>0.64748201438848918</v>
      </c>
      <c r="R9" s="53">
        <f>IFERROR(SUMIF(Einsatzplanung!$E$6:$E$50,$C9,Einsatzplanung!$T$6:$T$50)/Team!$M$9,0)</f>
        <v>0.43165467625899279</v>
      </c>
      <c r="S9" s="54">
        <f t="shared" si="0"/>
        <v>0.65347721822541971</v>
      </c>
      <c r="T9" s="54">
        <f t="shared" si="1"/>
        <v>1.0071942446043165</v>
      </c>
      <c r="U9" s="55">
        <f t="shared" si="2"/>
        <v>2</v>
      </c>
      <c r="V9" s="78" t="str">
        <f t="shared" si="3"/>
        <v>Überlastet</v>
      </c>
      <c r="W9" s="78"/>
    </row>
    <row r="10" spans="1:23" x14ac:dyDescent="0.25">
      <c r="A10" s="15"/>
      <c r="B10" s="34" t="str">
        <f>Team!B10</f>
        <v>TM-05</v>
      </c>
      <c r="C10" s="77" t="str">
        <f>Team!C10</f>
        <v>Nadia Scholz</v>
      </c>
      <c r="D10" s="77"/>
      <c r="E10" s="74" t="str">
        <f>Team!G10</f>
        <v>Design</v>
      </c>
      <c r="F10" s="74"/>
      <c r="G10" s="53">
        <f>IFERROR(SUMIF(Einsatzplanung!$E$6:$E$50,$C10,Einsatzplanung!$I$6:$I$50)/Team!$M$10,0)</f>
        <v>0.40462427745664742</v>
      </c>
      <c r="H10" s="53">
        <f>IFERROR(SUMIF(Einsatzplanung!$E$6:$E$50,$C10,Einsatzplanung!$J$6:$J$50)/Team!$M$10,0)</f>
        <v>0.69364161849710981</v>
      </c>
      <c r="I10" s="53">
        <f>IFERROR(SUMIF(Einsatzplanung!$E$6:$E$50,$C10,Einsatzplanung!$K$6:$K$50)/Team!$M$10,0)</f>
        <v>0.80924855491329484</v>
      </c>
      <c r="J10" s="53">
        <f>IFERROR(SUMIF(Einsatzplanung!$E$6:$E$50,$C10,Einsatzplanung!$L$6:$L$50)/Team!$M$10,0)</f>
        <v>0.86705202312138729</v>
      </c>
      <c r="K10" s="53">
        <f>IFERROR(SUMIF(Einsatzplanung!$E$6:$E$50,$C10,Einsatzplanung!$M$6:$M$50)/Team!$M$10,0)</f>
        <v>1.0404624277456647</v>
      </c>
      <c r="L10" s="53">
        <f>IFERROR(SUMIF(Einsatzplanung!$E$6:$E$50,$C10,Einsatzplanung!$N$6:$N$50)/Team!$M$10,0)</f>
        <v>0.98265895953757221</v>
      </c>
      <c r="M10" s="53">
        <f>IFERROR(SUMIF(Einsatzplanung!$E$6:$E$50,$C10,Einsatzplanung!$O$6:$O$50)/Team!$M$10,0)</f>
        <v>0.86705202312138729</v>
      </c>
      <c r="N10" s="53">
        <f>IFERROR(SUMIF(Einsatzplanung!$E$6:$E$50,$C10,Einsatzplanung!$P$6:$P$50)/Team!$M$10,0)</f>
        <v>0.40462427745664742</v>
      </c>
      <c r="O10" s="53">
        <f>IFERROR(SUMIF(Einsatzplanung!$E$6:$E$50,$C10,Einsatzplanung!$Q$6:$Q$50)/Team!$M$10,0)</f>
        <v>0.46242774566473988</v>
      </c>
      <c r="P10" s="53">
        <f>IFERROR(SUMIF(Einsatzplanung!$E$6:$E$50,$C10,Einsatzplanung!$R$6:$R$50)/Team!$M$10,0)</f>
        <v>0.40462427745664742</v>
      </c>
      <c r="Q10" s="53">
        <f>IFERROR(SUMIF(Einsatzplanung!$E$6:$E$50,$C10,Einsatzplanung!$S$6:$S$50)/Team!$M$10,0)</f>
        <v>0.28901734104046245</v>
      </c>
      <c r="R10" s="53">
        <f>IFERROR(SUMIF(Einsatzplanung!$E$6:$E$50,$C10,Einsatzplanung!$T$6:$T$50)/Team!$M$10,0)</f>
        <v>0</v>
      </c>
      <c r="S10" s="54">
        <f t="shared" si="0"/>
        <v>0.60211946050096332</v>
      </c>
      <c r="T10" s="54">
        <f t="shared" si="1"/>
        <v>1.0404624277456647</v>
      </c>
      <c r="U10" s="55">
        <f t="shared" si="2"/>
        <v>1</v>
      </c>
      <c r="V10" s="78" t="str">
        <f t="shared" si="3"/>
        <v>Überlastet</v>
      </c>
      <c r="W10" s="78"/>
    </row>
    <row r="11" spans="1:23" x14ac:dyDescent="0.25">
      <c r="A11" s="15"/>
      <c r="B11" s="34" t="str">
        <f>Team!B11</f>
        <v>TM-06</v>
      </c>
      <c r="C11" s="77" t="str">
        <f>Team!C11</f>
        <v>Robert Kraus</v>
      </c>
      <c r="D11" s="77"/>
      <c r="E11" s="74" t="str">
        <f>Team!G11</f>
        <v>Data &amp; Analytics</v>
      </c>
      <c r="F11" s="74"/>
      <c r="G11" s="53">
        <f>IFERROR(SUMIF(Einsatzplanung!$E$6:$E$50,$C11,Einsatzplanung!$I$6:$I$50)/Team!$M$11,0)</f>
        <v>0.34682080924855491</v>
      </c>
      <c r="H11" s="53">
        <f>IFERROR(SUMIF(Einsatzplanung!$E$6:$E$50,$C11,Einsatzplanung!$J$6:$J$50)/Team!$M$11,0)</f>
        <v>0.40462427745664742</v>
      </c>
      <c r="I11" s="53">
        <f>IFERROR(SUMIF(Einsatzplanung!$E$6:$E$50,$C11,Einsatzplanung!$K$6:$K$50)/Team!$M$11,0)</f>
        <v>0.34682080924855491</v>
      </c>
      <c r="J11" s="53">
        <f>IFERROR(SUMIF(Einsatzplanung!$E$6:$E$50,$C11,Einsatzplanung!$L$6:$L$50)/Team!$M$11,0)</f>
        <v>0.92485549132947975</v>
      </c>
      <c r="K11" s="53">
        <f>IFERROR(SUMIF(Einsatzplanung!$E$6:$E$50,$C11,Einsatzplanung!$M$6:$M$50)/Team!$M$11,0)</f>
        <v>0.75144508670520227</v>
      </c>
      <c r="L11" s="53">
        <f>IFERROR(SUMIF(Einsatzplanung!$E$6:$E$50,$C11,Einsatzplanung!$N$6:$N$50)/Team!$M$11,0)</f>
        <v>0.80924855491329484</v>
      </c>
      <c r="M11" s="53">
        <f>IFERROR(SUMIF(Einsatzplanung!$E$6:$E$50,$C11,Einsatzplanung!$O$6:$O$50)/Team!$M$11,0)</f>
        <v>0.75144508670520227</v>
      </c>
      <c r="N11" s="53">
        <f>IFERROR(SUMIF(Einsatzplanung!$E$6:$E$50,$C11,Einsatzplanung!$P$6:$P$50)/Team!$M$11,0)</f>
        <v>0.34682080924855491</v>
      </c>
      <c r="O11" s="53">
        <f>IFERROR(SUMIF(Einsatzplanung!$E$6:$E$50,$C11,Einsatzplanung!$Q$6:$Q$50)/Team!$M$11,0)</f>
        <v>0.69364161849710981</v>
      </c>
      <c r="P11" s="53">
        <f>IFERROR(SUMIF(Einsatzplanung!$E$6:$E$50,$C11,Einsatzplanung!$R$6:$R$50)/Team!$M$11,0)</f>
        <v>0.75144508670520227</v>
      </c>
      <c r="Q11" s="53">
        <f>IFERROR(SUMIF(Einsatzplanung!$E$6:$E$50,$C11,Einsatzplanung!$S$6:$S$50)/Team!$M$11,0)</f>
        <v>0.69364161849710981</v>
      </c>
      <c r="R11" s="53">
        <f>IFERROR(SUMIF(Einsatzplanung!$E$6:$E$50,$C11,Einsatzplanung!$T$6:$T$50)/Team!$M$11,0)</f>
        <v>0.52023121387283233</v>
      </c>
      <c r="S11" s="54">
        <f t="shared" si="0"/>
        <v>0.61175337186897882</v>
      </c>
      <c r="T11" s="54">
        <f t="shared" si="1"/>
        <v>0.92485549132947975</v>
      </c>
      <c r="U11" s="55">
        <f t="shared" si="2"/>
        <v>0</v>
      </c>
      <c r="V11" s="78" t="str">
        <f t="shared" si="3"/>
        <v>Solide</v>
      </c>
      <c r="W11" s="78"/>
    </row>
    <row r="12" spans="1:23" x14ac:dyDescent="0.25">
      <c r="A12" s="15"/>
      <c r="B12" s="34" t="str">
        <f>Team!B12</f>
        <v>TM-07</v>
      </c>
      <c r="C12" s="77" t="str">
        <f>Team!C12</f>
        <v>Elena Petrova</v>
      </c>
      <c r="D12" s="77"/>
      <c r="E12" s="74" t="str">
        <f>Team!G12</f>
        <v>Quality</v>
      </c>
      <c r="F12" s="74"/>
      <c r="G12" s="53">
        <f>IFERROR(SUMIF(Einsatzplanung!$E$6:$E$50,$C12,Einsatzplanung!$I$6:$I$50)/Team!$M$12,0)</f>
        <v>0.25641025641025639</v>
      </c>
      <c r="H12" s="53">
        <f>IFERROR(SUMIF(Einsatzplanung!$E$6:$E$50,$C12,Einsatzplanung!$J$6:$J$50)/Team!$M$12,0)</f>
        <v>0.57692307692307687</v>
      </c>
      <c r="I12" s="53">
        <f>IFERROR(SUMIF(Einsatzplanung!$E$6:$E$50,$C12,Einsatzplanung!$K$6:$K$50)/Team!$M$12,0)</f>
        <v>0.89743589743589747</v>
      </c>
      <c r="J12" s="53">
        <f>IFERROR(SUMIF(Einsatzplanung!$E$6:$E$50,$C12,Einsatzplanung!$L$6:$L$50)/Team!$M$12,0)</f>
        <v>1.0256410256410255</v>
      </c>
      <c r="K12" s="53">
        <f>IFERROR(SUMIF(Einsatzplanung!$E$6:$E$50,$C12,Einsatzplanung!$M$6:$M$50)/Team!$M$12,0)</f>
        <v>0.96153846153846156</v>
      </c>
      <c r="L12" s="53">
        <f>IFERROR(SUMIF(Einsatzplanung!$E$6:$E$50,$C12,Einsatzplanung!$N$6:$N$50)/Team!$M$12,0)</f>
        <v>0.89743589743589747</v>
      </c>
      <c r="M12" s="53">
        <f>IFERROR(SUMIF(Einsatzplanung!$E$6:$E$50,$C12,Einsatzplanung!$O$6:$O$50)/Team!$M$12,0)</f>
        <v>0.70512820512820518</v>
      </c>
      <c r="N12" s="53">
        <f>IFERROR(SUMIF(Einsatzplanung!$E$6:$E$50,$C12,Einsatzplanung!$P$6:$P$50)/Team!$M$12,0)</f>
        <v>0.25641025641025639</v>
      </c>
      <c r="O12" s="53">
        <f>IFERROR(SUMIF(Einsatzplanung!$E$6:$E$50,$C12,Einsatzplanung!$Q$6:$Q$50)/Team!$M$12,0)</f>
        <v>0</v>
      </c>
      <c r="P12" s="53">
        <f>IFERROR(SUMIF(Einsatzplanung!$E$6:$E$50,$C12,Einsatzplanung!$R$6:$R$50)/Team!$M$12,0)</f>
        <v>0</v>
      </c>
      <c r="Q12" s="53">
        <f>IFERROR(SUMIF(Einsatzplanung!$E$6:$E$50,$C12,Einsatzplanung!$S$6:$S$50)/Team!$M$12,0)</f>
        <v>0</v>
      </c>
      <c r="R12" s="53">
        <f>IFERROR(SUMIF(Einsatzplanung!$E$6:$E$50,$C12,Einsatzplanung!$T$6:$T$50)/Team!$M$12,0)</f>
        <v>0</v>
      </c>
      <c r="S12" s="54">
        <f t="shared" si="0"/>
        <v>0.46474358974358981</v>
      </c>
      <c r="T12" s="54">
        <f t="shared" si="1"/>
        <v>1.0256410256410255</v>
      </c>
      <c r="U12" s="55">
        <f t="shared" si="2"/>
        <v>1</v>
      </c>
      <c r="V12" s="78" t="str">
        <f t="shared" si="3"/>
        <v>Überlastet</v>
      </c>
      <c r="W12" s="78"/>
    </row>
    <row r="13" spans="1:23" x14ac:dyDescent="0.25">
      <c r="A13" s="15"/>
      <c r="B13" s="34" t="str">
        <f>Team!B13</f>
        <v>TM-08</v>
      </c>
      <c r="C13" s="77" t="str">
        <f>Team!C13</f>
        <v>Tobias Lang</v>
      </c>
      <c r="D13" s="77"/>
      <c r="E13" s="74" t="str">
        <f>Team!G13</f>
        <v>Platform</v>
      </c>
      <c r="F13" s="74"/>
      <c r="G13" s="53">
        <f>IFERROR(SUMIF(Einsatzplanung!$E$6:$E$50,$C13,Einsatzplanung!$I$6:$I$50)/Team!$M$13,0)</f>
        <v>0.86705202312138729</v>
      </c>
      <c r="H13" s="53">
        <f>IFERROR(SUMIF(Einsatzplanung!$E$6:$E$50,$C13,Einsatzplanung!$J$6:$J$50)/Team!$M$13,0)</f>
        <v>1.0404624277456647</v>
      </c>
      <c r="I13" s="53">
        <f>IFERROR(SUMIF(Einsatzplanung!$E$6:$E$50,$C13,Einsatzplanung!$K$6:$K$50)/Team!$M$13,0)</f>
        <v>1.2138728323699421</v>
      </c>
      <c r="J13" s="53">
        <f>IFERROR(SUMIF(Einsatzplanung!$E$6:$E$50,$C13,Einsatzplanung!$L$6:$L$50)/Team!$M$13,0)</f>
        <v>0.92485549132947975</v>
      </c>
      <c r="K13" s="53">
        <f>IFERROR(SUMIF(Einsatzplanung!$E$6:$E$50,$C13,Einsatzplanung!$M$6:$M$50)/Team!$M$13,0)</f>
        <v>0.75144508670520227</v>
      </c>
      <c r="L13" s="53">
        <f>IFERROR(SUMIF(Einsatzplanung!$E$6:$E$50,$C13,Einsatzplanung!$N$6:$N$50)/Team!$M$13,0)</f>
        <v>0.63583815028901736</v>
      </c>
      <c r="M13" s="53">
        <f>IFERROR(SUMIF(Einsatzplanung!$E$6:$E$50,$C13,Einsatzplanung!$O$6:$O$50)/Team!$M$13,0)</f>
        <v>0.34682080924855491</v>
      </c>
      <c r="N13" s="53">
        <f>IFERROR(SUMIF(Einsatzplanung!$E$6:$E$50,$C13,Einsatzplanung!$P$6:$P$50)/Team!$M$13,0)</f>
        <v>0.23121387283236994</v>
      </c>
      <c r="O13" s="53">
        <f>IFERROR(SUMIF(Einsatzplanung!$E$6:$E$50,$C13,Einsatzplanung!$Q$6:$Q$50)/Team!$M$13,0)</f>
        <v>0.40462427745664742</v>
      </c>
      <c r="P13" s="53">
        <f>IFERROR(SUMIF(Einsatzplanung!$E$6:$E$50,$C13,Einsatzplanung!$R$6:$R$50)/Team!$M$13,0)</f>
        <v>0.46242774566473988</v>
      </c>
      <c r="Q13" s="53">
        <f>IFERROR(SUMIF(Einsatzplanung!$E$6:$E$50,$C13,Einsatzplanung!$S$6:$S$50)/Team!$M$13,0)</f>
        <v>0.40462427745664742</v>
      </c>
      <c r="R13" s="53">
        <f>IFERROR(SUMIF(Einsatzplanung!$E$6:$E$50,$C13,Einsatzplanung!$T$6:$T$50)/Team!$M$13,0)</f>
        <v>0.28901734104046245</v>
      </c>
      <c r="S13" s="54">
        <f t="shared" si="0"/>
        <v>0.63102119460500961</v>
      </c>
      <c r="T13" s="54">
        <f t="shared" si="1"/>
        <v>1.2138728323699421</v>
      </c>
      <c r="U13" s="55">
        <f t="shared" si="2"/>
        <v>2</v>
      </c>
      <c r="V13" s="78" t="str">
        <f t="shared" si="3"/>
        <v>Überlastet</v>
      </c>
      <c r="W13" s="78"/>
    </row>
    <row r="14" spans="1:23" x14ac:dyDescent="0.25">
      <c r="A14" s="15"/>
      <c r="B14" s="34" t="str">
        <f>Team!B14</f>
        <v>TM-09</v>
      </c>
      <c r="C14" s="77" t="str">
        <f>Team!C14</f>
        <v>Hanna Weiß</v>
      </c>
      <c r="D14" s="77"/>
      <c r="E14" s="74" t="str">
        <f>Team!G14</f>
        <v>Marketing</v>
      </c>
      <c r="F14" s="74"/>
      <c r="G14" s="53">
        <f>IFERROR(SUMIF(Einsatzplanung!$E$6:$E$50,$C14,Einsatzplanung!$I$6:$I$50)/Team!$M$14,0)</f>
        <v>0.21582733812949639</v>
      </c>
      <c r="H14" s="53">
        <f>IFERROR(SUMIF(Einsatzplanung!$E$6:$E$50,$C14,Einsatzplanung!$J$6:$J$50)/Team!$M$14,0)</f>
        <v>0.21582733812949639</v>
      </c>
      <c r="I14" s="53">
        <f>IFERROR(SUMIF(Einsatzplanung!$E$6:$E$50,$C14,Einsatzplanung!$K$6:$K$50)/Team!$M$14,0)</f>
        <v>0.21582733812949639</v>
      </c>
      <c r="J14" s="53">
        <f>IFERROR(SUMIF(Einsatzplanung!$E$6:$E$50,$C14,Einsatzplanung!$L$6:$L$50)/Team!$M$14,0)</f>
        <v>0.21582733812949639</v>
      </c>
      <c r="K14" s="53">
        <f>IFERROR(SUMIF(Einsatzplanung!$E$6:$E$50,$C14,Einsatzplanung!$M$6:$M$50)/Team!$M$14,0)</f>
        <v>0.71942446043165464</v>
      </c>
      <c r="L14" s="53">
        <f>IFERROR(SUMIF(Einsatzplanung!$E$6:$E$50,$C14,Einsatzplanung!$N$6:$N$50)/Team!$M$14,0)</f>
        <v>0.86330935251798557</v>
      </c>
      <c r="M14" s="53">
        <f>IFERROR(SUMIF(Einsatzplanung!$E$6:$E$50,$C14,Einsatzplanung!$O$6:$O$50)/Team!$M$14,0)</f>
        <v>0.93525179856115104</v>
      </c>
      <c r="N14" s="53">
        <f>IFERROR(SUMIF(Einsatzplanung!$E$6:$E$50,$C14,Einsatzplanung!$P$6:$P$50)/Team!$M$14,0)</f>
        <v>0.50359712230215825</v>
      </c>
      <c r="O14" s="53">
        <f>IFERROR(SUMIF(Einsatzplanung!$E$6:$E$50,$C14,Einsatzplanung!$Q$6:$Q$50)/Team!$M$14,0)</f>
        <v>1.0071942446043165</v>
      </c>
      <c r="P14" s="53">
        <f>IFERROR(SUMIF(Einsatzplanung!$E$6:$E$50,$C14,Einsatzplanung!$R$6:$R$50)/Team!$M$14,0)</f>
        <v>1.079136690647482</v>
      </c>
      <c r="Q14" s="53">
        <f>IFERROR(SUMIF(Einsatzplanung!$E$6:$E$50,$C14,Einsatzplanung!$S$6:$S$50)/Team!$M$14,0)</f>
        <v>0.93525179856115104</v>
      </c>
      <c r="R14" s="53">
        <f>IFERROR(SUMIF(Einsatzplanung!$E$6:$E$50,$C14,Einsatzplanung!$T$6:$T$50)/Team!$M$14,0)</f>
        <v>0.57553956834532372</v>
      </c>
      <c r="S14" s="54">
        <f t="shared" si="0"/>
        <v>0.6235011990407674</v>
      </c>
      <c r="T14" s="54">
        <f t="shared" si="1"/>
        <v>1.079136690647482</v>
      </c>
      <c r="U14" s="55">
        <f t="shared" si="2"/>
        <v>2</v>
      </c>
      <c r="V14" s="78" t="str">
        <f t="shared" si="3"/>
        <v>Überlastet</v>
      </c>
      <c r="W14" s="78"/>
    </row>
    <row r="15" spans="1:23" x14ac:dyDescent="0.25">
      <c r="A15" s="15"/>
      <c r="B15" s="40"/>
      <c r="C15" s="70" t="s">
        <v>151</v>
      </c>
      <c r="D15" s="70"/>
      <c r="E15" s="40"/>
      <c r="F15" s="40"/>
      <c r="G15" s="56">
        <f>IFERROR(SUM(Einsatzplanung!$I$6:$I$50)/SUM(Team!$M$6:$M$14),0)</f>
        <v>0.50271739130434778</v>
      </c>
      <c r="H15" s="56">
        <f>IFERROR(SUM(Einsatzplanung!$J$6:$J$50)/SUM(Team!$M$6:$M$14),0)</f>
        <v>0.69972826086956519</v>
      </c>
      <c r="I15" s="56">
        <f>IFERROR(SUM(Einsatzplanung!$K$6:$K$50)/SUM(Team!$M$6:$M$14),0)</f>
        <v>0.80163043478260865</v>
      </c>
      <c r="J15" s="56">
        <f>IFERROR(SUM(Einsatzplanung!$L$6:$L$50)/SUM(Team!$M$6:$M$14),0)</f>
        <v>0.85597826086956519</v>
      </c>
      <c r="K15" s="56">
        <f>IFERROR(SUM(Einsatzplanung!$M$6:$M$50)/SUM(Team!$M$6:$M$14),0)</f>
        <v>0.84918478260869568</v>
      </c>
      <c r="L15" s="56">
        <f>IFERROR(SUM(Einsatzplanung!$N$6:$N$50)/SUM(Team!$M$6:$M$14),0)</f>
        <v>0.80163043478260865</v>
      </c>
      <c r="M15" s="56">
        <f>IFERROR(SUM(Einsatzplanung!$O$6:$O$50)/SUM(Team!$M$6:$M$14),0)</f>
        <v>0.64538043478260865</v>
      </c>
      <c r="N15" s="56">
        <f>IFERROR(SUM(Einsatzplanung!$P$6:$P$50)/SUM(Team!$M$6:$M$14),0)</f>
        <v>0.31929347826086957</v>
      </c>
      <c r="O15" s="56">
        <f>IFERROR(SUM(Einsatzplanung!$Q$6:$Q$50)/SUM(Team!$M$6:$M$14),0)</f>
        <v>0.42798913043478259</v>
      </c>
      <c r="P15" s="56">
        <f>IFERROR(SUM(Einsatzplanung!$R$6:$R$50)/SUM(Team!$M$6:$M$14),0)</f>
        <v>0.38722826086956524</v>
      </c>
      <c r="Q15" s="56">
        <f>IFERROR(SUM(Einsatzplanung!$S$6:$S$50)/SUM(Team!$M$6:$M$14),0)</f>
        <v>0.33967391304347827</v>
      </c>
      <c r="R15" s="56">
        <f>IFERROR(SUM(Einsatzplanung!$T$6:$T$50)/SUM(Team!$M$6:$M$14),0)</f>
        <v>0.21739130434782608</v>
      </c>
      <c r="S15" s="56">
        <f t="shared" si="0"/>
        <v>0.57065217391304346</v>
      </c>
      <c r="T15" s="56">
        <f t="shared" si="1"/>
        <v>0.85597826086956519</v>
      </c>
      <c r="U15" s="52">
        <f>SUM(U6:U14)</f>
        <v>13</v>
      </c>
      <c r="V15" s="40"/>
      <c r="W15" s="40"/>
    </row>
    <row r="16" spans="1:23" x14ac:dyDescent="0.25">
      <c r="A16" s="15"/>
    </row>
    <row r="17" spans="1:12" x14ac:dyDescent="0.25">
      <c r="A17" s="15"/>
      <c r="C17" s="57" t="s">
        <v>152</v>
      </c>
      <c r="D17" s="58" t="s">
        <v>153</v>
      </c>
      <c r="E17" s="79" t="s">
        <v>154</v>
      </c>
      <c r="F17" s="79"/>
      <c r="G17" s="59" t="s">
        <v>153</v>
      </c>
      <c r="H17" s="80" t="s">
        <v>155</v>
      </c>
      <c r="I17" s="80"/>
      <c r="J17" s="60" t="s">
        <v>153</v>
      </c>
      <c r="K17" s="81" t="s">
        <v>156</v>
      </c>
      <c r="L17" s="81"/>
    </row>
    <row r="18" spans="1:12" x14ac:dyDescent="0.25">
      <c r="A18" s="15"/>
    </row>
    <row r="19" spans="1:12" x14ac:dyDescent="0.25">
      <c r="A19" s="15"/>
    </row>
    <row r="20" spans="1:12" x14ac:dyDescent="0.25">
      <c r="A20" s="15"/>
    </row>
    <row r="21" spans="1:12" x14ac:dyDescent="0.25">
      <c r="A21" s="15"/>
    </row>
    <row r="22" spans="1:12" x14ac:dyDescent="0.25">
      <c r="A22" s="15"/>
    </row>
    <row r="23" spans="1:12" x14ac:dyDescent="0.25">
      <c r="A23" s="15"/>
    </row>
    <row r="24" spans="1:12" x14ac:dyDescent="0.25">
      <c r="A24" s="15"/>
    </row>
    <row r="25" spans="1:12" x14ac:dyDescent="0.25">
      <c r="A25" s="15"/>
    </row>
    <row r="26" spans="1:12" x14ac:dyDescent="0.25">
      <c r="A26" s="15"/>
    </row>
    <row r="27" spans="1:12" x14ac:dyDescent="0.25">
      <c r="A27" s="15"/>
    </row>
    <row r="28" spans="1:12" x14ac:dyDescent="0.25">
      <c r="A28" s="15"/>
    </row>
    <row r="29" spans="1:12" x14ac:dyDescent="0.25">
      <c r="A29" s="15"/>
    </row>
  </sheetData>
  <mergeCells count="34">
    <mergeCell ref="C15:D15"/>
    <mergeCell ref="E17:F17"/>
    <mergeCell ref="H17:I17"/>
    <mergeCell ref="K17:L17"/>
    <mergeCell ref="C13:D13"/>
    <mergeCell ref="E13:F13"/>
    <mergeCell ref="V13:W13"/>
    <mergeCell ref="C14:D14"/>
    <mergeCell ref="E14:F14"/>
    <mergeCell ref="V14:W14"/>
    <mergeCell ref="C11:D11"/>
    <mergeCell ref="E11:F11"/>
    <mergeCell ref="V11:W11"/>
    <mergeCell ref="C12:D12"/>
    <mergeCell ref="E12:F12"/>
    <mergeCell ref="V12:W12"/>
    <mergeCell ref="C9:D9"/>
    <mergeCell ref="E9:F9"/>
    <mergeCell ref="V9:W9"/>
    <mergeCell ref="C10:D10"/>
    <mergeCell ref="E10:F10"/>
    <mergeCell ref="V10:W10"/>
    <mergeCell ref="C7:D7"/>
    <mergeCell ref="E7:F7"/>
    <mergeCell ref="V7:W7"/>
    <mergeCell ref="C8:D8"/>
    <mergeCell ref="E8:F8"/>
    <mergeCell ref="V8:W8"/>
    <mergeCell ref="C5:D5"/>
    <mergeCell ref="E5:F5"/>
    <mergeCell ref="V5:W5"/>
    <mergeCell ref="C6:D6"/>
    <mergeCell ref="E6:F6"/>
    <mergeCell ref="V6:W6"/>
  </mergeCells>
  <conditionalFormatting sqref="G6:R14">
    <cfRule type="colorScale" priority="2">
      <colorScale>
        <cfvo type="num" val="0"/>
        <cfvo type="num" val="0.85"/>
        <cfvo type="num" val="1.1499999999999999"/>
        <color rgb="FFEEF3FB"/>
        <color rgb="FFCFE8D8"/>
        <color rgb="FFF2C4BB"/>
      </colorScale>
    </cfRule>
    <cfRule type="cellIs" dxfId="4" priority="3" operator="greaterThan">
      <formula>1</formula>
    </cfRule>
  </conditionalFormatting>
  <conditionalFormatting sqref="V6:V14">
    <cfRule type="expression" dxfId="3" priority="4">
      <formula>$V6="Überlastet"</formula>
    </cfRule>
    <cfRule type="expression" dxfId="2" priority="5">
      <formula>$V6="Hoch"</formula>
    </cfRule>
    <cfRule type="expression" dxfId="1" priority="6">
      <formula>$V6="Solide"</formula>
    </cfRule>
    <cfRule type="expression" dxfId="0" priority="7">
      <formula>$V6="Gering"</formula>
    </cfRule>
  </conditionalFormatting>
  <printOptions horizontalCentered="1"/>
  <pageMargins left="0.75" right="0.75" top="1" bottom="1" header="0.511811023622047" footer="0.511811023622047"/>
  <pageSetup fitToHeight="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7"/>
  <sheetViews>
    <sheetView showGridLines="0" zoomScaleNormal="100" workbookViewId="0"/>
  </sheetViews>
  <sheetFormatPr baseColWidth="10" defaultColWidth="8.7109375" defaultRowHeight="15" x14ac:dyDescent="0.25"/>
  <cols>
    <col min="1" max="1" width="1.5703125" customWidth="1"/>
    <col min="2" max="2" width="20" customWidth="1"/>
    <col min="3" max="12" width="11" customWidth="1"/>
  </cols>
  <sheetData>
    <row r="1" spans="1:12" x14ac:dyDescent="0.25">
      <c r="A1" s="15"/>
    </row>
    <row r="2" spans="1:12" x14ac:dyDescent="0.25">
      <c r="A2" s="15"/>
      <c r="B2" s="16" t="s">
        <v>157</v>
      </c>
    </row>
    <row r="3" spans="1:12" ht="30" customHeight="1" x14ac:dyDescent="0.25">
      <c r="A3" s="15"/>
      <c r="B3" s="19" t="s">
        <v>158</v>
      </c>
    </row>
    <row r="4" spans="1:12" x14ac:dyDescent="0.25">
      <c r="A4" s="15"/>
      <c r="B4" s="21" t="s">
        <v>159</v>
      </c>
    </row>
    <row r="5" spans="1:12" x14ac:dyDescent="0.25">
      <c r="A5" s="15"/>
    </row>
    <row r="6" spans="1:12" x14ac:dyDescent="0.25">
      <c r="A6" s="15"/>
    </row>
    <row r="7" spans="1:12" x14ac:dyDescent="0.25">
      <c r="A7" s="15"/>
      <c r="B7" s="61" t="s">
        <v>160</v>
      </c>
    </row>
    <row r="8" spans="1:12" ht="30" customHeight="1" x14ac:dyDescent="0.25">
      <c r="A8" s="15"/>
      <c r="B8" s="82" t="s">
        <v>161</v>
      </c>
      <c r="C8" s="82"/>
      <c r="D8" s="82"/>
      <c r="E8" s="82"/>
      <c r="F8" s="82"/>
      <c r="G8" s="82"/>
      <c r="H8" s="82"/>
      <c r="I8" s="82"/>
      <c r="J8" s="82"/>
      <c r="K8" s="82"/>
      <c r="L8" s="82"/>
    </row>
    <row r="9" spans="1:12" x14ac:dyDescent="0.25">
      <c r="A9" s="15"/>
    </row>
    <row r="10" spans="1:12" x14ac:dyDescent="0.25">
      <c r="A10" s="15"/>
      <c r="B10" s="61" t="s">
        <v>162</v>
      </c>
    </row>
    <row r="11" spans="1:12" ht="30" customHeight="1" x14ac:dyDescent="0.25">
      <c r="A11" s="15"/>
      <c r="B11" s="82" t="s">
        <v>163</v>
      </c>
      <c r="C11" s="82"/>
      <c r="D11" s="82"/>
      <c r="E11" s="82"/>
      <c r="F11" s="82"/>
      <c r="G11" s="82"/>
      <c r="H11" s="82"/>
      <c r="I11" s="82"/>
      <c r="J11" s="82"/>
      <c r="K11" s="82"/>
      <c r="L11" s="82"/>
    </row>
    <row r="12" spans="1:12" x14ac:dyDescent="0.25">
      <c r="A12" s="15"/>
    </row>
    <row r="13" spans="1:12" x14ac:dyDescent="0.25">
      <c r="A13" s="15"/>
      <c r="B13" s="61" t="s">
        <v>164</v>
      </c>
    </row>
    <row r="14" spans="1:12" ht="30" customHeight="1" x14ac:dyDescent="0.25">
      <c r="A14" s="15"/>
      <c r="B14" s="82" t="s">
        <v>165</v>
      </c>
      <c r="C14" s="82"/>
      <c r="D14" s="82"/>
      <c r="E14" s="82"/>
      <c r="F14" s="82"/>
      <c r="G14" s="82"/>
      <c r="H14" s="82"/>
      <c r="I14" s="82"/>
      <c r="J14" s="82"/>
      <c r="K14" s="82"/>
      <c r="L14" s="82"/>
    </row>
    <row r="15" spans="1:12" x14ac:dyDescent="0.25">
      <c r="A15" s="15"/>
    </row>
    <row r="16" spans="1:12" x14ac:dyDescent="0.25">
      <c r="A16" s="15"/>
      <c r="B16" s="61" t="s">
        <v>166</v>
      </c>
    </row>
    <row r="17" spans="1:12" ht="30" customHeight="1" x14ac:dyDescent="0.25">
      <c r="A17" s="15"/>
      <c r="B17" s="82" t="s">
        <v>167</v>
      </c>
      <c r="C17" s="82"/>
      <c r="D17" s="82"/>
      <c r="E17" s="82"/>
      <c r="F17" s="82"/>
      <c r="G17" s="82"/>
      <c r="H17" s="82"/>
      <c r="I17" s="82"/>
      <c r="J17" s="82"/>
      <c r="K17" s="82"/>
      <c r="L17" s="82"/>
    </row>
    <row r="18" spans="1:12" x14ac:dyDescent="0.25">
      <c r="A18" s="15"/>
    </row>
    <row r="19" spans="1:12" x14ac:dyDescent="0.25">
      <c r="A19" s="15"/>
      <c r="B19" s="61" t="s">
        <v>168</v>
      </c>
    </row>
    <row r="20" spans="1:12" ht="30" customHeight="1" x14ac:dyDescent="0.25">
      <c r="A20" s="15"/>
      <c r="B20" s="82" t="s">
        <v>169</v>
      </c>
      <c r="C20" s="82"/>
      <c r="D20" s="82"/>
      <c r="E20" s="82"/>
      <c r="F20" s="82"/>
      <c r="G20" s="82"/>
      <c r="H20" s="82"/>
      <c r="I20" s="82"/>
      <c r="J20" s="82"/>
      <c r="K20" s="82"/>
      <c r="L20" s="82"/>
    </row>
    <row r="21" spans="1:12" x14ac:dyDescent="0.25">
      <c r="A21" s="15"/>
    </row>
    <row r="22" spans="1:12" x14ac:dyDescent="0.25">
      <c r="A22" s="15"/>
      <c r="B22" s="61" t="s">
        <v>170</v>
      </c>
    </row>
    <row r="23" spans="1:12" ht="18" customHeight="1" x14ac:dyDescent="0.25">
      <c r="A23" s="15"/>
      <c r="B23" s="82" t="s">
        <v>171</v>
      </c>
      <c r="C23" s="82"/>
      <c r="D23" s="82"/>
      <c r="E23" s="82"/>
      <c r="F23" s="82"/>
      <c r="G23" s="82"/>
      <c r="H23" s="82"/>
      <c r="I23" s="82"/>
      <c r="J23" s="82"/>
      <c r="K23" s="82"/>
      <c r="L23" s="82"/>
    </row>
    <row r="24" spans="1:12" ht="18" customHeight="1" x14ac:dyDescent="0.25">
      <c r="A24" s="15"/>
      <c r="B24" s="82" t="s">
        <v>172</v>
      </c>
      <c r="C24" s="82"/>
      <c r="D24" s="82"/>
      <c r="E24" s="82"/>
      <c r="F24" s="82"/>
      <c r="G24" s="82"/>
      <c r="H24" s="82"/>
      <c r="I24" s="82"/>
      <c r="J24" s="82"/>
      <c r="K24" s="82"/>
      <c r="L24" s="82"/>
    </row>
    <row r="25" spans="1:12" ht="18" customHeight="1" x14ac:dyDescent="0.25">
      <c r="A25" s="15"/>
      <c r="B25" s="82" t="s">
        <v>173</v>
      </c>
      <c r="C25" s="82"/>
      <c r="D25" s="82"/>
      <c r="E25" s="82"/>
      <c r="F25" s="82"/>
      <c r="G25" s="82"/>
      <c r="H25" s="82"/>
      <c r="I25" s="82"/>
      <c r="J25" s="82"/>
      <c r="K25" s="82"/>
      <c r="L25" s="82"/>
    </row>
    <row r="26" spans="1:12" ht="18" customHeight="1" x14ac:dyDescent="0.25">
      <c r="A26" s="15"/>
      <c r="B26" s="82" t="s">
        <v>174</v>
      </c>
      <c r="C26" s="82"/>
      <c r="D26" s="82"/>
      <c r="E26" s="82"/>
      <c r="F26" s="82"/>
      <c r="G26" s="82"/>
      <c r="H26" s="82"/>
      <c r="I26" s="82"/>
      <c r="J26" s="82"/>
      <c r="K26" s="82"/>
      <c r="L26" s="82"/>
    </row>
    <row r="27" spans="1:12" x14ac:dyDescent="0.25">
      <c r="A27" s="15"/>
    </row>
    <row r="28" spans="1:12" x14ac:dyDescent="0.25">
      <c r="A28" s="15"/>
      <c r="B28" s="62" t="s">
        <v>175</v>
      </c>
      <c r="C28" s="63" t="s">
        <v>176</v>
      </c>
      <c r="D28" s="64" t="s">
        <v>177</v>
      </c>
    </row>
    <row r="29" spans="1:12" x14ac:dyDescent="0.25">
      <c r="A29" s="15"/>
    </row>
    <row r="30" spans="1:12" x14ac:dyDescent="0.25">
      <c r="A30" s="15"/>
    </row>
    <row r="31" spans="1:12" x14ac:dyDescent="0.25">
      <c r="A31" s="15"/>
    </row>
    <row r="32" spans="1:12" x14ac:dyDescent="0.25">
      <c r="A32" s="15"/>
    </row>
    <row r="33" spans="1:1" x14ac:dyDescent="0.25">
      <c r="A33" s="15"/>
    </row>
    <row r="34" spans="1:1" x14ac:dyDescent="0.25">
      <c r="A34" s="15"/>
    </row>
    <row r="35" spans="1:1" x14ac:dyDescent="0.25">
      <c r="A35" s="15"/>
    </row>
    <row r="36" spans="1:1" x14ac:dyDescent="0.25">
      <c r="A36" s="15"/>
    </row>
    <row r="37" spans="1:1" x14ac:dyDescent="0.25">
      <c r="A37" s="15"/>
    </row>
    <row r="38" spans="1:1" x14ac:dyDescent="0.25">
      <c r="A38" s="15"/>
    </row>
    <row r="39" spans="1:1" x14ac:dyDescent="0.25">
      <c r="A39" s="15"/>
    </row>
    <row r="40" spans="1:1" x14ac:dyDescent="0.25">
      <c r="A40" s="15"/>
    </row>
    <row r="41" spans="1:1" x14ac:dyDescent="0.25">
      <c r="A41" s="15"/>
    </row>
    <row r="42" spans="1:1" x14ac:dyDescent="0.25">
      <c r="A42" s="15"/>
    </row>
    <row r="43" spans="1:1" x14ac:dyDescent="0.25">
      <c r="A43" s="15"/>
    </row>
    <row r="44" spans="1:1" x14ac:dyDescent="0.25">
      <c r="A44" s="15"/>
    </row>
    <row r="45" spans="1:1" x14ac:dyDescent="0.25">
      <c r="A45" s="15"/>
    </row>
    <row r="46" spans="1:1" x14ac:dyDescent="0.25">
      <c r="A46" s="15"/>
    </row>
    <row r="47" spans="1:1" x14ac:dyDescent="0.25">
      <c r="A47" s="15"/>
    </row>
  </sheetData>
  <mergeCells count="9">
    <mergeCell ref="B23:L23"/>
    <mergeCell ref="B24:L24"/>
    <mergeCell ref="B25:L25"/>
    <mergeCell ref="B26:L26"/>
    <mergeCell ref="B8:L8"/>
    <mergeCell ref="B11:L11"/>
    <mergeCell ref="B14:L14"/>
    <mergeCell ref="B17:L17"/>
    <mergeCell ref="B20:L20"/>
  </mergeCells>
  <printOptions horizontalCentered="1"/>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Cockpit</vt:lpstr>
      <vt:lpstr>Team</vt:lpstr>
      <vt:lpstr>Projekte</vt:lpstr>
      <vt:lpstr>Einsatzplanung</vt:lpstr>
      <vt:lpstr>Auslastung</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2026-10-17T09:25:04Z</dcterms:created>
  <dcterms:modified xsi:type="dcterms:W3CDTF">2026-10-17T17:23:12Z</dcterms:modified>
  <dc:language>en-US</dc:language>
</cp:coreProperties>
</file>