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E397D858-32BF-406E-828F-3555B6237685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Übersicht" sheetId="1" r:id="rId1"/>
    <sheet name="Ressourcen" sheetId="2" r:id="rId2"/>
    <sheet name="Projekteinsatz" sheetId="3" r:id="rId3"/>
    <sheet name="Kapazitätsplanung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3" i="4" l="1"/>
  <c r="B13" i="4"/>
  <c r="P13" i="4" s="1"/>
  <c r="A13" i="4"/>
  <c r="C12" i="4"/>
  <c r="B12" i="4"/>
  <c r="P12" i="4" s="1"/>
  <c r="A12" i="4"/>
  <c r="C11" i="4"/>
  <c r="B11" i="4"/>
  <c r="P11" i="4" s="1"/>
  <c r="A11" i="4"/>
  <c r="N10" i="4"/>
  <c r="F10" i="4"/>
  <c r="E10" i="4"/>
  <c r="D10" i="4"/>
  <c r="C10" i="4"/>
  <c r="B10" i="4"/>
  <c r="P10" i="4" s="1"/>
  <c r="A10" i="4"/>
  <c r="O9" i="4"/>
  <c r="G9" i="4"/>
  <c r="F9" i="4"/>
  <c r="E9" i="4"/>
  <c r="D9" i="4"/>
  <c r="C9" i="4"/>
  <c r="B9" i="4"/>
  <c r="P9" i="4" s="1"/>
  <c r="A9" i="4"/>
  <c r="P8" i="4"/>
  <c r="H8" i="4"/>
  <c r="G8" i="4"/>
  <c r="F8" i="4"/>
  <c r="E8" i="4"/>
  <c r="C8" i="4"/>
  <c r="B8" i="4"/>
  <c r="O8" i="4" s="1"/>
  <c r="A8" i="4"/>
  <c r="I7" i="4"/>
  <c r="H7" i="4"/>
  <c r="G7" i="4"/>
  <c r="F7" i="4"/>
  <c r="C7" i="4"/>
  <c r="B7" i="4"/>
  <c r="P7" i="4" s="1"/>
  <c r="A7" i="4"/>
  <c r="J6" i="4"/>
  <c r="I6" i="4"/>
  <c r="H6" i="4"/>
  <c r="G6" i="4"/>
  <c r="C6" i="4"/>
  <c r="B6" i="4"/>
  <c r="P6" i="4" s="1"/>
  <c r="A6" i="4"/>
  <c r="G79" i="3"/>
  <c r="F79" i="3"/>
  <c r="G78" i="3"/>
  <c r="F78" i="3"/>
  <c r="G77" i="3"/>
  <c r="F77" i="3"/>
  <c r="G76" i="3"/>
  <c r="F76" i="3"/>
  <c r="G75" i="3"/>
  <c r="F75" i="3"/>
  <c r="G74" i="3"/>
  <c r="F74" i="3"/>
  <c r="G73" i="3"/>
  <c r="F73" i="3"/>
  <c r="G72" i="3"/>
  <c r="F72" i="3"/>
  <c r="G71" i="3"/>
  <c r="F71" i="3"/>
  <c r="G70" i="3"/>
  <c r="F70" i="3"/>
  <c r="G69" i="3"/>
  <c r="F69" i="3"/>
  <c r="G68" i="3"/>
  <c r="F68" i="3"/>
  <c r="G67" i="3"/>
  <c r="F67" i="3"/>
  <c r="G66" i="3"/>
  <c r="F66" i="3"/>
  <c r="G65" i="3"/>
  <c r="F65" i="3"/>
  <c r="G64" i="3"/>
  <c r="F64" i="3"/>
  <c r="G63" i="3"/>
  <c r="F63" i="3"/>
  <c r="G62" i="3"/>
  <c r="F62" i="3"/>
  <c r="G61" i="3"/>
  <c r="F61" i="3"/>
  <c r="G60" i="3"/>
  <c r="F60" i="3"/>
  <c r="G59" i="3"/>
  <c r="F59" i="3"/>
  <c r="G58" i="3"/>
  <c r="F58" i="3"/>
  <c r="G57" i="3"/>
  <c r="F57" i="3"/>
  <c r="G56" i="3"/>
  <c r="F56" i="3"/>
  <c r="G55" i="3"/>
  <c r="F55" i="3"/>
  <c r="G54" i="3"/>
  <c r="F54" i="3"/>
  <c r="G53" i="3"/>
  <c r="F53" i="3"/>
  <c r="G52" i="3"/>
  <c r="F52" i="3"/>
  <c r="G51" i="3"/>
  <c r="F51" i="3"/>
  <c r="G50" i="3"/>
  <c r="F50" i="3"/>
  <c r="G49" i="3"/>
  <c r="F49" i="3"/>
  <c r="G48" i="3"/>
  <c r="F48" i="3"/>
  <c r="G47" i="3"/>
  <c r="F47" i="3"/>
  <c r="G46" i="3"/>
  <c r="F46" i="3"/>
  <c r="G45" i="3"/>
  <c r="F45" i="3"/>
  <c r="G44" i="3"/>
  <c r="F44" i="3"/>
  <c r="G43" i="3"/>
  <c r="F43" i="3"/>
  <c r="G42" i="3"/>
  <c r="F42" i="3"/>
  <c r="G41" i="3"/>
  <c r="F41" i="3"/>
  <c r="G40" i="3"/>
  <c r="F40" i="3"/>
  <c r="F39" i="3"/>
  <c r="G39" i="3" s="1"/>
  <c r="G38" i="3"/>
  <c r="F38" i="3"/>
  <c r="F37" i="3"/>
  <c r="G37" i="3" s="1"/>
  <c r="F36" i="3"/>
  <c r="G36" i="3" s="1"/>
  <c r="F35" i="3"/>
  <c r="G35" i="3" s="1"/>
  <c r="F34" i="3"/>
  <c r="G34" i="3" s="1"/>
  <c r="F33" i="3"/>
  <c r="G33" i="3" s="1"/>
  <c r="F32" i="3"/>
  <c r="G32" i="3" s="1"/>
  <c r="F31" i="3"/>
  <c r="G31" i="3" s="1"/>
  <c r="F30" i="3"/>
  <c r="G30" i="3" s="1"/>
  <c r="F29" i="3"/>
  <c r="G29" i="3" s="1"/>
  <c r="G28" i="3"/>
  <c r="F28" i="3"/>
  <c r="F27" i="3"/>
  <c r="G27" i="3" s="1"/>
  <c r="H23" i="1" s="1"/>
  <c r="F26" i="3"/>
  <c r="G26" i="3" s="1"/>
  <c r="F25" i="3"/>
  <c r="G25" i="3" s="1"/>
  <c r="F24" i="3"/>
  <c r="G24" i="3" s="1"/>
  <c r="F23" i="3"/>
  <c r="G23" i="3" s="1"/>
  <c r="F22" i="3"/>
  <c r="G22" i="3" s="1"/>
  <c r="F21" i="3"/>
  <c r="G21" i="3" s="1"/>
  <c r="F20" i="3"/>
  <c r="G20" i="3" s="1"/>
  <c r="F19" i="3"/>
  <c r="G19" i="3" s="1"/>
  <c r="G18" i="3"/>
  <c r="F18" i="3"/>
  <c r="F17" i="3"/>
  <c r="G17" i="3" s="1"/>
  <c r="F16" i="3"/>
  <c r="G16" i="3" s="1"/>
  <c r="F15" i="3"/>
  <c r="G15" i="3" s="1"/>
  <c r="F14" i="3"/>
  <c r="G14" i="3" s="1"/>
  <c r="F13" i="3"/>
  <c r="G13" i="3" s="1"/>
  <c r="F12" i="3"/>
  <c r="G12" i="3" s="1"/>
  <c r="H21" i="1" s="1"/>
  <c r="F11" i="3"/>
  <c r="G11" i="3" s="1"/>
  <c r="F10" i="3"/>
  <c r="G10" i="3" s="1"/>
  <c r="H24" i="1" s="1"/>
  <c r="F9" i="3"/>
  <c r="G9" i="3" s="1"/>
  <c r="F8" i="3"/>
  <c r="G8" i="3" s="1"/>
  <c r="F7" i="3"/>
  <c r="G7" i="3" s="1"/>
  <c r="F6" i="3"/>
  <c r="G6" i="3" s="1"/>
  <c r="I13" i="2"/>
  <c r="F13" i="2"/>
  <c r="H12" i="2"/>
  <c r="D13" i="4" s="1"/>
  <c r="H11" i="2"/>
  <c r="D12" i="4" s="1"/>
  <c r="H10" i="2"/>
  <c r="F33" i="1" s="1"/>
  <c r="H9" i="2"/>
  <c r="H8" i="2"/>
  <c r="F34" i="1" s="1"/>
  <c r="H7" i="2"/>
  <c r="D8" i="4" s="1"/>
  <c r="H6" i="2"/>
  <c r="H11" i="1" s="1"/>
  <c r="H5" i="2"/>
  <c r="D6" i="4" s="1"/>
  <c r="F24" i="1"/>
  <c r="F23" i="1"/>
  <c r="F22" i="1"/>
  <c r="F21" i="1"/>
  <c r="F20" i="1"/>
  <c r="F25" i="1" s="1"/>
  <c r="K11" i="1"/>
  <c r="E11" i="1"/>
  <c r="B11" i="1"/>
  <c r="R6" i="4" l="1"/>
  <c r="R8" i="4"/>
  <c r="H20" i="1"/>
  <c r="H15" i="1"/>
  <c r="K15" i="1" s="1"/>
  <c r="H32" i="1"/>
  <c r="K32" i="1" s="1"/>
  <c r="H22" i="1"/>
  <c r="K22" i="1" s="1"/>
  <c r="R12" i="4"/>
  <c r="R13" i="4"/>
  <c r="P14" i="4"/>
  <c r="H40" i="1"/>
  <c r="E6" i="4"/>
  <c r="D7" i="4"/>
  <c r="F29" i="1"/>
  <c r="F6" i="4"/>
  <c r="E7" i="4"/>
  <c r="D11" i="4"/>
  <c r="E11" i="4"/>
  <c r="H13" i="2"/>
  <c r="K6" i="4"/>
  <c r="J7" i="4"/>
  <c r="J14" i="4" s="1"/>
  <c r="I8" i="4"/>
  <c r="H9" i="4"/>
  <c r="T9" i="4" s="1"/>
  <c r="G10" i="4"/>
  <c r="H31" i="1" s="1"/>
  <c r="K31" i="1" s="1"/>
  <c r="F11" i="4"/>
  <c r="E12" i="4"/>
  <c r="F31" i="1"/>
  <c r="L6" i="4"/>
  <c r="K7" i="4"/>
  <c r="J8" i="4"/>
  <c r="Q8" i="4" s="1"/>
  <c r="I9" i="4"/>
  <c r="Q9" i="4" s="1"/>
  <c r="H10" i="4"/>
  <c r="S10" i="4" s="1"/>
  <c r="G11" i="4"/>
  <c r="F12" i="4"/>
  <c r="U12" i="4" s="1"/>
  <c r="E13" i="4"/>
  <c r="G14" i="4"/>
  <c r="F38" i="1"/>
  <c r="M6" i="4"/>
  <c r="L7" i="4"/>
  <c r="K8" i="4"/>
  <c r="T8" i="4" s="1"/>
  <c r="J9" i="4"/>
  <c r="H34" i="1" s="1"/>
  <c r="K34" i="1" s="1"/>
  <c r="I10" i="4"/>
  <c r="H11" i="4"/>
  <c r="G12" i="4"/>
  <c r="F13" i="4"/>
  <c r="N6" i="4"/>
  <c r="M7" i="4"/>
  <c r="L8" i="4"/>
  <c r="K9" i="4"/>
  <c r="J10" i="4"/>
  <c r="I11" i="4"/>
  <c r="H12" i="4"/>
  <c r="G13" i="4"/>
  <c r="F37" i="1"/>
  <c r="O6" i="4"/>
  <c r="N7" i="4"/>
  <c r="M8" i="4"/>
  <c r="L9" i="4"/>
  <c r="S9" i="4" s="1"/>
  <c r="K10" i="4"/>
  <c r="Q10" i="4" s="1"/>
  <c r="J11" i="4"/>
  <c r="I12" i="4"/>
  <c r="H13" i="4"/>
  <c r="F32" i="1"/>
  <c r="F39" i="1"/>
  <c r="O7" i="4"/>
  <c r="N8" i="4"/>
  <c r="M9" i="4"/>
  <c r="L10" i="4"/>
  <c r="K11" i="4"/>
  <c r="J12" i="4"/>
  <c r="I13" i="4"/>
  <c r="I14" i="4" s="1"/>
  <c r="N9" i="4"/>
  <c r="M10" i="4"/>
  <c r="L11" i="4"/>
  <c r="K12" i="4"/>
  <c r="S12" i="4" s="1"/>
  <c r="J13" i="4"/>
  <c r="M11" i="4"/>
  <c r="L12" i="4"/>
  <c r="K13" i="4"/>
  <c r="F36" i="1"/>
  <c r="F40" i="1"/>
  <c r="O10" i="4"/>
  <c r="N11" i="4"/>
  <c r="M12" i="4"/>
  <c r="L13" i="4"/>
  <c r="O11" i="4"/>
  <c r="N12" i="4"/>
  <c r="M13" i="4"/>
  <c r="R9" i="4"/>
  <c r="O12" i="4"/>
  <c r="N13" i="4"/>
  <c r="R10" i="4"/>
  <c r="O13" i="4"/>
  <c r="F30" i="1"/>
  <c r="F35" i="1"/>
  <c r="H25" i="1" l="1"/>
  <c r="K25" i="1" s="1"/>
  <c r="K20" i="1"/>
  <c r="K23" i="1"/>
  <c r="S8" i="4"/>
  <c r="S11" i="4"/>
  <c r="R11" i="4"/>
  <c r="U11" i="4"/>
  <c r="L14" i="4"/>
  <c r="H36" i="1"/>
  <c r="K36" i="1" s="1"/>
  <c r="K40" i="1"/>
  <c r="U8" i="4"/>
  <c r="O14" i="4"/>
  <c r="H39" i="1"/>
  <c r="K39" i="1" s="1"/>
  <c r="K21" i="1"/>
  <c r="N14" i="4"/>
  <c r="H38" i="1"/>
  <c r="K38" i="1" s="1"/>
  <c r="U10" i="4"/>
  <c r="Q7" i="4"/>
  <c r="T7" i="4"/>
  <c r="U7" i="4"/>
  <c r="S7" i="4"/>
  <c r="R7" i="4"/>
  <c r="H33" i="1"/>
  <c r="K33" i="1" s="1"/>
  <c r="H14" i="4"/>
  <c r="Q12" i="4"/>
  <c r="T12" i="4"/>
  <c r="D14" i="4"/>
  <c r="K14" i="4"/>
  <c r="H35" i="1"/>
  <c r="K35" i="1" s="1"/>
  <c r="H30" i="1"/>
  <c r="K30" i="1" s="1"/>
  <c r="F14" i="4"/>
  <c r="T6" i="4"/>
  <c r="Q6" i="4"/>
  <c r="E14" i="4"/>
  <c r="H29" i="1"/>
  <c r="K29" i="1" s="1"/>
  <c r="S6" i="4"/>
  <c r="Q13" i="4"/>
  <c r="T13" i="4"/>
  <c r="U9" i="4"/>
  <c r="S13" i="4"/>
  <c r="U13" i="4" s="1"/>
  <c r="T11" i="4"/>
  <c r="Q11" i="4"/>
  <c r="T10" i="4"/>
  <c r="R14" i="4"/>
  <c r="M14" i="4"/>
  <c r="H37" i="1"/>
  <c r="K37" i="1" s="1"/>
  <c r="K24" i="1"/>
  <c r="Q14" i="4" l="1"/>
  <c r="S14" i="4"/>
  <c r="B15" i="1"/>
  <c r="T14" i="4"/>
  <c r="E15" i="1"/>
  <c r="U6" i="4"/>
</calcChain>
</file>

<file path=xl/sharedStrings.xml><?xml version="1.0" encoding="utf-8"?>
<sst xmlns="http://schemas.openxmlformats.org/spreadsheetml/2006/main" count="365" uniqueCount="160">
  <si>
    <t>RESSOURCENPLANUNG 2027</t>
  </si>
  <si>
    <t>Kapazitäts- und Einsatzplanung · Jahresübersicht</t>
  </si>
  <si>
    <t>Unternehmen:</t>
  </si>
  <si>
    <t>Musterfirma GmbH</t>
  </si>
  <si>
    <t>Planungsjahr:</t>
  </si>
  <si>
    <t>Budget (€):</t>
  </si>
  <si>
    <t>KENNZAHLEN IM ÜBERBLICK</t>
  </si>
  <si>
    <t>Anzahl Ressourcen</t>
  </si>
  <si>
    <t>Anzahl Projekte</t>
  </si>
  <si>
    <t>Gesamtkapazität p.a. (h)</t>
  </si>
  <si>
    <t>Verplante Stunden p.a. (h)</t>
  </si>
  <si>
    <t>Ø Auslastung (gepl. Monate)</t>
  </si>
  <si>
    <t>Überlastete Ress.-Monate</t>
  </si>
  <si>
    <t>Geplante Kosten gesamt (€)</t>
  </si>
  <si>
    <t>Restbudget (€)</t>
  </si>
  <si>
    <t>PROJEKTAUSWERTUNG</t>
  </si>
  <si>
    <t>Projekt</t>
  </si>
  <si>
    <t>Geplante Stunden</t>
  </si>
  <si>
    <t>Geplante Kosten (€)</t>
  </si>
  <si>
    <t>Kostenanteil</t>
  </si>
  <si>
    <t>Projekt Alpha</t>
  </si>
  <si>
    <t>Projekt Beta</t>
  </si>
  <si>
    <t>Projekt Gamma</t>
  </si>
  <si>
    <t>Projekt Delta</t>
  </si>
  <si>
    <t>Interne Aufgaben</t>
  </si>
  <si>
    <t>Gesamt</t>
  </si>
  <si>
    <t>MONATSAUSLASTUNG</t>
  </si>
  <si>
    <t>Monat</t>
  </si>
  <si>
    <t>Kapazität (h)</t>
  </si>
  <si>
    <t>Geplant (h)</t>
  </si>
  <si>
    <t>Auslastung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</si>
  <si>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</si>
  <si>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</si>
  <si>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</si>
  <si>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</si>
  <si>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</si>
  <si>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</si>
  <si>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</si>
  <si>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</si>
  <si>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</si>
  <si>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</si>
  <si>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</si>
  <si>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</si>
  <si>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SO NUTZEN SIE DIE VORLAGE</t>
  </si>
  <si>
    <t>1.  Blatt »Ressourcen«: Team, Wochenstunden, Verfügbarkeit und Stundensätze pflegen.</t>
  </si>
  <si>
    <t>2.  Blatt »Projekteinsatz«: Ressourcen den Projekten je Monat mit geplanten Stunden zuordnen.</t>
  </si>
  <si>
    <t>3.  Blatt »Kapazitätsplanung«: zeigt automatisch Auslastung und Überlastung (Farben) je Monat.</t>
  </si>
  <si>
    <t>4.  Dieses Blatt fasst Kennzahlen, Projekte und Monatsauslastung automatisch zusammen.</t>
  </si>
  <si>
    <t>Gelb hinterlegte Zellen sind Eingaben – alle übrigen Werte werden automatisch berechnet.</t>
  </si>
  <si>
    <t>Ressourcen – Stammdaten</t>
  </si>
  <si>
    <t>Team, Verfügbarkeit und Kostensätze · Planungsjahr 2027</t>
  </si>
  <si>
    <t>Nr.</t>
  </si>
  <si>
    <t>Name</t>
  </si>
  <si>
    <t>Rolle / Funktion</t>
  </si>
  <si>
    <t>Abteilung</t>
  </si>
  <si>
    <t>Standort</t>
  </si>
  <si>
    <t>Wochen-
stunden</t>
  </si>
  <si>
    <t>Verfüg-
barkeit</t>
  </si>
  <si>
    <t>Kapazität
h/Monat</t>
  </si>
  <si>
    <t>Stundensatz
(€)</t>
  </si>
  <si>
    <t>Bemerkung</t>
  </si>
  <si>
    <t>R01</t>
  </si>
  <si>
    <t>Anna Becker</t>
  </si>
  <si>
    <t>Projektleitung</t>
  </si>
  <si>
    <t>PMO</t>
  </si>
  <si>
    <t>München</t>
  </si>
  <si>
    <t>Vollzeit</t>
  </si>
  <si>
    <t>R02</t>
  </si>
  <si>
    <t>Tom Fischer</t>
  </si>
  <si>
    <t>Senior-Softwareentwickler</t>
  </si>
  <si>
    <t>Entwicklung</t>
  </si>
  <si>
    <t>Berlin</t>
  </si>
  <si>
    <t>R03</t>
  </si>
  <si>
    <t>Lena Wagner</t>
  </si>
  <si>
    <t>Softwareentwicklerin</t>
  </si>
  <si>
    <t>Teilzeit 90 %</t>
  </si>
  <si>
    <t>R04</t>
  </si>
  <si>
    <t>Jonas Schmidt</t>
  </si>
  <si>
    <t>UX/UI-Designer</t>
  </si>
  <si>
    <t>Design</t>
  </si>
  <si>
    <t>Hamburg</t>
  </si>
  <si>
    <t>R05</t>
  </si>
  <si>
    <t>Mara Hoffmann</t>
  </si>
  <si>
    <t>Business-Analystin</t>
  </si>
  <si>
    <t>Analyse</t>
  </si>
  <si>
    <t>Teilzeit 30 Std.</t>
  </si>
  <si>
    <t>R06</t>
  </si>
  <si>
    <t>David Klein</t>
  </si>
  <si>
    <t>QA-Ingenieur</t>
  </si>
  <si>
    <t>Qualitätssicherung</t>
  </si>
  <si>
    <t>R07</t>
  </si>
  <si>
    <t>Sophie Neumann</t>
  </si>
  <si>
    <t>Marketing-Managerin</t>
  </si>
  <si>
    <t>Marketing</t>
  </si>
  <si>
    <t>R08</t>
  </si>
  <si>
    <t>Paul Richter</t>
  </si>
  <si>
    <t>DevOps-Engineer</t>
  </si>
  <si>
    <t>IT-Betrieb</t>
  </si>
  <si>
    <t>Frankfurt</t>
  </si>
  <si>
    <t>Gesamt / Durchschnitt</t>
  </si>
  <si>
    <t>Hinweis: Kapazität h/Monat = Wochenstunden × 52 ÷ 12 × Verfügbarkeit (gerundet, durchschnittlicher Monat).</t>
  </si>
  <si>
    <t>Urlaub, Feiertage oder Sonderaufgaben können über die Verfügbarkeit (%) abgebildet werden.</t>
  </si>
  <si>
    <t>Legende:</t>
  </si>
  <si>
    <t xml:space="preserve">  Eingabefeld  </t>
  </si>
  <si>
    <t xml:space="preserve">  berechnet  </t>
  </si>
  <si>
    <t>Projekteinsatz – Planung</t>
  </si>
  <si>
    <t>Zuordnung von Ressourcen zu Projekten je Monat · Planungsjahr 2027</t>
  </si>
  <si>
    <t>Neue Einsätze einfach in einer freien Zeile ergänzen – Dropdowns und Formeln (Stundensatz, Kosten) ziehen automatisch mit.</t>
  </si>
  <si>
    <t>Arbeitspaket / Aufgabe</t>
  </si>
  <si>
    <t>Ressource</t>
  </si>
  <si>
    <t>Geplante
Stunden</t>
  </si>
  <si>
    <t>Geplante
Kosten (€)</t>
  </si>
  <si>
    <t>Status</t>
  </si>
  <si>
    <t>Priorität</t>
  </si>
  <si>
    <t>Projektsteuerung &amp; Reporting</t>
  </si>
  <si>
    <t>In Arbeit</t>
  </si>
  <si>
    <t>Hoch</t>
  </si>
  <si>
    <t>Anforderungsanalyse</t>
  </si>
  <si>
    <t>Backend-Entwicklung</t>
  </si>
  <si>
    <t>UI-Konzept</t>
  </si>
  <si>
    <t>Mittel</t>
  </si>
  <si>
    <t>Team-Meetings &amp; Administration</t>
  </si>
  <si>
    <t>Geplant</t>
  </si>
  <si>
    <t>Niedrig</t>
  </si>
  <si>
    <t>Schnittstellen-Entwicklung</t>
  </si>
  <si>
    <t>Frontend-Entwicklung</t>
  </si>
  <si>
    <t>UI-Design</t>
  </si>
  <si>
    <t>Testkonzept &amp; QA</t>
  </si>
  <si>
    <t>Abnahmetests</t>
  </si>
  <si>
    <t>Testautomatisierung</t>
  </si>
  <si>
    <t>Projektsteuerung</t>
  </si>
  <si>
    <t>Markteinführung – Konzept</t>
  </si>
  <si>
    <t>Deployment &amp; Betrieb</t>
  </si>
  <si>
    <t>Entwicklung Prototyp</t>
  </si>
  <si>
    <t>UX-Research</t>
  </si>
  <si>
    <t>Infrastruktur-Setup</t>
  </si>
  <si>
    <t>Marketing-Kampagne</t>
  </si>
  <si>
    <t>Betrieb &amp; Monitoring</t>
  </si>
  <si>
    <t>Markteinführung</t>
  </si>
  <si>
    <t>Projektabschluss &amp; Dokumentation</t>
  </si>
  <si>
    <t>Anwendungsentwicklung</t>
  </si>
  <si>
    <t>Weiterbildung &amp; Schulung</t>
  </si>
  <si>
    <t>Rollout &amp; Support</t>
  </si>
  <si>
    <t>Jahresplanung 2028</t>
  </si>
  <si>
    <t>Kapazitätsplanung – Auslastung je Monat</t>
  </si>
  <si>
    <t>Geplante Stunden gegen verfügbare Kapazität · automatische Überlastwarnung · 2027</t>
  </si>
  <si>
    <t>Rolle</t>
  </si>
  <si>
    <t>Kap.
h/Mon</t>
  </si>
  <si>
    <t>Summe
geplant</t>
  </si>
  <si>
    <t>Kapazität
p.a.</t>
  </si>
  <si>
    <t>Ø Aus-
lastung</t>
  </si>
  <si>
    <t>Über-
last-Mon.</t>
  </si>
  <si>
    <t>Summe Team</t>
  </si>
  <si>
    <t>Farblogik der Monatszellen:</t>
  </si>
  <si>
    <t xml:space="preserve">   </t>
  </si>
  <si>
    <t>Überlastung (&gt; Kapazität)</t>
  </si>
  <si>
    <t>Optimal (85–100 %)</t>
  </si>
  <si>
    <t>Unterauslastung (&lt; 85 %)</t>
  </si>
  <si>
    <t>nicht verplant (0)</t>
  </si>
  <si>
    <t>Ø Auslastung = durchschnittliche Auslastung über die tatsächlich verplanten Monate. »Über­last-Mon.« = Anzahl Monate mit Überlastung.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</si>
</sst>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€&quot;"/>
    <numFmt numFmtId="165" formatCode="0\ %"/>
    <numFmt numFmtId="166" formatCode="0&quot; Std.&quot;"/>
  </numFmts>
  <fonts count="27" x14ac:knownFonts="1">
    <font>
      <sz val="11"/>
      <color theme="1"/>
      <name val="Calibri"/>
      <family val="2"/>
      <charset val="1"/>
    </font>
    <font>
      <b/>
      <sz val="24"/>
      <color rgb="FFFFFFFF"/>
      <name val="Calibri"/>
      <charset val="1"/>
    </font>
    <font>
      <sz val="11"/>
      <color rgb="FFCFE0E4"/>
      <name val="Calibri"/>
      <charset val="1"/>
    </font>
    <font>
      <b/>
      <sz val="10"/>
      <color rgb="FF5B7075"/>
      <name val="Calibri"/>
      <charset val="1"/>
    </font>
    <font>
      <b/>
      <sz val="11"/>
      <color rgb="FF1C2B30"/>
      <name val="Calibri"/>
      <charset val="1"/>
    </font>
    <font>
      <b/>
      <sz val="11"/>
      <color rgb="FFFFFFFF"/>
      <name val="Calibri"/>
      <charset val="1"/>
    </font>
    <font>
      <b/>
      <sz val="9"/>
      <color rgb="FF5B7075"/>
      <name val="Calibri"/>
      <charset val="1"/>
    </font>
    <font>
      <b/>
      <sz val="22"/>
      <color rgb="FF1F7A8C"/>
      <name val="Calibri"/>
      <charset val="1"/>
    </font>
    <font>
      <b/>
      <sz val="22"/>
      <color rgb="FF1C2B30"/>
      <name val="Calibri"/>
      <charset val="1"/>
    </font>
    <font>
      <b/>
      <sz val="22"/>
      <color rgb="FFB23A29"/>
      <name val="Calibri"/>
      <charset val="1"/>
    </font>
    <font>
      <b/>
      <sz val="22"/>
      <color rgb="FF1E7A46"/>
      <name val="Calibri"/>
      <charset val="1"/>
    </font>
    <font>
      <b/>
      <sz val="9"/>
      <color rgb="FFFFFFFF"/>
      <name val="Calibri"/>
      <charset val="1"/>
    </font>
    <font>
      <sz val="10"/>
      <color rgb="FF1C2B30"/>
      <name val="Calibri"/>
      <charset val="1"/>
    </font>
    <font>
      <b/>
      <sz val="10"/>
      <color rgb="FFFFFFFF"/>
      <name val="Calibri"/>
      <charset val="1"/>
    </font>
    <font>
      <b/>
      <sz val="10"/>
      <color rgb="FF1F7A8C"/>
      <name val="Calibri"/>
      <charset val="1"/>
    </font>
    <font>
      <b/>
      <sz val="20"/>
      <color rgb="FFFFFFFF"/>
      <name val="Calibri"/>
      <charset val="1"/>
    </font>
    <font>
      <b/>
      <sz val="10"/>
      <color rgb="FF1C2B30"/>
      <name val="Calibri"/>
      <charset val="1"/>
    </font>
    <font>
      <sz val="10"/>
      <color rgb="FF5B7075"/>
      <name val="Calibri"/>
      <charset val="1"/>
    </font>
    <font>
      <i/>
      <sz val="9"/>
      <color rgb="FF5B7075"/>
      <name val="Calibri"/>
      <charset val="1"/>
    </font>
    <font>
      <b/>
      <sz val="9"/>
      <color rgb="FF1C2B30"/>
      <name val="Calibri"/>
      <charset val="1"/>
    </font>
    <font>
      <sz val="9"/>
      <color rgb="FF1C2B30"/>
      <name val="Calibri"/>
      <charset val="1"/>
    </font>
    <font>
      <sz val="9"/>
      <color rgb="FF1F7A8C"/>
      <name val="Calibri"/>
      <charset val="1"/>
    </font>
    <font>
      <sz val="9"/>
      <color rgb="FF5B7075"/>
      <name val="Calibri"/>
      <charset val="1"/>
    </font>
    <font>
      <b/>
      <sz val="9"/>
      <color rgb="FF1F7A8C"/>
      <name val="Calibri"/>
      <charset val="1"/>
    </font>
    <font>
      <sz val="9"/>
      <color rgb="FFB23A29"/>
      <name val="Calibri"/>
      <charset val="1"/>
    </font>
    <font>
      <sz val="9"/>
      <color rgb="FF1E7A46"/>
      <name val="Calibri"/>
      <charset val="1"/>
    </font>
    <font>
      <sz val="9"/>
      <color rgb="FF8A6400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14323B"/>
        <bgColor rgb="FF1C2B30"/>
      </patternFill>
    </fill>
    <fill>
      <patternFill patternType="solid">
        <fgColor rgb="FFE8B04B"/>
        <bgColor rgb="FFFFCC00"/>
      </patternFill>
    </fill>
    <fill>
      <patternFill patternType="solid">
        <fgColor rgb="FFFFF3CD"/>
        <bgColor rgb="FFF9F9F9"/>
      </patternFill>
    </fill>
    <fill>
      <patternFill patternType="solid">
        <fgColor rgb="FF1F7A8C"/>
        <bgColor rgb="FF1E7A46"/>
      </patternFill>
    </fill>
    <fill>
      <patternFill patternType="solid">
        <fgColor rgb="FFFFFFFF"/>
        <bgColor rgb="FFF9F9F9"/>
      </patternFill>
    </fill>
    <fill>
      <patternFill patternType="solid">
        <fgColor rgb="FFF2F6F7"/>
        <bgColor rgb="FFF9F9F9"/>
      </patternFill>
    </fill>
    <fill>
      <patternFill patternType="solid">
        <fgColor rgb="FFF6C6BE"/>
        <bgColor rgb="FFD9D9D9"/>
      </patternFill>
    </fill>
    <fill>
      <patternFill patternType="solid">
        <fgColor rgb="FFCDE9D3"/>
        <bgColor rgb="FFCFE0E4"/>
      </patternFill>
    </fill>
    <fill>
      <patternFill patternType="solid">
        <fgColor rgb="FFFBE7A6"/>
        <bgColor rgb="FFFFF3CD"/>
      </patternFill>
    </fill>
    <fill>
      <patternFill patternType="solid">
        <fgColor rgb="FFECEFEF"/>
        <bgColor rgb="FFF2F6F7"/>
      </patternFill>
    </fill>
  </fills>
  <borders count="6">
    <border>
      <left/>
      <right/>
      <top/>
      <bottom/>
      <diagonal/>
    </border>
    <border>
      <left style="thin">
        <color rgb="FFC9D5D8"/>
      </left>
      <right style="thin">
        <color rgb="FFC9D5D8"/>
      </right>
      <top style="thin">
        <color rgb="FFC9D5D8"/>
      </top>
      <bottom style="thin">
        <color rgb="FFC9D5D8"/>
      </bottom>
      <diagonal/>
    </border>
    <border>
      <left style="thin">
        <color rgb="FFC9D5D8"/>
      </left>
      <right style="thin">
        <color rgb="FFC9D5D8"/>
      </right>
      <top style="thick">
        <color rgb="FFE8B04B"/>
      </top>
      <bottom/>
      <diagonal/>
    </border>
    <border>
      <left style="thin">
        <color rgb="FFC9D5D8"/>
      </left>
      <right style="thin">
        <color rgb="FFC9D5D8"/>
      </right>
      <top/>
      <bottom style="thin">
        <color rgb="FFC9D5D8"/>
      </bottom>
      <diagonal/>
    </border>
    <border>
      <left style="thin">
        <color rgb="FF14323B"/>
      </left>
      <right style="thin">
        <color rgb="FF14323B"/>
      </right>
      <top style="thin">
        <color rgb="FF14323B"/>
      </top>
      <bottom style="thin">
        <color rgb="FF14323B"/>
      </bottom>
      <diagonal/>
    </border>
    <border>
      <left style="thin">
        <color rgb="FF1F7A8C"/>
      </left>
      <right style="thin">
        <color rgb="FF1F7A8C"/>
      </right>
      <top style="thin">
        <color rgb="FF1F7A8C"/>
      </top>
      <bottom style="thin">
        <color rgb="FF1F7A8C"/>
      </bottom>
      <diagonal/>
    </border>
  </borders>
  <cellStyleXfs count="1">
    <xf numFmtId="0" fontId="0" fillId="0" borderId="0"/>
  </cellStyleXfs>
  <cellXfs count="90">
    <xf numFmtId="0" fontId="0" fillId="0" borderId="0" xfId="0"/>
    <xf numFmtId="164" fontId="10" fillId="7" borderId="3" xfId="0" applyNumberFormat="1" applyFont="1" applyFill="1" applyBorder="1" applyAlignment="1">
      <alignment horizontal="left" vertical="center" indent="1"/>
    </xf>
    <xf numFmtId="164" fontId="8" fillId="7" borderId="3" xfId="0" applyNumberFormat="1" applyFont="1" applyFill="1" applyBorder="1" applyAlignment="1">
      <alignment horizontal="left" vertical="center" indent="1"/>
    </xf>
    <xf numFmtId="3" fontId="9" fillId="7" borderId="3" xfId="0" applyNumberFormat="1" applyFont="1" applyFill="1" applyBorder="1" applyAlignment="1">
      <alignment horizontal="left" vertical="center" indent="1"/>
    </xf>
    <xf numFmtId="165" fontId="7" fillId="7" borderId="3" xfId="0" applyNumberFormat="1" applyFont="1" applyFill="1" applyBorder="1" applyAlignment="1">
      <alignment horizontal="left" vertical="center" indent="1"/>
    </xf>
    <xf numFmtId="3" fontId="8" fillId="7" borderId="3" xfId="0" applyNumberFormat="1" applyFont="1" applyFill="1" applyBorder="1" applyAlignment="1">
      <alignment horizontal="left" vertical="center" indent="1"/>
    </xf>
    <xf numFmtId="3" fontId="7" fillId="7" borderId="3" xfId="0" applyNumberFormat="1" applyFont="1" applyFill="1" applyBorder="1" applyAlignment="1">
      <alignment horizontal="left" vertical="center" indent="1"/>
    </xf>
    <xf numFmtId="0" fontId="6" fillId="6" borderId="2" xfId="0" applyFont="1" applyFill="1" applyBorder="1" applyAlignment="1">
      <alignment horizontal="left" vertical="center" indent="1"/>
    </xf>
    <xf numFmtId="0" fontId="5" fillId="5" borderId="0" xfId="0" applyFont="1" applyFill="1" applyAlignment="1">
      <alignment horizontal="left" vertical="center" indent="1"/>
    </xf>
    <xf numFmtId="164" fontId="4" fillId="4" borderId="1" xfId="0" applyNumberFormat="1" applyFont="1" applyFill="1" applyBorder="1" applyAlignment="1">
      <alignment horizontal="right" vertical="center" indent="1"/>
    </xf>
    <xf numFmtId="0" fontId="4" fillId="4" borderId="1" xfId="0" applyFont="1" applyFill="1" applyBorder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0" fillId="3" borderId="0" xfId="0" applyFill="1"/>
    <xf numFmtId="0" fontId="2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1" fontId="4" fillId="4" borderId="1" xfId="0" applyNumberFormat="1" applyFont="1" applyFill="1" applyBorder="1" applyAlignment="1">
      <alignment horizontal="center" vertical="center" indent="1"/>
    </xf>
    <xf numFmtId="0" fontId="13" fillId="2" borderId="4" xfId="0" applyFont="1" applyFill="1" applyBorder="1" applyAlignment="1">
      <alignment horizontal="left" vertical="center" wrapText="1"/>
    </xf>
    <xf numFmtId="3" fontId="13" fillId="2" borderId="4" xfId="0" applyNumberFormat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166" fontId="12" fillId="4" borderId="1" xfId="0" applyNumberFormat="1" applyFont="1" applyFill="1" applyBorder="1" applyAlignment="1">
      <alignment horizontal="center" vertical="center"/>
    </xf>
    <xf numFmtId="165" fontId="12" fillId="4" borderId="1" xfId="0" applyNumberFormat="1" applyFont="1" applyFill="1" applyBorder="1" applyAlignment="1">
      <alignment horizontal="center" vertical="center"/>
    </xf>
    <xf numFmtId="3" fontId="14" fillId="6" borderId="1" xfId="0" applyNumberFormat="1" applyFont="1" applyFill="1" applyBorder="1" applyAlignment="1">
      <alignment horizontal="center" vertical="center"/>
    </xf>
    <xf numFmtId="164" fontId="12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center" vertical="center"/>
    </xf>
    <xf numFmtId="3" fontId="14" fillId="7" borderId="1" xfId="0" applyNumberFormat="1" applyFont="1" applyFill="1" applyBorder="1" applyAlignment="1">
      <alignment horizontal="center" vertical="center"/>
    </xf>
    <xf numFmtId="0" fontId="0" fillId="2" borderId="4" xfId="0" applyFill="1" applyBorder="1"/>
    <xf numFmtId="166" fontId="13" fillId="2" borderId="4" xfId="0" applyNumberFormat="1" applyFont="1" applyFill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20" fillId="4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3" fontId="12" fillId="4" borderId="1" xfId="0" applyNumberFormat="1" applyFont="1" applyFill="1" applyBorder="1" applyAlignment="1">
      <alignment horizontal="center" vertical="center"/>
    </xf>
    <xf numFmtId="164" fontId="17" fillId="6" borderId="1" xfId="0" applyNumberFormat="1" applyFont="1" applyFill="1" applyBorder="1" applyAlignment="1">
      <alignment horizontal="center" vertical="center"/>
    </xf>
    <xf numFmtId="164" fontId="14" fillId="6" borderId="1" xfId="0" applyNumberFormat="1" applyFont="1" applyFill="1" applyBorder="1" applyAlignment="1">
      <alignment horizontal="center" vertical="center"/>
    </xf>
    <xf numFmtId="164" fontId="17" fillId="7" borderId="1" xfId="0" applyNumberFormat="1" applyFont="1" applyFill="1" applyBorder="1" applyAlignment="1">
      <alignment horizontal="center" vertical="center"/>
    </xf>
    <xf numFmtId="164" fontId="14" fillId="7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/>
    <xf numFmtId="164" fontId="12" fillId="0" borderId="1" xfId="0" applyNumberFormat="1" applyFont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left" vertical="center" wrapText="1"/>
    </xf>
    <xf numFmtId="0" fontId="22" fillId="6" borderId="1" xfId="0" applyFont="1" applyFill="1" applyBorder="1" applyAlignment="1">
      <alignment horizontal="left" vertical="center" wrapText="1"/>
    </xf>
    <xf numFmtId="3" fontId="23" fillId="6" borderId="1" xfId="0" applyNumberFormat="1" applyFont="1" applyFill="1" applyBorder="1" applyAlignment="1">
      <alignment horizontal="center" vertical="center"/>
    </xf>
    <xf numFmtId="3" fontId="20" fillId="6" borderId="1" xfId="0" applyNumberFormat="1" applyFont="1" applyFill="1" applyBorder="1" applyAlignment="1">
      <alignment horizontal="center" vertical="center"/>
    </xf>
    <xf numFmtId="3" fontId="19" fillId="6" borderId="1" xfId="0" applyNumberFormat="1" applyFont="1" applyFill="1" applyBorder="1" applyAlignment="1">
      <alignment horizontal="center" vertical="center"/>
    </xf>
    <xf numFmtId="165" fontId="19" fillId="6" borderId="1" xfId="0" applyNumberFormat="1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left" vertical="center" wrapText="1"/>
    </xf>
    <xf numFmtId="0" fontId="22" fillId="7" borderId="1" xfId="0" applyFont="1" applyFill="1" applyBorder="1" applyAlignment="1">
      <alignment horizontal="left" vertical="center" wrapText="1"/>
    </xf>
    <xf numFmtId="3" fontId="23" fillId="7" borderId="1" xfId="0" applyNumberFormat="1" applyFont="1" applyFill="1" applyBorder="1" applyAlignment="1">
      <alignment horizontal="center" vertical="center"/>
    </xf>
    <xf numFmtId="3" fontId="20" fillId="7" borderId="1" xfId="0" applyNumberFormat="1" applyFont="1" applyFill="1" applyBorder="1" applyAlignment="1">
      <alignment horizontal="center" vertical="center"/>
    </xf>
    <xf numFmtId="3" fontId="19" fillId="7" borderId="1" xfId="0" applyNumberFormat="1" applyFont="1" applyFill="1" applyBorder="1" applyAlignment="1">
      <alignment horizontal="center" vertical="center"/>
    </xf>
    <xf numFmtId="165" fontId="19" fillId="7" borderId="1" xfId="0" applyNumberFormat="1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 wrapText="1"/>
    </xf>
    <xf numFmtId="3" fontId="11" fillId="2" borderId="4" xfId="0" applyNumberFormat="1" applyFont="1" applyFill="1" applyBorder="1" applyAlignment="1">
      <alignment horizontal="center" vertical="center"/>
    </xf>
    <xf numFmtId="165" fontId="11" fillId="2" borderId="4" xfId="0" applyNumberFormat="1" applyFont="1" applyFill="1" applyBorder="1" applyAlignment="1">
      <alignment horizontal="center" vertical="center"/>
    </xf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11" fillId="2" borderId="4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left" vertical="center" wrapText="1"/>
    </xf>
    <xf numFmtId="3" fontId="0" fillId="6" borderId="1" xfId="0" applyNumberForma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  <xf numFmtId="165" fontId="0" fillId="6" borderId="1" xfId="0" applyNumberForma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 wrapText="1"/>
    </xf>
    <xf numFmtId="3" fontId="0" fillId="7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/>
    </xf>
    <xf numFmtId="165" fontId="0" fillId="7" borderId="1" xfId="0" applyNumberForma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left" vertical="center" wrapText="1"/>
    </xf>
    <xf numFmtId="3" fontId="13" fillId="2" borderId="4" xfId="0" applyNumberFormat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center" vertical="center"/>
    </xf>
    <xf numFmtId="165" fontId="13" fillId="2" borderId="4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15" fillId="2" borderId="0" xfId="0" applyFont="1" applyFill="1" applyAlignment="1">
      <alignment horizontal="left" vertical="center" indent="1"/>
    </xf>
    <xf numFmtId="0" fontId="18" fillId="0" borderId="0" xfId="0" applyFont="1" applyAlignment="1">
      <alignment horizontal="left" vertical="center" inden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18" fillId="0" borderId="0" xfId="0" applyFont="1"/>
  </cellXfs>
  <cellStyles count="1">
    <cellStyle name="Standard" xfId="0" builtinId="0"/>
  </cellStyles>
  <dxfs count="10">
    <dxf>
      <font>
        <sz val="9"/>
        <color rgb="FF8A6400"/>
        <name val="Calibri"/>
        <charset val="1"/>
      </font>
      <fill>
        <patternFill>
          <bgColor rgb="FFFBE7A6"/>
        </patternFill>
      </fill>
    </dxf>
    <dxf>
      <font>
        <b/>
        <sz val="9"/>
        <color rgb="FF1E7A46"/>
        <name val="Calibri"/>
        <charset val="1"/>
      </font>
      <fill>
        <patternFill>
          <bgColor rgb="FFCDE9D3"/>
        </patternFill>
      </fill>
    </dxf>
    <dxf>
      <font>
        <b/>
        <sz val="9"/>
        <color rgb="FFB23A29"/>
        <name val="Calibri"/>
        <charset val="1"/>
      </font>
      <fill>
        <patternFill>
          <bgColor rgb="FFF6C6BE"/>
        </patternFill>
      </fill>
    </dxf>
    <dxf>
      <font>
        <b/>
        <sz val="9"/>
        <color rgb="FFB23A29"/>
        <name val="Calibri"/>
        <charset val="1"/>
      </font>
    </dxf>
    <dxf>
      <font>
        <sz val="9"/>
        <color rgb="FF8A6400"/>
        <name val="Calibri"/>
        <charset val="1"/>
      </font>
      <fill>
        <patternFill>
          <bgColor rgb="FFFBE7A6"/>
        </patternFill>
      </fill>
    </dxf>
    <dxf>
      <font>
        <sz val="9"/>
        <color rgb="FF1E7A46"/>
        <name val="Calibri"/>
        <charset val="1"/>
      </font>
      <fill>
        <patternFill>
          <bgColor rgb="FFCDE9D3"/>
        </patternFill>
      </fill>
    </dxf>
    <dxf>
      <font>
        <b/>
        <sz val="9"/>
        <color rgb="FFB23A29"/>
        <name val="Calibri"/>
        <charset val="1"/>
      </font>
      <fill>
        <patternFill>
          <bgColor rgb="FFF6C6BE"/>
        </patternFill>
      </fill>
    </dxf>
    <dxf>
      <font>
        <sz val="9"/>
        <color rgb="FF5B7075"/>
        <name val="Calibri"/>
        <charset val="1"/>
      </font>
      <fill>
        <patternFill>
          <bgColor rgb="FFECEFEF"/>
        </patternFill>
      </fill>
    </dxf>
    <dxf>
      <font>
        <b/>
        <sz val="22"/>
        <color rgb="FFB23A29"/>
        <name val="Calibri"/>
        <charset val="1"/>
      </font>
    </dxf>
    <dxf>
      <font>
        <b/>
        <sz val="22"/>
        <color rgb="FFB23A29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400"/>
      <rgbColor rgb="FF800080"/>
      <rgbColor rgb="FF1F7A8C"/>
      <rgbColor rgb="FFD9D9D9"/>
      <rgbColor rgb="FF878787"/>
      <rgbColor rgb="FF9999FF"/>
      <rgbColor rgb="FF993366"/>
      <rgbColor rgb="FFFFF3CD"/>
      <rgbColor rgb="FFECEFEF"/>
      <rgbColor rgb="FF660066"/>
      <rgbColor rgb="FFFF8080"/>
      <rgbColor rgb="FF0066CC"/>
      <rgbColor rgb="FFC9D5D8"/>
      <rgbColor rgb="FF000080"/>
      <rgbColor rgb="FFFF00FF"/>
      <rgbColor rgb="FFFFFF00"/>
      <rgbColor rgb="FF00FFFF"/>
      <rgbColor rgb="FF800080"/>
      <rgbColor rgb="FF800000"/>
      <rgbColor rgb="FF1E7A46"/>
      <rgbColor rgb="FF0000FF"/>
      <rgbColor rgb="FF00CCFF"/>
      <rgbColor rgb="FFF2F6F7"/>
      <rgbColor rgb="FFCDE9D3"/>
      <rgbColor rgb="FFFBE7A6"/>
      <rgbColor rgb="FFCFE0E4"/>
      <rgbColor rgb="FFF9F9F9"/>
      <rgbColor rgb="FFCC99FF"/>
      <rgbColor rgb="FFF6C6BE"/>
      <rgbColor rgb="FF3366FF"/>
      <rgbColor rgb="FF33CCCC"/>
      <rgbColor rgb="FF99CC00"/>
      <rgbColor rgb="FFFFCC00"/>
      <rgbColor rgb="FFE8B04B"/>
      <rgbColor rgb="FFFF6600"/>
      <rgbColor rgb="FF5B7075"/>
      <rgbColor rgb="FF969696"/>
      <rgbColor rgb="FF14323B"/>
      <rgbColor rgb="FF339966"/>
      <rgbColor rgb="FF003300"/>
      <rgbColor rgb="FF333300"/>
      <rgbColor rgb="FFB23A29"/>
      <rgbColor rgb="FF993366"/>
      <rgbColor rgb="FF333399"/>
      <rgbColor rgb="FF1C2B3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6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Kapazität vs. geplante Stunden je Monat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Übersicht!$F$28</c:f>
              <c:strCache>
                <c:ptCount val="1"/>
                <c:pt idx="0">
                  <c:v>Kapazität (h)</c:v>
                </c:pt>
              </c:strCache>
            </c:strRef>
          </c:tx>
          <c:spPr>
            <a:solidFill>
              <a:srgbClr val="1F7A8C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Übersicht!$B$29:$B$40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Übersicht!$F$29:$F$40</c:f>
              <c:numCache>
                <c:formatCode>#,##0</c:formatCode>
                <c:ptCount val="12"/>
                <c:pt idx="0">
                  <c:v>1307</c:v>
                </c:pt>
                <c:pt idx="1">
                  <c:v>1307</c:v>
                </c:pt>
                <c:pt idx="2">
                  <c:v>1307</c:v>
                </c:pt>
                <c:pt idx="3">
                  <c:v>1307</c:v>
                </c:pt>
                <c:pt idx="4">
                  <c:v>1307</c:v>
                </c:pt>
                <c:pt idx="5">
                  <c:v>1307</c:v>
                </c:pt>
                <c:pt idx="6">
                  <c:v>1307</c:v>
                </c:pt>
                <c:pt idx="7">
                  <c:v>1307</c:v>
                </c:pt>
                <c:pt idx="8">
                  <c:v>1307</c:v>
                </c:pt>
                <c:pt idx="9">
                  <c:v>1307</c:v>
                </c:pt>
                <c:pt idx="10">
                  <c:v>1307</c:v>
                </c:pt>
                <c:pt idx="11">
                  <c:v>1307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48-4A83-8B64-2EB670147302}"/>
            </c:ext>
          </c:extLst>
        </c:ser>
        <c:ser>
          <c:idx val="1"/>
          <c:order val="1"/>
          <c:tx>
            <c:strRef>
              <c:f>Übersicht!$H$28</c:f>
              <c:strCache>
                <c:ptCount val="1"/>
                <c:pt idx="0">
                  <c:v>Geplant (h)</c:v>
                </c:pt>
              </c:strCache>
            </c:strRef>
          </c:tx>
          <c:spPr>
            <a:solidFill>
              <a:srgbClr val="E8B04B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Übersicht!$B$29:$B$40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Übersicht!$H$29:$H$40</c:f>
              <c:numCache>
                <c:formatCode>#,##0</c:formatCode>
                <c:ptCount val="12"/>
                <c:pt idx="0">
                  <c:v>400</c:v>
                </c:pt>
                <c:pt idx="1">
                  <c:v>735</c:v>
                </c:pt>
                <c:pt idx="2">
                  <c:v>560</c:v>
                </c:pt>
                <c:pt idx="3">
                  <c:v>690</c:v>
                </c:pt>
                <c:pt idx="4">
                  <c:v>550</c:v>
                </c:pt>
                <c:pt idx="5">
                  <c:v>540</c:v>
                </c:pt>
                <c:pt idx="6">
                  <c:v>270</c:v>
                </c:pt>
                <c:pt idx="7">
                  <c:v>0</c:v>
                </c:pt>
                <c:pt idx="8">
                  <c:v>80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48-4A83-8B64-2EB6701473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9336702"/>
        <c:axId val="79072884"/>
      </c:barChart>
      <c:catAx>
        <c:axId val="933670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9072884"/>
        <c:crosses val="autoZero"/>
        <c:auto val="1"/>
        <c:lblAlgn val="ctr"/>
        <c:lblOffset val="100"/>
        <c:noMultiLvlLbl val="0"/>
      </c:catAx>
      <c:valAx>
        <c:axId val="7907288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Stunden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336702"/>
        <c:crosses val="autoZero"/>
        <c:crossBetween val="between"/>
      </c:valAx>
      <c:spPr>
        <a:solidFill>
          <a:schemeClr val="bg1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2F6F7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Ø Auslastung je Ressource (gepl. Monate)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Kapazitätsplanung!$S$5</c:f>
              <c:strCache>
                <c:ptCount val="1"/>
                <c:pt idx="0">
                  <c:v>Ø Aus-
lastung</c:v>
                </c:pt>
              </c:strCache>
            </c:strRef>
          </c:tx>
          <c:spPr>
            <a:solidFill>
              <a:srgbClr val="1F7A8C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Kapazitätsplanung!$B$6:$B$13</c:f>
              <c:strCache>
                <c:ptCount val="8"/>
                <c:pt idx="0">
                  <c:v>Anna Becker</c:v>
                </c:pt>
                <c:pt idx="1">
                  <c:v>Tom Fischer</c:v>
                </c:pt>
                <c:pt idx="2">
                  <c:v>Lena Wagner</c:v>
                </c:pt>
                <c:pt idx="3">
                  <c:v>Jonas Schmidt</c:v>
                </c:pt>
                <c:pt idx="4">
                  <c:v>Mara Hoffmann</c:v>
                </c:pt>
                <c:pt idx="5">
                  <c:v>David Klein</c:v>
                </c:pt>
                <c:pt idx="6">
                  <c:v>Sophie Neumann</c:v>
                </c:pt>
                <c:pt idx="7">
                  <c:v>Paul Richter</c:v>
                </c:pt>
              </c:strCache>
            </c:strRef>
          </c:cat>
          <c:val>
            <c:numRef>
              <c:f>Kapazitätsplanung!$S$6:$S$13</c:f>
              <c:numCache>
                <c:formatCode>0\ %</c:formatCode>
                <c:ptCount val="8"/>
                <c:pt idx="0">
                  <c:v>0.73217726396917149</c:v>
                </c:pt>
                <c:pt idx="1">
                  <c:v>0.84393063583815031</c:v>
                </c:pt>
                <c:pt idx="2">
                  <c:v>0.92948717948717952</c:v>
                </c:pt>
                <c:pt idx="3">
                  <c:v>0.61657032755298657</c:v>
                </c:pt>
                <c:pt idx="4">
                  <c:v>0.61538461538461542</c:v>
                </c:pt>
                <c:pt idx="5">
                  <c:v>0.78998073217726394</c:v>
                </c:pt>
                <c:pt idx="6">
                  <c:v>0.91880341880341887</c:v>
                </c:pt>
                <c:pt idx="7">
                  <c:v>0.7225433526011561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A8-458A-941C-253B645CCD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854548"/>
        <c:axId val="77749386"/>
      </c:barChart>
      <c:catAx>
        <c:axId val="928545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7749386"/>
        <c:crosses val="autoZero"/>
        <c:auto val="1"/>
        <c:lblAlgn val="ctr"/>
        <c:lblOffset val="100"/>
        <c:noMultiLvlLbl val="0"/>
      </c:catAx>
      <c:valAx>
        <c:axId val="77749386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\ 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2854548"/>
        <c:crosses val="autoZero"/>
        <c:crossBetween val="between"/>
      </c:valAx>
      <c:spPr>
        <a:solidFill>
          <a:schemeClr val="bg1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2F6F7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5</xdr:row>
      <xdr:rowOff>0</xdr:rowOff>
    </xdr:from>
    <xdr:to>
      <xdr:col>22</xdr:col>
      <xdr:colOff>507600</xdr:colOff>
      <xdr:row>18</xdr:row>
      <xdr:rowOff>59040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23</xdr:row>
      <xdr:rowOff>0</xdr:rowOff>
    </xdr:from>
    <xdr:to>
      <xdr:col>22</xdr:col>
      <xdr:colOff>507600</xdr:colOff>
      <xdr:row>37</xdr:row>
      <xdr:rowOff>11520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47"/>
  <sheetViews>
    <sheetView showGridLines="0" tabSelected="1" zoomScaleNormal="100" workbookViewId="0">
      <selection activeCell="T43" sqref="T43"/>
    </sheetView>
  </sheetViews>
  <sheetFormatPr baseColWidth="10" defaultColWidth="8.7109375" defaultRowHeight="15" x14ac:dyDescent="0.25"/>
  <cols>
    <col min="1" max="1" width="2.42578125" customWidth="1"/>
    <col min="2" max="13" width="10.140625" customWidth="1"/>
    <col min="14" max="14" width="3" customWidth="1"/>
  </cols>
  <sheetData>
    <row r="2" spans="2:13" ht="37.5" customHeight="1" x14ac:dyDescent="0.25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2:13" ht="18" customHeight="1" x14ac:dyDescent="0.25">
      <c r="B3" s="13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2:13" ht="4.5" customHeight="1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6" spans="2:13" ht="21.75" customHeight="1" x14ac:dyDescent="0.25">
      <c r="B6" s="11" t="s">
        <v>2</v>
      </c>
      <c r="C6" s="11"/>
      <c r="D6" s="10" t="s">
        <v>3</v>
      </c>
      <c r="E6" s="10"/>
      <c r="F6" s="10"/>
      <c r="G6" s="11" t="s">
        <v>4</v>
      </c>
      <c r="H6" s="11"/>
      <c r="I6" s="15">
        <v>2027</v>
      </c>
      <c r="J6" s="11" t="s">
        <v>5</v>
      </c>
      <c r="K6" s="11"/>
      <c r="L6" s="9">
        <v>1500000</v>
      </c>
      <c r="M6" s="9"/>
    </row>
    <row r="8" spans="2:13" ht="19.5" customHeight="1" x14ac:dyDescent="0.25">
      <c r="B8" s="8" t="s">
        <v>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10" spans="2:13" x14ac:dyDescent="0.25">
      <c r="B10" s="7" t="s">
        <v>7</v>
      </c>
      <c r="C10" s="7"/>
      <c r="D10" s="7"/>
      <c r="E10" s="7" t="s">
        <v>8</v>
      </c>
      <c r="F10" s="7"/>
      <c r="G10" s="7"/>
      <c r="H10" s="7" t="s">
        <v>9</v>
      </c>
      <c r="I10" s="7"/>
      <c r="J10" s="7"/>
      <c r="K10" s="7" t="s">
        <v>10</v>
      </c>
      <c r="L10" s="7"/>
      <c r="M10" s="7"/>
    </row>
    <row r="11" spans="2:13" x14ac:dyDescent="0.25">
      <c r="B11" s="6">
        <f>COUNTA(Ressourcen!$B$5:$B$12)</f>
        <v>8</v>
      </c>
      <c r="C11" s="6"/>
      <c r="D11" s="6"/>
      <c r="E11" s="6">
        <f>SUMPRODUCT((COUNTIF(Projekteinsatz!$A$6:$A$79,{"Projekt Alpha";"Projekt Beta";"Projekt Gamma";"Projekt Delta";"Interne Aufgaben"})&gt;0)*1)</f>
        <v>5</v>
      </c>
      <c r="F11" s="6"/>
      <c r="G11" s="6"/>
      <c r="H11" s="5">
        <f>SUM(Ressourcen!$H$5:$H$12)*12</f>
        <v>15684</v>
      </c>
      <c r="I11" s="5"/>
      <c r="J11" s="5"/>
      <c r="K11" s="5">
        <f>SUM(Projekteinsatz!$E$6:$E$79)</f>
        <v>3825</v>
      </c>
      <c r="L11" s="5"/>
      <c r="M11" s="5"/>
    </row>
    <row r="12" spans="2:13" x14ac:dyDescent="0.25">
      <c r="B12" s="6"/>
      <c r="C12" s="6"/>
      <c r="D12" s="6"/>
      <c r="E12" s="6"/>
      <c r="F12" s="6"/>
      <c r="G12" s="6"/>
      <c r="H12" s="5"/>
      <c r="I12" s="5"/>
      <c r="J12" s="5"/>
      <c r="K12" s="5"/>
      <c r="L12" s="5"/>
      <c r="M12" s="5"/>
    </row>
    <row r="14" spans="2:13" x14ac:dyDescent="0.25">
      <c r="B14" s="7" t="s">
        <v>11</v>
      </c>
      <c r="C14" s="7"/>
      <c r="D14" s="7"/>
      <c r="E14" s="7" t="s">
        <v>12</v>
      </c>
      <c r="F14" s="7"/>
      <c r="G14" s="7"/>
      <c r="H14" s="7" t="s">
        <v>13</v>
      </c>
      <c r="I14" s="7"/>
      <c r="J14" s="7"/>
      <c r="K14" s="7" t="s">
        <v>14</v>
      </c>
      <c r="L14" s="7"/>
      <c r="M14" s="7"/>
    </row>
    <row r="15" spans="2:13" x14ac:dyDescent="0.25">
      <c r="B15" s="4">
        <f>IFERROR(AVERAGE(Kapazitätsplanung!S6:S13),0)</f>
        <v>0.77110969072674285</v>
      </c>
      <c r="C15" s="4"/>
      <c r="D15" s="4"/>
      <c r="E15" s="3">
        <f>SUM(Kapazitätsplanung!$T$6:$T$13)</f>
        <v>4</v>
      </c>
      <c r="F15" s="3"/>
      <c r="G15" s="3"/>
      <c r="H15" s="2">
        <f>SUM(Projekteinsatz!$G$6:$G$79)</f>
        <v>288910</v>
      </c>
      <c r="I15" s="2"/>
      <c r="J15" s="2"/>
      <c r="K15" s="1">
        <f>$L$6-H15</f>
        <v>1211090</v>
      </c>
      <c r="L15" s="1"/>
      <c r="M15" s="1"/>
    </row>
    <row r="16" spans="2:13" x14ac:dyDescent="0.25">
      <c r="B16" s="4"/>
      <c r="C16" s="4"/>
      <c r="D16" s="4"/>
      <c r="E16" s="3"/>
      <c r="F16" s="3"/>
      <c r="G16" s="3"/>
      <c r="H16" s="2"/>
      <c r="I16" s="2"/>
      <c r="J16" s="2"/>
      <c r="K16" s="1"/>
      <c r="L16" s="1"/>
      <c r="M16" s="1"/>
    </row>
    <row r="18" spans="2:13" ht="19.5" customHeight="1" x14ac:dyDescent="0.25">
      <c r="B18" s="8" t="s">
        <v>15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2:13" ht="15" customHeight="1" x14ac:dyDescent="0.25">
      <c r="B19" s="68" t="s">
        <v>16</v>
      </c>
      <c r="C19" s="68"/>
      <c r="D19" s="68"/>
      <c r="E19" s="68"/>
      <c r="F19" s="68" t="s">
        <v>17</v>
      </c>
      <c r="G19" s="68"/>
      <c r="H19" s="68" t="s">
        <v>18</v>
      </c>
      <c r="I19" s="68"/>
      <c r="J19" s="68"/>
      <c r="K19" s="68" t="s">
        <v>19</v>
      </c>
      <c r="L19" s="68"/>
      <c r="M19" s="68"/>
    </row>
    <row r="20" spans="2:13" ht="15" customHeight="1" x14ac:dyDescent="0.25">
      <c r="B20" s="69" t="s">
        <v>20</v>
      </c>
      <c r="C20" s="69"/>
      <c r="D20" s="69"/>
      <c r="E20" s="69"/>
      <c r="F20" s="70">
        <f>SUMIF(Projekteinsatz!$A$6:$A$79,B20,Projekteinsatz!$E$6:$E$79)</f>
        <v>1155</v>
      </c>
      <c r="G20" s="70"/>
      <c r="H20" s="71">
        <f>SUMIF(Projekteinsatz!$A$6:$A$79,B20,Projekteinsatz!$G$6:$G$79)</f>
        <v>87270</v>
      </c>
      <c r="I20" s="71"/>
      <c r="J20" s="71"/>
      <c r="K20" s="72">
        <f t="shared" ref="K20:K25" si="0">IFERROR(H20/$H$15,0)</f>
        <v>0.30206638745630127</v>
      </c>
      <c r="L20" s="72"/>
      <c r="M20" s="72"/>
    </row>
    <row r="21" spans="2:13" ht="15" customHeight="1" x14ac:dyDescent="0.25">
      <c r="B21" s="73" t="s">
        <v>21</v>
      </c>
      <c r="C21" s="73"/>
      <c r="D21" s="73"/>
      <c r="E21" s="73"/>
      <c r="F21" s="74">
        <f>SUMIF(Projekteinsatz!$A$6:$A$79,B21,Projekteinsatz!$E$6:$E$79)</f>
        <v>360</v>
      </c>
      <c r="G21" s="74"/>
      <c r="H21" s="75">
        <f>SUMIF(Projekteinsatz!$A$6:$A$79,B21,Projekteinsatz!$G$6:$G$79)</f>
        <v>29760</v>
      </c>
      <c r="I21" s="75"/>
      <c r="J21" s="75"/>
      <c r="K21" s="76">
        <f t="shared" si="0"/>
        <v>0.10300785711813368</v>
      </c>
      <c r="L21" s="76"/>
      <c r="M21" s="76"/>
    </row>
    <row r="22" spans="2:13" ht="15" customHeight="1" x14ac:dyDescent="0.25">
      <c r="B22" s="69" t="s">
        <v>22</v>
      </c>
      <c r="C22" s="69"/>
      <c r="D22" s="69"/>
      <c r="E22" s="69"/>
      <c r="F22" s="70">
        <f>SUMIF(Projekteinsatz!$A$6:$A$79,B22,Projekteinsatz!$E$6:$E$79)</f>
        <v>1350</v>
      </c>
      <c r="G22" s="70"/>
      <c r="H22" s="71">
        <f>SUMIF(Projekteinsatz!$A$6:$A$79,B22,Projekteinsatz!$G$6:$G$79)</f>
        <v>98850</v>
      </c>
      <c r="I22" s="71"/>
      <c r="J22" s="71"/>
      <c r="K22" s="72">
        <f t="shared" si="0"/>
        <v>0.34214807379460732</v>
      </c>
      <c r="L22" s="72"/>
      <c r="M22" s="72"/>
    </row>
    <row r="23" spans="2:13" ht="15" customHeight="1" x14ac:dyDescent="0.25">
      <c r="B23" s="73" t="s">
        <v>23</v>
      </c>
      <c r="C23" s="73"/>
      <c r="D23" s="73"/>
      <c r="E23" s="73"/>
      <c r="F23" s="74">
        <f>SUMIF(Projekteinsatz!$A$6:$A$79,B23,Projekteinsatz!$E$6:$E$79)</f>
        <v>780</v>
      </c>
      <c r="G23" s="74"/>
      <c r="H23" s="75">
        <f>SUMIF(Projekteinsatz!$A$6:$A$79,B23,Projekteinsatz!$G$6:$G$79)</f>
        <v>57010</v>
      </c>
      <c r="I23" s="75"/>
      <c r="J23" s="75"/>
      <c r="K23" s="76">
        <f t="shared" si="0"/>
        <v>0.19732788757744626</v>
      </c>
      <c r="L23" s="76"/>
      <c r="M23" s="76"/>
    </row>
    <row r="24" spans="2:13" ht="15" customHeight="1" x14ac:dyDescent="0.25">
      <c r="B24" s="69" t="s">
        <v>24</v>
      </c>
      <c r="C24" s="69"/>
      <c r="D24" s="69"/>
      <c r="E24" s="69"/>
      <c r="F24" s="70">
        <f>SUMIF(Projekteinsatz!$A$6:$A$79,B24,Projekteinsatz!$E$6:$E$79)</f>
        <v>180</v>
      </c>
      <c r="G24" s="70"/>
      <c r="H24" s="71">
        <f>SUMIF(Projekteinsatz!$A$6:$A$79,B24,Projekteinsatz!$G$6:$G$79)</f>
        <v>16020</v>
      </c>
      <c r="I24" s="71"/>
      <c r="J24" s="71"/>
      <c r="K24" s="72">
        <f t="shared" si="0"/>
        <v>5.5449794053511477E-2</v>
      </c>
      <c r="L24" s="72"/>
      <c r="M24" s="72"/>
    </row>
    <row r="25" spans="2:13" ht="15" customHeight="1" x14ac:dyDescent="0.25">
      <c r="B25" s="77" t="s">
        <v>25</v>
      </c>
      <c r="C25" s="77"/>
      <c r="D25" s="77"/>
      <c r="E25" s="77"/>
      <c r="F25" s="78">
        <f>SUM(F20:F24)</f>
        <v>3825</v>
      </c>
      <c r="G25" s="78"/>
      <c r="H25" s="79">
        <f>SUM(H20:H24)</f>
        <v>288910</v>
      </c>
      <c r="I25" s="79"/>
      <c r="J25" s="79"/>
      <c r="K25" s="80">
        <f t="shared" si="0"/>
        <v>1</v>
      </c>
      <c r="L25" s="80"/>
      <c r="M25" s="80"/>
    </row>
    <row r="27" spans="2:13" ht="19.5" customHeight="1" x14ac:dyDescent="0.25">
      <c r="B27" s="8" t="s">
        <v>26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2:13" ht="15" customHeight="1" x14ac:dyDescent="0.25">
      <c r="B28" s="68" t="s">
        <v>27</v>
      </c>
      <c r="C28" s="68"/>
      <c r="D28" s="68"/>
      <c r="E28" s="68"/>
      <c r="F28" s="68" t="s">
        <v>28</v>
      </c>
      <c r="G28" s="68"/>
      <c r="H28" s="68" t="s">
        <v>29</v>
      </c>
      <c r="I28" s="68"/>
      <c r="J28" s="68"/>
      <c r="K28" s="68" t="s">
        <v>30</v>
      </c>
      <c r="L28" s="68"/>
      <c r="M28" s="68"/>
    </row>
    <row r="29" spans="2:13" ht="15" customHeight="1" x14ac:dyDescent="0.25">
      <c r="B29" s="69" t="s">
        <v>31</v>
      </c>
      <c r="C29" s="69"/>
      <c r="D29" s="69"/>
      <c r="E29" s="69"/>
      <c r="F29" s="70">
        <f>SUM(Ressourcen!$H$5:$H$12)</f>
        <v>1307</v>
      </c>
      <c r="G29" s="70"/>
      <c r="H29" s="70">
        <f>SUM(Kapazitätsplanung!$E$6:$E$13)</f>
        <v>400</v>
      </c>
      <c r="I29" s="70"/>
      <c r="J29" s="70"/>
      <c r="K29" s="72">
        <f t="shared" ref="K29:K40" si="1">IFERROR(H29/F29,0)</f>
        <v>0.30604437643458299</v>
      </c>
      <c r="L29" s="72"/>
      <c r="M29" s="72"/>
    </row>
    <row r="30" spans="2:13" ht="15" customHeight="1" x14ac:dyDescent="0.25">
      <c r="B30" s="73" t="s">
        <v>32</v>
      </c>
      <c r="C30" s="73"/>
      <c r="D30" s="73"/>
      <c r="E30" s="73"/>
      <c r="F30" s="74">
        <f>SUM(Ressourcen!$H$5:$H$12)</f>
        <v>1307</v>
      </c>
      <c r="G30" s="74"/>
      <c r="H30" s="74">
        <f>SUM(Kapazitätsplanung!$F$6:$F$13)</f>
        <v>735</v>
      </c>
      <c r="I30" s="74"/>
      <c r="J30" s="74"/>
      <c r="K30" s="76">
        <f t="shared" si="1"/>
        <v>0.56235654169854632</v>
      </c>
      <c r="L30" s="76"/>
      <c r="M30" s="76"/>
    </row>
    <row r="31" spans="2:13" ht="15" customHeight="1" x14ac:dyDescent="0.25">
      <c r="B31" s="69" t="s">
        <v>33</v>
      </c>
      <c r="C31" s="69"/>
      <c r="D31" s="69"/>
      <c r="E31" s="69"/>
      <c r="F31" s="70">
        <f>SUM(Ressourcen!$H$5:$H$12)</f>
        <v>1307</v>
      </c>
      <c r="G31" s="70"/>
      <c r="H31" s="70">
        <f>SUM(Kapazitätsplanung!$G$6:$G$13)</f>
        <v>560</v>
      </c>
      <c r="I31" s="70"/>
      <c r="J31" s="70"/>
      <c r="K31" s="72">
        <f t="shared" si="1"/>
        <v>0.42846212700841624</v>
      </c>
      <c r="L31" s="72"/>
      <c r="M31" s="72"/>
    </row>
    <row r="32" spans="2:13" ht="15" customHeight="1" x14ac:dyDescent="0.25">
      <c r="B32" s="73" t="s">
        <v>34</v>
      </c>
      <c r="C32" s="73"/>
      <c r="D32" s="73"/>
      <c r="E32" s="73"/>
      <c r="F32" s="74">
        <f>SUM(Ressourcen!$H$5:$H$12)</f>
        <v>1307</v>
      </c>
      <c r="G32" s="74"/>
      <c r="H32" s="74">
        <f>SUM(Kapazitätsplanung!$H$6:$H$13)</f>
        <v>690</v>
      </c>
      <c r="I32" s="74"/>
      <c r="J32" s="74"/>
      <c r="K32" s="76">
        <f t="shared" si="1"/>
        <v>0.52792654934965566</v>
      </c>
      <c r="L32" s="76"/>
      <c r="M32" s="76"/>
    </row>
    <row r="33" spans="2:13" ht="15" customHeight="1" x14ac:dyDescent="0.25">
      <c r="B33" s="69" t="s">
        <v>35</v>
      </c>
      <c r="C33" s="69"/>
      <c r="D33" s="69"/>
      <c r="E33" s="69"/>
      <c r="F33" s="70">
        <f>SUM(Ressourcen!$H$5:$H$12)</f>
        <v>1307</v>
      </c>
      <c r="G33" s="70"/>
      <c r="H33" s="70">
        <f>SUM(Kapazitätsplanung!$I$6:$I$13)</f>
        <v>550</v>
      </c>
      <c r="I33" s="70"/>
      <c r="J33" s="70"/>
      <c r="K33" s="72">
        <f t="shared" si="1"/>
        <v>0.42081101759755163</v>
      </c>
      <c r="L33" s="72"/>
      <c r="M33" s="72"/>
    </row>
    <row r="34" spans="2:13" ht="15" customHeight="1" x14ac:dyDescent="0.25">
      <c r="B34" s="73" t="s">
        <v>36</v>
      </c>
      <c r="C34" s="73"/>
      <c r="D34" s="73"/>
      <c r="E34" s="73"/>
      <c r="F34" s="74">
        <f>SUM(Ressourcen!$H$5:$H$12)</f>
        <v>1307</v>
      </c>
      <c r="G34" s="74"/>
      <c r="H34" s="74">
        <f>SUM(Kapazitätsplanung!$J$6:$J$13)</f>
        <v>540</v>
      </c>
      <c r="I34" s="74"/>
      <c r="J34" s="74"/>
      <c r="K34" s="76">
        <f t="shared" si="1"/>
        <v>0.41315990818668707</v>
      </c>
      <c r="L34" s="76"/>
      <c r="M34" s="76"/>
    </row>
    <row r="35" spans="2:13" ht="15" customHeight="1" x14ac:dyDescent="0.25">
      <c r="B35" s="69" t="s">
        <v>37</v>
      </c>
      <c r="C35" s="69"/>
      <c r="D35" s="69"/>
      <c r="E35" s="69"/>
      <c r="F35" s="70">
        <f>SUM(Ressourcen!$H$5:$H$12)</f>
        <v>1307</v>
      </c>
      <c r="G35" s="70"/>
      <c r="H35" s="70">
        <f>SUM(Kapazitätsplanung!$K$6:$K$13)</f>
        <v>270</v>
      </c>
      <c r="I35" s="70"/>
      <c r="J35" s="70"/>
      <c r="K35" s="72">
        <f t="shared" si="1"/>
        <v>0.20657995409334354</v>
      </c>
      <c r="L35" s="72"/>
      <c r="M35" s="72"/>
    </row>
    <row r="36" spans="2:13" ht="15" customHeight="1" x14ac:dyDescent="0.25">
      <c r="B36" s="73" t="s">
        <v>38</v>
      </c>
      <c r="C36" s="73"/>
      <c r="D36" s="73"/>
      <c r="E36" s="73"/>
      <c r="F36" s="74">
        <f>SUM(Ressourcen!$H$5:$H$12)</f>
        <v>1307</v>
      </c>
      <c r="G36" s="74"/>
      <c r="H36" s="74">
        <f>SUM(Kapazitätsplanung!$L$6:$L$13)</f>
        <v>0</v>
      </c>
      <c r="I36" s="74"/>
      <c r="J36" s="74"/>
      <c r="K36" s="76">
        <f t="shared" si="1"/>
        <v>0</v>
      </c>
      <c r="L36" s="76"/>
      <c r="M36" s="76"/>
    </row>
    <row r="37" spans="2:13" ht="15" customHeight="1" x14ac:dyDescent="0.25">
      <c r="B37" s="69" t="s">
        <v>39</v>
      </c>
      <c r="C37" s="69"/>
      <c r="D37" s="69"/>
      <c r="E37" s="69"/>
      <c r="F37" s="70">
        <f>SUM(Ressourcen!$H$5:$H$12)</f>
        <v>1307</v>
      </c>
      <c r="G37" s="70"/>
      <c r="H37" s="70">
        <f>SUM(Kapazitätsplanung!$M$6:$M$13)</f>
        <v>80</v>
      </c>
      <c r="I37" s="70"/>
      <c r="J37" s="70"/>
      <c r="K37" s="72">
        <f t="shared" si="1"/>
        <v>6.1208875286916604E-2</v>
      </c>
      <c r="L37" s="72"/>
      <c r="M37" s="72"/>
    </row>
    <row r="38" spans="2:13" ht="15" customHeight="1" x14ac:dyDescent="0.25">
      <c r="B38" s="73" t="s">
        <v>40</v>
      </c>
      <c r="C38" s="73"/>
      <c r="D38" s="73"/>
      <c r="E38" s="73"/>
      <c r="F38" s="74">
        <f>SUM(Ressourcen!$H$5:$H$12)</f>
        <v>1307</v>
      </c>
      <c r="G38" s="74"/>
      <c r="H38" s="74">
        <f>SUM(Kapazitätsplanung!$N$6:$N$13)</f>
        <v>0</v>
      </c>
      <c r="I38" s="74"/>
      <c r="J38" s="74"/>
      <c r="K38" s="76">
        <f t="shared" si="1"/>
        <v>0</v>
      </c>
      <c r="L38" s="76"/>
      <c r="M38" s="76"/>
    </row>
    <row r="39" spans="2:13" ht="15" customHeight="1" x14ac:dyDescent="0.25">
      <c r="B39" s="69" t="s">
        <v>41</v>
      </c>
      <c r="C39" s="69"/>
      <c r="D39" s="69"/>
      <c r="E39" s="69"/>
      <c r="F39" s="70">
        <f>SUM(Ressourcen!$H$5:$H$12)</f>
        <v>1307</v>
      </c>
      <c r="G39" s="70"/>
      <c r="H39" s="70">
        <f>SUM(Kapazitätsplanung!$O$6:$O$13)</f>
        <v>0</v>
      </c>
      <c r="I39" s="70"/>
      <c r="J39" s="70"/>
      <c r="K39" s="72">
        <f t="shared" si="1"/>
        <v>0</v>
      </c>
      <c r="L39" s="72"/>
      <c r="M39" s="72"/>
    </row>
    <row r="40" spans="2:13" ht="15" customHeight="1" x14ac:dyDescent="0.25">
      <c r="B40" s="73" t="s">
        <v>42</v>
      </c>
      <c r="C40" s="73"/>
      <c r="D40" s="73"/>
      <c r="E40" s="73"/>
      <c r="F40" s="74">
        <f>SUM(Ressourcen!$H$5:$H$12)</f>
        <v>1307</v>
      </c>
      <c r="G40" s="74"/>
      <c r="H40" s="74">
        <f>SUM(Kapazitätsplanung!$P$6:$P$13)</f>
        <v>0</v>
      </c>
      <c r="I40" s="74"/>
      <c r="J40" s="74"/>
      <c r="K40" s="76">
        <f t="shared" si="1"/>
        <v>0</v>
      </c>
      <c r="L40" s="76"/>
      <c r="M40" s="76"/>
    </row>
    <row r="42" spans="2:13" ht="19.5" customHeight="1" x14ac:dyDescent="0.25">
      <c r="B42" s="8" t="s">
        <v>43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2:13" x14ac:dyDescent="0.25">
      <c r="B43" s="81" t="s">
        <v>44</v>
      </c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</row>
    <row r="44" spans="2:13" x14ac:dyDescent="0.25">
      <c r="B44" s="81" t="s">
        <v>45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</row>
    <row r="45" spans="2:13" x14ac:dyDescent="0.25">
      <c r="B45" s="81" t="s">
        <v>46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</row>
    <row r="46" spans="2:13" x14ac:dyDescent="0.25">
      <c r="B46" s="81" t="s">
        <v>47</v>
      </c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</row>
    <row r="47" spans="2:13" x14ac:dyDescent="0.25">
      <c r="B47" s="82" t="s">
        <v>48</v>
      </c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</row>
  </sheetData>
  <mergeCells count="113">
    <mergeCell ref="B43:M43"/>
    <mergeCell ref="B44:M44"/>
    <mergeCell ref="B45:M45"/>
    <mergeCell ref="B46:M46"/>
    <mergeCell ref="B47:M47"/>
    <mergeCell ref="B39:E39"/>
    <mergeCell ref="F39:G39"/>
    <mergeCell ref="H39:J39"/>
    <mergeCell ref="K39:M39"/>
    <mergeCell ref="B40:E40"/>
    <mergeCell ref="F40:G40"/>
    <mergeCell ref="H40:J40"/>
    <mergeCell ref="K40:M40"/>
    <mergeCell ref="B42:M42"/>
    <mergeCell ref="B36:E36"/>
    <mergeCell ref="F36:G36"/>
    <mergeCell ref="H36:J36"/>
    <mergeCell ref="K36:M36"/>
    <mergeCell ref="B37:E37"/>
    <mergeCell ref="F37:G37"/>
    <mergeCell ref="H37:J37"/>
    <mergeCell ref="K37:M37"/>
    <mergeCell ref="B38:E38"/>
    <mergeCell ref="F38:G38"/>
    <mergeCell ref="H38:J38"/>
    <mergeCell ref="K38:M38"/>
    <mergeCell ref="B33:E33"/>
    <mergeCell ref="F33:G33"/>
    <mergeCell ref="H33:J33"/>
    <mergeCell ref="K33:M33"/>
    <mergeCell ref="B34:E34"/>
    <mergeCell ref="F34:G34"/>
    <mergeCell ref="H34:J34"/>
    <mergeCell ref="K34:M34"/>
    <mergeCell ref="B35:E35"/>
    <mergeCell ref="F35:G35"/>
    <mergeCell ref="H35:J35"/>
    <mergeCell ref="K35:M35"/>
    <mergeCell ref="B30:E30"/>
    <mergeCell ref="F30:G30"/>
    <mergeCell ref="H30:J30"/>
    <mergeCell ref="K30:M30"/>
    <mergeCell ref="B31:E31"/>
    <mergeCell ref="F31:G31"/>
    <mergeCell ref="H31:J31"/>
    <mergeCell ref="K31:M31"/>
    <mergeCell ref="B32:E32"/>
    <mergeCell ref="F32:G32"/>
    <mergeCell ref="H32:J32"/>
    <mergeCell ref="K32:M32"/>
    <mergeCell ref="B27:M27"/>
    <mergeCell ref="B28:E28"/>
    <mergeCell ref="F28:G28"/>
    <mergeCell ref="H28:J28"/>
    <mergeCell ref="K28:M28"/>
    <mergeCell ref="B29:E29"/>
    <mergeCell ref="F29:G29"/>
    <mergeCell ref="H29:J29"/>
    <mergeCell ref="K29:M29"/>
    <mergeCell ref="B23:E23"/>
    <mergeCell ref="F23:G23"/>
    <mergeCell ref="H23:J23"/>
    <mergeCell ref="K23:M23"/>
    <mergeCell ref="B24:E24"/>
    <mergeCell ref="F24:G24"/>
    <mergeCell ref="H24:J24"/>
    <mergeCell ref="K24:M24"/>
    <mergeCell ref="B25:E25"/>
    <mergeCell ref="F25:G25"/>
    <mergeCell ref="H25:J25"/>
    <mergeCell ref="K25:M25"/>
    <mergeCell ref="B20:E20"/>
    <mergeCell ref="F20:G20"/>
    <mergeCell ref="H20:J20"/>
    <mergeCell ref="K20:M20"/>
    <mergeCell ref="B21:E21"/>
    <mergeCell ref="F21:G21"/>
    <mergeCell ref="H21:J21"/>
    <mergeCell ref="K21:M21"/>
    <mergeCell ref="B22:E22"/>
    <mergeCell ref="F22:G22"/>
    <mergeCell ref="H22:J22"/>
    <mergeCell ref="K22:M22"/>
    <mergeCell ref="B15:D16"/>
    <mergeCell ref="E15:G16"/>
    <mergeCell ref="H15:J16"/>
    <mergeCell ref="K15:M16"/>
    <mergeCell ref="B18:M18"/>
    <mergeCell ref="B19:E19"/>
    <mergeCell ref="F19:G19"/>
    <mergeCell ref="H19:J19"/>
    <mergeCell ref="K19:M19"/>
    <mergeCell ref="B10:D10"/>
    <mergeCell ref="E10:G10"/>
    <mergeCell ref="H10:J10"/>
    <mergeCell ref="K10:M10"/>
    <mergeCell ref="B11:D12"/>
    <mergeCell ref="E11:G12"/>
    <mergeCell ref="H11:J12"/>
    <mergeCell ref="K11:M12"/>
    <mergeCell ref="B14:D14"/>
    <mergeCell ref="E14:G14"/>
    <mergeCell ref="H14:J14"/>
    <mergeCell ref="K14:M14"/>
    <mergeCell ref="B2:M2"/>
    <mergeCell ref="B3:M3"/>
    <mergeCell ref="B4:M4"/>
    <mergeCell ref="B6:C6"/>
    <mergeCell ref="D6:F6"/>
    <mergeCell ref="G6:H6"/>
    <mergeCell ref="J6:K6"/>
    <mergeCell ref="L6:M6"/>
    <mergeCell ref="B8:M8"/>
  </mergeCells>
  <conditionalFormatting sqref="B15">
    <cfRule type="cellIs" dxfId="9" priority="3" operator="greaterThan">
      <formula>1</formula>
    </cfRule>
  </conditionalFormatting>
  <conditionalFormatting sqref="K15">
    <cfRule type="cellIs" dxfId="8" priority="2" operator="lessThan">
      <formula>0</formula>
    </cfRule>
  </conditionalFormatting>
  <conditionalFormatting sqref="K29:K40">
    <cfRule type="colorScale" priority="4">
      <colorScale>
        <cfvo type="num" val="0"/>
        <cfvo type="num" val="0.85"/>
        <cfvo type="num" val="1.1000000000000001"/>
        <color rgb="FFCDE9D3"/>
        <color rgb="FFFBE7A6"/>
        <color rgb="FFF6C6BE"/>
      </colorScale>
    </cfRule>
  </conditionalFormatting>
  <printOptions horizontalCentered="1"/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8"/>
  <sheetViews>
    <sheetView showGridLines="0" zoomScaleNormal="100" workbookViewId="0">
      <pane ySplit="4" topLeftCell="A5" activePane="bottomLeft" state="frozen"/>
      <selection pane="bottomLeft"/>
    </sheetView>
  </sheetViews>
  <sheetFormatPr baseColWidth="10" defaultColWidth="8.7109375" defaultRowHeight="15" x14ac:dyDescent="0.25"/>
  <cols>
    <col min="1" max="1" width="6" customWidth="1"/>
    <col min="2" max="2" width="20" customWidth="1"/>
    <col min="3" max="3" width="26" customWidth="1"/>
    <col min="4" max="4" width="18" customWidth="1"/>
    <col min="5" max="5" width="14" customWidth="1"/>
    <col min="6" max="7" width="11" customWidth="1"/>
    <col min="8" max="8" width="12" customWidth="1"/>
    <col min="9" max="9" width="13" customWidth="1"/>
    <col min="10" max="10" width="20" customWidth="1"/>
  </cols>
  <sheetData>
    <row r="1" spans="1:10" ht="30" customHeight="1" x14ac:dyDescent="0.25">
      <c r="A1" s="83" t="s">
        <v>49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18" customHeight="1" x14ac:dyDescent="0.25">
      <c r="A2" s="13" t="s">
        <v>50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4.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30" customHeight="1" x14ac:dyDescent="0.25">
      <c r="A4" s="19" t="s">
        <v>51</v>
      </c>
      <c r="B4" s="19" t="s">
        <v>52</v>
      </c>
      <c r="C4" s="19" t="s">
        <v>53</v>
      </c>
      <c r="D4" s="19" t="s">
        <v>54</v>
      </c>
      <c r="E4" s="19" t="s">
        <v>55</v>
      </c>
      <c r="F4" s="19" t="s">
        <v>56</v>
      </c>
      <c r="G4" s="19" t="s">
        <v>57</v>
      </c>
      <c r="H4" s="19" t="s">
        <v>58</v>
      </c>
      <c r="I4" s="19" t="s">
        <v>59</v>
      </c>
      <c r="J4" s="19" t="s">
        <v>60</v>
      </c>
    </row>
    <row r="5" spans="1:10" x14ac:dyDescent="0.25">
      <c r="A5" s="20" t="s">
        <v>61</v>
      </c>
      <c r="B5" s="21" t="s">
        <v>62</v>
      </c>
      <c r="C5" s="22" t="s">
        <v>63</v>
      </c>
      <c r="D5" s="22" t="s">
        <v>64</v>
      </c>
      <c r="E5" s="22" t="s">
        <v>65</v>
      </c>
      <c r="F5" s="23">
        <v>40</v>
      </c>
      <c r="G5" s="24">
        <v>1</v>
      </c>
      <c r="H5" s="25">
        <f t="shared" ref="H5:H12" si="0">ROUND(F5*52/12*G5,0)</f>
        <v>173</v>
      </c>
      <c r="I5" s="26">
        <v>95</v>
      </c>
      <c r="J5" s="27" t="s">
        <v>66</v>
      </c>
    </row>
    <row r="6" spans="1:10" x14ac:dyDescent="0.25">
      <c r="A6" s="28" t="s">
        <v>67</v>
      </c>
      <c r="B6" s="21" t="s">
        <v>68</v>
      </c>
      <c r="C6" s="22" t="s">
        <v>69</v>
      </c>
      <c r="D6" s="22" t="s">
        <v>70</v>
      </c>
      <c r="E6" s="22" t="s">
        <v>71</v>
      </c>
      <c r="F6" s="23">
        <v>40</v>
      </c>
      <c r="G6" s="24">
        <v>1</v>
      </c>
      <c r="H6" s="29">
        <f t="shared" si="0"/>
        <v>173</v>
      </c>
      <c r="I6" s="26">
        <v>82</v>
      </c>
      <c r="J6" s="27" t="s">
        <v>66</v>
      </c>
    </row>
    <row r="7" spans="1:10" x14ac:dyDescent="0.25">
      <c r="A7" s="20" t="s">
        <v>72</v>
      </c>
      <c r="B7" s="21" t="s">
        <v>73</v>
      </c>
      <c r="C7" s="22" t="s">
        <v>74</v>
      </c>
      <c r="D7" s="22" t="s">
        <v>70</v>
      </c>
      <c r="E7" s="22" t="s">
        <v>71</v>
      </c>
      <c r="F7" s="23">
        <v>40</v>
      </c>
      <c r="G7" s="24">
        <v>0.9</v>
      </c>
      <c r="H7" s="25">
        <f t="shared" si="0"/>
        <v>156</v>
      </c>
      <c r="I7" s="26">
        <v>70</v>
      </c>
      <c r="J7" s="27" t="s">
        <v>75</v>
      </c>
    </row>
    <row r="8" spans="1:10" x14ac:dyDescent="0.25">
      <c r="A8" s="28" t="s">
        <v>76</v>
      </c>
      <c r="B8" s="21" t="s">
        <v>77</v>
      </c>
      <c r="C8" s="22" t="s">
        <v>78</v>
      </c>
      <c r="D8" s="22" t="s">
        <v>79</v>
      </c>
      <c r="E8" s="22" t="s">
        <v>80</v>
      </c>
      <c r="F8" s="23">
        <v>40</v>
      </c>
      <c r="G8" s="24">
        <v>1</v>
      </c>
      <c r="H8" s="29">
        <f t="shared" si="0"/>
        <v>173</v>
      </c>
      <c r="I8" s="26">
        <v>72</v>
      </c>
      <c r="J8" s="27" t="s">
        <v>66</v>
      </c>
    </row>
    <row r="9" spans="1:10" x14ac:dyDescent="0.25">
      <c r="A9" s="20" t="s">
        <v>81</v>
      </c>
      <c r="B9" s="21" t="s">
        <v>82</v>
      </c>
      <c r="C9" s="22" t="s">
        <v>83</v>
      </c>
      <c r="D9" s="22" t="s">
        <v>84</v>
      </c>
      <c r="E9" s="22" t="s">
        <v>65</v>
      </c>
      <c r="F9" s="23">
        <v>30</v>
      </c>
      <c r="G9" s="24">
        <v>1</v>
      </c>
      <c r="H9" s="25">
        <f t="shared" si="0"/>
        <v>130</v>
      </c>
      <c r="I9" s="26">
        <v>68</v>
      </c>
      <c r="J9" s="27" t="s">
        <v>85</v>
      </c>
    </row>
    <row r="10" spans="1:10" x14ac:dyDescent="0.25">
      <c r="A10" s="28" t="s">
        <v>86</v>
      </c>
      <c r="B10" s="21" t="s">
        <v>87</v>
      </c>
      <c r="C10" s="22" t="s">
        <v>88</v>
      </c>
      <c r="D10" s="22" t="s">
        <v>89</v>
      </c>
      <c r="E10" s="22" t="s">
        <v>71</v>
      </c>
      <c r="F10" s="23">
        <v>40</v>
      </c>
      <c r="G10" s="24">
        <v>1</v>
      </c>
      <c r="H10" s="29">
        <f t="shared" si="0"/>
        <v>173</v>
      </c>
      <c r="I10" s="26">
        <v>60</v>
      </c>
      <c r="J10" s="27" t="s">
        <v>66</v>
      </c>
    </row>
    <row r="11" spans="1:10" x14ac:dyDescent="0.25">
      <c r="A11" s="20" t="s">
        <v>90</v>
      </c>
      <c r="B11" s="21" t="s">
        <v>91</v>
      </c>
      <c r="C11" s="22" t="s">
        <v>92</v>
      </c>
      <c r="D11" s="22" t="s">
        <v>93</v>
      </c>
      <c r="E11" s="22" t="s">
        <v>80</v>
      </c>
      <c r="F11" s="23">
        <v>40</v>
      </c>
      <c r="G11" s="24">
        <v>0.9</v>
      </c>
      <c r="H11" s="25">
        <f t="shared" si="0"/>
        <v>156</v>
      </c>
      <c r="I11" s="26">
        <v>58</v>
      </c>
      <c r="J11" s="27" t="s">
        <v>75</v>
      </c>
    </row>
    <row r="12" spans="1:10" x14ac:dyDescent="0.25">
      <c r="A12" s="28" t="s">
        <v>94</v>
      </c>
      <c r="B12" s="21" t="s">
        <v>95</v>
      </c>
      <c r="C12" s="22" t="s">
        <v>96</v>
      </c>
      <c r="D12" s="22" t="s">
        <v>97</v>
      </c>
      <c r="E12" s="22" t="s">
        <v>98</v>
      </c>
      <c r="F12" s="23">
        <v>40</v>
      </c>
      <c r="G12" s="24">
        <v>1</v>
      </c>
      <c r="H12" s="29">
        <f t="shared" si="0"/>
        <v>173</v>
      </c>
      <c r="I12" s="26">
        <v>75</v>
      </c>
      <c r="J12" s="27" t="s">
        <v>66</v>
      </c>
    </row>
    <row r="13" spans="1:10" x14ac:dyDescent="0.25">
      <c r="A13" s="30"/>
      <c r="B13" s="16" t="s">
        <v>99</v>
      </c>
      <c r="C13" s="30"/>
      <c r="D13" s="30"/>
      <c r="E13" s="30"/>
      <c r="F13" s="31">
        <f>SUM(F5:F12)</f>
        <v>310</v>
      </c>
      <c r="G13" s="30"/>
      <c r="H13" s="17">
        <f>SUM(H5:H12)</f>
        <v>1307</v>
      </c>
      <c r="I13" s="18">
        <f>ROUND(AVERAGE(I5:I12),0)</f>
        <v>73</v>
      </c>
      <c r="J13" s="30"/>
    </row>
    <row r="15" spans="1:10" x14ac:dyDescent="0.25">
      <c r="B15" s="32" t="s">
        <v>100</v>
      </c>
    </row>
    <row r="16" spans="1:10" x14ac:dyDescent="0.25">
      <c r="B16" s="32" t="s">
        <v>101</v>
      </c>
    </row>
    <row r="18" spans="2:4" x14ac:dyDescent="0.25">
      <c r="B18" s="33" t="s">
        <v>102</v>
      </c>
      <c r="C18" s="34" t="s">
        <v>103</v>
      </c>
      <c r="D18" s="35" t="s">
        <v>104</v>
      </c>
    </row>
  </sheetData>
  <mergeCells count="3">
    <mergeCell ref="A1:J1"/>
    <mergeCell ref="A2:J2"/>
    <mergeCell ref="A3:J3"/>
  </mergeCells>
  <dataValidations count="1">
    <dataValidation type="list" allowBlank="1" sqref="G5:G12" xr:uid="{00000000-0002-0000-0100-000000000000}">
      <formula1>"1,0.9,0.8,0.75,0.5"</formula1>
      <formula2>0</formula2>
    </dataValidation>
  </dataValidations>
  <printOptions horizontalCentered="1"/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79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8.7109375" defaultRowHeight="15" x14ac:dyDescent="0.25"/>
  <cols>
    <col min="1" max="1" width="16" customWidth="1"/>
    <col min="2" max="2" width="30" customWidth="1"/>
    <col min="3" max="3" width="18" customWidth="1"/>
    <col min="4" max="4" width="9" customWidth="1"/>
    <col min="5" max="5" width="11" customWidth="1"/>
    <col min="6" max="6" width="12" customWidth="1"/>
    <col min="7" max="7" width="13" customWidth="1"/>
    <col min="8" max="8" width="12" customWidth="1"/>
    <col min="9" max="9" width="11" customWidth="1"/>
  </cols>
  <sheetData>
    <row r="1" spans="1:9" ht="30" customHeight="1" x14ac:dyDescent="0.25">
      <c r="A1" s="83" t="s">
        <v>105</v>
      </c>
      <c r="B1" s="83"/>
      <c r="C1" s="83"/>
      <c r="D1" s="83"/>
      <c r="E1" s="83"/>
      <c r="F1" s="83"/>
      <c r="G1" s="83"/>
      <c r="H1" s="83"/>
      <c r="I1" s="83"/>
    </row>
    <row r="2" spans="1:9" ht="18" customHeight="1" x14ac:dyDescent="0.25">
      <c r="A2" s="13" t="s">
        <v>106</v>
      </c>
      <c r="B2" s="13"/>
      <c r="C2" s="13"/>
      <c r="D2" s="13"/>
      <c r="E2" s="13"/>
      <c r="F2" s="13"/>
      <c r="G2" s="13"/>
      <c r="H2" s="13"/>
      <c r="I2" s="13"/>
    </row>
    <row r="3" spans="1:9" ht="4.5" customHeight="1" x14ac:dyDescent="0.25">
      <c r="A3" s="12"/>
      <c r="B3" s="12"/>
      <c r="C3" s="12"/>
      <c r="D3" s="12"/>
      <c r="E3" s="12"/>
      <c r="F3" s="12"/>
      <c r="G3" s="12"/>
      <c r="H3" s="12"/>
      <c r="I3" s="12"/>
    </row>
    <row r="4" spans="1:9" x14ac:dyDescent="0.25">
      <c r="A4" s="84" t="s">
        <v>107</v>
      </c>
      <c r="B4" s="84"/>
      <c r="C4" s="84"/>
      <c r="D4" s="84"/>
      <c r="E4" s="84"/>
      <c r="F4" s="84"/>
      <c r="G4" s="84"/>
      <c r="H4" s="84"/>
      <c r="I4" s="84"/>
    </row>
    <row r="5" spans="1:9" ht="30" customHeight="1" x14ac:dyDescent="0.25">
      <c r="A5" s="19" t="s">
        <v>16</v>
      </c>
      <c r="B5" s="19" t="s">
        <v>108</v>
      </c>
      <c r="C5" s="19" t="s">
        <v>109</v>
      </c>
      <c r="D5" s="19" t="s">
        <v>27</v>
      </c>
      <c r="E5" s="19" t="s">
        <v>110</v>
      </c>
      <c r="F5" s="19" t="s">
        <v>59</v>
      </c>
      <c r="G5" s="19" t="s">
        <v>111</v>
      </c>
      <c r="H5" s="19" t="s">
        <v>112</v>
      </c>
      <c r="I5" s="19" t="s">
        <v>113</v>
      </c>
    </row>
    <row r="6" spans="1:9" x14ac:dyDescent="0.25">
      <c r="A6" s="22" t="s">
        <v>20</v>
      </c>
      <c r="B6" s="22" t="s">
        <v>114</v>
      </c>
      <c r="C6" s="21" t="s">
        <v>62</v>
      </c>
      <c r="D6" s="36" t="s">
        <v>31</v>
      </c>
      <c r="E6" s="37">
        <v>80</v>
      </c>
      <c r="F6" s="38">
        <f>IFERROR(INDEX(Ressourcen!$I$5:$I$12,MATCH(C6,Ressourcen!$B$5:$B$12,0)),"")</f>
        <v>95</v>
      </c>
      <c r="G6" s="39">
        <f t="shared" ref="G6:G37" si="0">IF(E6="","",E6*F6)</f>
        <v>7600</v>
      </c>
      <c r="H6" s="36" t="s">
        <v>115</v>
      </c>
      <c r="I6" s="36" t="s">
        <v>116</v>
      </c>
    </row>
    <row r="7" spans="1:9" x14ac:dyDescent="0.25">
      <c r="A7" s="22" t="s">
        <v>20</v>
      </c>
      <c r="B7" s="22" t="s">
        <v>117</v>
      </c>
      <c r="C7" s="21" t="s">
        <v>82</v>
      </c>
      <c r="D7" s="36" t="s">
        <v>31</v>
      </c>
      <c r="E7" s="37">
        <v>90</v>
      </c>
      <c r="F7" s="40">
        <f>IFERROR(INDEX(Ressourcen!$I$5:$I$12,MATCH(C7,Ressourcen!$B$5:$B$12,0)),"")</f>
        <v>68</v>
      </c>
      <c r="G7" s="41">
        <f t="shared" si="0"/>
        <v>6120</v>
      </c>
      <c r="H7" s="36" t="s">
        <v>115</v>
      </c>
      <c r="I7" s="36" t="s">
        <v>116</v>
      </c>
    </row>
    <row r="8" spans="1:9" x14ac:dyDescent="0.25">
      <c r="A8" s="22" t="s">
        <v>20</v>
      </c>
      <c r="B8" s="22" t="s">
        <v>118</v>
      </c>
      <c r="C8" s="21" t="s">
        <v>68</v>
      </c>
      <c r="D8" s="36" t="s">
        <v>31</v>
      </c>
      <c r="E8" s="37">
        <v>100</v>
      </c>
      <c r="F8" s="38">
        <f>IFERROR(INDEX(Ressourcen!$I$5:$I$12,MATCH(C8,Ressourcen!$B$5:$B$12,0)),"")</f>
        <v>82</v>
      </c>
      <c r="G8" s="39">
        <f t="shared" si="0"/>
        <v>8200</v>
      </c>
      <c r="H8" s="36" t="s">
        <v>115</v>
      </c>
      <c r="I8" s="36" t="s">
        <v>116</v>
      </c>
    </row>
    <row r="9" spans="1:9" x14ac:dyDescent="0.25">
      <c r="A9" s="22" t="s">
        <v>20</v>
      </c>
      <c r="B9" s="22" t="s">
        <v>119</v>
      </c>
      <c r="C9" s="21" t="s">
        <v>77</v>
      </c>
      <c r="D9" s="36" t="s">
        <v>31</v>
      </c>
      <c r="E9" s="37">
        <v>70</v>
      </c>
      <c r="F9" s="40">
        <f>IFERROR(INDEX(Ressourcen!$I$5:$I$12,MATCH(C9,Ressourcen!$B$5:$B$12,0)),"")</f>
        <v>72</v>
      </c>
      <c r="G9" s="41">
        <f t="shared" si="0"/>
        <v>5040</v>
      </c>
      <c r="H9" s="36" t="s">
        <v>115</v>
      </c>
      <c r="I9" s="36" t="s">
        <v>120</v>
      </c>
    </row>
    <row r="10" spans="1:9" x14ac:dyDescent="0.25">
      <c r="A10" s="22" t="s">
        <v>24</v>
      </c>
      <c r="B10" s="22" t="s">
        <v>121</v>
      </c>
      <c r="C10" s="21" t="s">
        <v>62</v>
      </c>
      <c r="D10" s="36" t="s">
        <v>31</v>
      </c>
      <c r="E10" s="37">
        <v>60</v>
      </c>
      <c r="F10" s="38">
        <f>IFERROR(INDEX(Ressourcen!$I$5:$I$12,MATCH(C10,Ressourcen!$B$5:$B$12,0)),"")</f>
        <v>95</v>
      </c>
      <c r="G10" s="39">
        <f t="shared" si="0"/>
        <v>5700</v>
      </c>
      <c r="H10" s="36" t="s">
        <v>122</v>
      </c>
      <c r="I10" s="36" t="s">
        <v>123</v>
      </c>
    </row>
    <row r="11" spans="1:9" x14ac:dyDescent="0.25">
      <c r="A11" s="22" t="s">
        <v>20</v>
      </c>
      <c r="B11" s="22" t="s">
        <v>118</v>
      </c>
      <c r="C11" s="21" t="s">
        <v>68</v>
      </c>
      <c r="D11" s="36" t="s">
        <v>32</v>
      </c>
      <c r="E11" s="37">
        <v>110</v>
      </c>
      <c r="F11" s="40">
        <f>IFERROR(INDEX(Ressourcen!$I$5:$I$12,MATCH(C11,Ressourcen!$B$5:$B$12,0)),"")</f>
        <v>82</v>
      </c>
      <c r="G11" s="41">
        <f t="shared" si="0"/>
        <v>9020</v>
      </c>
      <c r="H11" s="36" t="s">
        <v>115</v>
      </c>
      <c r="I11" s="36" t="s">
        <v>116</v>
      </c>
    </row>
    <row r="12" spans="1:9" x14ac:dyDescent="0.25">
      <c r="A12" s="22" t="s">
        <v>21</v>
      </c>
      <c r="B12" s="22" t="s">
        <v>124</v>
      </c>
      <c r="C12" s="21" t="s">
        <v>68</v>
      </c>
      <c r="D12" s="36" t="s">
        <v>32</v>
      </c>
      <c r="E12" s="37">
        <v>80</v>
      </c>
      <c r="F12" s="38">
        <f>IFERROR(INDEX(Ressourcen!$I$5:$I$12,MATCH(C12,Ressourcen!$B$5:$B$12,0)),"")</f>
        <v>82</v>
      </c>
      <c r="G12" s="39">
        <f t="shared" si="0"/>
        <v>6560</v>
      </c>
      <c r="H12" s="36" t="s">
        <v>122</v>
      </c>
      <c r="I12" s="36" t="s">
        <v>120</v>
      </c>
    </row>
    <row r="13" spans="1:9" x14ac:dyDescent="0.25">
      <c r="A13" s="22" t="s">
        <v>20</v>
      </c>
      <c r="B13" s="22" t="s">
        <v>125</v>
      </c>
      <c r="C13" s="21" t="s">
        <v>73</v>
      </c>
      <c r="D13" s="36" t="s">
        <v>32</v>
      </c>
      <c r="E13" s="37">
        <v>95</v>
      </c>
      <c r="F13" s="40">
        <f>IFERROR(INDEX(Ressourcen!$I$5:$I$12,MATCH(C13,Ressourcen!$B$5:$B$12,0)),"")</f>
        <v>70</v>
      </c>
      <c r="G13" s="41">
        <f t="shared" si="0"/>
        <v>6650</v>
      </c>
      <c r="H13" s="36" t="s">
        <v>115</v>
      </c>
      <c r="I13" s="36" t="s">
        <v>116</v>
      </c>
    </row>
    <row r="14" spans="1:9" x14ac:dyDescent="0.25">
      <c r="A14" s="22" t="s">
        <v>21</v>
      </c>
      <c r="B14" s="22" t="s">
        <v>125</v>
      </c>
      <c r="C14" s="21" t="s">
        <v>73</v>
      </c>
      <c r="D14" s="36" t="s">
        <v>32</v>
      </c>
      <c r="E14" s="37">
        <v>80</v>
      </c>
      <c r="F14" s="38">
        <f>IFERROR(INDEX(Ressourcen!$I$5:$I$12,MATCH(C14,Ressourcen!$B$5:$B$12,0)),"")</f>
        <v>70</v>
      </c>
      <c r="G14" s="39">
        <f t="shared" si="0"/>
        <v>5600</v>
      </c>
      <c r="H14" s="36" t="s">
        <v>122</v>
      </c>
      <c r="I14" s="36" t="s">
        <v>120</v>
      </c>
    </row>
    <row r="15" spans="1:9" x14ac:dyDescent="0.25">
      <c r="A15" s="22" t="s">
        <v>20</v>
      </c>
      <c r="B15" s="22" t="s">
        <v>126</v>
      </c>
      <c r="C15" s="21" t="s">
        <v>77</v>
      </c>
      <c r="D15" s="36" t="s">
        <v>32</v>
      </c>
      <c r="E15" s="37">
        <v>120</v>
      </c>
      <c r="F15" s="40">
        <f>IFERROR(INDEX(Ressourcen!$I$5:$I$12,MATCH(C15,Ressourcen!$B$5:$B$12,0)),"")</f>
        <v>72</v>
      </c>
      <c r="G15" s="41">
        <f t="shared" si="0"/>
        <v>8640</v>
      </c>
      <c r="H15" s="36" t="s">
        <v>115</v>
      </c>
      <c r="I15" s="36" t="s">
        <v>116</v>
      </c>
    </row>
    <row r="16" spans="1:9" x14ac:dyDescent="0.25">
      <c r="A16" s="22" t="s">
        <v>20</v>
      </c>
      <c r="B16" s="22" t="s">
        <v>114</v>
      </c>
      <c r="C16" s="21" t="s">
        <v>62</v>
      </c>
      <c r="D16" s="36" t="s">
        <v>32</v>
      </c>
      <c r="E16" s="37">
        <v>150</v>
      </c>
      <c r="F16" s="38">
        <f>IFERROR(INDEX(Ressourcen!$I$5:$I$12,MATCH(C16,Ressourcen!$B$5:$B$12,0)),"")</f>
        <v>95</v>
      </c>
      <c r="G16" s="39">
        <f t="shared" si="0"/>
        <v>14250</v>
      </c>
      <c r="H16" s="36" t="s">
        <v>115</v>
      </c>
      <c r="I16" s="36" t="s">
        <v>116</v>
      </c>
    </row>
    <row r="17" spans="1:9" x14ac:dyDescent="0.25">
      <c r="A17" s="22" t="s">
        <v>20</v>
      </c>
      <c r="B17" s="22" t="s">
        <v>127</v>
      </c>
      <c r="C17" s="21" t="s">
        <v>87</v>
      </c>
      <c r="D17" s="36" t="s">
        <v>32</v>
      </c>
      <c r="E17" s="37">
        <v>100</v>
      </c>
      <c r="F17" s="40">
        <f>IFERROR(INDEX(Ressourcen!$I$5:$I$12,MATCH(C17,Ressourcen!$B$5:$B$12,0)),"")</f>
        <v>60</v>
      </c>
      <c r="G17" s="41">
        <f t="shared" si="0"/>
        <v>6000</v>
      </c>
      <c r="H17" s="36" t="s">
        <v>122</v>
      </c>
      <c r="I17" s="36" t="s">
        <v>120</v>
      </c>
    </row>
    <row r="18" spans="1:9" x14ac:dyDescent="0.25">
      <c r="A18" s="22" t="s">
        <v>20</v>
      </c>
      <c r="B18" s="22" t="s">
        <v>128</v>
      </c>
      <c r="C18" s="21" t="s">
        <v>87</v>
      </c>
      <c r="D18" s="36" t="s">
        <v>33</v>
      </c>
      <c r="E18" s="37">
        <v>150</v>
      </c>
      <c r="F18" s="38">
        <f>IFERROR(INDEX(Ressourcen!$I$5:$I$12,MATCH(C18,Ressourcen!$B$5:$B$12,0)),"")</f>
        <v>60</v>
      </c>
      <c r="G18" s="39">
        <f t="shared" si="0"/>
        <v>9000</v>
      </c>
      <c r="H18" s="36" t="s">
        <v>122</v>
      </c>
      <c r="I18" s="36" t="s">
        <v>116</v>
      </c>
    </row>
    <row r="19" spans="1:9" x14ac:dyDescent="0.25">
      <c r="A19" s="22" t="s">
        <v>21</v>
      </c>
      <c r="B19" s="22" t="s">
        <v>129</v>
      </c>
      <c r="C19" s="21" t="s">
        <v>87</v>
      </c>
      <c r="D19" s="36" t="s">
        <v>33</v>
      </c>
      <c r="E19" s="37">
        <v>40</v>
      </c>
      <c r="F19" s="40">
        <f>IFERROR(INDEX(Ressourcen!$I$5:$I$12,MATCH(C19,Ressourcen!$B$5:$B$12,0)),"")</f>
        <v>60</v>
      </c>
      <c r="G19" s="41">
        <f t="shared" si="0"/>
        <v>2400</v>
      </c>
      <c r="H19" s="36" t="s">
        <v>122</v>
      </c>
      <c r="I19" s="36" t="s">
        <v>123</v>
      </c>
    </row>
    <row r="20" spans="1:9" x14ac:dyDescent="0.25">
      <c r="A20" s="22" t="s">
        <v>21</v>
      </c>
      <c r="B20" s="22" t="s">
        <v>130</v>
      </c>
      <c r="C20" s="21" t="s">
        <v>62</v>
      </c>
      <c r="D20" s="36" t="s">
        <v>33</v>
      </c>
      <c r="E20" s="37">
        <v>160</v>
      </c>
      <c r="F20" s="38">
        <f>IFERROR(INDEX(Ressourcen!$I$5:$I$12,MATCH(C20,Ressourcen!$B$5:$B$12,0)),"")</f>
        <v>95</v>
      </c>
      <c r="G20" s="39">
        <f t="shared" si="0"/>
        <v>15200</v>
      </c>
      <c r="H20" s="36" t="s">
        <v>122</v>
      </c>
      <c r="I20" s="36" t="s">
        <v>116</v>
      </c>
    </row>
    <row r="21" spans="1:9" x14ac:dyDescent="0.25">
      <c r="A21" s="22" t="s">
        <v>22</v>
      </c>
      <c r="B21" s="22" t="s">
        <v>131</v>
      </c>
      <c r="C21" s="21" t="s">
        <v>91</v>
      </c>
      <c r="D21" s="36" t="s">
        <v>33</v>
      </c>
      <c r="E21" s="37">
        <v>120</v>
      </c>
      <c r="F21" s="40">
        <f>IFERROR(INDEX(Ressourcen!$I$5:$I$12,MATCH(C21,Ressourcen!$B$5:$B$12,0)),"")</f>
        <v>58</v>
      </c>
      <c r="G21" s="41">
        <f t="shared" si="0"/>
        <v>6960</v>
      </c>
      <c r="H21" s="36" t="s">
        <v>122</v>
      </c>
      <c r="I21" s="36" t="s">
        <v>120</v>
      </c>
    </row>
    <row r="22" spans="1:9" x14ac:dyDescent="0.25">
      <c r="A22" s="22" t="s">
        <v>20</v>
      </c>
      <c r="B22" s="22" t="s">
        <v>132</v>
      </c>
      <c r="C22" s="21" t="s">
        <v>95</v>
      </c>
      <c r="D22" s="36" t="s">
        <v>33</v>
      </c>
      <c r="E22" s="37">
        <v>90</v>
      </c>
      <c r="F22" s="38">
        <f>IFERROR(INDEX(Ressourcen!$I$5:$I$12,MATCH(C22,Ressourcen!$B$5:$B$12,0)),"")</f>
        <v>75</v>
      </c>
      <c r="G22" s="39">
        <f t="shared" si="0"/>
        <v>6750</v>
      </c>
      <c r="H22" s="36" t="s">
        <v>122</v>
      </c>
      <c r="I22" s="36" t="s">
        <v>120</v>
      </c>
    </row>
    <row r="23" spans="1:9" x14ac:dyDescent="0.25">
      <c r="A23" s="22" t="s">
        <v>22</v>
      </c>
      <c r="B23" s="22" t="s">
        <v>117</v>
      </c>
      <c r="C23" s="21" t="s">
        <v>82</v>
      </c>
      <c r="D23" s="36" t="s">
        <v>34</v>
      </c>
      <c r="E23" s="37">
        <v>110</v>
      </c>
      <c r="F23" s="40">
        <f>IFERROR(INDEX(Ressourcen!$I$5:$I$12,MATCH(C23,Ressourcen!$B$5:$B$12,0)),"")</f>
        <v>68</v>
      </c>
      <c r="G23" s="41">
        <f t="shared" si="0"/>
        <v>7480</v>
      </c>
      <c r="H23" s="36" t="s">
        <v>122</v>
      </c>
      <c r="I23" s="36" t="s">
        <v>116</v>
      </c>
    </row>
    <row r="24" spans="1:9" x14ac:dyDescent="0.25">
      <c r="A24" s="22" t="s">
        <v>22</v>
      </c>
      <c r="B24" s="22" t="s">
        <v>130</v>
      </c>
      <c r="C24" s="21" t="s">
        <v>62</v>
      </c>
      <c r="D24" s="36" t="s">
        <v>34</v>
      </c>
      <c r="E24" s="37">
        <v>140</v>
      </c>
      <c r="F24" s="38">
        <f>IFERROR(INDEX(Ressourcen!$I$5:$I$12,MATCH(C24,Ressourcen!$B$5:$B$12,0)),"")</f>
        <v>95</v>
      </c>
      <c r="G24" s="39">
        <f t="shared" si="0"/>
        <v>13300</v>
      </c>
      <c r="H24" s="36" t="s">
        <v>122</v>
      </c>
      <c r="I24" s="36" t="s">
        <v>116</v>
      </c>
    </row>
    <row r="25" spans="1:9" x14ac:dyDescent="0.25">
      <c r="A25" s="22" t="s">
        <v>22</v>
      </c>
      <c r="B25" s="22" t="s">
        <v>133</v>
      </c>
      <c r="C25" s="21" t="s">
        <v>68</v>
      </c>
      <c r="D25" s="36" t="s">
        <v>34</v>
      </c>
      <c r="E25" s="37">
        <v>150</v>
      </c>
      <c r="F25" s="40">
        <f>IFERROR(INDEX(Ressourcen!$I$5:$I$12,MATCH(C25,Ressourcen!$B$5:$B$12,0)),"")</f>
        <v>82</v>
      </c>
      <c r="G25" s="41">
        <f t="shared" si="0"/>
        <v>12300</v>
      </c>
      <c r="H25" s="36" t="s">
        <v>122</v>
      </c>
      <c r="I25" s="36" t="s">
        <v>116</v>
      </c>
    </row>
    <row r="26" spans="1:9" x14ac:dyDescent="0.25">
      <c r="A26" s="22" t="s">
        <v>22</v>
      </c>
      <c r="B26" s="22" t="s">
        <v>134</v>
      </c>
      <c r="C26" s="21" t="s">
        <v>77</v>
      </c>
      <c r="D26" s="36" t="s">
        <v>34</v>
      </c>
      <c r="E26" s="37">
        <v>130</v>
      </c>
      <c r="F26" s="38">
        <f>IFERROR(INDEX(Ressourcen!$I$5:$I$12,MATCH(C26,Ressourcen!$B$5:$B$12,0)),"")</f>
        <v>72</v>
      </c>
      <c r="G26" s="39">
        <f t="shared" si="0"/>
        <v>9360</v>
      </c>
      <c r="H26" s="36" t="s">
        <v>122</v>
      </c>
      <c r="I26" s="36" t="s">
        <v>120</v>
      </c>
    </row>
    <row r="27" spans="1:9" x14ac:dyDescent="0.25">
      <c r="A27" s="22" t="s">
        <v>23</v>
      </c>
      <c r="B27" s="22" t="s">
        <v>135</v>
      </c>
      <c r="C27" s="21" t="s">
        <v>95</v>
      </c>
      <c r="D27" s="36" t="s">
        <v>34</v>
      </c>
      <c r="E27" s="37">
        <v>160</v>
      </c>
      <c r="F27" s="40">
        <f>IFERROR(INDEX(Ressourcen!$I$5:$I$12,MATCH(C27,Ressourcen!$B$5:$B$12,0)),"")</f>
        <v>75</v>
      </c>
      <c r="G27" s="41">
        <f t="shared" si="0"/>
        <v>12000</v>
      </c>
      <c r="H27" s="36" t="s">
        <v>122</v>
      </c>
      <c r="I27" s="36" t="s">
        <v>116</v>
      </c>
    </row>
    <row r="28" spans="1:9" x14ac:dyDescent="0.25">
      <c r="A28" s="22" t="s">
        <v>22</v>
      </c>
      <c r="B28" s="22" t="s">
        <v>133</v>
      </c>
      <c r="C28" s="21" t="s">
        <v>68</v>
      </c>
      <c r="D28" s="36" t="s">
        <v>35</v>
      </c>
      <c r="E28" s="37">
        <v>160</v>
      </c>
      <c r="F28" s="38">
        <f>IFERROR(INDEX(Ressourcen!$I$5:$I$12,MATCH(C28,Ressourcen!$B$5:$B$12,0)),"")</f>
        <v>82</v>
      </c>
      <c r="G28" s="39">
        <f t="shared" si="0"/>
        <v>13120</v>
      </c>
      <c r="H28" s="36" t="s">
        <v>122</v>
      </c>
      <c r="I28" s="36" t="s">
        <v>116</v>
      </c>
    </row>
    <row r="29" spans="1:9" x14ac:dyDescent="0.25">
      <c r="A29" s="22" t="s">
        <v>22</v>
      </c>
      <c r="B29" s="22" t="s">
        <v>125</v>
      </c>
      <c r="C29" s="21" t="s">
        <v>73</v>
      </c>
      <c r="D29" s="36" t="s">
        <v>35</v>
      </c>
      <c r="E29" s="37">
        <v>140</v>
      </c>
      <c r="F29" s="40">
        <f>IFERROR(INDEX(Ressourcen!$I$5:$I$12,MATCH(C29,Ressourcen!$B$5:$B$12,0)),"")</f>
        <v>70</v>
      </c>
      <c r="G29" s="41">
        <f t="shared" si="0"/>
        <v>9800</v>
      </c>
      <c r="H29" s="36" t="s">
        <v>122</v>
      </c>
      <c r="I29" s="36" t="s">
        <v>120</v>
      </c>
    </row>
    <row r="30" spans="1:9" x14ac:dyDescent="0.25">
      <c r="A30" s="22" t="s">
        <v>22</v>
      </c>
      <c r="B30" s="22" t="s">
        <v>136</v>
      </c>
      <c r="C30" s="21" t="s">
        <v>91</v>
      </c>
      <c r="D30" s="36" t="s">
        <v>35</v>
      </c>
      <c r="E30" s="37">
        <v>150</v>
      </c>
      <c r="F30" s="38">
        <f>IFERROR(INDEX(Ressourcen!$I$5:$I$12,MATCH(C30,Ressourcen!$B$5:$B$12,0)),"")</f>
        <v>58</v>
      </c>
      <c r="G30" s="39">
        <f t="shared" si="0"/>
        <v>8700</v>
      </c>
      <c r="H30" s="36" t="s">
        <v>122</v>
      </c>
      <c r="I30" s="36" t="s">
        <v>116</v>
      </c>
    </row>
    <row r="31" spans="1:9" x14ac:dyDescent="0.25">
      <c r="A31" s="22" t="s">
        <v>23</v>
      </c>
      <c r="B31" s="22" t="s">
        <v>137</v>
      </c>
      <c r="C31" s="21" t="s">
        <v>95</v>
      </c>
      <c r="D31" s="36" t="s">
        <v>35</v>
      </c>
      <c r="E31" s="37">
        <v>100</v>
      </c>
      <c r="F31" s="40">
        <f>IFERROR(INDEX(Ressourcen!$I$5:$I$12,MATCH(C31,Ressourcen!$B$5:$B$12,0)),"")</f>
        <v>75</v>
      </c>
      <c r="G31" s="41">
        <f t="shared" si="0"/>
        <v>7500</v>
      </c>
      <c r="H31" s="36" t="s">
        <v>122</v>
      </c>
      <c r="I31" s="36" t="s">
        <v>120</v>
      </c>
    </row>
    <row r="32" spans="1:9" x14ac:dyDescent="0.25">
      <c r="A32" s="22" t="s">
        <v>22</v>
      </c>
      <c r="B32" s="22" t="s">
        <v>138</v>
      </c>
      <c r="C32" s="21" t="s">
        <v>91</v>
      </c>
      <c r="D32" s="36" t="s">
        <v>36</v>
      </c>
      <c r="E32" s="37">
        <v>160</v>
      </c>
      <c r="F32" s="38">
        <f>IFERROR(INDEX(Ressourcen!$I$5:$I$12,MATCH(C32,Ressourcen!$B$5:$B$12,0)),"")</f>
        <v>58</v>
      </c>
      <c r="G32" s="39">
        <f t="shared" si="0"/>
        <v>9280</v>
      </c>
      <c r="H32" s="36" t="s">
        <v>122</v>
      </c>
      <c r="I32" s="36" t="s">
        <v>116</v>
      </c>
    </row>
    <row r="33" spans="1:9" x14ac:dyDescent="0.25">
      <c r="A33" s="22" t="s">
        <v>22</v>
      </c>
      <c r="B33" s="22" t="s">
        <v>139</v>
      </c>
      <c r="C33" s="21" t="s">
        <v>62</v>
      </c>
      <c r="D33" s="36" t="s">
        <v>36</v>
      </c>
      <c r="E33" s="37">
        <v>90</v>
      </c>
      <c r="F33" s="40">
        <f>IFERROR(INDEX(Ressourcen!$I$5:$I$12,MATCH(C33,Ressourcen!$B$5:$B$12,0)),"")</f>
        <v>95</v>
      </c>
      <c r="G33" s="41">
        <f t="shared" si="0"/>
        <v>8550</v>
      </c>
      <c r="H33" s="36" t="s">
        <v>122</v>
      </c>
      <c r="I33" s="36" t="s">
        <v>120</v>
      </c>
    </row>
    <row r="34" spans="1:9" x14ac:dyDescent="0.25">
      <c r="A34" s="22" t="s">
        <v>23</v>
      </c>
      <c r="B34" s="22" t="s">
        <v>140</v>
      </c>
      <c r="C34" s="21" t="s">
        <v>73</v>
      </c>
      <c r="D34" s="36" t="s">
        <v>36</v>
      </c>
      <c r="E34" s="37">
        <v>120</v>
      </c>
      <c r="F34" s="38">
        <f>IFERROR(INDEX(Ressourcen!$I$5:$I$12,MATCH(C34,Ressourcen!$B$5:$B$12,0)),"")</f>
        <v>70</v>
      </c>
      <c r="G34" s="39">
        <f t="shared" si="0"/>
        <v>8400</v>
      </c>
      <c r="H34" s="36" t="s">
        <v>122</v>
      </c>
      <c r="I34" s="36" t="s">
        <v>120</v>
      </c>
    </row>
    <row r="35" spans="1:9" x14ac:dyDescent="0.25">
      <c r="A35" s="22" t="s">
        <v>23</v>
      </c>
      <c r="B35" s="22" t="s">
        <v>140</v>
      </c>
      <c r="C35" s="21" t="s">
        <v>68</v>
      </c>
      <c r="D35" s="36" t="s">
        <v>36</v>
      </c>
      <c r="E35" s="37">
        <v>130</v>
      </c>
      <c r="F35" s="40">
        <f>IFERROR(INDEX(Ressourcen!$I$5:$I$12,MATCH(C35,Ressourcen!$B$5:$B$12,0)),"")</f>
        <v>82</v>
      </c>
      <c r="G35" s="41">
        <f t="shared" si="0"/>
        <v>10660</v>
      </c>
      <c r="H35" s="36" t="s">
        <v>122</v>
      </c>
      <c r="I35" s="36" t="s">
        <v>120</v>
      </c>
    </row>
    <row r="36" spans="1:9" x14ac:dyDescent="0.25">
      <c r="A36" s="22" t="s">
        <v>24</v>
      </c>
      <c r="B36" s="22" t="s">
        <v>141</v>
      </c>
      <c r="C36" s="21" t="s">
        <v>82</v>
      </c>
      <c r="D36" s="36" t="s">
        <v>36</v>
      </c>
      <c r="E36" s="37">
        <v>40</v>
      </c>
      <c r="F36" s="38">
        <f>IFERROR(INDEX(Ressourcen!$I$5:$I$12,MATCH(C36,Ressourcen!$B$5:$B$12,0)),"")</f>
        <v>68</v>
      </c>
      <c r="G36" s="39">
        <f t="shared" si="0"/>
        <v>2720</v>
      </c>
      <c r="H36" s="36" t="s">
        <v>122</v>
      </c>
      <c r="I36" s="36" t="s">
        <v>123</v>
      </c>
    </row>
    <row r="37" spans="1:9" x14ac:dyDescent="0.25">
      <c r="A37" s="22" t="s">
        <v>23</v>
      </c>
      <c r="B37" s="22" t="s">
        <v>142</v>
      </c>
      <c r="C37" s="21" t="s">
        <v>95</v>
      </c>
      <c r="D37" s="36" t="s">
        <v>37</v>
      </c>
      <c r="E37" s="37">
        <v>150</v>
      </c>
      <c r="F37" s="40">
        <f>IFERROR(INDEX(Ressourcen!$I$5:$I$12,MATCH(C37,Ressourcen!$B$5:$B$12,0)),"")</f>
        <v>75</v>
      </c>
      <c r="G37" s="41">
        <f t="shared" si="0"/>
        <v>11250</v>
      </c>
      <c r="H37" s="36" t="s">
        <v>122</v>
      </c>
      <c r="I37" s="36" t="s">
        <v>120</v>
      </c>
    </row>
    <row r="38" spans="1:9" x14ac:dyDescent="0.25">
      <c r="A38" s="22" t="s">
        <v>23</v>
      </c>
      <c r="B38" s="22" t="s">
        <v>89</v>
      </c>
      <c r="C38" s="21" t="s">
        <v>87</v>
      </c>
      <c r="D38" s="36" t="s">
        <v>37</v>
      </c>
      <c r="E38" s="37">
        <v>120</v>
      </c>
      <c r="F38" s="38">
        <f>IFERROR(INDEX(Ressourcen!$I$5:$I$12,MATCH(C38,Ressourcen!$B$5:$B$12,0)),"")</f>
        <v>60</v>
      </c>
      <c r="G38" s="39">
        <f t="shared" ref="G38:G69" si="1">IF(E38="","",E38*F38)</f>
        <v>7200</v>
      </c>
      <c r="H38" s="36" t="s">
        <v>122</v>
      </c>
      <c r="I38" s="36" t="s">
        <v>120</v>
      </c>
    </row>
    <row r="39" spans="1:9" x14ac:dyDescent="0.25">
      <c r="A39" s="22" t="s">
        <v>24</v>
      </c>
      <c r="B39" s="22" t="s">
        <v>143</v>
      </c>
      <c r="C39" s="21" t="s">
        <v>62</v>
      </c>
      <c r="D39" s="36" t="s">
        <v>39</v>
      </c>
      <c r="E39" s="37">
        <v>80</v>
      </c>
      <c r="F39" s="40">
        <f>IFERROR(INDEX(Ressourcen!$I$5:$I$12,MATCH(C39,Ressourcen!$B$5:$B$12,0)),"")</f>
        <v>95</v>
      </c>
      <c r="G39" s="41">
        <f t="shared" si="1"/>
        <v>7600</v>
      </c>
      <c r="H39" s="36" t="s">
        <v>122</v>
      </c>
      <c r="I39" s="36" t="s">
        <v>123</v>
      </c>
    </row>
    <row r="40" spans="1:9" x14ac:dyDescent="0.25">
      <c r="A40" s="42"/>
      <c r="B40" s="42"/>
      <c r="C40" s="22"/>
      <c r="D40" s="36"/>
      <c r="E40" s="37"/>
      <c r="F40" s="43" t="str">
        <f>IFERROR(INDEX(Ressourcen!$I$5:$I$12,MATCH(C40,Ressourcen!$B$5:$B$12,0)),"")</f>
        <v/>
      </c>
      <c r="G40" s="43" t="str">
        <f t="shared" si="1"/>
        <v/>
      </c>
      <c r="H40" s="36"/>
      <c r="I40" s="36"/>
    </row>
    <row r="41" spans="1:9" x14ac:dyDescent="0.25">
      <c r="A41" s="42"/>
      <c r="B41" s="42"/>
      <c r="C41" s="22"/>
      <c r="D41" s="36"/>
      <c r="E41" s="37"/>
      <c r="F41" s="43" t="str">
        <f>IFERROR(INDEX(Ressourcen!$I$5:$I$12,MATCH(C41,Ressourcen!$B$5:$B$12,0)),"")</f>
        <v/>
      </c>
      <c r="G41" s="43" t="str">
        <f t="shared" si="1"/>
        <v/>
      </c>
      <c r="H41" s="36"/>
      <c r="I41" s="36"/>
    </row>
    <row r="42" spans="1:9" x14ac:dyDescent="0.25">
      <c r="A42" s="42"/>
      <c r="B42" s="42"/>
      <c r="C42" s="22"/>
      <c r="D42" s="36"/>
      <c r="E42" s="37"/>
      <c r="F42" s="43" t="str">
        <f>IFERROR(INDEX(Ressourcen!$I$5:$I$12,MATCH(C42,Ressourcen!$B$5:$B$12,0)),"")</f>
        <v/>
      </c>
      <c r="G42" s="43" t="str">
        <f t="shared" si="1"/>
        <v/>
      </c>
      <c r="H42" s="36"/>
      <c r="I42" s="36"/>
    </row>
    <row r="43" spans="1:9" x14ac:dyDescent="0.25">
      <c r="A43" s="42"/>
      <c r="B43" s="42"/>
      <c r="C43" s="22"/>
      <c r="D43" s="36"/>
      <c r="E43" s="37"/>
      <c r="F43" s="43" t="str">
        <f>IFERROR(INDEX(Ressourcen!$I$5:$I$12,MATCH(C43,Ressourcen!$B$5:$B$12,0)),"")</f>
        <v/>
      </c>
      <c r="G43" s="43" t="str">
        <f t="shared" si="1"/>
        <v/>
      </c>
      <c r="H43" s="36"/>
      <c r="I43" s="36"/>
    </row>
    <row r="44" spans="1:9" x14ac:dyDescent="0.25">
      <c r="A44" s="42"/>
      <c r="B44" s="42"/>
      <c r="C44" s="22"/>
      <c r="D44" s="36"/>
      <c r="E44" s="37"/>
      <c r="F44" s="43" t="str">
        <f>IFERROR(INDEX(Ressourcen!$I$5:$I$12,MATCH(C44,Ressourcen!$B$5:$B$12,0)),"")</f>
        <v/>
      </c>
      <c r="G44" s="43" t="str">
        <f t="shared" si="1"/>
        <v/>
      </c>
      <c r="H44" s="36"/>
      <c r="I44" s="36"/>
    </row>
    <row r="45" spans="1:9" x14ac:dyDescent="0.25">
      <c r="A45" s="42"/>
      <c r="B45" s="42"/>
      <c r="C45" s="22"/>
      <c r="D45" s="36"/>
      <c r="E45" s="37"/>
      <c r="F45" s="43" t="str">
        <f>IFERROR(INDEX(Ressourcen!$I$5:$I$12,MATCH(C45,Ressourcen!$B$5:$B$12,0)),"")</f>
        <v/>
      </c>
      <c r="G45" s="43" t="str">
        <f t="shared" si="1"/>
        <v/>
      </c>
      <c r="H45" s="36"/>
      <c r="I45" s="36"/>
    </row>
    <row r="46" spans="1:9" x14ac:dyDescent="0.25">
      <c r="A46" s="42"/>
      <c r="B46" s="42"/>
      <c r="C46" s="22"/>
      <c r="D46" s="36"/>
      <c r="E46" s="37"/>
      <c r="F46" s="43" t="str">
        <f>IFERROR(INDEX(Ressourcen!$I$5:$I$12,MATCH(C46,Ressourcen!$B$5:$B$12,0)),"")</f>
        <v/>
      </c>
      <c r="G46" s="43" t="str">
        <f t="shared" si="1"/>
        <v/>
      </c>
      <c r="H46" s="36"/>
      <c r="I46" s="36"/>
    </row>
    <row r="47" spans="1:9" x14ac:dyDescent="0.25">
      <c r="A47" s="42"/>
      <c r="B47" s="42"/>
      <c r="C47" s="22"/>
      <c r="D47" s="36"/>
      <c r="E47" s="37"/>
      <c r="F47" s="43" t="str">
        <f>IFERROR(INDEX(Ressourcen!$I$5:$I$12,MATCH(C47,Ressourcen!$B$5:$B$12,0)),"")</f>
        <v/>
      </c>
      <c r="G47" s="43" t="str">
        <f t="shared" si="1"/>
        <v/>
      </c>
      <c r="H47" s="36"/>
      <c r="I47" s="36"/>
    </row>
    <row r="48" spans="1:9" x14ac:dyDescent="0.25">
      <c r="A48" s="42"/>
      <c r="B48" s="42"/>
      <c r="C48" s="22"/>
      <c r="D48" s="36"/>
      <c r="E48" s="37"/>
      <c r="F48" s="43" t="str">
        <f>IFERROR(INDEX(Ressourcen!$I$5:$I$12,MATCH(C48,Ressourcen!$B$5:$B$12,0)),"")</f>
        <v/>
      </c>
      <c r="G48" s="43" t="str">
        <f t="shared" si="1"/>
        <v/>
      </c>
      <c r="H48" s="36"/>
      <c r="I48" s="36"/>
    </row>
    <row r="49" spans="1:9" x14ac:dyDescent="0.25">
      <c r="A49" s="42"/>
      <c r="B49" s="42"/>
      <c r="C49" s="22"/>
      <c r="D49" s="36"/>
      <c r="E49" s="37"/>
      <c r="F49" s="43" t="str">
        <f>IFERROR(INDEX(Ressourcen!$I$5:$I$12,MATCH(C49,Ressourcen!$B$5:$B$12,0)),"")</f>
        <v/>
      </c>
      <c r="G49" s="43" t="str">
        <f t="shared" si="1"/>
        <v/>
      </c>
      <c r="H49" s="36"/>
      <c r="I49" s="36"/>
    </row>
    <row r="50" spans="1:9" x14ac:dyDescent="0.25">
      <c r="A50" s="42"/>
      <c r="B50" s="42"/>
      <c r="C50" s="22"/>
      <c r="D50" s="36"/>
      <c r="E50" s="37"/>
      <c r="F50" s="43" t="str">
        <f>IFERROR(INDEX(Ressourcen!$I$5:$I$12,MATCH(C50,Ressourcen!$B$5:$B$12,0)),"")</f>
        <v/>
      </c>
      <c r="G50" s="43" t="str">
        <f t="shared" si="1"/>
        <v/>
      </c>
      <c r="H50" s="36"/>
      <c r="I50" s="36"/>
    </row>
    <row r="51" spans="1:9" x14ac:dyDescent="0.25">
      <c r="A51" s="42"/>
      <c r="B51" s="42"/>
      <c r="C51" s="22"/>
      <c r="D51" s="36"/>
      <c r="E51" s="37"/>
      <c r="F51" s="43" t="str">
        <f>IFERROR(INDEX(Ressourcen!$I$5:$I$12,MATCH(C51,Ressourcen!$B$5:$B$12,0)),"")</f>
        <v/>
      </c>
      <c r="G51" s="43" t="str">
        <f t="shared" si="1"/>
        <v/>
      </c>
      <c r="H51" s="36"/>
      <c r="I51" s="36"/>
    </row>
    <row r="52" spans="1:9" x14ac:dyDescent="0.25">
      <c r="A52" s="42"/>
      <c r="B52" s="42"/>
      <c r="C52" s="22"/>
      <c r="D52" s="36"/>
      <c r="E52" s="37"/>
      <c r="F52" s="43" t="str">
        <f>IFERROR(INDEX(Ressourcen!$I$5:$I$12,MATCH(C52,Ressourcen!$B$5:$B$12,0)),"")</f>
        <v/>
      </c>
      <c r="G52" s="43" t="str">
        <f t="shared" si="1"/>
        <v/>
      </c>
      <c r="H52" s="36"/>
      <c r="I52" s="36"/>
    </row>
    <row r="53" spans="1:9" x14ac:dyDescent="0.25">
      <c r="A53" s="42"/>
      <c r="B53" s="42"/>
      <c r="C53" s="22"/>
      <c r="D53" s="36"/>
      <c r="E53" s="37"/>
      <c r="F53" s="43" t="str">
        <f>IFERROR(INDEX(Ressourcen!$I$5:$I$12,MATCH(C53,Ressourcen!$B$5:$B$12,0)),"")</f>
        <v/>
      </c>
      <c r="G53" s="43" t="str">
        <f t="shared" si="1"/>
        <v/>
      </c>
      <c r="H53" s="36"/>
      <c r="I53" s="36"/>
    </row>
    <row r="54" spans="1:9" x14ac:dyDescent="0.25">
      <c r="A54" s="42"/>
      <c r="B54" s="42"/>
      <c r="C54" s="22"/>
      <c r="D54" s="36"/>
      <c r="E54" s="37"/>
      <c r="F54" s="43" t="str">
        <f>IFERROR(INDEX(Ressourcen!$I$5:$I$12,MATCH(C54,Ressourcen!$B$5:$B$12,0)),"")</f>
        <v/>
      </c>
      <c r="G54" s="43" t="str">
        <f t="shared" si="1"/>
        <v/>
      </c>
      <c r="H54" s="36"/>
      <c r="I54" s="36"/>
    </row>
    <row r="55" spans="1:9" x14ac:dyDescent="0.25">
      <c r="A55" s="42"/>
      <c r="B55" s="42"/>
      <c r="C55" s="22"/>
      <c r="D55" s="36"/>
      <c r="E55" s="37"/>
      <c r="F55" s="43" t="str">
        <f>IFERROR(INDEX(Ressourcen!$I$5:$I$12,MATCH(C55,Ressourcen!$B$5:$B$12,0)),"")</f>
        <v/>
      </c>
      <c r="G55" s="43" t="str">
        <f t="shared" si="1"/>
        <v/>
      </c>
      <c r="H55" s="36"/>
      <c r="I55" s="36"/>
    </row>
    <row r="56" spans="1:9" x14ac:dyDescent="0.25">
      <c r="A56" s="42"/>
      <c r="B56" s="42"/>
      <c r="C56" s="22"/>
      <c r="D56" s="36"/>
      <c r="E56" s="37"/>
      <c r="F56" s="43" t="str">
        <f>IFERROR(INDEX(Ressourcen!$I$5:$I$12,MATCH(C56,Ressourcen!$B$5:$B$12,0)),"")</f>
        <v/>
      </c>
      <c r="G56" s="43" t="str">
        <f t="shared" si="1"/>
        <v/>
      </c>
      <c r="H56" s="36"/>
      <c r="I56" s="36"/>
    </row>
    <row r="57" spans="1:9" x14ac:dyDescent="0.25">
      <c r="A57" s="42"/>
      <c r="B57" s="42"/>
      <c r="C57" s="22"/>
      <c r="D57" s="36"/>
      <c r="E57" s="37"/>
      <c r="F57" s="43" t="str">
        <f>IFERROR(INDEX(Ressourcen!$I$5:$I$12,MATCH(C57,Ressourcen!$B$5:$B$12,0)),"")</f>
        <v/>
      </c>
      <c r="G57" s="43" t="str">
        <f t="shared" si="1"/>
        <v/>
      </c>
      <c r="H57" s="36"/>
      <c r="I57" s="36"/>
    </row>
    <row r="58" spans="1:9" x14ac:dyDescent="0.25">
      <c r="A58" s="42"/>
      <c r="B58" s="42"/>
      <c r="C58" s="22"/>
      <c r="D58" s="36"/>
      <c r="E58" s="37"/>
      <c r="F58" s="43" t="str">
        <f>IFERROR(INDEX(Ressourcen!$I$5:$I$12,MATCH(C58,Ressourcen!$B$5:$B$12,0)),"")</f>
        <v/>
      </c>
      <c r="G58" s="43" t="str">
        <f t="shared" si="1"/>
        <v/>
      </c>
      <c r="H58" s="36"/>
      <c r="I58" s="36"/>
    </row>
    <row r="59" spans="1:9" x14ac:dyDescent="0.25">
      <c r="A59" s="42"/>
      <c r="B59" s="42"/>
      <c r="C59" s="22"/>
      <c r="D59" s="36"/>
      <c r="E59" s="37"/>
      <c r="F59" s="43" t="str">
        <f>IFERROR(INDEX(Ressourcen!$I$5:$I$12,MATCH(C59,Ressourcen!$B$5:$B$12,0)),"")</f>
        <v/>
      </c>
      <c r="G59" s="43" t="str">
        <f t="shared" si="1"/>
        <v/>
      </c>
      <c r="H59" s="36"/>
      <c r="I59" s="36"/>
    </row>
    <row r="60" spans="1:9" x14ac:dyDescent="0.25">
      <c r="A60" s="42"/>
      <c r="B60" s="42"/>
      <c r="C60" s="22"/>
      <c r="D60" s="36"/>
      <c r="E60" s="37"/>
      <c r="F60" s="43" t="str">
        <f>IFERROR(INDEX(Ressourcen!$I$5:$I$12,MATCH(C60,Ressourcen!$B$5:$B$12,0)),"")</f>
        <v/>
      </c>
      <c r="G60" s="43" t="str">
        <f t="shared" si="1"/>
        <v/>
      </c>
      <c r="H60" s="36"/>
      <c r="I60" s="36"/>
    </row>
    <row r="61" spans="1:9" x14ac:dyDescent="0.25">
      <c r="A61" s="42"/>
      <c r="B61" s="42"/>
      <c r="C61" s="22"/>
      <c r="D61" s="36"/>
      <c r="E61" s="37"/>
      <c r="F61" s="43" t="str">
        <f>IFERROR(INDEX(Ressourcen!$I$5:$I$12,MATCH(C61,Ressourcen!$B$5:$B$12,0)),"")</f>
        <v/>
      </c>
      <c r="G61" s="43" t="str">
        <f t="shared" si="1"/>
        <v/>
      </c>
      <c r="H61" s="36"/>
      <c r="I61" s="36"/>
    </row>
    <row r="62" spans="1:9" x14ac:dyDescent="0.25">
      <c r="A62" s="42"/>
      <c r="B62" s="42"/>
      <c r="C62" s="22"/>
      <c r="D62" s="36"/>
      <c r="E62" s="37"/>
      <c r="F62" s="43" t="str">
        <f>IFERROR(INDEX(Ressourcen!$I$5:$I$12,MATCH(C62,Ressourcen!$B$5:$B$12,0)),"")</f>
        <v/>
      </c>
      <c r="G62" s="43" t="str">
        <f t="shared" si="1"/>
        <v/>
      </c>
      <c r="H62" s="36"/>
      <c r="I62" s="36"/>
    </row>
    <row r="63" spans="1:9" x14ac:dyDescent="0.25">
      <c r="A63" s="42"/>
      <c r="B63" s="42"/>
      <c r="C63" s="22"/>
      <c r="D63" s="36"/>
      <c r="E63" s="37"/>
      <c r="F63" s="43" t="str">
        <f>IFERROR(INDEX(Ressourcen!$I$5:$I$12,MATCH(C63,Ressourcen!$B$5:$B$12,0)),"")</f>
        <v/>
      </c>
      <c r="G63" s="43" t="str">
        <f t="shared" si="1"/>
        <v/>
      </c>
      <c r="H63" s="36"/>
      <c r="I63" s="36"/>
    </row>
    <row r="64" spans="1:9" x14ac:dyDescent="0.25">
      <c r="A64" s="42"/>
      <c r="B64" s="42"/>
      <c r="C64" s="22"/>
      <c r="D64" s="36"/>
      <c r="E64" s="37"/>
      <c r="F64" s="43" t="str">
        <f>IFERROR(INDEX(Ressourcen!$I$5:$I$12,MATCH(C64,Ressourcen!$B$5:$B$12,0)),"")</f>
        <v/>
      </c>
      <c r="G64" s="43" t="str">
        <f t="shared" si="1"/>
        <v/>
      </c>
      <c r="H64" s="36"/>
      <c r="I64" s="36"/>
    </row>
    <row r="65" spans="1:9" x14ac:dyDescent="0.25">
      <c r="A65" s="42"/>
      <c r="B65" s="42"/>
      <c r="C65" s="22"/>
      <c r="D65" s="36"/>
      <c r="E65" s="37"/>
      <c r="F65" s="43" t="str">
        <f>IFERROR(INDEX(Ressourcen!$I$5:$I$12,MATCH(C65,Ressourcen!$B$5:$B$12,0)),"")</f>
        <v/>
      </c>
      <c r="G65" s="43" t="str">
        <f t="shared" si="1"/>
        <v/>
      </c>
      <c r="H65" s="36"/>
      <c r="I65" s="36"/>
    </row>
    <row r="66" spans="1:9" x14ac:dyDescent="0.25">
      <c r="A66" s="42"/>
      <c r="B66" s="42"/>
      <c r="C66" s="22"/>
      <c r="D66" s="36"/>
      <c r="E66" s="37"/>
      <c r="F66" s="43" t="str">
        <f>IFERROR(INDEX(Ressourcen!$I$5:$I$12,MATCH(C66,Ressourcen!$B$5:$B$12,0)),"")</f>
        <v/>
      </c>
      <c r="G66" s="43" t="str">
        <f t="shared" si="1"/>
        <v/>
      </c>
      <c r="H66" s="36"/>
      <c r="I66" s="36"/>
    </row>
    <row r="67" spans="1:9" x14ac:dyDescent="0.25">
      <c r="A67" s="42"/>
      <c r="B67" s="42"/>
      <c r="C67" s="22"/>
      <c r="D67" s="36"/>
      <c r="E67" s="37"/>
      <c r="F67" s="43" t="str">
        <f>IFERROR(INDEX(Ressourcen!$I$5:$I$12,MATCH(C67,Ressourcen!$B$5:$B$12,0)),"")</f>
        <v/>
      </c>
      <c r="G67" s="43" t="str">
        <f t="shared" si="1"/>
        <v/>
      </c>
      <c r="H67" s="36"/>
      <c r="I67" s="36"/>
    </row>
    <row r="68" spans="1:9" x14ac:dyDescent="0.25">
      <c r="A68" s="42"/>
      <c r="B68" s="42"/>
      <c r="C68" s="22"/>
      <c r="D68" s="36"/>
      <c r="E68" s="37"/>
      <c r="F68" s="43" t="str">
        <f>IFERROR(INDEX(Ressourcen!$I$5:$I$12,MATCH(C68,Ressourcen!$B$5:$B$12,0)),"")</f>
        <v/>
      </c>
      <c r="G68" s="43" t="str">
        <f t="shared" si="1"/>
        <v/>
      </c>
      <c r="H68" s="36"/>
      <c r="I68" s="36"/>
    </row>
    <row r="69" spans="1:9" x14ac:dyDescent="0.25">
      <c r="A69" s="42"/>
      <c r="B69" s="42"/>
      <c r="C69" s="22"/>
      <c r="D69" s="36"/>
      <c r="E69" s="37"/>
      <c r="F69" s="43" t="str">
        <f>IFERROR(INDEX(Ressourcen!$I$5:$I$12,MATCH(C69,Ressourcen!$B$5:$B$12,0)),"")</f>
        <v/>
      </c>
      <c r="G69" s="43" t="str">
        <f t="shared" si="1"/>
        <v/>
      </c>
      <c r="H69" s="36"/>
      <c r="I69" s="36"/>
    </row>
    <row r="70" spans="1:9" x14ac:dyDescent="0.25">
      <c r="A70" s="42"/>
      <c r="B70" s="42"/>
      <c r="C70" s="22"/>
      <c r="D70" s="36"/>
      <c r="E70" s="37"/>
      <c r="F70" s="43" t="str">
        <f>IFERROR(INDEX(Ressourcen!$I$5:$I$12,MATCH(C70,Ressourcen!$B$5:$B$12,0)),"")</f>
        <v/>
      </c>
      <c r="G70" s="43" t="str">
        <f t="shared" ref="G70:G101" si="2">IF(E70="","",E70*F70)</f>
        <v/>
      </c>
      <c r="H70" s="36"/>
      <c r="I70" s="36"/>
    </row>
    <row r="71" spans="1:9" x14ac:dyDescent="0.25">
      <c r="A71" s="42"/>
      <c r="B71" s="42"/>
      <c r="C71" s="22"/>
      <c r="D71" s="36"/>
      <c r="E71" s="37"/>
      <c r="F71" s="43" t="str">
        <f>IFERROR(INDEX(Ressourcen!$I$5:$I$12,MATCH(C71,Ressourcen!$B$5:$B$12,0)),"")</f>
        <v/>
      </c>
      <c r="G71" s="43" t="str">
        <f t="shared" si="2"/>
        <v/>
      </c>
      <c r="H71" s="36"/>
      <c r="I71" s="36"/>
    </row>
    <row r="72" spans="1:9" x14ac:dyDescent="0.25">
      <c r="A72" s="42"/>
      <c r="B72" s="42"/>
      <c r="C72" s="22"/>
      <c r="D72" s="36"/>
      <c r="E72" s="37"/>
      <c r="F72" s="43" t="str">
        <f>IFERROR(INDEX(Ressourcen!$I$5:$I$12,MATCH(C72,Ressourcen!$B$5:$B$12,0)),"")</f>
        <v/>
      </c>
      <c r="G72" s="43" t="str">
        <f t="shared" si="2"/>
        <v/>
      </c>
      <c r="H72" s="36"/>
      <c r="I72" s="36"/>
    </row>
    <row r="73" spans="1:9" x14ac:dyDescent="0.25">
      <c r="A73" s="42"/>
      <c r="B73" s="42"/>
      <c r="C73" s="22"/>
      <c r="D73" s="36"/>
      <c r="E73" s="37"/>
      <c r="F73" s="43" t="str">
        <f>IFERROR(INDEX(Ressourcen!$I$5:$I$12,MATCH(C73,Ressourcen!$B$5:$B$12,0)),"")</f>
        <v/>
      </c>
      <c r="G73" s="43" t="str">
        <f t="shared" si="2"/>
        <v/>
      </c>
      <c r="H73" s="36"/>
      <c r="I73" s="36"/>
    </row>
    <row r="74" spans="1:9" x14ac:dyDescent="0.25">
      <c r="A74" s="42"/>
      <c r="B74" s="42"/>
      <c r="C74" s="22"/>
      <c r="D74" s="36"/>
      <c r="E74" s="37"/>
      <c r="F74" s="43" t="str">
        <f>IFERROR(INDEX(Ressourcen!$I$5:$I$12,MATCH(C74,Ressourcen!$B$5:$B$12,0)),"")</f>
        <v/>
      </c>
      <c r="G74" s="43" t="str">
        <f t="shared" si="2"/>
        <v/>
      </c>
      <c r="H74" s="36"/>
      <c r="I74" s="36"/>
    </row>
    <row r="75" spans="1:9" x14ac:dyDescent="0.25">
      <c r="A75" s="42"/>
      <c r="B75" s="42"/>
      <c r="C75" s="22"/>
      <c r="D75" s="36"/>
      <c r="E75" s="37"/>
      <c r="F75" s="43" t="str">
        <f>IFERROR(INDEX(Ressourcen!$I$5:$I$12,MATCH(C75,Ressourcen!$B$5:$B$12,0)),"")</f>
        <v/>
      </c>
      <c r="G75" s="43" t="str">
        <f t="shared" si="2"/>
        <v/>
      </c>
      <c r="H75" s="36"/>
      <c r="I75" s="36"/>
    </row>
    <row r="76" spans="1:9" x14ac:dyDescent="0.25">
      <c r="A76" s="42"/>
      <c r="B76" s="42"/>
      <c r="C76" s="22"/>
      <c r="D76" s="36"/>
      <c r="E76" s="37"/>
      <c r="F76" s="43" t="str">
        <f>IFERROR(INDEX(Ressourcen!$I$5:$I$12,MATCH(C76,Ressourcen!$B$5:$B$12,0)),"")</f>
        <v/>
      </c>
      <c r="G76" s="43" t="str">
        <f t="shared" si="2"/>
        <v/>
      </c>
      <c r="H76" s="36"/>
      <c r="I76" s="36"/>
    </row>
    <row r="77" spans="1:9" x14ac:dyDescent="0.25">
      <c r="A77" s="42"/>
      <c r="B77" s="42"/>
      <c r="C77" s="22"/>
      <c r="D77" s="36"/>
      <c r="E77" s="37"/>
      <c r="F77" s="43" t="str">
        <f>IFERROR(INDEX(Ressourcen!$I$5:$I$12,MATCH(C77,Ressourcen!$B$5:$B$12,0)),"")</f>
        <v/>
      </c>
      <c r="G77" s="43" t="str">
        <f t="shared" si="2"/>
        <v/>
      </c>
      <c r="H77" s="36"/>
      <c r="I77" s="36"/>
    </row>
    <row r="78" spans="1:9" x14ac:dyDescent="0.25">
      <c r="A78" s="42"/>
      <c r="B78" s="42"/>
      <c r="C78" s="22"/>
      <c r="D78" s="36"/>
      <c r="E78" s="37"/>
      <c r="F78" s="43" t="str">
        <f>IFERROR(INDEX(Ressourcen!$I$5:$I$12,MATCH(C78,Ressourcen!$B$5:$B$12,0)),"")</f>
        <v/>
      </c>
      <c r="G78" s="43" t="str">
        <f t="shared" si="2"/>
        <v/>
      </c>
      <c r="H78" s="36"/>
      <c r="I78" s="36"/>
    </row>
    <row r="79" spans="1:9" x14ac:dyDescent="0.25">
      <c r="A79" s="42"/>
      <c r="B79" s="42"/>
      <c r="C79" s="22"/>
      <c r="D79" s="36"/>
      <c r="E79" s="37"/>
      <c r="F79" s="43" t="str">
        <f>IFERROR(INDEX(Ressourcen!$I$5:$I$12,MATCH(C79,Ressourcen!$B$5:$B$12,0)),"")</f>
        <v/>
      </c>
      <c r="G79" s="43" t="str">
        <f t="shared" si="2"/>
        <v/>
      </c>
      <c r="H79" s="36"/>
      <c r="I79" s="36"/>
    </row>
  </sheetData>
  <mergeCells count="4">
    <mergeCell ref="A1:I1"/>
    <mergeCell ref="A2:I2"/>
    <mergeCell ref="A3:I3"/>
    <mergeCell ref="A4:I4"/>
  </mergeCells>
  <dataValidations count="4">
    <dataValidation type="list" allowBlank="1" sqref="A6:A79" xr:uid="{00000000-0002-0000-0200-000000000000}">
      <formula1>"Projekt Alpha,Projekt Beta,Projekt Gamma,Projekt Delta,Interne Aufgaben"</formula1>
      <formula2>0</formula2>
    </dataValidation>
    <dataValidation type="list" allowBlank="1" sqref="D6:D79" xr:uid="{00000000-0002-0000-0200-000002000000}">
      <formula1>"Jan,Feb,Mär,Apr,Mai,Jun,Jul,Aug,Sep,Okt,Nov,Dez"</formula1>
      <formula2>0</formula2>
    </dataValidation>
    <dataValidation type="list" allowBlank="1" sqref="H6:H79" xr:uid="{00000000-0002-0000-0200-000003000000}">
      <formula1>"Geplant,In Arbeit,Abgeschlossen"</formula1>
      <formula2>0</formula2>
    </dataValidation>
    <dataValidation type="list" allowBlank="1" sqref="I6:I79" xr:uid="{00000000-0002-0000-0200-000004000000}">
      <formula1>"Hoch,Mittel,Niedrig"</formula1>
      <formula2>0</formula2>
    </dataValidation>
  </dataValidations>
  <printOptions horizontalCentered="1"/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1000000}">
          <x14:formula1>
            <xm:f>Ressourcen!$B$5:$B$12</xm:f>
          </x14:formula1>
          <x14:formula2>
            <xm:f>0</xm:f>
          </x14:formula2>
          <xm:sqref>C6:C79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19"/>
  <sheetViews>
    <sheetView showGridLines="0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6" customWidth="1"/>
    <col min="2" max="2" width="18" customWidth="1"/>
    <col min="3" max="3" width="22" customWidth="1"/>
    <col min="4" max="4" width="7" customWidth="1"/>
    <col min="5" max="16" width="6.5703125" customWidth="1"/>
    <col min="17" max="17" width="8" customWidth="1"/>
    <col min="18" max="18" width="9" customWidth="1"/>
    <col min="19" max="20" width="8" customWidth="1"/>
    <col min="21" max="21" width="16" customWidth="1"/>
  </cols>
  <sheetData>
    <row r="1" spans="1:21" ht="30" customHeight="1" x14ac:dyDescent="0.25">
      <c r="A1" s="83" t="s">
        <v>144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</row>
    <row r="2" spans="1:21" ht="18" customHeight="1" x14ac:dyDescent="0.25">
      <c r="A2" s="13" t="s">
        <v>145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4.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5" spans="1:21" ht="30" customHeight="1" x14ac:dyDescent="0.25">
      <c r="A5" s="44" t="s">
        <v>51</v>
      </c>
      <c r="B5" s="44" t="s">
        <v>109</v>
      </c>
      <c r="C5" s="44" t="s">
        <v>146</v>
      </c>
      <c r="D5" s="44" t="s">
        <v>147</v>
      </c>
      <c r="E5" s="44" t="s">
        <v>31</v>
      </c>
      <c r="F5" s="44" t="s">
        <v>32</v>
      </c>
      <c r="G5" s="44" t="s">
        <v>33</v>
      </c>
      <c r="H5" s="44" t="s">
        <v>34</v>
      </c>
      <c r="I5" s="44" t="s">
        <v>35</v>
      </c>
      <c r="J5" s="44" t="s">
        <v>36</v>
      </c>
      <c r="K5" s="44" t="s">
        <v>37</v>
      </c>
      <c r="L5" s="44" t="s">
        <v>38</v>
      </c>
      <c r="M5" s="44" t="s">
        <v>39</v>
      </c>
      <c r="N5" s="44" t="s">
        <v>40</v>
      </c>
      <c r="O5" s="44" t="s">
        <v>41</v>
      </c>
      <c r="P5" s="44" t="s">
        <v>42</v>
      </c>
      <c r="Q5" s="44" t="s">
        <v>148</v>
      </c>
      <c r="R5" s="44" t="s">
        <v>149</v>
      </c>
      <c r="S5" s="44" t="s">
        <v>150</v>
      </c>
      <c r="T5" s="44" t="s">
        <v>151</v>
      </c>
      <c r="U5" s="44" t="s">
        <v>112</v>
      </c>
    </row>
    <row r="6" spans="1:21" x14ac:dyDescent="0.25">
      <c r="A6" s="45" t="str">
        <f>Ressourcen!A5</f>
        <v>R01</v>
      </c>
      <c r="B6" s="46" t="str">
        <f>Ressourcen!B5</f>
        <v>Anna Becker</v>
      </c>
      <c r="C6" s="47" t="str">
        <f>Ressourcen!C5</f>
        <v>Projektleitung</v>
      </c>
      <c r="D6" s="48">
        <f>Ressourcen!H5</f>
        <v>173</v>
      </c>
      <c r="E6" s="49">
        <f>SUMIFS(Projekteinsatz!$E$6:$E$79,Projekteinsatz!$C$6:$C$79,$B6,Projekteinsatz!$D$6:$D$79,E$5)</f>
        <v>140</v>
      </c>
      <c r="F6" s="49">
        <f>SUMIFS(Projekteinsatz!$E$6:$E$79,Projekteinsatz!$C$6:$C$79,$B6,Projekteinsatz!$D$6:$D$79,F$5)</f>
        <v>150</v>
      </c>
      <c r="G6" s="49">
        <f>SUMIFS(Projekteinsatz!$E$6:$E$79,Projekteinsatz!$C$6:$C$79,$B6,Projekteinsatz!$D$6:$D$79,G$5)</f>
        <v>160</v>
      </c>
      <c r="H6" s="49">
        <f>SUMIFS(Projekteinsatz!$E$6:$E$79,Projekteinsatz!$C$6:$C$79,$B6,Projekteinsatz!$D$6:$D$79,H$5)</f>
        <v>140</v>
      </c>
      <c r="I6" s="49">
        <f>SUMIFS(Projekteinsatz!$E$6:$E$79,Projekteinsatz!$C$6:$C$79,$B6,Projekteinsatz!$D$6:$D$79,I$5)</f>
        <v>0</v>
      </c>
      <c r="J6" s="49">
        <f>SUMIFS(Projekteinsatz!$E$6:$E$79,Projekteinsatz!$C$6:$C$79,$B6,Projekteinsatz!$D$6:$D$79,J$5)</f>
        <v>90</v>
      </c>
      <c r="K6" s="49">
        <f>SUMIFS(Projekteinsatz!$E$6:$E$79,Projekteinsatz!$C$6:$C$79,$B6,Projekteinsatz!$D$6:$D$79,K$5)</f>
        <v>0</v>
      </c>
      <c r="L6" s="49">
        <f>SUMIFS(Projekteinsatz!$E$6:$E$79,Projekteinsatz!$C$6:$C$79,$B6,Projekteinsatz!$D$6:$D$79,L$5)</f>
        <v>0</v>
      </c>
      <c r="M6" s="49">
        <f>SUMIFS(Projekteinsatz!$E$6:$E$79,Projekteinsatz!$C$6:$C$79,$B6,Projekteinsatz!$D$6:$D$79,M$5)</f>
        <v>80</v>
      </c>
      <c r="N6" s="49">
        <f>SUMIFS(Projekteinsatz!$E$6:$E$79,Projekteinsatz!$C$6:$C$79,$B6,Projekteinsatz!$D$6:$D$79,N$5)</f>
        <v>0</v>
      </c>
      <c r="O6" s="49">
        <f>SUMIFS(Projekteinsatz!$E$6:$E$79,Projekteinsatz!$C$6:$C$79,$B6,Projekteinsatz!$D$6:$D$79,O$5)</f>
        <v>0</v>
      </c>
      <c r="P6" s="49">
        <f>SUMIFS(Projekteinsatz!$E$6:$E$79,Projekteinsatz!$C$6:$C$79,$B6,Projekteinsatz!$D$6:$D$79,P$5)</f>
        <v>0</v>
      </c>
      <c r="Q6" s="50">
        <f t="shared" ref="Q6:Q13" si="0">SUM(E6:P6)</f>
        <v>760</v>
      </c>
      <c r="R6" s="49">
        <f t="shared" ref="R6:R13" si="1">D6*12</f>
        <v>2076</v>
      </c>
      <c r="S6" s="51">
        <f t="shared" ref="S6:S13" si="2">IFERROR(AVERAGEIF(E6:P6,"&gt;0")/D6,0)</f>
        <v>0.73217726396917149</v>
      </c>
      <c r="T6" s="49">
        <f t="shared" ref="T6:T13" si="3">SUMPRODUCT(--(E6:P6&gt;D6))</f>
        <v>0</v>
      </c>
      <c r="U6" s="52" t="str">
        <f t="shared" ref="U6:U13" si="4">IF(MAX(E6:P6)&gt;D6,"Überlastet",IF(S6&gt;=0.85,"Hoch ausgelastet",IF(S6&gt;=0.6,"Gut ausgelastet",IF(S6&gt;0,"Gering ausgelastet","Nicht verplant"))))</f>
        <v>Gut ausgelastet</v>
      </c>
    </row>
    <row r="7" spans="1:21" x14ac:dyDescent="0.25">
      <c r="A7" s="53" t="str">
        <f>Ressourcen!A6</f>
        <v>R02</v>
      </c>
      <c r="B7" s="54" t="str">
        <f>Ressourcen!B6</f>
        <v>Tom Fischer</v>
      </c>
      <c r="C7" s="55" t="str">
        <f>Ressourcen!C6</f>
        <v>Senior-Softwareentwickler</v>
      </c>
      <c r="D7" s="56">
        <f>Ressourcen!H6</f>
        <v>173</v>
      </c>
      <c r="E7" s="57">
        <f>SUMIFS(Projekteinsatz!$E$6:$E$79,Projekteinsatz!$C$6:$C$79,$B7,Projekteinsatz!$D$6:$D$79,E$5)</f>
        <v>100</v>
      </c>
      <c r="F7" s="57">
        <f>SUMIFS(Projekteinsatz!$E$6:$E$79,Projekteinsatz!$C$6:$C$79,$B7,Projekteinsatz!$D$6:$D$79,F$5)</f>
        <v>190</v>
      </c>
      <c r="G7" s="57">
        <f>SUMIFS(Projekteinsatz!$E$6:$E$79,Projekteinsatz!$C$6:$C$79,$B7,Projekteinsatz!$D$6:$D$79,G$5)</f>
        <v>0</v>
      </c>
      <c r="H7" s="57">
        <f>SUMIFS(Projekteinsatz!$E$6:$E$79,Projekteinsatz!$C$6:$C$79,$B7,Projekteinsatz!$D$6:$D$79,H$5)</f>
        <v>150</v>
      </c>
      <c r="I7" s="57">
        <f>SUMIFS(Projekteinsatz!$E$6:$E$79,Projekteinsatz!$C$6:$C$79,$B7,Projekteinsatz!$D$6:$D$79,I$5)</f>
        <v>160</v>
      </c>
      <c r="J7" s="57">
        <f>SUMIFS(Projekteinsatz!$E$6:$E$79,Projekteinsatz!$C$6:$C$79,$B7,Projekteinsatz!$D$6:$D$79,J$5)</f>
        <v>130</v>
      </c>
      <c r="K7" s="57">
        <f>SUMIFS(Projekteinsatz!$E$6:$E$79,Projekteinsatz!$C$6:$C$79,$B7,Projekteinsatz!$D$6:$D$79,K$5)</f>
        <v>0</v>
      </c>
      <c r="L7" s="57">
        <f>SUMIFS(Projekteinsatz!$E$6:$E$79,Projekteinsatz!$C$6:$C$79,$B7,Projekteinsatz!$D$6:$D$79,L$5)</f>
        <v>0</v>
      </c>
      <c r="M7" s="57">
        <f>SUMIFS(Projekteinsatz!$E$6:$E$79,Projekteinsatz!$C$6:$C$79,$B7,Projekteinsatz!$D$6:$D$79,M$5)</f>
        <v>0</v>
      </c>
      <c r="N7" s="57">
        <f>SUMIFS(Projekteinsatz!$E$6:$E$79,Projekteinsatz!$C$6:$C$79,$B7,Projekteinsatz!$D$6:$D$79,N$5)</f>
        <v>0</v>
      </c>
      <c r="O7" s="57">
        <f>SUMIFS(Projekteinsatz!$E$6:$E$79,Projekteinsatz!$C$6:$C$79,$B7,Projekteinsatz!$D$6:$D$79,O$5)</f>
        <v>0</v>
      </c>
      <c r="P7" s="57">
        <f>SUMIFS(Projekteinsatz!$E$6:$E$79,Projekteinsatz!$C$6:$C$79,$B7,Projekteinsatz!$D$6:$D$79,P$5)</f>
        <v>0</v>
      </c>
      <c r="Q7" s="58">
        <f t="shared" si="0"/>
        <v>730</v>
      </c>
      <c r="R7" s="57">
        <f t="shared" si="1"/>
        <v>2076</v>
      </c>
      <c r="S7" s="59">
        <f t="shared" si="2"/>
        <v>0.84393063583815031</v>
      </c>
      <c r="T7" s="57">
        <f t="shared" si="3"/>
        <v>1</v>
      </c>
      <c r="U7" s="60" t="str">
        <f t="shared" si="4"/>
        <v>Überlastet</v>
      </c>
    </row>
    <row r="8" spans="1:21" x14ac:dyDescent="0.25">
      <c r="A8" s="45" t="str">
        <f>Ressourcen!A7</f>
        <v>R03</v>
      </c>
      <c r="B8" s="46" t="str">
        <f>Ressourcen!B7</f>
        <v>Lena Wagner</v>
      </c>
      <c r="C8" s="47" t="str">
        <f>Ressourcen!C7</f>
        <v>Softwareentwicklerin</v>
      </c>
      <c r="D8" s="48">
        <f>Ressourcen!H7</f>
        <v>156</v>
      </c>
      <c r="E8" s="49">
        <f>SUMIFS(Projekteinsatz!$E$6:$E$79,Projekteinsatz!$C$6:$C$79,$B8,Projekteinsatz!$D$6:$D$79,E$5)</f>
        <v>0</v>
      </c>
      <c r="F8" s="49">
        <f>SUMIFS(Projekteinsatz!$E$6:$E$79,Projekteinsatz!$C$6:$C$79,$B8,Projekteinsatz!$D$6:$D$79,F$5)</f>
        <v>175</v>
      </c>
      <c r="G8" s="49">
        <f>SUMIFS(Projekteinsatz!$E$6:$E$79,Projekteinsatz!$C$6:$C$79,$B8,Projekteinsatz!$D$6:$D$79,G$5)</f>
        <v>0</v>
      </c>
      <c r="H8" s="49">
        <f>SUMIFS(Projekteinsatz!$E$6:$E$79,Projekteinsatz!$C$6:$C$79,$B8,Projekteinsatz!$D$6:$D$79,H$5)</f>
        <v>0</v>
      </c>
      <c r="I8" s="49">
        <f>SUMIFS(Projekteinsatz!$E$6:$E$79,Projekteinsatz!$C$6:$C$79,$B8,Projekteinsatz!$D$6:$D$79,I$5)</f>
        <v>140</v>
      </c>
      <c r="J8" s="49">
        <f>SUMIFS(Projekteinsatz!$E$6:$E$79,Projekteinsatz!$C$6:$C$79,$B8,Projekteinsatz!$D$6:$D$79,J$5)</f>
        <v>120</v>
      </c>
      <c r="K8" s="49">
        <f>SUMIFS(Projekteinsatz!$E$6:$E$79,Projekteinsatz!$C$6:$C$79,$B8,Projekteinsatz!$D$6:$D$79,K$5)</f>
        <v>0</v>
      </c>
      <c r="L8" s="49">
        <f>SUMIFS(Projekteinsatz!$E$6:$E$79,Projekteinsatz!$C$6:$C$79,$B8,Projekteinsatz!$D$6:$D$79,L$5)</f>
        <v>0</v>
      </c>
      <c r="M8" s="49">
        <f>SUMIFS(Projekteinsatz!$E$6:$E$79,Projekteinsatz!$C$6:$C$79,$B8,Projekteinsatz!$D$6:$D$79,M$5)</f>
        <v>0</v>
      </c>
      <c r="N8" s="49">
        <f>SUMIFS(Projekteinsatz!$E$6:$E$79,Projekteinsatz!$C$6:$C$79,$B8,Projekteinsatz!$D$6:$D$79,N$5)</f>
        <v>0</v>
      </c>
      <c r="O8" s="49">
        <f>SUMIFS(Projekteinsatz!$E$6:$E$79,Projekteinsatz!$C$6:$C$79,$B8,Projekteinsatz!$D$6:$D$79,O$5)</f>
        <v>0</v>
      </c>
      <c r="P8" s="49">
        <f>SUMIFS(Projekteinsatz!$E$6:$E$79,Projekteinsatz!$C$6:$C$79,$B8,Projekteinsatz!$D$6:$D$79,P$5)</f>
        <v>0</v>
      </c>
      <c r="Q8" s="50">
        <f t="shared" si="0"/>
        <v>435</v>
      </c>
      <c r="R8" s="49">
        <f t="shared" si="1"/>
        <v>1872</v>
      </c>
      <c r="S8" s="51">
        <f t="shared" si="2"/>
        <v>0.92948717948717952</v>
      </c>
      <c r="T8" s="49">
        <f t="shared" si="3"/>
        <v>1</v>
      </c>
      <c r="U8" s="52" t="str">
        <f t="shared" si="4"/>
        <v>Überlastet</v>
      </c>
    </row>
    <row r="9" spans="1:21" x14ac:dyDescent="0.25">
      <c r="A9" s="53" t="str">
        <f>Ressourcen!A8</f>
        <v>R04</v>
      </c>
      <c r="B9" s="54" t="str">
        <f>Ressourcen!B8</f>
        <v>Jonas Schmidt</v>
      </c>
      <c r="C9" s="55" t="str">
        <f>Ressourcen!C8</f>
        <v>UX/UI-Designer</v>
      </c>
      <c r="D9" s="56">
        <f>Ressourcen!H8</f>
        <v>173</v>
      </c>
      <c r="E9" s="57">
        <f>SUMIFS(Projekteinsatz!$E$6:$E$79,Projekteinsatz!$C$6:$C$79,$B9,Projekteinsatz!$D$6:$D$79,E$5)</f>
        <v>70</v>
      </c>
      <c r="F9" s="57">
        <f>SUMIFS(Projekteinsatz!$E$6:$E$79,Projekteinsatz!$C$6:$C$79,$B9,Projekteinsatz!$D$6:$D$79,F$5)</f>
        <v>120</v>
      </c>
      <c r="G9" s="57">
        <f>SUMIFS(Projekteinsatz!$E$6:$E$79,Projekteinsatz!$C$6:$C$79,$B9,Projekteinsatz!$D$6:$D$79,G$5)</f>
        <v>0</v>
      </c>
      <c r="H9" s="57">
        <f>SUMIFS(Projekteinsatz!$E$6:$E$79,Projekteinsatz!$C$6:$C$79,$B9,Projekteinsatz!$D$6:$D$79,H$5)</f>
        <v>130</v>
      </c>
      <c r="I9" s="57">
        <f>SUMIFS(Projekteinsatz!$E$6:$E$79,Projekteinsatz!$C$6:$C$79,$B9,Projekteinsatz!$D$6:$D$79,I$5)</f>
        <v>0</v>
      </c>
      <c r="J9" s="57">
        <f>SUMIFS(Projekteinsatz!$E$6:$E$79,Projekteinsatz!$C$6:$C$79,$B9,Projekteinsatz!$D$6:$D$79,J$5)</f>
        <v>0</v>
      </c>
      <c r="K9" s="57">
        <f>SUMIFS(Projekteinsatz!$E$6:$E$79,Projekteinsatz!$C$6:$C$79,$B9,Projekteinsatz!$D$6:$D$79,K$5)</f>
        <v>0</v>
      </c>
      <c r="L9" s="57">
        <f>SUMIFS(Projekteinsatz!$E$6:$E$79,Projekteinsatz!$C$6:$C$79,$B9,Projekteinsatz!$D$6:$D$79,L$5)</f>
        <v>0</v>
      </c>
      <c r="M9" s="57">
        <f>SUMIFS(Projekteinsatz!$E$6:$E$79,Projekteinsatz!$C$6:$C$79,$B9,Projekteinsatz!$D$6:$D$79,M$5)</f>
        <v>0</v>
      </c>
      <c r="N9" s="57">
        <f>SUMIFS(Projekteinsatz!$E$6:$E$79,Projekteinsatz!$C$6:$C$79,$B9,Projekteinsatz!$D$6:$D$79,N$5)</f>
        <v>0</v>
      </c>
      <c r="O9" s="57">
        <f>SUMIFS(Projekteinsatz!$E$6:$E$79,Projekteinsatz!$C$6:$C$79,$B9,Projekteinsatz!$D$6:$D$79,O$5)</f>
        <v>0</v>
      </c>
      <c r="P9" s="57">
        <f>SUMIFS(Projekteinsatz!$E$6:$E$79,Projekteinsatz!$C$6:$C$79,$B9,Projekteinsatz!$D$6:$D$79,P$5)</f>
        <v>0</v>
      </c>
      <c r="Q9" s="58">
        <f t="shared" si="0"/>
        <v>320</v>
      </c>
      <c r="R9" s="57">
        <f t="shared" si="1"/>
        <v>2076</v>
      </c>
      <c r="S9" s="59">
        <f t="shared" si="2"/>
        <v>0.61657032755298657</v>
      </c>
      <c r="T9" s="57">
        <f t="shared" si="3"/>
        <v>0</v>
      </c>
      <c r="U9" s="60" t="str">
        <f t="shared" si="4"/>
        <v>Gut ausgelastet</v>
      </c>
    </row>
    <row r="10" spans="1:21" x14ac:dyDescent="0.25">
      <c r="A10" s="45" t="str">
        <f>Ressourcen!A9</f>
        <v>R05</v>
      </c>
      <c r="B10" s="46" t="str">
        <f>Ressourcen!B9</f>
        <v>Mara Hoffmann</v>
      </c>
      <c r="C10" s="47" t="str">
        <f>Ressourcen!C9</f>
        <v>Business-Analystin</v>
      </c>
      <c r="D10" s="48">
        <f>Ressourcen!H9</f>
        <v>130</v>
      </c>
      <c r="E10" s="49">
        <f>SUMIFS(Projekteinsatz!$E$6:$E$79,Projekteinsatz!$C$6:$C$79,$B10,Projekteinsatz!$D$6:$D$79,E$5)</f>
        <v>90</v>
      </c>
      <c r="F10" s="49">
        <f>SUMIFS(Projekteinsatz!$E$6:$E$79,Projekteinsatz!$C$6:$C$79,$B10,Projekteinsatz!$D$6:$D$79,F$5)</f>
        <v>0</v>
      </c>
      <c r="G10" s="49">
        <f>SUMIFS(Projekteinsatz!$E$6:$E$79,Projekteinsatz!$C$6:$C$79,$B10,Projekteinsatz!$D$6:$D$79,G$5)</f>
        <v>0</v>
      </c>
      <c r="H10" s="49">
        <f>SUMIFS(Projekteinsatz!$E$6:$E$79,Projekteinsatz!$C$6:$C$79,$B10,Projekteinsatz!$D$6:$D$79,H$5)</f>
        <v>110</v>
      </c>
      <c r="I10" s="49">
        <f>SUMIFS(Projekteinsatz!$E$6:$E$79,Projekteinsatz!$C$6:$C$79,$B10,Projekteinsatz!$D$6:$D$79,I$5)</f>
        <v>0</v>
      </c>
      <c r="J10" s="49">
        <f>SUMIFS(Projekteinsatz!$E$6:$E$79,Projekteinsatz!$C$6:$C$79,$B10,Projekteinsatz!$D$6:$D$79,J$5)</f>
        <v>40</v>
      </c>
      <c r="K10" s="49">
        <f>SUMIFS(Projekteinsatz!$E$6:$E$79,Projekteinsatz!$C$6:$C$79,$B10,Projekteinsatz!$D$6:$D$79,K$5)</f>
        <v>0</v>
      </c>
      <c r="L10" s="49">
        <f>SUMIFS(Projekteinsatz!$E$6:$E$79,Projekteinsatz!$C$6:$C$79,$B10,Projekteinsatz!$D$6:$D$79,L$5)</f>
        <v>0</v>
      </c>
      <c r="M10" s="49">
        <f>SUMIFS(Projekteinsatz!$E$6:$E$79,Projekteinsatz!$C$6:$C$79,$B10,Projekteinsatz!$D$6:$D$79,M$5)</f>
        <v>0</v>
      </c>
      <c r="N10" s="49">
        <f>SUMIFS(Projekteinsatz!$E$6:$E$79,Projekteinsatz!$C$6:$C$79,$B10,Projekteinsatz!$D$6:$D$79,N$5)</f>
        <v>0</v>
      </c>
      <c r="O10" s="49">
        <f>SUMIFS(Projekteinsatz!$E$6:$E$79,Projekteinsatz!$C$6:$C$79,$B10,Projekteinsatz!$D$6:$D$79,O$5)</f>
        <v>0</v>
      </c>
      <c r="P10" s="49">
        <f>SUMIFS(Projekteinsatz!$E$6:$E$79,Projekteinsatz!$C$6:$C$79,$B10,Projekteinsatz!$D$6:$D$79,P$5)</f>
        <v>0</v>
      </c>
      <c r="Q10" s="50">
        <f t="shared" si="0"/>
        <v>240</v>
      </c>
      <c r="R10" s="49">
        <f t="shared" si="1"/>
        <v>1560</v>
      </c>
      <c r="S10" s="51">
        <f t="shared" si="2"/>
        <v>0.61538461538461542</v>
      </c>
      <c r="T10" s="49">
        <f t="shared" si="3"/>
        <v>0</v>
      </c>
      <c r="U10" s="52" t="str">
        <f t="shared" si="4"/>
        <v>Gut ausgelastet</v>
      </c>
    </row>
    <row r="11" spans="1:21" x14ac:dyDescent="0.25">
      <c r="A11" s="53" t="str">
        <f>Ressourcen!A10</f>
        <v>R06</v>
      </c>
      <c r="B11" s="54" t="str">
        <f>Ressourcen!B10</f>
        <v>David Klein</v>
      </c>
      <c r="C11" s="55" t="str">
        <f>Ressourcen!C10</f>
        <v>QA-Ingenieur</v>
      </c>
      <c r="D11" s="56">
        <f>Ressourcen!H10</f>
        <v>173</v>
      </c>
      <c r="E11" s="57">
        <f>SUMIFS(Projekteinsatz!$E$6:$E$79,Projekteinsatz!$C$6:$C$79,$B11,Projekteinsatz!$D$6:$D$79,E$5)</f>
        <v>0</v>
      </c>
      <c r="F11" s="57">
        <f>SUMIFS(Projekteinsatz!$E$6:$E$79,Projekteinsatz!$C$6:$C$79,$B11,Projekteinsatz!$D$6:$D$79,F$5)</f>
        <v>100</v>
      </c>
      <c r="G11" s="57">
        <f>SUMIFS(Projekteinsatz!$E$6:$E$79,Projekteinsatz!$C$6:$C$79,$B11,Projekteinsatz!$D$6:$D$79,G$5)</f>
        <v>190</v>
      </c>
      <c r="H11" s="57">
        <f>SUMIFS(Projekteinsatz!$E$6:$E$79,Projekteinsatz!$C$6:$C$79,$B11,Projekteinsatz!$D$6:$D$79,H$5)</f>
        <v>0</v>
      </c>
      <c r="I11" s="57">
        <f>SUMIFS(Projekteinsatz!$E$6:$E$79,Projekteinsatz!$C$6:$C$79,$B11,Projekteinsatz!$D$6:$D$79,I$5)</f>
        <v>0</v>
      </c>
      <c r="J11" s="57">
        <f>SUMIFS(Projekteinsatz!$E$6:$E$79,Projekteinsatz!$C$6:$C$79,$B11,Projekteinsatz!$D$6:$D$79,J$5)</f>
        <v>0</v>
      </c>
      <c r="K11" s="57">
        <f>SUMIFS(Projekteinsatz!$E$6:$E$79,Projekteinsatz!$C$6:$C$79,$B11,Projekteinsatz!$D$6:$D$79,K$5)</f>
        <v>120</v>
      </c>
      <c r="L11" s="57">
        <f>SUMIFS(Projekteinsatz!$E$6:$E$79,Projekteinsatz!$C$6:$C$79,$B11,Projekteinsatz!$D$6:$D$79,L$5)</f>
        <v>0</v>
      </c>
      <c r="M11" s="57">
        <f>SUMIFS(Projekteinsatz!$E$6:$E$79,Projekteinsatz!$C$6:$C$79,$B11,Projekteinsatz!$D$6:$D$79,M$5)</f>
        <v>0</v>
      </c>
      <c r="N11" s="57">
        <f>SUMIFS(Projekteinsatz!$E$6:$E$79,Projekteinsatz!$C$6:$C$79,$B11,Projekteinsatz!$D$6:$D$79,N$5)</f>
        <v>0</v>
      </c>
      <c r="O11" s="57">
        <f>SUMIFS(Projekteinsatz!$E$6:$E$79,Projekteinsatz!$C$6:$C$79,$B11,Projekteinsatz!$D$6:$D$79,O$5)</f>
        <v>0</v>
      </c>
      <c r="P11" s="57">
        <f>SUMIFS(Projekteinsatz!$E$6:$E$79,Projekteinsatz!$C$6:$C$79,$B11,Projekteinsatz!$D$6:$D$79,P$5)</f>
        <v>0</v>
      </c>
      <c r="Q11" s="58">
        <f t="shared" si="0"/>
        <v>410</v>
      </c>
      <c r="R11" s="57">
        <f t="shared" si="1"/>
        <v>2076</v>
      </c>
      <c r="S11" s="59">
        <f t="shared" si="2"/>
        <v>0.78998073217726394</v>
      </c>
      <c r="T11" s="57">
        <f t="shared" si="3"/>
        <v>1</v>
      </c>
      <c r="U11" s="60" t="str">
        <f t="shared" si="4"/>
        <v>Überlastet</v>
      </c>
    </row>
    <row r="12" spans="1:21" x14ac:dyDescent="0.25">
      <c r="A12" s="45" t="str">
        <f>Ressourcen!A11</f>
        <v>R07</v>
      </c>
      <c r="B12" s="46" t="str">
        <f>Ressourcen!B11</f>
        <v>Sophie Neumann</v>
      </c>
      <c r="C12" s="47" t="str">
        <f>Ressourcen!C11</f>
        <v>Marketing-Managerin</v>
      </c>
      <c r="D12" s="48">
        <f>Ressourcen!H11</f>
        <v>156</v>
      </c>
      <c r="E12" s="49">
        <f>SUMIFS(Projekteinsatz!$E$6:$E$79,Projekteinsatz!$C$6:$C$79,$B12,Projekteinsatz!$D$6:$D$79,E$5)</f>
        <v>0</v>
      </c>
      <c r="F12" s="49">
        <f>SUMIFS(Projekteinsatz!$E$6:$E$79,Projekteinsatz!$C$6:$C$79,$B12,Projekteinsatz!$D$6:$D$79,F$5)</f>
        <v>0</v>
      </c>
      <c r="G12" s="49">
        <f>SUMIFS(Projekteinsatz!$E$6:$E$79,Projekteinsatz!$C$6:$C$79,$B12,Projekteinsatz!$D$6:$D$79,G$5)</f>
        <v>120</v>
      </c>
      <c r="H12" s="49">
        <f>SUMIFS(Projekteinsatz!$E$6:$E$79,Projekteinsatz!$C$6:$C$79,$B12,Projekteinsatz!$D$6:$D$79,H$5)</f>
        <v>0</v>
      </c>
      <c r="I12" s="49">
        <f>SUMIFS(Projekteinsatz!$E$6:$E$79,Projekteinsatz!$C$6:$C$79,$B12,Projekteinsatz!$D$6:$D$79,I$5)</f>
        <v>150</v>
      </c>
      <c r="J12" s="49">
        <f>SUMIFS(Projekteinsatz!$E$6:$E$79,Projekteinsatz!$C$6:$C$79,$B12,Projekteinsatz!$D$6:$D$79,J$5)</f>
        <v>160</v>
      </c>
      <c r="K12" s="49">
        <f>SUMIFS(Projekteinsatz!$E$6:$E$79,Projekteinsatz!$C$6:$C$79,$B12,Projekteinsatz!$D$6:$D$79,K$5)</f>
        <v>0</v>
      </c>
      <c r="L12" s="49">
        <f>SUMIFS(Projekteinsatz!$E$6:$E$79,Projekteinsatz!$C$6:$C$79,$B12,Projekteinsatz!$D$6:$D$79,L$5)</f>
        <v>0</v>
      </c>
      <c r="M12" s="49">
        <f>SUMIFS(Projekteinsatz!$E$6:$E$79,Projekteinsatz!$C$6:$C$79,$B12,Projekteinsatz!$D$6:$D$79,M$5)</f>
        <v>0</v>
      </c>
      <c r="N12" s="49">
        <f>SUMIFS(Projekteinsatz!$E$6:$E$79,Projekteinsatz!$C$6:$C$79,$B12,Projekteinsatz!$D$6:$D$79,N$5)</f>
        <v>0</v>
      </c>
      <c r="O12" s="49">
        <f>SUMIFS(Projekteinsatz!$E$6:$E$79,Projekteinsatz!$C$6:$C$79,$B12,Projekteinsatz!$D$6:$D$79,O$5)</f>
        <v>0</v>
      </c>
      <c r="P12" s="49">
        <f>SUMIFS(Projekteinsatz!$E$6:$E$79,Projekteinsatz!$C$6:$C$79,$B12,Projekteinsatz!$D$6:$D$79,P$5)</f>
        <v>0</v>
      </c>
      <c r="Q12" s="50">
        <f t="shared" si="0"/>
        <v>430</v>
      </c>
      <c r="R12" s="49">
        <f t="shared" si="1"/>
        <v>1872</v>
      </c>
      <c r="S12" s="51">
        <f t="shared" si="2"/>
        <v>0.91880341880341887</v>
      </c>
      <c r="T12" s="49">
        <f t="shared" si="3"/>
        <v>1</v>
      </c>
      <c r="U12" s="52" t="str">
        <f t="shared" si="4"/>
        <v>Überlastet</v>
      </c>
    </row>
    <row r="13" spans="1:21" x14ac:dyDescent="0.25">
      <c r="A13" s="53" t="str">
        <f>Ressourcen!A12</f>
        <v>R08</v>
      </c>
      <c r="B13" s="54" t="str">
        <f>Ressourcen!B12</f>
        <v>Paul Richter</v>
      </c>
      <c r="C13" s="55" t="str">
        <f>Ressourcen!C12</f>
        <v>DevOps-Engineer</v>
      </c>
      <c r="D13" s="56">
        <f>Ressourcen!H12</f>
        <v>173</v>
      </c>
      <c r="E13" s="57">
        <f>SUMIFS(Projekteinsatz!$E$6:$E$79,Projekteinsatz!$C$6:$C$79,$B13,Projekteinsatz!$D$6:$D$79,E$5)</f>
        <v>0</v>
      </c>
      <c r="F13" s="57">
        <f>SUMIFS(Projekteinsatz!$E$6:$E$79,Projekteinsatz!$C$6:$C$79,$B13,Projekteinsatz!$D$6:$D$79,F$5)</f>
        <v>0</v>
      </c>
      <c r="G13" s="57">
        <f>SUMIFS(Projekteinsatz!$E$6:$E$79,Projekteinsatz!$C$6:$C$79,$B13,Projekteinsatz!$D$6:$D$79,G$5)</f>
        <v>90</v>
      </c>
      <c r="H13" s="57">
        <f>SUMIFS(Projekteinsatz!$E$6:$E$79,Projekteinsatz!$C$6:$C$79,$B13,Projekteinsatz!$D$6:$D$79,H$5)</f>
        <v>160</v>
      </c>
      <c r="I13" s="57">
        <f>SUMIFS(Projekteinsatz!$E$6:$E$79,Projekteinsatz!$C$6:$C$79,$B13,Projekteinsatz!$D$6:$D$79,I$5)</f>
        <v>100</v>
      </c>
      <c r="J13" s="57">
        <f>SUMIFS(Projekteinsatz!$E$6:$E$79,Projekteinsatz!$C$6:$C$79,$B13,Projekteinsatz!$D$6:$D$79,J$5)</f>
        <v>0</v>
      </c>
      <c r="K13" s="57">
        <f>SUMIFS(Projekteinsatz!$E$6:$E$79,Projekteinsatz!$C$6:$C$79,$B13,Projekteinsatz!$D$6:$D$79,K$5)</f>
        <v>150</v>
      </c>
      <c r="L13" s="57">
        <f>SUMIFS(Projekteinsatz!$E$6:$E$79,Projekteinsatz!$C$6:$C$79,$B13,Projekteinsatz!$D$6:$D$79,L$5)</f>
        <v>0</v>
      </c>
      <c r="M13" s="57">
        <f>SUMIFS(Projekteinsatz!$E$6:$E$79,Projekteinsatz!$C$6:$C$79,$B13,Projekteinsatz!$D$6:$D$79,M$5)</f>
        <v>0</v>
      </c>
      <c r="N13" s="57">
        <f>SUMIFS(Projekteinsatz!$E$6:$E$79,Projekteinsatz!$C$6:$C$79,$B13,Projekteinsatz!$D$6:$D$79,N$5)</f>
        <v>0</v>
      </c>
      <c r="O13" s="57">
        <f>SUMIFS(Projekteinsatz!$E$6:$E$79,Projekteinsatz!$C$6:$C$79,$B13,Projekteinsatz!$D$6:$D$79,O$5)</f>
        <v>0</v>
      </c>
      <c r="P13" s="57">
        <f>SUMIFS(Projekteinsatz!$E$6:$E$79,Projekteinsatz!$C$6:$C$79,$B13,Projekteinsatz!$D$6:$D$79,P$5)</f>
        <v>0</v>
      </c>
      <c r="Q13" s="58">
        <f t="shared" si="0"/>
        <v>500</v>
      </c>
      <c r="R13" s="57">
        <f t="shared" si="1"/>
        <v>2076</v>
      </c>
      <c r="S13" s="59">
        <f t="shared" si="2"/>
        <v>0.7225433526011561</v>
      </c>
      <c r="T13" s="57">
        <f t="shared" si="3"/>
        <v>0</v>
      </c>
      <c r="U13" s="60" t="str">
        <f t="shared" si="4"/>
        <v>Gut ausgelastet</v>
      </c>
    </row>
    <row r="14" spans="1:21" x14ac:dyDescent="0.25">
      <c r="A14" s="30"/>
      <c r="B14" s="61" t="s">
        <v>152</v>
      </c>
      <c r="C14" s="30"/>
      <c r="D14" s="62">
        <f t="shared" ref="D14:R14" si="5">SUM(D6:D13)</f>
        <v>1307</v>
      </c>
      <c r="E14" s="62">
        <f t="shared" si="5"/>
        <v>400</v>
      </c>
      <c r="F14" s="62">
        <f t="shared" si="5"/>
        <v>735</v>
      </c>
      <c r="G14" s="62">
        <f t="shared" si="5"/>
        <v>560</v>
      </c>
      <c r="H14" s="62">
        <f t="shared" si="5"/>
        <v>690</v>
      </c>
      <c r="I14" s="62">
        <f t="shared" si="5"/>
        <v>550</v>
      </c>
      <c r="J14" s="62">
        <f t="shared" si="5"/>
        <v>540</v>
      </c>
      <c r="K14" s="62">
        <f t="shared" si="5"/>
        <v>270</v>
      </c>
      <c r="L14" s="62">
        <f t="shared" si="5"/>
        <v>0</v>
      </c>
      <c r="M14" s="62">
        <f t="shared" si="5"/>
        <v>80</v>
      </c>
      <c r="N14" s="62">
        <f t="shared" si="5"/>
        <v>0</v>
      </c>
      <c r="O14" s="62">
        <f t="shared" si="5"/>
        <v>0</v>
      </c>
      <c r="P14" s="62">
        <f t="shared" si="5"/>
        <v>0</v>
      </c>
      <c r="Q14" s="62">
        <f t="shared" si="5"/>
        <v>3825</v>
      </c>
      <c r="R14" s="62">
        <f t="shared" si="5"/>
        <v>15684</v>
      </c>
      <c r="S14" s="63">
        <f>IFERROR(AVERAGE(S6:S13),0)</f>
        <v>0.77110969072674285</v>
      </c>
      <c r="T14" s="62">
        <f>SUM(T6:T13)</f>
        <v>4</v>
      </c>
      <c r="U14" s="30"/>
    </row>
    <row r="16" spans="1:21" x14ac:dyDescent="0.25">
      <c r="B16" s="33" t="s">
        <v>153</v>
      </c>
    </row>
    <row r="17" spans="2:17" ht="15" customHeight="1" x14ac:dyDescent="0.25">
      <c r="B17" s="64" t="s">
        <v>154</v>
      </c>
      <c r="C17" s="85" t="s">
        <v>155</v>
      </c>
      <c r="D17" s="85"/>
      <c r="E17" s="85"/>
      <c r="F17" s="65" t="s">
        <v>154</v>
      </c>
      <c r="G17" s="86" t="s">
        <v>156</v>
      </c>
      <c r="H17" s="86"/>
      <c r="I17" s="86"/>
      <c r="J17" s="66" t="s">
        <v>154</v>
      </c>
      <c r="K17" s="87" t="s">
        <v>157</v>
      </c>
      <c r="L17" s="87"/>
      <c r="M17" s="87"/>
      <c r="N17" s="67" t="s">
        <v>154</v>
      </c>
      <c r="O17" s="88" t="s">
        <v>158</v>
      </c>
      <c r="P17" s="88"/>
      <c r="Q17" s="88"/>
    </row>
    <row r="19" spans="2:17" x14ac:dyDescent="0.25">
      <c r="B19" s="89" t="s">
        <v>159</v>
      </c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</row>
  </sheetData>
  <mergeCells count="8">
    <mergeCell ref="B19:N19"/>
    <mergeCell ref="A1:U1"/>
    <mergeCell ref="A2:U2"/>
    <mergeCell ref="A3:U3"/>
    <mergeCell ref="C17:E17"/>
    <mergeCell ref="G17:I17"/>
    <mergeCell ref="K17:M17"/>
    <mergeCell ref="O17:Q17"/>
  </mergeCells>
  <conditionalFormatting sqref="E6:P13">
    <cfRule type="expression" dxfId="7" priority="2">
      <formula>E6=0</formula>
    </cfRule>
    <cfRule type="expression" dxfId="6" priority="3">
      <formula>E6&gt;$D6</formula>
    </cfRule>
    <cfRule type="expression" dxfId="5" priority="4">
      <formula>E6&gt;=0.85*$D6</formula>
    </cfRule>
    <cfRule type="expression" dxfId="4" priority="5">
      <formula>E6&gt;0</formula>
    </cfRule>
  </conditionalFormatting>
  <conditionalFormatting sqref="S6:S13">
    <cfRule type="cellIs" dxfId="3" priority="6" operator="greaterThan">
      <formula>1</formula>
    </cfRule>
  </conditionalFormatting>
  <conditionalFormatting sqref="U6:U13">
    <cfRule type="expression" dxfId="2" priority="7">
      <formula>$U6="Überlastet"</formula>
    </cfRule>
    <cfRule type="expression" dxfId="1" priority="8">
      <formula>OR($U6="Hoch ausgelastet",$U6="Gut ausgelastet")</formula>
    </cfRule>
    <cfRule type="expression" dxfId="0" priority="9">
      <formula>$U6="Gering ausgelastet"</formula>
    </cfRule>
  </conditionalFormatting>
  <printOptions horizontalCentered="1"/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Übersicht</vt:lpstr>
      <vt:lpstr>Ressourcen</vt:lpstr>
      <vt:lpstr>Projekteinsatz</vt:lpstr>
      <vt:lpstr>Kapazitätsplanung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2026-10-17T09:05:59Z</dcterms:created>
  <dcterms:modified xsi:type="dcterms:W3CDTF">2026-10-17T17:22:34Z</dcterms:modified>
  <dc:language>en-US</dc:language>
</cp:coreProperties>
</file>