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ergi\Documents\SEO\SEO\AA_Webs\Excel Aleman\Generador\"/>
    </mc:Choice>
  </mc:AlternateContent>
  <xr:revisionPtr revIDLastSave="0" documentId="13_ncr:1_{B1AE5899-B4A6-4C5C-9424-5E1650A4E018}" xr6:coauthVersionLast="47" xr6:coauthVersionMax="47" xr10:uidLastSave="{00000000-0000-0000-0000-000000000000}"/>
  <bookViews>
    <workbookView xWindow="1380" yWindow="1380" windowWidth="25500" windowHeight="13500" tabRatio="500" activeTab="1" xr2:uid="{00000000-000D-0000-FFFF-FFFF00000000}"/>
  </bookViews>
  <sheets>
    <sheet name="Anleitung" sheetId="1" r:id="rId1"/>
    <sheet name="Übersicht" sheetId="2" r:id="rId2"/>
    <sheet name="Parameter" sheetId="3" r:id="rId3"/>
    <sheet name="Personal" sheetId="4" r:id="rId4"/>
    <sheet name="Bedarfsplanung" sheetId="5" r:id="rId5"/>
    <sheet name="Personalkosten" sheetId="6" r:id="rId6"/>
  </sheets>
  <definedNames>
    <definedName name="_xlnm._FilterDatabase" localSheetId="3" hidden="1">Personal!$B$7:$W$67</definedName>
    <definedName name="_xlnm.Print_Titles" localSheetId="3">Personal!$5:$7</definedName>
    <definedName name="_xlnm.Print_Titles" localSheetId="5">Personalkosten!$6:$7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B92" i="6" l="1"/>
  <c r="AA92" i="6"/>
  <c r="Z92" i="6"/>
  <c r="Y92" i="6"/>
  <c r="X92" i="6"/>
  <c r="W92" i="6"/>
  <c r="V92" i="6"/>
  <c r="U92" i="6"/>
  <c r="T92" i="6"/>
  <c r="S92" i="6"/>
  <c r="R92" i="6"/>
  <c r="Q92" i="6"/>
  <c r="N92" i="6"/>
  <c r="M92" i="6"/>
  <c r="L92" i="6"/>
  <c r="K92" i="6"/>
  <c r="J92" i="6"/>
  <c r="I92" i="6"/>
  <c r="H92" i="6"/>
  <c r="G92" i="6"/>
  <c r="F92" i="6"/>
  <c r="E92" i="6"/>
  <c r="D92" i="6"/>
  <c r="C92" i="6"/>
  <c r="B92" i="6"/>
  <c r="AE92" i="6" s="1"/>
  <c r="AB91" i="6"/>
  <c r="AA91" i="6"/>
  <c r="Z91" i="6"/>
  <c r="Y91" i="6"/>
  <c r="X91" i="6"/>
  <c r="W91" i="6"/>
  <c r="V91" i="6"/>
  <c r="U91" i="6"/>
  <c r="T91" i="6"/>
  <c r="S91" i="6"/>
  <c r="R91" i="6"/>
  <c r="Q91" i="6"/>
  <c r="N91" i="6"/>
  <c r="M91" i="6"/>
  <c r="L91" i="6"/>
  <c r="K91" i="6"/>
  <c r="J91" i="6"/>
  <c r="I91" i="6"/>
  <c r="H91" i="6"/>
  <c r="G91" i="6"/>
  <c r="F91" i="6"/>
  <c r="E91" i="6"/>
  <c r="D91" i="6"/>
  <c r="C91" i="6"/>
  <c r="B91" i="6"/>
  <c r="O91" i="6" s="1"/>
  <c r="AE90" i="6"/>
  <c r="AD90" i="6"/>
  <c r="AB90" i="6"/>
  <c r="AA90" i="6"/>
  <c r="Z90" i="6"/>
  <c r="Y90" i="6"/>
  <c r="X90" i="6"/>
  <c r="W90" i="6"/>
  <c r="V90" i="6"/>
  <c r="U90" i="6"/>
  <c r="T90" i="6"/>
  <c r="S90" i="6"/>
  <c r="R90" i="6"/>
  <c r="Q90" i="6"/>
  <c r="O90" i="6"/>
  <c r="N90" i="6"/>
  <c r="M90" i="6"/>
  <c r="L90" i="6"/>
  <c r="K90" i="6"/>
  <c r="J90" i="6"/>
  <c r="I90" i="6"/>
  <c r="H90" i="6"/>
  <c r="G90" i="6"/>
  <c r="F90" i="6"/>
  <c r="E90" i="6"/>
  <c r="D90" i="6"/>
  <c r="C90" i="6"/>
  <c r="B90" i="6"/>
  <c r="AC90" i="6" s="1"/>
  <c r="AE89" i="6"/>
  <c r="AD89" i="6"/>
  <c r="AC89" i="6"/>
  <c r="AB89" i="6"/>
  <c r="AA89" i="6"/>
  <c r="Z89" i="6"/>
  <c r="Y89" i="6"/>
  <c r="X89" i="6"/>
  <c r="W89" i="6"/>
  <c r="V89" i="6"/>
  <c r="U89" i="6"/>
  <c r="T89" i="6"/>
  <c r="S89" i="6"/>
  <c r="R89" i="6"/>
  <c r="Q89" i="6"/>
  <c r="O89" i="6"/>
  <c r="N89" i="6"/>
  <c r="M89" i="6"/>
  <c r="L89" i="6"/>
  <c r="K89" i="6"/>
  <c r="J89" i="6"/>
  <c r="I89" i="6"/>
  <c r="H89" i="6"/>
  <c r="G89" i="6"/>
  <c r="F89" i="6"/>
  <c r="E89" i="6"/>
  <c r="D89" i="6"/>
  <c r="C89" i="6"/>
  <c r="B89" i="6"/>
  <c r="AE88" i="6"/>
  <c r="AD88" i="6"/>
  <c r="AC88" i="6"/>
  <c r="AB88" i="6"/>
  <c r="AA88" i="6"/>
  <c r="Z88" i="6"/>
  <c r="Y88" i="6"/>
  <c r="X88" i="6"/>
  <c r="W88" i="6"/>
  <c r="V88" i="6"/>
  <c r="U88" i="6"/>
  <c r="T88" i="6"/>
  <c r="S88" i="6"/>
  <c r="R88" i="6"/>
  <c r="Q88" i="6"/>
  <c r="N88" i="6"/>
  <c r="M88" i="6"/>
  <c r="L88" i="6"/>
  <c r="K88" i="6"/>
  <c r="J88" i="6"/>
  <c r="I88" i="6"/>
  <c r="H88" i="6"/>
  <c r="G88" i="6"/>
  <c r="F88" i="6"/>
  <c r="E88" i="6"/>
  <c r="D88" i="6"/>
  <c r="C88" i="6"/>
  <c r="B88" i="6"/>
  <c r="O88" i="6" s="1"/>
  <c r="AB87" i="6"/>
  <c r="AA87" i="6"/>
  <c r="Z87" i="6"/>
  <c r="Y87" i="6"/>
  <c r="X87" i="6"/>
  <c r="W87" i="6"/>
  <c r="V87" i="6"/>
  <c r="U87" i="6"/>
  <c r="T87" i="6"/>
  <c r="S87" i="6"/>
  <c r="R87" i="6"/>
  <c r="Q87" i="6"/>
  <c r="N87" i="6"/>
  <c r="M87" i="6"/>
  <c r="L87" i="6"/>
  <c r="K87" i="6"/>
  <c r="J87" i="6"/>
  <c r="I87" i="6"/>
  <c r="H87" i="6"/>
  <c r="G87" i="6"/>
  <c r="F87" i="6"/>
  <c r="E87" i="6"/>
  <c r="D87" i="6"/>
  <c r="C87" i="6"/>
  <c r="B87" i="6"/>
  <c r="AE86" i="6"/>
  <c r="AC86" i="6"/>
  <c r="AB86" i="6"/>
  <c r="AA86" i="6"/>
  <c r="Z86" i="6"/>
  <c r="Y86" i="6"/>
  <c r="X86" i="6"/>
  <c r="W86" i="6"/>
  <c r="V86" i="6"/>
  <c r="U86" i="6"/>
  <c r="T86" i="6"/>
  <c r="S86" i="6"/>
  <c r="R86" i="6"/>
  <c r="Q86" i="6"/>
  <c r="O86" i="6"/>
  <c r="N86" i="6"/>
  <c r="M86" i="6"/>
  <c r="L86" i="6"/>
  <c r="K86" i="6"/>
  <c r="J86" i="6"/>
  <c r="I86" i="6"/>
  <c r="H86" i="6"/>
  <c r="G86" i="6"/>
  <c r="F86" i="6"/>
  <c r="E86" i="6"/>
  <c r="D86" i="6"/>
  <c r="C86" i="6"/>
  <c r="B86" i="6"/>
  <c r="AD86" i="6" s="1"/>
  <c r="AE85" i="6"/>
  <c r="AD85" i="6"/>
  <c r="AC85" i="6"/>
  <c r="AB85" i="6"/>
  <c r="AA85" i="6"/>
  <c r="Z85" i="6"/>
  <c r="Y85" i="6"/>
  <c r="X85" i="6"/>
  <c r="W85" i="6"/>
  <c r="V85" i="6"/>
  <c r="U85" i="6"/>
  <c r="T85" i="6"/>
  <c r="S85" i="6"/>
  <c r="R85" i="6"/>
  <c r="Q85" i="6"/>
  <c r="O85" i="6"/>
  <c r="N85" i="6"/>
  <c r="M85" i="6"/>
  <c r="L85" i="6"/>
  <c r="K85" i="6"/>
  <c r="J85" i="6"/>
  <c r="I85" i="6"/>
  <c r="H85" i="6"/>
  <c r="G85" i="6"/>
  <c r="F85" i="6"/>
  <c r="E85" i="6"/>
  <c r="D85" i="6"/>
  <c r="C85" i="6"/>
  <c r="B85" i="6"/>
  <c r="AD84" i="6"/>
  <c r="AB84" i="6"/>
  <c r="AA84" i="6"/>
  <c r="Z84" i="6"/>
  <c r="Y84" i="6"/>
  <c r="X84" i="6"/>
  <c r="W84" i="6"/>
  <c r="V84" i="6"/>
  <c r="U84" i="6"/>
  <c r="T84" i="6"/>
  <c r="S84" i="6"/>
  <c r="R84" i="6"/>
  <c r="Q84" i="6"/>
  <c r="N84" i="6"/>
  <c r="M84" i="6"/>
  <c r="L84" i="6"/>
  <c r="K84" i="6"/>
  <c r="J84" i="6"/>
  <c r="I84" i="6"/>
  <c r="H84" i="6"/>
  <c r="G84" i="6"/>
  <c r="F84" i="6"/>
  <c r="E84" i="6"/>
  <c r="D84" i="6"/>
  <c r="C84" i="6"/>
  <c r="B84" i="6"/>
  <c r="O84" i="6" s="1"/>
  <c r="AE83" i="6"/>
  <c r="AB83" i="6"/>
  <c r="AA83" i="6"/>
  <c r="Z83" i="6"/>
  <c r="Y83" i="6"/>
  <c r="X83" i="6"/>
  <c r="W83" i="6"/>
  <c r="V83" i="6"/>
  <c r="U83" i="6"/>
  <c r="T83" i="6"/>
  <c r="S83" i="6"/>
  <c r="R83" i="6"/>
  <c r="Q83" i="6"/>
  <c r="N83" i="6"/>
  <c r="M83" i="6"/>
  <c r="L83" i="6"/>
  <c r="K83" i="6"/>
  <c r="J83" i="6"/>
  <c r="I83" i="6"/>
  <c r="H83" i="6"/>
  <c r="G83" i="6"/>
  <c r="F83" i="6"/>
  <c r="E83" i="6"/>
  <c r="D83" i="6"/>
  <c r="C83" i="6"/>
  <c r="B83" i="6"/>
  <c r="AD83" i="6" s="1"/>
  <c r="AB82" i="6"/>
  <c r="AA82" i="6"/>
  <c r="Z82" i="6"/>
  <c r="Y82" i="6"/>
  <c r="X82" i="6"/>
  <c r="W82" i="6"/>
  <c r="V82" i="6"/>
  <c r="U82" i="6"/>
  <c r="T82" i="6"/>
  <c r="S82" i="6"/>
  <c r="R82" i="6"/>
  <c r="Q82" i="6"/>
  <c r="O82" i="6"/>
  <c r="N82" i="6"/>
  <c r="M82" i="6"/>
  <c r="L82" i="6"/>
  <c r="K82" i="6"/>
  <c r="J82" i="6"/>
  <c r="I82" i="6"/>
  <c r="H82" i="6"/>
  <c r="G82" i="6"/>
  <c r="F82" i="6"/>
  <c r="E82" i="6"/>
  <c r="D82" i="6"/>
  <c r="C82" i="6"/>
  <c r="B82" i="6"/>
  <c r="AE82" i="6" s="1"/>
  <c r="AE81" i="6"/>
  <c r="AD81" i="6"/>
  <c r="AC81" i="6"/>
  <c r="AB81" i="6"/>
  <c r="AA81" i="6"/>
  <c r="Z81" i="6"/>
  <c r="Y81" i="6"/>
  <c r="X81" i="6"/>
  <c r="W81" i="6"/>
  <c r="V81" i="6"/>
  <c r="U81" i="6"/>
  <c r="T81" i="6"/>
  <c r="S81" i="6"/>
  <c r="R81" i="6"/>
  <c r="Q81" i="6"/>
  <c r="N81" i="6"/>
  <c r="M81" i="6"/>
  <c r="L81" i="6"/>
  <c r="K81" i="6"/>
  <c r="J81" i="6"/>
  <c r="I81" i="6"/>
  <c r="H81" i="6"/>
  <c r="G81" i="6"/>
  <c r="F81" i="6"/>
  <c r="E81" i="6"/>
  <c r="D81" i="6"/>
  <c r="C81" i="6"/>
  <c r="B81" i="6"/>
  <c r="O81" i="6" s="1"/>
  <c r="AE80" i="6"/>
  <c r="AD80" i="6"/>
  <c r="AB80" i="6"/>
  <c r="AA80" i="6"/>
  <c r="Z80" i="6"/>
  <c r="Y80" i="6"/>
  <c r="X80" i="6"/>
  <c r="W80" i="6"/>
  <c r="V80" i="6"/>
  <c r="U80" i="6"/>
  <c r="T80" i="6"/>
  <c r="S80" i="6"/>
  <c r="R80" i="6"/>
  <c r="Q80" i="6"/>
  <c r="N80" i="6"/>
  <c r="M80" i="6"/>
  <c r="L80" i="6"/>
  <c r="K80" i="6"/>
  <c r="J80" i="6"/>
  <c r="I80" i="6"/>
  <c r="H80" i="6"/>
  <c r="G80" i="6"/>
  <c r="F80" i="6"/>
  <c r="E80" i="6"/>
  <c r="D80" i="6"/>
  <c r="C80" i="6"/>
  <c r="B80" i="6"/>
  <c r="O80" i="6" s="1"/>
  <c r="AC79" i="6"/>
  <c r="AB79" i="6"/>
  <c r="AA79" i="6"/>
  <c r="Z79" i="6"/>
  <c r="Y79" i="6"/>
  <c r="X79" i="6"/>
  <c r="W79" i="6"/>
  <c r="V79" i="6"/>
  <c r="U79" i="6"/>
  <c r="T79" i="6"/>
  <c r="S79" i="6"/>
  <c r="R79" i="6"/>
  <c r="Q79" i="6"/>
  <c r="N79" i="6"/>
  <c r="M79" i="6"/>
  <c r="L79" i="6"/>
  <c r="K79" i="6"/>
  <c r="J79" i="6"/>
  <c r="I79" i="6"/>
  <c r="H79" i="6"/>
  <c r="G79" i="6"/>
  <c r="F79" i="6"/>
  <c r="E79" i="6"/>
  <c r="D79" i="6"/>
  <c r="C79" i="6"/>
  <c r="B79" i="6"/>
  <c r="O79" i="6" s="1"/>
  <c r="AE78" i="6"/>
  <c r="AD78" i="6"/>
  <c r="AC78" i="6"/>
  <c r="AB78" i="6"/>
  <c r="AA78" i="6"/>
  <c r="Z78" i="6"/>
  <c r="Y78" i="6"/>
  <c r="X78" i="6"/>
  <c r="W78" i="6"/>
  <c r="V78" i="6"/>
  <c r="U78" i="6"/>
  <c r="T78" i="6"/>
  <c r="S78" i="6"/>
  <c r="R78" i="6"/>
  <c r="Q78" i="6"/>
  <c r="O78" i="6"/>
  <c r="N78" i="6"/>
  <c r="M78" i="6"/>
  <c r="L78" i="6"/>
  <c r="K78" i="6"/>
  <c r="J78" i="6"/>
  <c r="I78" i="6"/>
  <c r="H78" i="6"/>
  <c r="G78" i="6"/>
  <c r="F78" i="6"/>
  <c r="E78" i="6"/>
  <c r="D78" i="6"/>
  <c r="C78" i="6"/>
  <c r="B78" i="6"/>
  <c r="AD77" i="6"/>
  <c r="AC77" i="6"/>
  <c r="AB77" i="6"/>
  <c r="AA77" i="6"/>
  <c r="Z77" i="6"/>
  <c r="Y77" i="6"/>
  <c r="X77" i="6"/>
  <c r="W77" i="6"/>
  <c r="V77" i="6"/>
  <c r="U77" i="6"/>
  <c r="T77" i="6"/>
  <c r="S77" i="6"/>
  <c r="R77" i="6"/>
  <c r="Q77" i="6"/>
  <c r="N77" i="6"/>
  <c r="M77" i="6"/>
  <c r="L77" i="6"/>
  <c r="K77" i="6"/>
  <c r="J77" i="6"/>
  <c r="I77" i="6"/>
  <c r="H77" i="6"/>
  <c r="G77" i="6"/>
  <c r="F77" i="6"/>
  <c r="E77" i="6"/>
  <c r="D77" i="6"/>
  <c r="C77" i="6"/>
  <c r="B77" i="6"/>
  <c r="O77" i="6" s="1"/>
  <c r="AE76" i="6"/>
  <c r="AD76" i="6"/>
  <c r="AC76" i="6"/>
  <c r="AB76" i="6"/>
  <c r="AA76" i="6"/>
  <c r="Z76" i="6"/>
  <c r="Y76" i="6"/>
  <c r="X76" i="6"/>
  <c r="W76" i="6"/>
  <c r="V76" i="6"/>
  <c r="U76" i="6"/>
  <c r="T76" i="6"/>
  <c r="S76" i="6"/>
  <c r="R76" i="6"/>
  <c r="Q76" i="6"/>
  <c r="O76" i="6"/>
  <c r="N76" i="6"/>
  <c r="M76" i="6"/>
  <c r="L76" i="6"/>
  <c r="K76" i="6"/>
  <c r="J76" i="6"/>
  <c r="I76" i="6"/>
  <c r="H76" i="6"/>
  <c r="G76" i="6"/>
  <c r="F76" i="6"/>
  <c r="E76" i="6"/>
  <c r="D76" i="6"/>
  <c r="C76" i="6"/>
  <c r="B76" i="6"/>
  <c r="AE75" i="6"/>
  <c r="AB75" i="6"/>
  <c r="AA75" i="6"/>
  <c r="Z75" i="6"/>
  <c r="Y75" i="6"/>
  <c r="X75" i="6"/>
  <c r="W75" i="6"/>
  <c r="V75" i="6"/>
  <c r="U75" i="6"/>
  <c r="T75" i="6"/>
  <c r="S75" i="6"/>
  <c r="R75" i="6"/>
  <c r="Q75" i="6"/>
  <c r="N75" i="6"/>
  <c r="M75" i="6"/>
  <c r="L75" i="6"/>
  <c r="K75" i="6"/>
  <c r="J75" i="6"/>
  <c r="I75" i="6"/>
  <c r="H75" i="6"/>
  <c r="G75" i="6"/>
  <c r="F75" i="6"/>
  <c r="E75" i="6"/>
  <c r="D75" i="6"/>
  <c r="C75" i="6"/>
  <c r="B75" i="6"/>
  <c r="O75" i="6" s="1"/>
  <c r="AD74" i="6"/>
  <c r="AC74" i="6"/>
  <c r="AB74" i="6"/>
  <c r="AA74" i="6"/>
  <c r="Z74" i="6"/>
  <c r="Y74" i="6"/>
  <c r="X74" i="6"/>
  <c r="W74" i="6"/>
  <c r="V74" i="6"/>
  <c r="U74" i="6"/>
  <c r="T74" i="6"/>
  <c r="S74" i="6"/>
  <c r="R74" i="6"/>
  <c r="Q74" i="6"/>
  <c r="O74" i="6"/>
  <c r="N74" i="6"/>
  <c r="M74" i="6"/>
  <c r="L74" i="6"/>
  <c r="K74" i="6"/>
  <c r="J74" i="6"/>
  <c r="I74" i="6"/>
  <c r="H74" i="6"/>
  <c r="G74" i="6"/>
  <c r="F74" i="6"/>
  <c r="E74" i="6"/>
  <c r="D74" i="6"/>
  <c r="C74" i="6"/>
  <c r="B74" i="6"/>
  <c r="AE74" i="6" s="1"/>
  <c r="B73" i="6"/>
  <c r="AE72" i="6"/>
  <c r="B72" i="6"/>
  <c r="AE71" i="6"/>
  <c r="B71" i="6"/>
  <c r="B70" i="6"/>
  <c r="AE70" i="6" s="1"/>
  <c r="B69" i="6"/>
  <c r="B68" i="6"/>
  <c r="AE68" i="6" s="1"/>
  <c r="B67" i="6"/>
  <c r="B66" i="6"/>
  <c r="B65" i="6"/>
  <c r="AE65" i="6" s="1"/>
  <c r="B64" i="6"/>
  <c r="AE63" i="6"/>
  <c r="B63" i="6"/>
  <c r="AE62" i="6"/>
  <c r="B62" i="6"/>
  <c r="AE61" i="6"/>
  <c r="B61" i="6"/>
  <c r="AE60" i="6"/>
  <c r="B60" i="6"/>
  <c r="B59" i="6"/>
  <c r="AE58" i="6"/>
  <c r="B58" i="6"/>
  <c r="AE57" i="6"/>
  <c r="B57" i="6"/>
  <c r="B56" i="6"/>
  <c r="AE56" i="6" s="1"/>
  <c r="B55" i="6"/>
  <c r="AE55" i="6" s="1"/>
  <c r="AE54" i="6"/>
  <c r="B54" i="6"/>
  <c r="B53" i="6"/>
  <c r="AE52" i="6"/>
  <c r="B52" i="6"/>
  <c r="AE51" i="6"/>
  <c r="B51" i="6"/>
  <c r="B50" i="6"/>
  <c r="AE50" i="6" s="1"/>
  <c r="B49" i="6"/>
  <c r="B48" i="6"/>
  <c r="B47" i="6"/>
  <c r="AE47" i="6" s="1"/>
  <c r="B46" i="6"/>
  <c r="N45" i="6"/>
  <c r="B45" i="6"/>
  <c r="AE44" i="6"/>
  <c r="B44" i="6"/>
  <c r="B43" i="6"/>
  <c r="AE42" i="6"/>
  <c r="B42" i="6"/>
  <c r="AE41" i="6"/>
  <c r="B41" i="6"/>
  <c r="AE40" i="6"/>
  <c r="B40" i="6"/>
  <c r="B39" i="6"/>
  <c r="AE38" i="6"/>
  <c r="B38" i="6"/>
  <c r="AE37" i="6"/>
  <c r="B37" i="6"/>
  <c r="B36" i="6"/>
  <c r="AE35" i="6"/>
  <c r="B35" i="6"/>
  <c r="B34" i="6"/>
  <c r="AE33" i="6"/>
  <c r="B33" i="6"/>
  <c r="B27" i="6"/>
  <c r="B26" i="6"/>
  <c r="B25" i="6"/>
  <c r="B24" i="6"/>
  <c r="B23" i="6"/>
  <c r="B22" i="6"/>
  <c r="B21" i="6"/>
  <c r="B20" i="6"/>
  <c r="O12" i="6"/>
  <c r="N9" i="6"/>
  <c r="K9" i="6"/>
  <c r="J9" i="6"/>
  <c r="I9" i="6"/>
  <c r="H9" i="6"/>
  <c r="N7" i="6"/>
  <c r="M7" i="6"/>
  <c r="L7" i="6"/>
  <c r="K7" i="6"/>
  <c r="J7" i="6"/>
  <c r="I7" i="6"/>
  <c r="H7" i="6"/>
  <c r="G7" i="6"/>
  <c r="F7" i="6"/>
  <c r="E7" i="6"/>
  <c r="D7" i="6"/>
  <c r="C7" i="6"/>
  <c r="B5" i="6"/>
  <c r="B3" i="6"/>
  <c r="AE2" i="6"/>
  <c r="B44" i="5"/>
  <c r="B43" i="5"/>
  <c r="B42" i="5"/>
  <c r="B41" i="5"/>
  <c r="B40" i="5"/>
  <c r="B39" i="5"/>
  <c r="B38" i="5"/>
  <c r="B37" i="5"/>
  <c r="B32" i="5"/>
  <c r="B31" i="5"/>
  <c r="B30" i="5"/>
  <c r="B29" i="5"/>
  <c r="B28" i="5"/>
  <c r="B27" i="5"/>
  <c r="B26" i="5"/>
  <c r="B25" i="5"/>
  <c r="O21" i="5"/>
  <c r="N21" i="5"/>
  <c r="M21" i="5"/>
  <c r="L21" i="5"/>
  <c r="K21" i="5"/>
  <c r="J21" i="5"/>
  <c r="I21" i="5"/>
  <c r="H21" i="5"/>
  <c r="G21" i="5"/>
  <c r="F21" i="5"/>
  <c r="E21" i="5"/>
  <c r="D21" i="5"/>
  <c r="C21" i="5"/>
  <c r="O20" i="5"/>
  <c r="B20" i="5"/>
  <c r="O19" i="5"/>
  <c r="B19" i="5"/>
  <c r="B18" i="5"/>
  <c r="O18" i="5" s="1"/>
  <c r="B17" i="5"/>
  <c r="O17" i="5" s="1"/>
  <c r="B16" i="5"/>
  <c r="O16" i="5" s="1"/>
  <c r="B15" i="5"/>
  <c r="O15" i="5" s="1"/>
  <c r="O14" i="5"/>
  <c r="B14" i="5"/>
  <c r="B13" i="5"/>
  <c r="O13" i="5" s="1"/>
  <c r="F9" i="5"/>
  <c r="B3" i="5"/>
  <c r="S2" i="5"/>
  <c r="M68" i="4"/>
  <c r="C68" i="4"/>
  <c r="AQ67" i="4"/>
  <c r="AP67" i="4"/>
  <c r="AO67" i="4"/>
  <c r="AN67" i="4"/>
  <c r="AM67" i="4"/>
  <c r="AK67" i="4"/>
  <c r="AI67" i="4"/>
  <c r="AG67" i="4"/>
  <c r="AF67" i="4"/>
  <c r="AC67" i="4"/>
  <c r="W67" i="4"/>
  <c r="V67" i="4"/>
  <c r="U67" i="4"/>
  <c r="T67" i="4"/>
  <c r="S67" i="4"/>
  <c r="R67" i="4"/>
  <c r="AH67" i="4" s="1"/>
  <c r="B67" i="4"/>
  <c r="AS66" i="4"/>
  <c r="AR66" i="4"/>
  <c r="AQ66" i="4"/>
  <c r="AP66" i="4"/>
  <c r="AO66" i="4"/>
  <c r="AN66" i="4"/>
  <c r="AM66" i="4"/>
  <c r="AA66" i="4"/>
  <c r="W66" i="4"/>
  <c r="V66" i="4"/>
  <c r="U66" i="4"/>
  <c r="T66" i="4"/>
  <c r="S66" i="4"/>
  <c r="R66" i="4"/>
  <c r="B66" i="4"/>
  <c r="AR65" i="4"/>
  <c r="AQ65" i="4"/>
  <c r="AP65" i="4"/>
  <c r="AO65" i="4"/>
  <c r="AN65" i="4"/>
  <c r="AM65" i="4"/>
  <c r="AS65" i="4" s="1"/>
  <c r="AI65" i="4"/>
  <c r="AH65" i="4"/>
  <c r="AG65" i="4"/>
  <c r="AE65" i="4"/>
  <c r="AD65" i="4"/>
  <c r="AC65" i="4"/>
  <c r="AB65" i="4"/>
  <c r="AA65" i="4"/>
  <c r="Z65" i="4"/>
  <c r="Y65" i="4"/>
  <c r="W65" i="4"/>
  <c r="V65" i="4"/>
  <c r="U65" i="4"/>
  <c r="T65" i="4"/>
  <c r="S65" i="4"/>
  <c r="R65" i="4"/>
  <c r="AK65" i="4" s="1"/>
  <c r="B65" i="4"/>
  <c r="AQ64" i="4"/>
  <c r="AP64" i="4"/>
  <c r="AO64" i="4"/>
  <c r="AN64" i="4"/>
  <c r="AM64" i="4"/>
  <c r="AK64" i="4"/>
  <c r="AJ64" i="4"/>
  <c r="AI64" i="4"/>
  <c r="AH64" i="4"/>
  <c r="AG64" i="4"/>
  <c r="AF64" i="4"/>
  <c r="AD64" i="4"/>
  <c r="AC64" i="4"/>
  <c r="AB64" i="4"/>
  <c r="AA64" i="4"/>
  <c r="Z64" i="4"/>
  <c r="Y64" i="4"/>
  <c r="W64" i="4"/>
  <c r="V64" i="4"/>
  <c r="U64" i="4"/>
  <c r="T64" i="4"/>
  <c r="S64" i="4"/>
  <c r="R64" i="4"/>
  <c r="AE64" i="4" s="1"/>
  <c r="B64" i="4"/>
  <c r="AS63" i="4"/>
  <c r="AQ63" i="4"/>
  <c r="AP63" i="4"/>
  <c r="AO63" i="4"/>
  <c r="AN63" i="4"/>
  <c r="AM63" i="4"/>
  <c r="AK63" i="4"/>
  <c r="AI63" i="4"/>
  <c r="AC63" i="4"/>
  <c r="AB63" i="4"/>
  <c r="AA63" i="4"/>
  <c r="Y63" i="4"/>
  <c r="W63" i="4"/>
  <c r="V63" i="4"/>
  <c r="U63" i="4"/>
  <c r="AR63" i="4" s="1"/>
  <c r="T63" i="4"/>
  <c r="S63" i="4"/>
  <c r="R63" i="4"/>
  <c r="AJ63" i="4" s="1"/>
  <c r="B63" i="4"/>
  <c r="AS62" i="4"/>
  <c r="AQ62" i="4"/>
  <c r="AP62" i="4"/>
  <c r="AO62" i="4"/>
  <c r="AN62" i="4"/>
  <c r="AM62" i="4"/>
  <c r="AJ62" i="4"/>
  <c r="AI62" i="4"/>
  <c r="AH62" i="4"/>
  <c r="AF62" i="4"/>
  <c r="AE62" i="4"/>
  <c r="AD62" i="4"/>
  <c r="AC62" i="4"/>
  <c r="AB62" i="4"/>
  <c r="AA62" i="4"/>
  <c r="Z62" i="4"/>
  <c r="W62" i="4"/>
  <c r="V62" i="4"/>
  <c r="U62" i="4"/>
  <c r="AR62" i="4" s="1"/>
  <c r="T62" i="4"/>
  <c r="S62" i="4"/>
  <c r="R62" i="4"/>
  <c r="Y62" i="4" s="1"/>
  <c r="B62" i="4"/>
  <c r="AQ61" i="4"/>
  <c r="AP61" i="4"/>
  <c r="AO61" i="4"/>
  <c r="AN61" i="4"/>
  <c r="AM61" i="4"/>
  <c r="AJ61" i="4"/>
  <c r="AI61" i="4"/>
  <c r="AH61" i="4"/>
  <c r="W61" i="4"/>
  <c r="V61" i="4"/>
  <c r="U61" i="4"/>
  <c r="T61" i="4"/>
  <c r="S61" i="4"/>
  <c r="R61" i="4"/>
  <c r="B61" i="4"/>
  <c r="AQ60" i="4"/>
  <c r="AP60" i="4"/>
  <c r="AO60" i="4"/>
  <c r="AN60" i="4"/>
  <c r="AM60" i="4"/>
  <c r="AS60" i="4" s="1"/>
  <c r="AK60" i="4"/>
  <c r="AJ60" i="4"/>
  <c r="AI60" i="4"/>
  <c r="AH60" i="4"/>
  <c r="AG60" i="4"/>
  <c r="AF60" i="4"/>
  <c r="AE60" i="4"/>
  <c r="AD60" i="4"/>
  <c r="AC60" i="4"/>
  <c r="AB60" i="4"/>
  <c r="AA60" i="4"/>
  <c r="Z60" i="4"/>
  <c r="Y60" i="4"/>
  <c r="W60" i="4"/>
  <c r="V60" i="4"/>
  <c r="U60" i="4"/>
  <c r="AR60" i="4" s="1"/>
  <c r="T60" i="4"/>
  <c r="S60" i="4"/>
  <c r="R60" i="4"/>
  <c r="B60" i="4"/>
  <c r="AS59" i="4"/>
  <c r="AR59" i="4"/>
  <c r="AQ59" i="4"/>
  <c r="AP59" i="4"/>
  <c r="AO59" i="4"/>
  <c r="AN59" i="4"/>
  <c r="AM59" i="4"/>
  <c r="AK59" i="4"/>
  <c r="AJ59" i="4"/>
  <c r="AI59" i="4"/>
  <c r="AH59" i="4"/>
  <c r="AG59" i="4"/>
  <c r="AF59" i="4"/>
  <c r="AE59" i="4"/>
  <c r="AD59" i="4"/>
  <c r="AC59" i="4"/>
  <c r="AB59" i="4"/>
  <c r="AA59" i="4"/>
  <c r="Y59" i="4"/>
  <c r="W59" i="4"/>
  <c r="V59" i="4"/>
  <c r="U59" i="4"/>
  <c r="T59" i="4"/>
  <c r="S59" i="4"/>
  <c r="R59" i="4"/>
  <c r="Z59" i="4" s="1"/>
  <c r="B59" i="4"/>
  <c r="AS58" i="4"/>
  <c r="AR58" i="4"/>
  <c r="AQ58" i="4"/>
  <c r="AP58" i="4"/>
  <c r="AO58" i="4"/>
  <c r="AN58" i="4"/>
  <c r="AM58" i="4"/>
  <c r="AK58" i="4"/>
  <c r="AJ58" i="4"/>
  <c r="AI58" i="4"/>
  <c r="W58" i="4"/>
  <c r="V58" i="4"/>
  <c r="U58" i="4"/>
  <c r="T58" i="4"/>
  <c r="S58" i="4"/>
  <c r="R58" i="4"/>
  <c r="B58" i="4"/>
  <c r="AS57" i="4"/>
  <c r="AQ57" i="4"/>
  <c r="AP57" i="4"/>
  <c r="AO57" i="4"/>
  <c r="AN57" i="4"/>
  <c r="AM57" i="4"/>
  <c r="AK57" i="4"/>
  <c r="AE57" i="4"/>
  <c r="AD57" i="4"/>
  <c r="AA57" i="4"/>
  <c r="Z57" i="4"/>
  <c r="W57" i="4"/>
  <c r="V57" i="4"/>
  <c r="U57" i="4"/>
  <c r="AR57" i="4" s="1"/>
  <c r="T57" i="4"/>
  <c r="S57" i="4"/>
  <c r="R57" i="4"/>
  <c r="AJ57" i="4" s="1"/>
  <c r="B57" i="4"/>
  <c r="AS56" i="4"/>
  <c r="AQ56" i="4"/>
  <c r="AP56" i="4"/>
  <c r="AO56" i="4"/>
  <c r="AN56" i="4"/>
  <c r="AM56" i="4"/>
  <c r="AR56" i="4" s="1"/>
  <c r="AK56" i="4"/>
  <c r="AJ56" i="4"/>
  <c r="AI56" i="4"/>
  <c r="AH56" i="4"/>
  <c r="AG56" i="4"/>
  <c r="AF56" i="4"/>
  <c r="AE56" i="4"/>
  <c r="AD56" i="4"/>
  <c r="AC56" i="4"/>
  <c r="AB56" i="4"/>
  <c r="AA56" i="4"/>
  <c r="Z56" i="4"/>
  <c r="Y56" i="4"/>
  <c r="W56" i="4"/>
  <c r="V56" i="4"/>
  <c r="U56" i="4"/>
  <c r="T56" i="4"/>
  <c r="S56" i="4"/>
  <c r="R56" i="4"/>
  <c r="B56" i="4"/>
  <c r="AS55" i="4"/>
  <c r="AQ55" i="4"/>
  <c r="AP55" i="4"/>
  <c r="AO55" i="4"/>
  <c r="AN55" i="4"/>
  <c r="AM55" i="4"/>
  <c r="AR55" i="4" s="1"/>
  <c r="AK55" i="4"/>
  <c r="AJ55" i="4"/>
  <c r="AI55" i="4"/>
  <c r="AG55" i="4"/>
  <c r="AE55" i="4"/>
  <c r="AB55" i="4"/>
  <c r="AA55" i="4"/>
  <c r="Y55" i="4"/>
  <c r="W55" i="4"/>
  <c r="V55" i="4"/>
  <c r="U55" i="4"/>
  <c r="T55" i="4"/>
  <c r="S55" i="4"/>
  <c r="R55" i="4"/>
  <c r="AH55" i="4" s="1"/>
  <c r="B55" i="4"/>
  <c r="AS54" i="4"/>
  <c r="AR54" i="4"/>
  <c r="AQ54" i="4"/>
  <c r="AP54" i="4"/>
  <c r="AO54" i="4"/>
  <c r="AN54" i="4"/>
  <c r="AM54" i="4"/>
  <c r="AK54" i="4"/>
  <c r="AI54" i="4"/>
  <c r="AH54" i="4"/>
  <c r="AF54" i="4"/>
  <c r="AE54" i="4"/>
  <c r="AD54" i="4"/>
  <c r="AB54" i="4"/>
  <c r="AA54" i="4"/>
  <c r="Z54" i="4"/>
  <c r="Y54" i="4"/>
  <c r="W54" i="4"/>
  <c r="V54" i="4"/>
  <c r="U54" i="4"/>
  <c r="T54" i="4"/>
  <c r="S54" i="4"/>
  <c r="R54" i="4"/>
  <c r="AJ54" i="4" s="1"/>
  <c r="B54" i="4"/>
  <c r="AQ53" i="4"/>
  <c r="AP53" i="4"/>
  <c r="AO53" i="4"/>
  <c r="AN53" i="4"/>
  <c r="AM53" i="4"/>
  <c r="AI53" i="4"/>
  <c r="AH53" i="4"/>
  <c r="AF53" i="4"/>
  <c r="AE53" i="4"/>
  <c r="AD53" i="4"/>
  <c r="Y53" i="4"/>
  <c r="W53" i="4"/>
  <c r="V53" i="4"/>
  <c r="U53" i="4"/>
  <c r="T53" i="4"/>
  <c r="S53" i="4"/>
  <c r="R53" i="4"/>
  <c r="AB53" i="4" s="1"/>
  <c r="B53" i="4"/>
  <c r="AQ52" i="4"/>
  <c r="AP52" i="4"/>
  <c r="AO52" i="4"/>
  <c r="AN52" i="4"/>
  <c r="AM52" i="4"/>
  <c r="AF52" i="4"/>
  <c r="Y52" i="4"/>
  <c r="W52" i="4"/>
  <c r="V52" i="4"/>
  <c r="U52" i="4"/>
  <c r="T52" i="4"/>
  <c r="S52" i="4"/>
  <c r="R52" i="4"/>
  <c r="B52" i="4"/>
  <c r="AS51" i="4"/>
  <c r="AR51" i="4"/>
  <c r="AQ51" i="4"/>
  <c r="AP51" i="4"/>
  <c r="AO51" i="4"/>
  <c r="AN51" i="4"/>
  <c r="AM51" i="4"/>
  <c r="W51" i="4"/>
  <c r="V51" i="4"/>
  <c r="U51" i="4"/>
  <c r="T51" i="4"/>
  <c r="S51" i="4"/>
  <c r="R51" i="4"/>
  <c r="B51" i="4"/>
  <c r="AQ50" i="4"/>
  <c r="AP50" i="4"/>
  <c r="AO50" i="4"/>
  <c r="AN50" i="4"/>
  <c r="AM50" i="4"/>
  <c r="AS50" i="4" s="1"/>
  <c r="AG50" i="4"/>
  <c r="AF50" i="4"/>
  <c r="AE50" i="4"/>
  <c r="Z50" i="4"/>
  <c r="W50" i="4"/>
  <c r="V50" i="4"/>
  <c r="U50" i="4"/>
  <c r="AR50" i="4" s="1"/>
  <c r="T50" i="4"/>
  <c r="S50" i="4"/>
  <c r="R50" i="4"/>
  <c r="B50" i="4"/>
  <c r="AR49" i="4"/>
  <c r="AQ49" i="4"/>
  <c r="AP49" i="4"/>
  <c r="AO49" i="4"/>
  <c r="AN49" i="4"/>
  <c r="AM49" i="4"/>
  <c r="AS49" i="4" s="1"/>
  <c r="W49" i="4"/>
  <c r="V49" i="4"/>
  <c r="U49" i="4"/>
  <c r="T49" i="4"/>
  <c r="S49" i="4"/>
  <c r="R49" i="4"/>
  <c r="B49" i="4"/>
  <c r="AS48" i="4"/>
  <c r="AN48" i="4"/>
  <c r="AM48" i="4"/>
  <c r="AR48" i="4" s="1"/>
  <c r="Z48" i="4"/>
  <c r="Y48" i="4"/>
  <c r="U48" i="4"/>
  <c r="W48" i="4" s="1"/>
  <c r="T48" i="4"/>
  <c r="S48" i="4"/>
  <c r="R48" i="4"/>
  <c r="B48" i="4"/>
  <c r="AS47" i="4"/>
  <c r="AR47" i="4"/>
  <c r="AN47" i="4"/>
  <c r="AM47" i="4"/>
  <c r="AJ47" i="4"/>
  <c r="AF47" i="4"/>
  <c r="W47" i="4"/>
  <c r="U47" i="4"/>
  <c r="T47" i="4"/>
  <c r="S47" i="4"/>
  <c r="R47" i="4"/>
  <c r="B47" i="4"/>
  <c r="AS46" i="4"/>
  <c r="AR46" i="4"/>
  <c r="AN46" i="4"/>
  <c r="AM46" i="4"/>
  <c r="AJ46" i="4"/>
  <c r="W46" i="4"/>
  <c r="U46" i="4"/>
  <c r="T46" i="4"/>
  <c r="R46" i="4"/>
  <c r="B46" i="4"/>
  <c r="AN45" i="4"/>
  <c r="AM45" i="4"/>
  <c r="AH45" i="4"/>
  <c r="AE45" i="4"/>
  <c r="AC45" i="4"/>
  <c r="AB45" i="4"/>
  <c r="AA45" i="4"/>
  <c r="U45" i="4"/>
  <c r="AR45" i="4" s="1"/>
  <c r="T45" i="4"/>
  <c r="R45" i="4"/>
  <c r="B45" i="4"/>
  <c r="AN44" i="4"/>
  <c r="AM44" i="4"/>
  <c r="U44" i="4"/>
  <c r="T44" i="4"/>
  <c r="R44" i="4"/>
  <c r="B44" i="4"/>
  <c r="AS43" i="4"/>
  <c r="AN43" i="4"/>
  <c r="AM43" i="4"/>
  <c r="U43" i="4"/>
  <c r="AR43" i="4" s="1"/>
  <c r="T43" i="4"/>
  <c r="S43" i="4"/>
  <c r="R43" i="4"/>
  <c r="B43" i="4"/>
  <c r="AS42" i="4"/>
  <c r="AN42" i="4"/>
  <c r="AM42" i="4"/>
  <c r="T42" i="4" s="1"/>
  <c r="AJ42" i="4"/>
  <c r="AG42" i="4"/>
  <c r="AF42" i="4"/>
  <c r="AD42" i="4"/>
  <c r="AB42" i="4"/>
  <c r="AA42" i="4"/>
  <c r="E67" i="6" s="1"/>
  <c r="W42" i="4"/>
  <c r="U42" i="4"/>
  <c r="AR42" i="4" s="1"/>
  <c r="S42" i="4"/>
  <c r="R42" i="4"/>
  <c r="B42" i="4"/>
  <c r="AN41" i="4"/>
  <c r="AM41" i="4"/>
  <c r="U41" i="4"/>
  <c r="S41" i="4"/>
  <c r="R41" i="4"/>
  <c r="B41" i="4"/>
  <c r="AN40" i="4"/>
  <c r="AM40" i="4"/>
  <c r="AJ40" i="4" s="1"/>
  <c r="AF40" i="4"/>
  <c r="W40" i="4"/>
  <c r="U40" i="4"/>
  <c r="S40" i="4"/>
  <c r="R40" i="4"/>
  <c r="B40" i="4"/>
  <c r="AS39" i="4"/>
  <c r="AR39" i="4"/>
  <c r="AP39" i="4"/>
  <c r="AN39" i="4"/>
  <c r="AM39" i="4"/>
  <c r="AJ39" i="4"/>
  <c r="AE39" i="4"/>
  <c r="AD39" i="4"/>
  <c r="W39" i="4"/>
  <c r="U39" i="4"/>
  <c r="T39" i="4"/>
  <c r="R39" i="4"/>
  <c r="B39" i="4"/>
  <c r="AR38" i="4"/>
  <c r="AP38" i="4"/>
  <c r="AO38" i="4"/>
  <c r="AN38" i="4"/>
  <c r="AM38" i="4"/>
  <c r="W38" i="4" s="1"/>
  <c r="AJ38" i="4"/>
  <c r="AB38" i="4"/>
  <c r="U38" i="4"/>
  <c r="T38" i="4"/>
  <c r="R38" i="4"/>
  <c r="B38" i="4"/>
  <c r="AN37" i="4"/>
  <c r="AM37" i="4"/>
  <c r="AH37" i="4"/>
  <c r="AG37" i="4"/>
  <c r="AE37" i="4"/>
  <c r="U37" i="4"/>
  <c r="R37" i="4"/>
  <c r="B37" i="4"/>
  <c r="AO36" i="4"/>
  <c r="AN36" i="4"/>
  <c r="AM36" i="4"/>
  <c r="AI36" i="4" s="1"/>
  <c r="Z36" i="4"/>
  <c r="Y36" i="4"/>
  <c r="U36" i="4"/>
  <c r="T36" i="4"/>
  <c r="S36" i="4"/>
  <c r="R36" i="4"/>
  <c r="AA36" i="4" s="1"/>
  <c r="B36" i="4"/>
  <c r="AN35" i="4"/>
  <c r="AM35" i="4"/>
  <c r="U35" i="4"/>
  <c r="W35" i="4" s="1"/>
  <c r="S35" i="4"/>
  <c r="R35" i="4"/>
  <c r="B35" i="4"/>
  <c r="AS34" i="4"/>
  <c r="AR34" i="4"/>
  <c r="AQ34" i="4"/>
  <c r="AO34" i="4"/>
  <c r="AN34" i="4"/>
  <c r="AM34" i="4"/>
  <c r="T34" i="4" s="1"/>
  <c r="W34" i="4"/>
  <c r="U34" i="4"/>
  <c r="S34" i="4"/>
  <c r="R34" i="4"/>
  <c r="B34" i="4"/>
  <c r="AS33" i="4"/>
  <c r="AN33" i="4"/>
  <c r="F58" i="6" s="1"/>
  <c r="AM33" i="4"/>
  <c r="AR33" i="4" s="1"/>
  <c r="AJ33" i="4"/>
  <c r="N58" i="6" s="1"/>
  <c r="AB33" i="4"/>
  <c r="W33" i="4"/>
  <c r="U33" i="4"/>
  <c r="R33" i="4"/>
  <c r="B33" i="4"/>
  <c r="AP32" i="4"/>
  <c r="AO32" i="4"/>
  <c r="AN32" i="4"/>
  <c r="AM32" i="4"/>
  <c r="AI32" i="4" s="1"/>
  <c r="AJ32" i="4"/>
  <c r="U32" i="4"/>
  <c r="S32" i="4"/>
  <c r="R32" i="4"/>
  <c r="B32" i="4"/>
  <c r="AP31" i="4"/>
  <c r="AO31" i="4"/>
  <c r="AN31" i="4"/>
  <c r="AM31" i="4"/>
  <c r="AJ31" i="4"/>
  <c r="U31" i="4"/>
  <c r="S31" i="4"/>
  <c r="R31" i="4"/>
  <c r="B31" i="4"/>
  <c r="AS30" i="4"/>
  <c r="AR30" i="4"/>
  <c r="AQ30" i="4"/>
  <c r="AO30" i="4"/>
  <c r="AN30" i="4"/>
  <c r="AM30" i="4"/>
  <c r="AJ30" i="4"/>
  <c r="AE30" i="4"/>
  <c r="AD30" i="4"/>
  <c r="Y30" i="4"/>
  <c r="U30" i="4"/>
  <c r="W30" i="4" s="1"/>
  <c r="T30" i="4"/>
  <c r="R30" i="4"/>
  <c r="B30" i="4"/>
  <c r="AN29" i="4"/>
  <c r="AM29" i="4"/>
  <c r="AJ29" i="4"/>
  <c r="AH29" i="4"/>
  <c r="L54" i="6" s="1"/>
  <c r="AG29" i="4"/>
  <c r="K54" i="6" s="1"/>
  <c r="AF29" i="4"/>
  <c r="U29" i="4"/>
  <c r="R29" i="4"/>
  <c r="B29" i="4"/>
  <c r="AO28" i="4"/>
  <c r="AN28" i="4"/>
  <c r="AM28" i="4"/>
  <c r="AH28" i="4"/>
  <c r="AG28" i="4"/>
  <c r="U28" i="4"/>
  <c r="R28" i="4"/>
  <c r="B28" i="4"/>
  <c r="AO27" i="4"/>
  <c r="AN27" i="4"/>
  <c r="AM27" i="4"/>
  <c r="AJ27" i="4"/>
  <c r="AI27" i="4"/>
  <c r="AE27" i="4"/>
  <c r="U27" i="4"/>
  <c r="S27" i="4"/>
  <c r="R27" i="4"/>
  <c r="B27" i="4"/>
  <c r="AQ26" i="4"/>
  <c r="AN26" i="4"/>
  <c r="AM26" i="4"/>
  <c r="AJ26" i="4"/>
  <c r="U26" i="4"/>
  <c r="R26" i="4"/>
  <c r="B26" i="4"/>
  <c r="AQ25" i="4"/>
  <c r="AP25" i="4"/>
  <c r="AN25" i="4"/>
  <c r="AM25" i="4"/>
  <c r="AR25" i="4" s="1"/>
  <c r="U25" i="4"/>
  <c r="R25" i="4"/>
  <c r="B25" i="4"/>
  <c r="AS24" i="4"/>
  <c r="AQ24" i="4"/>
  <c r="AN24" i="4"/>
  <c r="AM24" i="4"/>
  <c r="U24" i="4"/>
  <c r="R24" i="4"/>
  <c r="AJ24" i="4" s="1"/>
  <c r="B24" i="4"/>
  <c r="AS23" i="4"/>
  <c r="AR23" i="4"/>
  <c r="AQ23" i="4"/>
  <c r="AP23" i="4"/>
  <c r="AO23" i="4"/>
  <c r="AN23" i="4"/>
  <c r="AM23" i="4"/>
  <c r="AJ23" i="4"/>
  <c r="AE23" i="4"/>
  <c r="AD23" i="4"/>
  <c r="Y23" i="4"/>
  <c r="U23" i="4"/>
  <c r="W23" i="4" s="1"/>
  <c r="T23" i="4"/>
  <c r="S23" i="4"/>
  <c r="R23" i="4"/>
  <c r="B23" i="4"/>
  <c r="AN22" i="4"/>
  <c r="AM22" i="4"/>
  <c r="AG22" i="4" s="1"/>
  <c r="AJ22" i="4"/>
  <c r="AE22" i="4"/>
  <c r="AD22" i="4"/>
  <c r="AC22" i="4"/>
  <c r="AB22" i="4"/>
  <c r="AA22" i="4"/>
  <c r="U22" i="4"/>
  <c r="AR22" i="4" s="1"/>
  <c r="T22" i="4"/>
  <c r="S22" i="4"/>
  <c r="R22" i="4"/>
  <c r="B22" i="4"/>
  <c r="AR21" i="4"/>
  <c r="AP21" i="4"/>
  <c r="AO21" i="4"/>
  <c r="AN21" i="4"/>
  <c r="AM21" i="4"/>
  <c r="AS21" i="4" s="1"/>
  <c r="AD21" i="4"/>
  <c r="AC21" i="4"/>
  <c r="AB21" i="4"/>
  <c r="AA21" i="4"/>
  <c r="Y21" i="4"/>
  <c r="W21" i="4"/>
  <c r="U21" i="4"/>
  <c r="R21" i="4"/>
  <c r="B21" i="4"/>
  <c r="AS20" i="4"/>
  <c r="AR20" i="4"/>
  <c r="AN20" i="4"/>
  <c r="AM20" i="4"/>
  <c r="AJ20" i="4"/>
  <c r="AI20" i="4"/>
  <c r="AH20" i="4"/>
  <c r="AF20" i="4"/>
  <c r="AE20" i="4"/>
  <c r="AD20" i="4"/>
  <c r="AC20" i="4"/>
  <c r="AB20" i="4"/>
  <c r="U20" i="4"/>
  <c r="W20" i="4" s="1"/>
  <c r="T20" i="4"/>
  <c r="S20" i="4"/>
  <c r="R20" i="4"/>
  <c r="B20" i="4"/>
  <c r="AP19" i="4"/>
  <c r="AN19" i="4"/>
  <c r="AM19" i="4"/>
  <c r="AJ19" i="4"/>
  <c r="AI19" i="4"/>
  <c r="U19" i="4"/>
  <c r="R19" i="4"/>
  <c r="B19" i="4"/>
  <c r="AR18" i="4"/>
  <c r="AQ18" i="4"/>
  <c r="AP18" i="4"/>
  <c r="AO18" i="4"/>
  <c r="AN18" i="4"/>
  <c r="AM18" i="4"/>
  <c r="U18" i="4"/>
  <c r="R18" i="4"/>
  <c r="B18" i="4"/>
  <c r="AS17" i="4"/>
  <c r="AQ17" i="4"/>
  <c r="AN17" i="4"/>
  <c r="S17" i="4" s="1"/>
  <c r="AM17" i="4"/>
  <c r="T17" i="4" s="1"/>
  <c r="U17" i="4"/>
  <c r="AR17" i="4" s="1"/>
  <c r="R17" i="4"/>
  <c r="AH17" i="4" s="1"/>
  <c r="B17" i="4"/>
  <c r="AS16" i="4"/>
  <c r="AR16" i="4"/>
  <c r="AQ16" i="4"/>
  <c r="AN16" i="4"/>
  <c r="AM16" i="4"/>
  <c r="T16" i="4" s="1"/>
  <c r="U16" i="4"/>
  <c r="W16" i="4" s="1"/>
  <c r="S16" i="4"/>
  <c r="R16" i="4"/>
  <c r="B16" i="4"/>
  <c r="AS15" i="4"/>
  <c r="AO15" i="4"/>
  <c r="AN15" i="4"/>
  <c r="AM15" i="4"/>
  <c r="AA15" i="4"/>
  <c r="E40" i="6" s="1"/>
  <c r="Z15" i="4"/>
  <c r="Y15" i="4"/>
  <c r="U15" i="4"/>
  <c r="W15" i="4" s="1"/>
  <c r="T15" i="4"/>
  <c r="S15" i="4"/>
  <c r="R15" i="4"/>
  <c r="AD15" i="4" s="1"/>
  <c r="B15" i="4"/>
  <c r="AN14" i="4"/>
  <c r="AM14" i="4"/>
  <c r="T14" i="4" s="1"/>
  <c r="AD14" i="4"/>
  <c r="AC14" i="4"/>
  <c r="AB14" i="4"/>
  <c r="AA14" i="4"/>
  <c r="E39" i="6" s="1"/>
  <c r="Z14" i="4"/>
  <c r="Y14" i="4"/>
  <c r="W14" i="4"/>
  <c r="U14" i="4"/>
  <c r="R14" i="4"/>
  <c r="AF14" i="4" s="1"/>
  <c r="B14" i="4"/>
  <c r="AS13" i="4"/>
  <c r="AP13" i="4"/>
  <c r="AO13" i="4"/>
  <c r="AN13" i="4"/>
  <c r="AM13" i="4"/>
  <c r="T13" i="4" s="1"/>
  <c r="AG13" i="4"/>
  <c r="AF13" i="4"/>
  <c r="AE13" i="4"/>
  <c r="AD13" i="4"/>
  <c r="Z13" i="4"/>
  <c r="Y13" i="4"/>
  <c r="C38" i="6" s="1"/>
  <c r="W13" i="4"/>
  <c r="U13" i="4"/>
  <c r="S13" i="4"/>
  <c r="R13" i="4"/>
  <c r="B13" i="4"/>
  <c r="AN12" i="4"/>
  <c r="AM12" i="4"/>
  <c r="T12" i="4" s="1"/>
  <c r="AG12" i="4"/>
  <c r="AF12" i="4"/>
  <c r="AE12" i="4"/>
  <c r="AD12" i="4"/>
  <c r="AB12" i="4"/>
  <c r="AA12" i="4"/>
  <c r="E37" i="6" s="1"/>
  <c r="U12" i="4"/>
  <c r="S12" i="4"/>
  <c r="R12" i="4"/>
  <c r="B12" i="4"/>
  <c r="AN11" i="4"/>
  <c r="AM11" i="4"/>
  <c r="AF11" i="4"/>
  <c r="AE11" i="4"/>
  <c r="AD11" i="4"/>
  <c r="U11" i="4"/>
  <c r="R11" i="4"/>
  <c r="B11" i="4"/>
  <c r="AP10" i="4"/>
  <c r="AO10" i="4"/>
  <c r="AN10" i="4"/>
  <c r="AM10" i="4"/>
  <c r="U10" i="4"/>
  <c r="R10" i="4"/>
  <c r="B10" i="4"/>
  <c r="AQ9" i="4"/>
  <c r="AP9" i="4"/>
  <c r="AO9" i="4"/>
  <c r="AN9" i="4"/>
  <c r="AM9" i="4"/>
  <c r="AR9" i="4" s="1"/>
  <c r="U9" i="4"/>
  <c r="R9" i="4"/>
  <c r="B9" i="4"/>
  <c r="AP8" i="4"/>
  <c r="AO8" i="4"/>
  <c r="AN8" i="4"/>
  <c r="AM8" i="4"/>
  <c r="U8" i="4"/>
  <c r="R8" i="4"/>
  <c r="B8" i="4"/>
  <c r="AJ6" i="4"/>
  <c r="AJ48" i="4" s="1"/>
  <c r="AI6" i="4"/>
  <c r="AI33" i="4" s="1"/>
  <c r="AH6" i="4"/>
  <c r="AG6" i="4"/>
  <c r="AG11" i="4" s="1"/>
  <c r="AF6" i="4"/>
  <c r="AF39" i="4" s="1"/>
  <c r="AE6" i="4"/>
  <c r="AD6" i="4"/>
  <c r="AD45" i="4" s="1"/>
  <c r="AC6" i="4"/>
  <c r="AC43" i="4" s="1"/>
  <c r="AB6" i="4"/>
  <c r="AB43" i="4" s="1"/>
  <c r="AA6" i="4"/>
  <c r="AA20" i="4" s="1"/>
  <c r="Z6" i="4"/>
  <c r="Z33" i="4" s="1"/>
  <c r="Y6" i="4"/>
  <c r="Y47" i="4" s="1"/>
  <c r="Y5" i="4"/>
  <c r="B3" i="4"/>
  <c r="W2" i="4"/>
  <c r="D29" i="3"/>
  <c r="J28" i="3"/>
  <c r="I28" i="3"/>
  <c r="H28" i="3"/>
  <c r="K28" i="3" s="1"/>
  <c r="D28" i="3"/>
  <c r="J27" i="3"/>
  <c r="I27" i="3"/>
  <c r="AP36" i="4" s="1"/>
  <c r="H27" i="3"/>
  <c r="AO19" i="4" s="1"/>
  <c r="J26" i="3"/>
  <c r="AQ27" i="4" s="1"/>
  <c r="I26" i="3"/>
  <c r="AP27" i="4" s="1"/>
  <c r="H26" i="3"/>
  <c r="K26" i="3" s="1"/>
  <c r="J25" i="3"/>
  <c r="AQ20" i="4" s="1"/>
  <c r="I25" i="3"/>
  <c r="AP20" i="4" s="1"/>
  <c r="H25" i="3"/>
  <c r="AO12" i="4" s="1"/>
  <c r="C21" i="3"/>
  <c r="C15" i="3"/>
  <c r="B3" i="3"/>
  <c r="S2" i="3"/>
  <c r="K2" i="1"/>
  <c r="J50" i="2"/>
  <c r="B50" i="2"/>
  <c r="J49" i="2"/>
  <c r="B49" i="2"/>
  <c r="E49" i="2" s="1"/>
  <c r="J48" i="2"/>
  <c r="E48" i="2"/>
  <c r="B48" i="2"/>
  <c r="J47" i="2"/>
  <c r="E47" i="2"/>
  <c r="B47" i="2"/>
  <c r="B46" i="2"/>
  <c r="J45" i="2"/>
  <c r="B45" i="2"/>
  <c r="B44" i="2"/>
  <c r="J43" i="2"/>
  <c r="E43" i="2"/>
  <c r="B43" i="2"/>
  <c r="N22" i="2"/>
  <c r="M22" i="2"/>
  <c r="L22" i="2"/>
  <c r="K22" i="2"/>
  <c r="J22" i="2"/>
  <c r="O22" i="2" s="1"/>
  <c r="I22" i="2"/>
  <c r="H22" i="2"/>
  <c r="G22" i="2"/>
  <c r="F22" i="2"/>
  <c r="E22" i="2"/>
  <c r="D22" i="2"/>
  <c r="C22" i="2"/>
  <c r="N19" i="2"/>
  <c r="M19" i="2"/>
  <c r="L19" i="2"/>
  <c r="K19" i="2"/>
  <c r="J19" i="2"/>
  <c r="I19" i="2"/>
  <c r="H19" i="2"/>
  <c r="G19" i="2"/>
  <c r="O19" i="2" s="1"/>
  <c r="E7" i="2" s="1"/>
  <c r="F19" i="2"/>
  <c r="E19" i="2"/>
  <c r="D19" i="2"/>
  <c r="C19" i="2"/>
  <c r="B12" i="2"/>
  <c r="M9" i="2"/>
  <c r="I9" i="2"/>
  <c r="E9" i="2"/>
  <c r="C9" i="2"/>
  <c r="B3" i="2"/>
  <c r="O2" i="2"/>
  <c r="K9" i="2" l="1"/>
  <c r="AR10" i="4"/>
  <c r="AG10" i="4"/>
  <c r="AE10" i="4"/>
  <c r="AF10" i="4"/>
  <c r="AA10" i="4"/>
  <c r="W10" i="4"/>
  <c r="Z10" i="4"/>
  <c r="Y10" i="4"/>
  <c r="T10" i="4"/>
  <c r="M9" i="6" s="1"/>
  <c r="AS10" i="4"/>
  <c r="I63" i="6"/>
  <c r="W63" i="6" s="1"/>
  <c r="S38" i="4"/>
  <c r="AS8" i="4"/>
  <c r="W8" i="4"/>
  <c r="AR8" i="4"/>
  <c r="T8" i="4"/>
  <c r="S30" i="4"/>
  <c r="AI9" i="4"/>
  <c r="AJ9" i="4"/>
  <c r="C43" i="2" s="1"/>
  <c r="AD9" i="4"/>
  <c r="AK9" i="4" s="1"/>
  <c r="AG9" i="4"/>
  <c r="AE9" i="4"/>
  <c r="I25" i="5" s="1"/>
  <c r="AF9" i="4"/>
  <c r="J25" i="5" s="1"/>
  <c r="AC9" i="4"/>
  <c r="AB9" i="4"/>
  <c r="AA9" i="4"/>
  <c r="E34" i="6" s="1"/>
  <c r="S34" i="6" s="1"/>
  <c r="Z9" i="4"/>
  <c r="Y9" i="4"/>
  <c r="C34" i="6" s="1"/>
  <c r="Q34" i="6" s="1"/>
  <c r="S25" i="4"/>
  <c r="S10" i="4"/>
  <c r="C40" i="6"/>
  <c r="J29" i="5"/>
  <c r="J41" i="5" s="1"/>
  <c r="K34" i="6"/>
  <c r="Y34" i="6" s="1"/>
  <c r="G34" i="6"/>
  <c r="U34" i="6" s="1"/>
  <c r="F34" i="6"/>
  <c r="T34" i="6" s="1"/>
  <c r="S9" i="4"/>
  <c r="AI31" i="4"/>
  <c r="AH35" i="4"/>
  <c r="Z35" i="4"/>
  <c r="AJ35" i="4"/>
  <c r="AI35" i="4"/>
  <c r="AG35" i="4"/>
  <c r="AF35" i="4"/>
  <c r="AE35" i="4"/>
  <c r="AB35" i="4"/>
  <c r="AD35" i="4"/>
  <c r="AC35" i="4"/>
  <c r="AA35" i="4"/>
  <c r="Y35" i="4"/>
  <c r="C60" i="6" s="1"/>
  <c r="AR15" i="4"/>
  <c r="K44" i="6"/>
  <c r="Y44" i="6" s="1"/>
  <c r="I44" i="6"/>
  <c r="W44" i="6" s="1"/>
  <c r="S19" i="4"/>
  <c r="K52" i="6"/>
  <c r="Y52" i="6" s="1"/>
  <c r="T29" i="4"/>
  <c r="M54" i="6" s="1"/>
  <c r="AA54" i="6" s="1"/>
  <c r="AD29" i="4"/>
  <c r="AC29" i="4"/>
  <c r="Z29" i="4"/>
  <c r="AB29" i="4"/>
  <c r="AA29" i="4"/>
  <c r="W29" i="4"/>
  <c r="AS29" i="4"/>
  <c r="AR29" i="4"/>
  <c r="AE29" i="4"/>
  <c r="E46" i="2"/>
  <c r="C39" i="6"/>
  <c r="AI37" i="4"/>
  <c r="J44" i="2"/>
  <c r="E44" i="2"/>
  <c r="AH9" i="4"/>
  <c r="AH27" i="4"/>
  <c r="AG27" i="4"/>
  <c r="AF27" i="4"/>
  <c r="AA27" i="4"/>
  <c r="AC27" i="4"/>
  <c r="Y27" i="4"/>
  <c r="AB27" i="4"/>
  <c r="F52" i="6" s="1"/>
  <c r="T52" i="6" s="1"/>
  <c r="Z27" i="4"/>
  <c r="D52" i="6" s="1"/>
  <c r="R52" i="6" s="1"/>
  <c r="W27" i="4"/>
  <c r="T27" i="4"/>
  <c r="AS27" i="4"/>
  <c r="AR27" i="4"/>
  <c r="AD27" i="4"/>
  <c r="H52" i="6" s="1"/>
  <c r="V52" i="6" s="1"/>
  <c r="AF41" i="4"/>
  <c r="AB41" i="4"/>
  <c r="AG41" i="4"/>
  <c r="AJ41" i="4"/>
  <c r="C50" i="2" s="1"/>
  <c r="AE41" i="4"/>
  <c r="AC41" i="4"/>
  <c r="AI41" i="4"/>
  <c r="AH41" i="4"/>
  <c r="L66" i="6" s="1"/>
  <c r="Z66" i="6" s="1"/>
  <c r="AA41" i="4"/>
  <c r="Z41" i="4"/>
  <c r="AD41" i="4"/>
  <c r="AG47" i="4"/>
  <c r="AG39" i="4"/>
  <c r="K64" i="6" s="1"/>
  <c r="Y64" i="6" s="1"/>
  <c r="AG23" i="4"/>
  <c r="K48" i="6" s="1"/>
  <c r="Y48" i="6" s="1"/>
  <c r="AG48" i="4"/>
  <c r="K73" i="6" s="1"/>
  <c r="Y73" i="6" s="1"/>
  <c r="AG36" i="4"/>
  <c r="AG33" i="4"/>
  <c r="AH48" i="4"/>
  <c r="AH23" i="4"/>
  <c r="AH46" i="4"/>
  <c r="AH40" i="4"/>
  <c r="AH47" i="4"/>
  <c r="AH21" i="4"/>
  <c r="AH13" i="4"/>
  <c r="AH22" i="4"/>
  <c r="L47" i="6" s="1"/>
  <c r="Z47" i="6" s="1"/>
  <c r="AH36" i="4"/>
  <c r="AH11" i="4"/>
  <c r="AS31" i="4"/>
  <c r="W31" i="4"/>
  <c r="T31" i="4"/>
  <c r="M56" i="6" s="1"/>
  <c r="AA56" i="6" s="1"/>
  <c r="AR31" i="4"/>
  <c r="AG31" i="4"/>
  <c r="K56" i="6" s="1"/>
  <c r="Y56" i="6" s="1"/>
  <c r="W37" i="4"/>
  <c r="T37" i="4"/>
  <c r="AS37" i="4"/>
  <c r="AR37" i="4"/>
  <c r="AD37" i="4"/>
  <c r="Y41" i="4"/>
  <c r="AK41" i="4" s="1"/>
  <c r="K33" i="6"/>
  <c r="J46" i="2"/>
  <c r="AK21" i="4"/>
  <c r="AI46" i="4"/>
  <c r="M71" i="6" s="1"/>
  <c r="AA71" i="6" s="1"/>
  <c r="AI45" i="4"/>
  <c r="M70" i="6" s="1"/>
  <c r="AA70" i="6" s="1"/>
  <c r="AI23" i="4"/>
  <c r="AI22" i="4"/>
  <c r="M28" i="5" s="1"/>
  <c r="M40" i="5" s="1"/>
  <c r="AI13" i="4"/>
  <c r="M38" i="6" s="1"/>
  <c r="AA38" i="6" s="1"/>
  <c r="AI21" i="4"/>
  <c r="AI43" i="4"/>
  <c r="AI38" i="4"/>
  <c r="AH18" i="4"/>
  <c r="AF18" i="4"/>
  <c r="AG18" i="4"/>
  <c r="AA18" i="4"/>
  <c r="AJ18" i="4"/>
  <c r="Z18" i="4"/>
  <c r="AI18" i="4"/>
  <c r="AD18" i="4"/>
  <c r="H43" i="6" s="1"/>
  <c r="V43" i="6" s="1"/>
  <c r="AE18" i="4"/>
  <c r="AC18" i="4"/>
  <c r="AB18" i="4"/>
  <c r="Y18" i="4"/>
  <c r="AK18" i="4"/>
  <c r="AS64" i="4"/>
  <c r="AR64" i="4"/>
  <c r="AI11" i="4"/>
  <c r="M36" i="6" s="1"/>
  <c r="AB16" i="4"/>
  <c r="F41" i="6" s="1"/>
  <c r="T41" i="6" s="1"/>
  <c r="Z16" i="4"/>
  <c r="D41" i="6" s="1"/>
  <c r="AA16" i="4"/>
  <c r="AJ16" i="4"/>
  <c r="AI16" i="4"/>
  <c r="AH16" i="4"/>
  <c r="AG16" i="4"/>
  <c r="AF16" i="4"/>
  <c r="Y16" i="4"/>
  <c r="C41" i="6" s="1"/>
  <c r="AE16" i="4"/>
  <c r="AD16" i="4"/>
  <c r="H41" i="6" s="1"/>
  <c r="V41" i="6" s="1"/>
  <c r="AC16" i="4"/>
  <c r="AI26" i="4"/>
  <c r="I64" i="6"/>
  <c r="W64" i="6" s="1"/>
  <c r="S39" i="4"/>
  <c r="W24" i="4"/>
  <c r="T24" i="4"/>
  <c r="M49" i="6" s="1"/>
  <c r="AA49" i="6" s="1"/>
  <c r="AH26" i="4"/>
  <c r="L51" i="6" s="1"/>
  <c r="Z51" i="6" s="1"/>
  <c r="AC26" i="4"/>
  <c r="AF26" i="4"/>
  <c r="AE26" i="4"/>
  <c r="AD26" i="4"/>
  <c r="AB26" i="4"/>
  <c r="AA26" i="4"/>
  <c r="Y26" i="4"/>
  <c r="W26" i="4"/>
  <c r="C12" i="2"/>
  <c r="T26" i="4"/>
  <c r="AS26" i="4"/>
  <c r="AR26" i="4"/>
  <c r="AG26" i="4"/>
  <c r="AK51" i="4"/>
  <c r="AJ51" i="4"/>
  <c r="AI51" i="4"/>
  <c r="AH51" i="4"/>
  <c r="AG51" i="4"/>
  <c r="AE51" i="4"/>
  <c r="AD51" i="4"/>
  <c r="AA51" i="4"/>
  <c r="AF51" i="4"/>
  <c r="AC51" i="4"/>
  <c r="AB51" i="4"/>
  <c r="Z51" i="4"/>
  <c r="Y51" i="4"/>
  <c r="AG19" i="4"/>
  <c r="AE19" i="4"/>
  <c r="AF19" i="4"/>
  <c r="AD19" i="4"/>
  <c r="W19" i="4"/>
  <c r="AC19" i="4"/>
  <c r="AB19" i="4"/>
  <c r="F44" i="6" s="1"/>
  <c r="T44" i="6" s="1"/>
  <c r="T19" i="4"/>
  <c r="M44" i="6" s="1"/>
  <c r="AA44" i="6" s="1"/>
  <c r="AR19" i="4"/>
  <c r="AS19" i="4"/>
  <c r="AH19" i="4"/>
  <c r="L27" i="5" s="1"/>
  <c r="L39" i="5" s="1"/>
  <c r="W9" i="4"/>
  <c r="AS9" i="4"/>
  <c r="T9" i="4"/>
  <c r="AQ36" i="4"/>
  <c r="AQ19" i="4"/>
  <c r="S24" i="4"/>
  <c r="W28" i="4"/>
  <c r="T28" i="4"/>
  <c r="AS28" i="4"/>
  <c r="AR28" i="4"/>
  <c r="AE28" i="4"/>
  <c r="W25" i="4"/>
  <c r="AI25" i="4"/>
  <c r="M50" i="6" s="1"/>
  <c r="AA50" i="6" s="1"/>
  <c r="AH25" i="4"/>
  <c r="AD25" i="4"/>
  <c r="H50" i="6" s="1"/>
  <c r="V50" i="6" s="1"/>
  <c r="AF25" i="4"/>
  <c r="J50" i="6" s="1"/>
  <c r="X50" i="6" s="1"/>
  <c r="AE25" i="4"/>
  <c r="I50" i="6" s="1"/>
  <c r="W50" i="6" s="1"/>
  <c r="AS25" i="4"/>
  <c r="AC25" i="4"/>
  <c r="G50" i="6" s="1"/>
  <c r="U50" i="6" s="1"/>
  <c r="AB25" i="4"/>
  <c r="AA25" i="4"/>
  <c r="T25" i="4"/>
  <c r="AJ25" i="4"/>
  <c r="R68" i="4"/>
  <c r="AI8" i="4"/>
  <c r="AG8" i="4"/>
  <c r="AH8" i="4"/>
  <c r="AF8" i="4"/>
  <c r="AC8" i="4"/>
  <c r="AE8" i="4"/>
  <c r="AD8" i="4"/>
  <c r="AB8" i="4"/>
  <c r="AA8" i="4"/>
  <c r="Z8" i="4"/>
  <c r="D25" i="5" s="1"/>
  <c r="Y8" i="4"/>
  <c r="K43" i="6"/>
  <c r="Y43" i="6" s="1"/>
  <c r="I43" i="6"/>
  <c r="W43" i="6" s="1"/>
  <c r="G43" i="6"/>
  <c r="U43" i="6" s="1"/>
  <c r="S18" i="4"/>
  <c r="AI10" i="4"/>
  <c r="K53" i="6"/>
  <c r="I53" i="6"/>
  <c r="H53" i="6"/>
  <c r="S28" i="4"/>
  <c r="AE44" i="4"/>
  <c r="AA44" i="4"/>
  <c r="Z44" i="4"/>
  <c r="AF44" i="4"/>
  <c r="AJ44" i="4"/>
  <c r="AG44" i="4"/>
  <c r="K69" i="6" s="1"/>
  <c r="Y69" i="6" s="1"/>
  <c r="AC44" i="4"/>
  <c r="G69" i="6" s="1"/>
  <c r="U69" i="6" s="1"/>
  <c r="AI44" i="4"/>
  <c r="M69" i="6" s="1"/>
  <c r="AA69" i="6" s="1"/>
  <c r="AH44" i="4"/>
  <c r="L69" i="6" s="1"/>
  <c r="Z69" i="6" s="1"/>
  <c r="AD44" i="4"/>
  <c r="H69" i="6" s="1"/>
  <c r="V69" i="6" s="1"/>
  <c r="AB44" i="4"/>
  <c r="Y44" i="4"/>
  <c r="AS32" i="4"/>
  <c r="W32" i="4"/>
  <c r="AR32" i="4"/>
  <c r="T32" i="4"/>
  <c r="AD32" i="4"/>
  <c r="H57" i="6" s="1"/>
  <c r="V57" i="6" s="1"/>
  <c r="AC32" i="4"/>
  <c r="Z32" i="4"/>
  <c r="D57" i="6" s="1"/>
  <c r="AG32" i="4"/>
  <c r="K27" i="3"/>
  <c r="Q38" i="6"/>
  <c r="W18" i="4"/>
  <c r="AS18" i="4"/>
  <c r="T18" i="4"/>
  <c r="M43" i="6" s="1"/>
  <c r="AA43" i="6" s="1"/>
  <c r="AI28" i="4"/>
  <c r="M29" i="5" s="1"/>
  <c r="M41" i="5" s="1"/>
  <c r="S8" i="4"/>
  <c r="AH10" i="4"/>
  <c r="AJ8" i="4"/>
  <c r="AJ10" i="4"/>
  <c r="AR24" i="4"/>
  <c r="C61" i="6"/>
  <c r="Q61" i="6" s="1"/>
  <c r="F28" i="5"/>
  <c r="F40" i="5" s="1"/>
  <c r="Z45" i="4"/>
  <c r="AI52" i="4"/>
  <c r="AH52" i="4"/>
  <c r="AG52" i="4"/>
  <c r="AE52" i="4"/>
  <c r="AD52" i="4"/>
  <c r="AC52" i="4"/>
  <c r="AB52" i="4"/>
  <c r="AA52" i="4"/>
  <c r="Z52" i="4"/>
  <c r="AJ52" i="4"/>
  <c r="AK52" i="4"/>
  <c r="AS67" i="4"/>
  <c r="AR67" i="4"/>
  <c r="E30" i="5"/>
  <c r="F30" i="5"/>
  <c r="F42" i="5" s="1"/>
  <c r="D30" i="5"/>
  <c r="D42" i="5" s="1"/>
  <c r="C30" i="5"/>
  <c r="C42" i="5" s="1"/>
  <c r="AR11" i="4"/>
  <c r="T11" i="4"/>
  <c r="AG34" i="4"/>
  <c r="K59" i="6" s="1"/>
  <c r="Y59" i="6" s="1"/>
  <c r="AD34" i="4"/>
  <c r="AJ34" i="4"/>
  <c r="N30" i="5" s="1"/>
  <c r="N42" i="5" s="1"/>
  <c r="AI34" i="4"/>
  <c r="M30" i="5" s="1"/>
  <c r="M42" i="5" s="1"/>
  <c r="AE34" i="4"/>
  <c r="Y34" i="4"/>
  <c r="AK34" i="4" s="1"/>
  <c r="F37" i="6"/>
  <c r="AE14" i="4"/>
  <c r="AK14" i="4" s="1"/>
  <c r="AQ28" i="4"/>
  <c r="AQ31" i="4"/>
  <c r="AQ37" i="4"/>
  <c r="AA48" i="4"/>
  <c r="AD10" i="4"/>
  <c r="H26" i="5" s="1"/>
  <c r="H38" i="5" s="1"/>
  <c r="AB10" i="4"/>
  <c r="F26" i="5" s="1"/>
  <c r="F38" i="5" s="1"/>
  <c r="AC10" i="4"/>
  <c r="AO11" i="4"/>
  <c r="AJ13" i="4"/>
  <c r="N38" i="6" s="1"/>
  <c r="AB38" i="6" s="1"/>
  <c r="Z17" i="4"/>
  <c r="D27" i="5" s="1"/>
  <c r="AA19" i="4"/>
  <c r="Y19" i="4"/>
  <c r="Z19" i="4"/>
  <c r="AG20" i="4"/>
  <c r="AJ21" i="4"/>
  <c r="C46" i="2" s="1"/>
  <c r="AF22" i="4"/>
  <c r="J28" i="5" s="1"/>
  <c r="J40" i="5" s="1"/>
  <c r="Z23" i="4"/>
  <c r="AK23" i="4" s="1"/>
  <c r="Z39" i="4"/>
  <c r="AI39" i="4"/>
  <c r="AA39" i="4"/>
  <c r="AH39" i="4"/>
  <c r="AC48" i="4"/>
  <c r="AS53" i="4"/>
  <c r="AR53" i="4"/>
  <c r="M7" i="2"/>
  <c r="W17" i="4"/>
  <c r="C49" i="2"/>
  <c r="AQ10" i="4"/>
  <c r="I36" i="6"/>
  <c r="H36" i="6"/>
  <c r="AC15" i="4"/>
  <c r="G40" i="6" s="1"/>
  <c r="U40" i="6" s="1"/>
  <c r="Y17" i="4"/>
  <c r="C22" i="3"/>
  <c r="I12" i="2" s="1"/>
  <c r="C23" i="3"/>
  <c r="AS11" i="4"/>
  <c r="AP12" i="4"/>
  <c r="AG14" i="4"/>
  <c r="AE15" i="4"/>
  <c r="AA17" i="4"/>
  <c r="AA23" i="4"/>
  <c r="E28" i="5" s="1"/>
  <c r="E40" i="5" s="1"/>
  <c r="AA47" i="4"/>
  <c r="E72" i="6" s="1"/>
  <c r="S72" i="6" s="1"/>
  <c r="AD48" i="4"/>
  <c r="H73" i="6" s="1"/>
  <c r="V73" i="6" s="1"/>
  <c r="AO37" i="4"/>
  <c r="AO45" i="4"/>
  <c r="AO42" i="4"/>
  <c r="S67" i="6" s="1"/>
  <c r="AO33" i="4"/>
  <c r="T58" i="6" s="1"/>
  <c r="AO44" i="4"/>
  <c r="AO24" i="4"/>
  <c r="AO40" i="4"/>
  <c r="AO20" i="4"/>
  <c r="AB45" i="6" s="1"/>
  <c r="AO14" i="4"/>
  <c r="AO26" i="4"/>
  <c r="AO17" i="4"/>
  <c r="AO29" i="4"/>
  <c r="Y54" i="6" s="1"/>
  <c r="AO43" i="4"/>
  <c r="AO41" i="4"/>
  <c r="AO47" i="4"/>
  <c r="AO46" i="4"/>
  <c r="AO39" i="4"/>
  <c r="AO25" i="4"/>
  <c r="AO48" i="4"/>
  <c r="AJ11" i="4"/>
  <c r="N36" i="6" s="1"/>
  <c r="AQ12" i="4"/>
  <c r="S37" i="6" s="1"/>
  <c r="AH14" i="4"/>
  <c r="L39" i="6" s="1"/>
  <c r="Z39" i="6" s="1"/>
  <c r="AF15" i="4"/>
  <c r="J40" i="6" s="1"/>
  <c r="X40" i="6" s="1"/>
  <c r="AB17" i="4"/>
  <c r="AB23" i="4"/>
  <c r="AI30" i="4"/>
  <c r="AH30" i="4"/>
  <c r="L29" i="5" s="1"/>
  <c r="L41" i="5" s="1"/>
  <c r="AG30" i="4"/>
  <c r="K29" i="5" s="1"/>
  <c r="K41" i="5" s="1"/>
  <c r="AF30" i="4"/>
  <c r="J55" i="6" s="1"/>
  <c r="X55" i="6" s="1"/>
  <c r="AB30" i="4"/>
  <c r="AH31" i="4"/>
  <c r="AE31" i="4"/>
  <c r="AC31" i="4"/>
  <c r="AB31" i="4"/>
  <c r="F56" i="6" s="1"/>
  <c r="T56" i="6" s="1"/>
  <c r="AA31" i="4"/>
  <c r="E56" i="6" s="1"/>
  <c r="S56" i="6" s="1"/>
  <c r="Z31" i="4"/>
  <c r="D56" i="6" s="1"/>
  <c r="R56" i="6" s="1"/>
  <c r="AA32" i="4"/>
  <c r="E57" i="6" s="1"/>
  <c r="S57" i="6" s="1"/>
  <c r="Y32" i="4"/>
  <c r="AH32" i="4"/>
  <c r="L57" i="6" s="1"/>
  <c r="Z57" i="6" s="1"/>
  <c r="AR36" i="4"/>
  <c r="AF36" i="4"/>
  <c r="J61" i="6" s="1"/>
  <c r="X61" i="6" s="1"/>
  <c r="AE36" i="4"/>
  <c r="I61" i="6" s="1"/>
  <c r="W61" i="6" s="1"/>
  <c r="AD36" i="4"/>
  <c r="H61" i="6" s="1"/>
  <c r="AC36" i="4"/>
  <c r="AK36" i="4" s="1"/>
  <c r="AB36" i="4"/>
  <c r="W36" i="4"/>
  <c r="AH43" i="4"/>
  <c r="AB47" i="4"/>
  <c r="AP34" i="4"/>
  <c r="AP48" i="4"/>
  <c r="AP42" i="4"/>
  <c r="AP30" i="4"/>
  <c r="AP47" i="4"/>
  <c r="AP41" i="4"/>
  <c r="AP37" i="4"/>
  <c r="AP26" i="4"/>
  <c r="AP17" i="4"/>
  <c r="AP11" i="4"/>
  <c r="AP29" i="4"/>
  <c r="AP14" i="4"/>
  <c r="S39" i="6" s="1"/>
  <c r="AP43" i="4"/>
  <c r="AP33" i="4"/>
  <c r="AP44" i="4"/>
  <c r="AP40" i="4"/>
  <c r="AP46" i="4"/>
  <c r="AP45" i="4"/>
  <c r="AP28" i="4"/>
  <c r="AP16" i="4"/>
  <c r="AP24" i="4"/>
  <c r="S11" i="4"/>
  <c r="AJ12" i="4"/>
  <c r="AH12" i="4"/>
  <c r="AI12" i="4"/>
  <c r="AC12" i="4"/>
  <c r="AR12" i="4"/>
  <c r="K38" i="6"/>
  <c r="Y38" i="6" s="1"/>
  <c r="I38" i="6"/>
  <c r="W38" i="6" s="1"/>
  <c r="G38" i="6"/>
  <c r="U38" i="6" s="1"/>
  <c r="F38" i="6"/>
  <c r="T38" i="6" s="1"/>
  <c r="AJ14" i="4"/>
  <c r="N39" i="6" s="1"/>
  <c r="AB39" i="6" s="1"/>
  <c r="AJ15" i="4"/>
  <c r="AC17" i="4"/>
  <c r="G27" i="5" s="1"/>
  <c r="G39" i="5" s="1"/>
  <c r="AC23" i="4"/>
  <c r="G28" i="5" s="1"/>
  <c r="G40" i="5" s="1"/>
  <c r="AF28" i="4"/>
  <c r="J53" i="6" s="1"/>
  <c r="X53" i="6" s="1"/>
  <c r="AA28" i="4"/>
  <c r="Z28" i="4"/>
  <c r="Y28" i="4"/>
  <c r="AJ28" i="4"/>
  <c r="AI29" i="4"/>
  <c r="Z34" i="4"/>
  <c r="Y40" i="4"/>
  <c r="AC47" i="4"/>
  <c r="D55" i="6"/>
  <c r="R55" i="6" s="1"/>
  <c r="AF24" i="4"/>
  <c r="J49" i="6" s="1"/>
  <c r="X49" i="6" s="1"/>
  <c r="AD24" i="4"/>
  <c r="H28" i="5" s="1"/>
  <c r="H40" i="5" s="1"/>
  <c r="AE24" i="4"/>
  <c r="I49" i="6" s="1"/>
  <c r="W49" i="6" s="1"/>
  <c r="Y24" i="4"/>
  <c r="AS12" i="4"/>
  <c r="Z24" i="4"/>
  <c r="D49" i="6" s="1"/>
  <c r="R49" i="6" s="1"/>
  <c r="Y33" i="4"/>
  <c r="AA34" i="4"/>
  <c r="Y39" i="4"/>
  <c r="Z40" i="4"/>
  <c r="D32" i="5" s="1"/>
  <c r="D44" i="5" s="1"/>
  <c r="AQ48" i="4"/>
  <c r="AQ39" i="4"/>
  <c r="AQ47" i="4"/>
  <c r="AQ38" i="4"/>
  <c r="AQ46" i="4"/>
  <c r="AQ29" i="4"/>
  <c r="AQ14" i="4"/>
  <c r="AQ8" i="4"/>
  <c r="AQ43" i="4"/>
  <c r="AQ33" i="4"/>
  <c r="AQ11" i="4"/>
  <c r="AQ44" i="4"/>
  <c r="AQ41" i="4"/>
  <c r="AQ42" i="4"/>
  <c r="AQ40" i="4"/>
  <c r="AQ45" i="4"/>
  <c r="AQ32" i="4"/>
  <c r="AQ13" i="4"/>
  <c r="AA24" i="4"/>
  <c r="AB34" i="4"/>
  <c r="AR35" i="4"/>
  <c r="T35" i="4"/>
  <c r="AB39" i="4"/>
  <c r="AA40" i="4"/>
  <c r="M25" i="5"/>
  <c r="L25" i="5"/>
  <c r="K25" i="5"/>
  <c r="H25" i="5"/>
  <c r="G25" i="5"/>
  <c r="Z47" i="4"/>
  <c r="AK47" i="4" s="1"/>
  <c r="Z43" i="4"/>
  <c r="AD17" i="4"/>
  <c r="AE17" i="4"/>
  <c r="Y11" i="4"/>
  <c r="AC13" i="4"/>
  <c r="AB13" i="4"/>
  <c r="AA13" i="4"/>
  <c r="E38" i="6" s="1"/>
  <c r="AR13" i="4"/>
  <c r="H39" i="6"/>
  <c r="G39" i="6"/>
  <c r="F39" i="6"/>
  <c r="T39" i="6" s="1"/>
  <c r="S14" i="4"/>
  <c r="K40" i="6"/>
  <c r="I40" i="6"/>
  <c r="H40" i="6"/>
  <c r="AF17" i="4"/>
  <c r="AQ21" i="4"/>
  <c r="AS22" i="4"/>
  <c r="W22" i="4"/>
  <c r="AB24" i="4"/>
  <c r="F49" i="6" s="1"/>
  <c r="T49" i="6" s="1"/>
  <c r="AB32" i="4"/>
  <c r="AA33" i="4"/>
  <c r="E58" i="6" s="1"/>
  <c r="AC34" i="4"/>
  <c r="I60" i="6"/>
  <c r="AS36" i="4"/>
  <c r="AC39" i="4"/>
  <c r="AK39" i="4" s="1"/>
  <c r="AC40" i="4"/>
  <c r="Y46" i="4"/>
  <c r="C71" i="6" s="1"/>
  <c r="E25" i="5"/>
  <c r="W11" i="4"/>
  <c r="AR14" i="4"/>
  <c r="AG17" i="4"/>
  <c r="K42" i="6" s="1"/>
  <c r="Y42" i="6" s="1"/>
  <c r="AG21" i="4"/>
  <c r="K46" i="6" s="1"/>
  <c r="Y46" i="6" s="1"/>
  <c r="AF21" i="4"/>
  <c r="AE21" i="4"/>
  <c r="I46" i="6" s="1"/>
  <c r="W46" i="6" s="1"/>
  <c r="Z21" i="4"/>
  <c r="D46" i="6" s="1"/>
  <c r="R46" i="6" s="1"/>
  <c r="AF34" i="4"/>
  <c r="J59" i="6" s="1"/>
  <c r="X59" i="6" s="1"/>
  <c r="J32" i="5"/>
  <c r="J44" i="5" s="1"/>
  <c r="Y42" i="4"/>
  <c r="AH42" i="4"/>
  <c r="L67" i="6" s="1"/>
  <c r="Z67" i="6" s="1"/>
  <c r="Z42" i="4"/>
  <c r="AI42" i="4"/>
  <c r="AK42" i="4" s="1"/>
  <c r="AE42" i="4"/>
  <c r="AC42" i="4"/>
  <c r="W43" i="4"/>
  <c r="AA46" i="4"/>
  <c r="AE67" i="6"/>
  <c r="AA11" i="4"/>
  <c r="E36" i="6" s="1"/>
  <c r="AP15" i="4"/>
  <c r="S21" i="4"/>
  <c r="AP35" i="4"/>
  <c r="AJ37" i="4"/>
  <c r="AF37" i="4"/>
  <c r="AC37" i="4"/>
  <c r="AB37" i="4"/>
  <c r="F31" i="5" s="1"/>
  <c r="F43" i="5" s="1"/>
  <c r="AA37" i="4"/>
  <c r="Z37" i="4"/>
  <c r="D62" i="6" s="1"/>
  <c r="R62" i="6" s="1"/>
  <c r="Y37" i="4"/>
  <c r="Y43" i="4"/>
  <c r="AB46" i="4"/>
  <c r="C45" i="2"/>
  <c r="Z11" i="4"/>
  <c r="D36" i="6" s="1"/>
  <c r="R36" i="6" s="1"/>
  <c r="AC24" i="4"/>
  <c r="G49" i="6" s="1"/>
  <c r="U49" i="6" s="1"/>
  <c r="W12" i="4"/>
  <c r="AI17" i="4"/>
  <c r="Y20" i="4"/>
  <c r="AO22" i="4"/>
  <c r="AG24" i="4"/>
  <c r="K49" i="6" s="1"/>
  <c r="Y49" i="6" s="1"/>
  <c r="AB28" i="4"/>
  <c r="F29" i="5" s="1"/>
  <c r="F41" i="5" s="1"/>
  <c r="Z30" i="4"/>
  <c r="AK30" i="4" s="1"/>
  <c r="Y31" i="4"/>
  <c r="AD33" i="4"/>
  <c r="AD38" i="4"/>
  <c r="E50" i="2"/>
  <c r="AE43" i="4"/>
  <c r="AE47" i="4"/>
  <c r="I72" i="6" s="1"/>
  <c r="W72" i="6" s="1"/>
  <c r="AE46" i="4"/>
  <c r="AB11" i="4"/>
  <c r="F36" i="6" s="1"/>
  <c r="T36" i="6" s="1"/>
  <c r="Y12" i="4"/>
  <c r="AI14" i="4"/>
  <c r="M39" i="6" s="1"/>
  <c r="AA39" i="6" s="1"/>
  <c r="AQ15" i="4"/>
  <c r="S40" i="6" s="1"/>
  <c r="I41" i="6"/>
  <c r="W41" i="6" s="1"/>
  <c r="G41" i="6"/>
  <c r="AJ17" i="4"/>
  <c r="Z20" i="4"/>
  <c r="T21" i="4"/>
  <c r="AP22" i="4"/>
  <c r="AH24" i="4"/>
  <c r="AC28" i="4"/>
  <c r="G29" i="5" s="1"/>
  <c r="AA30" i="4"/>
  <c r="AD31" i="4"/>
  <c r="AE32" i="4"/>
  <c r="I29" i="5" s="1"/>
  <c r="I41" i="5" s="1"/>
  <c r="AE33" i="4"/>
  <c r="I30" i="5" s="1"/>
  <c r="I42" i="5" s="1"/>
  <c r="AQ35" i="4"/>
  <c r="AE38" i="4"/>
  <c r="I31" i="5" s="1"/>
  <c r="I43" i="5" s="1"/>
  <c r="K25" i="3"/>
  <c r="E45" i="2"/>
  <c r="E51" i="2" s="1"/>
  <c r="AO35" i="4"/>
  <c r="AS14" i="4"/>
  <c r="AH34" i="4"/>
  <c r="L59" i="6" s="1"/>
  <c r="Z59" i="6" s="1"/>
  <c r="AF23" i="4"/>
  <c r="J48" i="6" s="1"/>
  <c r="X48" i="6" s="1"/>
  <c r="AF45" i="4"/>
  <c r="J70" i="6" s="1"/>
  <c r="X70" i="6" s="1"/>
  <c r="AC11" i="4"/>
  <c r="G36" i="6" s="1"/>
  <c r="U36" i="6" s="1"/>
  <c r="Z12" i="4"/>
  <c r="D37" i="6" s="1"/>
  <c r="R37" i="6" s="1"/>
  <c r="AI15" i="4"/>
  <c r="AG15" i="4"/>
  <c r="AH15" i="4"/>
  <c r="AB15" i="4"/>
  <c r="F40" i="6" s="1"/>
  <c r="AO16" i="4"/>
  <c r="Z22" i="4"/>
  <c r="AQ22" i="4"/>
  <c r="AI24" i="4"/>
  <c r="AD28" i="4"/>
  <c r="AC30" i="4"/>
  <c r="AF31" i="4"/>
  <c r="J56" i="6" s="1"/>
  <c r="X56" i="6" s="1"/>
  <c r="AF32" i="4"/>
  <c r="AF33" i="4"/>
  <c r="AS35" i="4"/>
  <c r="AF38" i="4"/>
  <c r="J63" i="6" s="1"/>
  <c r="X63" i="6" s="1"/>
  <c r="AI40" i="4"/>
  <c r="M32" i="5" s="1"/>
  <c r="AE40" i="4"/>
  <c r="I32" i="5" s="1"/>
  <c r="I44" i="5" s="1"/>
  <c r="T40" i="4"/>
  <c r="AS40" i="4"/>
  <c r="AR40" i="4"/>
  <c r="AG40" i="4"/>
  <c r="AD40" i="4"/>
  <c r="AF43" i="4"/>
  <c r="AS61" i="4"/>
  <c r="AR61" i="4"/>
  <c r="AK66" i="4"/>
  <c r="AJ66" i="4"/>
  <c r="AI66" i="4"/>
  <c r="AH66" i="4"/>
  <c r="AG66" i="4"/>
  <c r="AF66" i="4"/>
  <c r="AE66" i="4"/>
  <c r="AD66" i="4"/>
  <c r="AC66" i="4"/>
  <c r="AB66" i="4"/>
  <c r="Z66" i="4"/>
  <c r="Y66" i="4"/>
  <c r="N67" i="6"/>
  <c r="N69" i="6"/>
  <c r="AB69" i="6" s="1"/>
  <c r="N49" i="6"/>
  <c r="AB49" i="6" s="1"/>
  <c r="N60" i="6"/>
  <c r="N71" i="6"/>
  <c r="N51" i="6"/>
  <c r="N73" i="6"/>
  <c r="N53" i="6"/>
  <c r="N64" i="6"/>
  <c r="N44" i="6"/>
  <c r="AB44" i="6" s="1"/>
  <c r="N50" i="6"/>
  <c r="N72" i="6"/>
  <c r="AB72" i="6" s="1"/>
  <c r="N52" i="6"/>
  <c r="AB52" i="6" s="1"/>
  <c r="N63" i="6"/>
  <c r="N43" i="6"/>
  <c r="AB43" i="6" s="1"/>
  <c r="N54" i="6"/>
  <c r="N34" i="6"/>
  <c r="AB34" i="6" s="1"/>
  <c r="N66" i="6"/>
  <c r="N42" i="6"/>
  <c r="AB42" i="6" s="1"/>
  <c r="N41" i="6"/>
  <c r="AB41" i="6" s="1"/>
  <c r="N40" i="6"/>
  <c r="AB40" i="6" s="1"/>
  <c r="N56" i="6"/>
  <c r="AB56" i="6" s="1"/>
  <c r="N37" i="6"/>
  <c r="N35" i="6"/>
  <c r="N33" i="6"/>
  <c r="N57" i="6"/>
  <c r="N65" i="6"/>
  <c r="N62" i="6"/>
  <c r="N55" i="6"/>
  <c r="AB55" i="6" s="1"/>
  <c r="N48" i="6"/>
  <c r="AB48" i="6" s="1"/>
  <c r="N46" i="6"/>
  <c r="AB46" i="6" s="1"/>
  <c r="AE53" i="6"/>
  <c r="AC33" i="4"/>
  <c r="AK33" i="4" s="1"/>
  <c r="S37" i="4"/>
  <c r="K62" i="6"/>
  <c r="I62" i="6"/>
  <c r="AC50" i="4"/>
  <c r="AB50" i="4"/>
  <c r="AA50" i="4"/>
  <c r="Y50" i="4"/>
  <c r="AK50" i="4"/>
  <c r="AH50" i="4"/>
  <c r="AD50" i="4"/>
  <c r="AG58" i="4"/>
  <c r="AF58" i="4"/>
  <c r="AE58" i="4"/>
  <c r="AD58" i="4"/>
  <c r="AC58" i="4"/>
  <c r="AB58" i="4"/>
  <c r="AA58" i="4"/>
  <c r="Z58" i="4"/>
  <c r="Y58" i="4"/>
  <c r="AH58" i="4"/>
  <c r="C55" i="6"/>
  <c r="K47" i="6"/>
  <c r="I47" i="6"/>
  <c r="W47" i="6" s="1"/>
  <c r="F47" i="6"/>
  <c r="T47" i="6" s="1"/>
  <c r="AG25" i="4"/>
  <c r="K50" i="6" s="1"/>
  <c r="Y50" i="6" s="1"/>
  <c r="AH33" i="4"/>
  <c r="AG38" i="4"/>
  <c r="K31" i="5" s="1"/>
  <c r="K43" i="5" s="1"/>
  <c r="AC38" i="4"/>
  <c r="Y38" i="4"/>
  <c r="AH38" i="4"/>
  <c r="AS38" i="4"/>
  <c r="AJ43" i="4"/>
  <c r="N68" i="6" s="1"/>
  <c r="AB68" i="6" s="1"/>
  <c r="AS45" i="4"/>
  <c r="W45" i="4"/>
  <c r="I71" i="6"/>
  <c r="W71" i="6" s="1"/>
  <c r="K72" i="6"/>
  <c r="Y72" i="6" s="1"/>
  <c r="AJ49" i="4"/>
  <c r="AI49" i="4"/>
  <c r="AH49" i="4"/>
  <c r="AF49" i="4"/>
  <c r="AE49" i="4"/>
  <c r="AD49" i="4"/>
  <c r="AC49" i="4"/>
  <c r="AB49" i="4"/>
  <c r="AA49" i="4"/>
  <c r="Y49" i="4"/>
  <c r="AK49" i="4"/>
  <c r="F70" i="6"/>
  <c r="I70" i="6"/>
  <c r="AS52" i="4"/>
  <c r="AR52" i="4"/>
  <c r="G48" i="6"/>
  <c r="U48" i="6" s="1"/>
  <c r="M65" i="6"/>
  <c r="AA65" i="6" s="1"/>
  <c r="AS41" i="4"/>
  <c r="W41" i="4"/>
  <c r="T41" i="4"/>
  <c r="AS44" i="4"/>
  <c r="W44" i="4"/>
  <c r="AR44" i="4"/>
  <c r="H70" i="6"/>
  <c r="K66" i="6"/>
  <c r="I66" i="6"/>
  <c r="I67" i="6"/>
  <c r="S44" i="4"/>
  <c r="S33" i="4"/>
  <c r="AF61" i="4"/>
  <c r="AE61" i="4"/>
  <c r="AD61" i="4"/>
  <c r="AC61" i="4"/>
  <c r="AB61" i="4"/>
  <c r="AA61" i="4"/>
  <c r="Z61" i="4"/>
  <c r="Y61" i="4"/>
  <c r="AK61" i="4"/>
  <c r="AG61" i="4"/>
  <c r="J72" i="6"/>
  <c r="X72" i="6" s="1"/>
  <c r="J65" i="6"/>
  <c r="X65" i="6" s="1"/>
  <c r="J45" i="6"/>
  <c r="X45" i="6" s="1"/>
  <c r="J67" i="6"/>
  <c r="J69" i="6"/>
  <c r="J60" i="6"/>
  <c r="X60" i="6" s="1"/>
  <c r="J71" i="6"/>
  <c r="X71" i="6" s="1"/>
  <c r="J73" i="6"/>
  <c r="X73" i="6" s="1"/>
  <c r="J64" i="6"/>
  <c r="X64" i="6" s="1"/>
  <c r="J66" i="6"/>
  <c r="J46" i="6"/>
  <c r="X46" i="6" s="1"/>
  <c r="J68" i="6"/>
  <c r="J39" i="6"/>
  <c r="J47" i="6"/>
  <c r="X47" i="6" s="1"/>
  <c r="J43" i="6"/>
  <c r="X43" i="6" s="1"/>
  <c r="J44" i="6"/>
  <c r="X44" i="6" s="1"/>
  <c r="J42" i="6"/>
  <c r="J41" i="6"/>
  <c r="J51" i="6"/>
  <c r="J38" i="6"/>
  <c r="X38" i="6" s="1"/>
  <c r="J37" i="6"/>
  <c r="X37" i="6" s="1"/>
  <c r="J36" i="6"/>
  <c r="X36" i="6" s="1"/>
  <c r="J52" i="6"/>
  <c r="X52" i="6" s="1"/>
  <c r="J57" i="6"/>
  <c r="X57" i="6" s="1"/>
  <c r="J35" i="6"/>
  <c r="J58" i="6"/>
  <c r="J54" i="6"/>
  <c r="G62" i="6"/>
  <c r="I51" i="6"/>
  <c r="H51" i="6"/>
  <c r="G51" i="6"/>
  <c r="F51" i="6"/>
  <c r="AB40" i="4"/>
  <c r="AI48" i="4"/>
  <c r="M73" i="6" s="1"/>
  <c r="AA73" i="6" s="1"/>
  <c r="AI50" i="4"/>
  <c r="K45" i="6"/>
  <c r="Y45" i="6" s="1"/>
  <c r="I45" i="6"/>
  <c r="W45" i="6" s="1"/>
  <c r="H45" i="6"/>
  <c r="V45" i="6" s="1"/>
  <c r="G45" i="6"/>
  <c r="U45" i="6" s="1"/>
  <c r="Y22" i="4"/>
  <c r="Y25" i="4"/>
  <c r="Z26" i="4"/>
  <c r="D51" i="6" s="1"/>
  <c r="R51" i="6" s="1"/>
  <c r="S29" i="4"/>
  <c r="Z38" i="4"/>
  <c r="D31" i="5" s="1"/>
  <c r="D43" i="5" s="1"/>
  <c r="AR41" i="4"/>
  <c r="AG46" i="4"/>
  <c r="K71" i="6" s="1"/>
  <c r="Y71" i="6" s="1"/>
  <c r="AF46" i="4"/>
  <c r="AD46" i="4"/>
  <c r="AC46" i="4"/>
  <c r="Z46" i="4"/>
  <c r="D71" i="6" s="1"/>
  <c r="R71" i="6" s="1"/>
  <c r="AD47" i="4"/>
  <c r="Z49" i="4"/>
  <c r="AJ50" i="4"/>
  <c r="I42" i="6"/>
  <c r="Y29" i="4"/>
  <c r="AK29" i="4" s="1"/>
  <c r="Z25" i="4"/>
  <c r="D50" i="6" s="1"/>
  <c r="R50" i="6" s="1"/>
  <c r="S26" i="4"/>
  <c r="T33" i="4"/>
  <c r="M58" i="6" s="1"/>
  <c r="AA58" i="6" s="1"/>
  <c r="AA38" i="4"/>
  <c r="E63" i="6" s="1"/>
  <c r="S63" i="6" s="1"/>
  <c r="AJ45" i="4"/>
  <c r="N28" i="5" s="1"/>
  <c r="N40" i="5" s="1"/>
  <c r="S46" i="4"/>
  <c r="AG49" i="4"/>
  <c r="M68" i="6"/>
  <c r="N47" i="6"/>
  <c r="Y45" i="4"/>
  <c r="AC53" i="4"/>
  <c r="AE67" i="4"/>
  <c r="M45" i="6"/>
  <c r="AA45" i="6" s="1"/>
  <c r="C58" i="6"/>
  <c r="O87" i="6"/>
  <c r="AE87" i="6"/>
  <c r="AD87" i="6"/>
  <c r="AC87" i="6"/>
  <c r="L58" i="6"/>
  <c r="L71" i="6"/>
  <c r="Z71" i="6" s="1"/>
  <c r="L62" i="6"/>
  <c r="L42" i="6"/>
  <c r="L9" i="6"/>
  <c r="L73" i="6"/>
  <c r="L68" i="6"/>
  <c r="L48" i="6"/>
  <c r="Z48" i="6" s="1"/>
  <c r="L70" i="6"/>
  <c r="L50" i="6"/>
  <c r="Z50" i="6" s="1"/>
  <c r="L61" i="6"/>
  <c r="Z61" i="6" s="1"/>
  <c r="L41" i="6"/>
  <c r="Z41" i="6" s="1"/>
  <c r="L72" i="6"/>
  <c r="Z72" i="6" s="1"/>
  <c r="L52" i="6"/>
  <c r="Z52" i="6" s="1"/>
  <c r="AE34" i="6"/>
  <c r="L63" i="6"/>
  <c r="Z63" i="6" s="1"/>
  <c r="AI47" i="4"/>
  <c r="AB48" i="4"/>
  <c r="AK48" i="4" s="1"/>
  <c r="AG53" i="4"/>
  <c r="Y57" i="4"/>
  <c r="AJ67" i="4"/>
  <c r="H31" i="5"/>
  <c r="H43" i="5" s="1"/>
  <c r="M60" i="6"/>
  <c r="M62" i="6"/>
  <c r="M33" i="6"/>
  <c r="M64" i="6"/>
  <c r="M66" i="6"/>
  <c r="M57" i="6"/>
  <c r="AA57" i="6" s="1"/>
  <c r="M59" i="6"/>
  <c r="AA59" i="6" s="1"/>
  <c r="M61" i="6"/>
  <c r="AA61" i="6" s="1"/>
  <c r="M41" i="6"/>
  <c r="AA41" i="6" s="1"/>
  <c r="M72" i="6"/>
  <c r="AA72" i="6" s="1"/>
  <c r="M52" i="6"/>
  <c r="AA52" i="6" s="1"/>
  <c r="M63" i="6"/>
  <c r="AE36" i="6"/>
  <c r="AE69" i="6"/>
  <c r="AE48" i="4"/>
  <c r="I73" i="6" s="1"/>
  <c r="W73" i="6" s="1"/>
  <c r="AJ53" i="4"/>
  <c r="AC54" i="4"/>
  <c r="AB57" i="4"/>
  <c r="AG62" i="4"/>
  <c r="Z63" i="4"/>
  <c r="AF65" i="4"/>
  <c r="L31" i="5"/>
  <c r="L43" i="5" s="1"/>
  <c r="D38" i="6"/>
  <c r="AE39" i="6"/>
  <c r="L53" i="6"/>
  <c r="Z53" i="6" s="1"/>
  <c r="F57" i="6"/>
  <c r="T57" i="6" s="1"/>
  <c r="L65" i="6"/>
  <c r="Z65" i="6" s="1"/>
  <c r="D69" i="6"/>
  <c r="R69" i="6" s="1"/>
  <c r="F71" i="6"/>
  <c r="T71" i="6" s="1"/>
  <c r="AJ36" i="4"/>
  <c r="N61" i="6" s="1"/>
  <c r="AB61" i="6" s="1"/>
  <c r="AA43" i="4"/>
  <c r="AG45" i="4"/>
  <c r="AF48" i="4"/>
  <c r="AK53" i="4"/>
  <c r="AC57" i="4"/>
  <c r="I52" i="6"/>
  <c r="W52" i="6" s="1"/>
  <c r="C27" i="5"/>
  <c r="C39" i="5" s="1"/>
  <c r="N31" i="5"/>
  <c r="N43" i="5" s="1"/>
  <c r="E39" i="5"/>
  <c r="G61" i="6"/>
  <c r="U61" i="6" s="1"/>
  <c r="L33" i="6"/>
  <c r="L35" i="6"/>
  <c r="AD43" i="4"/>
  <c r="H68" i="6" s="1"/>
  <c r="V68" i="6" s="1"/>
  <c r="AG54" i="4"/>
  <c r="Z55" i="4"/>
  <c r="AF57" i="4"/>
  <c r="AK62" i="4"/>
  <c r="AD63" i="4"/>
  <c r="AJ65" i="4"/>
  <c r="E27" i="5"/>
  <c r="L34" i="6"/>
  <c r="Z34" i="6" s="1"/>
  <c r="M35" i="6"/>
  <c r="L36" i="6"/>
  <c r="L37" i="6"/>
  <c r="Z37" i="6" s="1"/>
  <c r="AE43" i="6"/>
  <c r="AE45" i="6"/>
  <c r="AE64" i="6"/>
  <c r="AG57" i="4"/>
  <c r="AE63" i="4"/>
  <c r="M34" i="6"/>
  <c r="AA34" i="6" s="1"/>
  <c r="M37" i="6"/>
  <c r="AA37" i="6" s="1"/>
  <c r="E41" i="6"/>
  <c r="S41" i="6" s="1"/>
  <c r="E42" i="6"/>
  <c r="S42" i="6" s="1"/>
  <c r="D43" i="6"/>
  <c r="R43" i="6" s="1"/>
  <c r="C45" i="6"/>
  <c r="AE46" i="6"/>
  <c r="C47" i="6"/>
  <c r="AE49" i="6"/>
  <c r="F50" i="6"/>
  <c r="H56" i="6"/>
  <c r="V56" i="6" s="1"/>
  <c r="E60" i="6"/>
  <c r="C64" i="6"/>
  <c r="AH57" i="4"/>
  <c r="AF63" i="4"/>
  <c r="D29" i="5"/>
  <c r="D41" i="5" s="1"/>
  <c r="I39" i="5"/>
  <c r="M44" i="5"/>
  <c r="E43" i="6"/>
  <c r="S43" i="6" s="1"/>
  <c r="C44" i="6"/>
  <c r="D45" i="6"/>
  <c r="R45" i="6" s="1"/>
  <c r="C46" i="6"/>
  <c r="D47" i="6"/>
  <c r="R47" i="6" s="1"/>
  <c r="AE48" i="6"/>
  <c r="L56" i="6"/>
  <c r="Z56" i="6" s="1"/>
  <c r="G60" i="6"/>
  <c r="U60" i="6" s="1"/>
  <c r="G64" i="6"/>
  <c r="U64" i="6" s="1"/>
  <c r="AG43" i="4"/>
  <c r="K68" i="6" s="1"/>
  <c r="Y68" i="6" s="1"/>
  <c r="AC55" i="4"/>
  <c r="AI57" i="4"/>
  <c r="AG63" i="4"/>
  <c r="Y67" i="4"/>
  <c r="I27" i="5"/>
  <c r="J39" i="5"/>
  <c r="E42" i="5"/>
  <c r="C66" i="6"/>
  <c r="C68" i="6"/>
  <c r="C48" i="6"/>
  <c r="C59" i="6"/>
  <c r="Q59" i="6" s="1"/>
  <c r="C70" i="6"/>
  <c r="C50" i="6"/>
  <c r="Q50" i="6" s="1"/>
  <c r="C72" i="6"/>
  <c r="C52" i="6"/>
  <c r="C63" i="6"/>
  <c r="Q63" i="6" s="1"/>
  <c r="C43" i="6"/>
  <c r="Q43" i="6" s="1"/>
  <c r="C67" i="6"/>
  <c r="C69" i="6"/>
  <c r="C51" i="6"/>
  <c r="C62" i="6"/>
  <c r="C42" i="6"/>
  <c r="C73" i="6"/>
  <c r="C53" i="6"/>
  <c r="L38" i="6"/>
  <c r="H42" i="6"/>
  <c r="F43" i="6"/>
  <c r="T43" i="6" s="1"/>
  <c r="G44" i="6"/>
  <c r="U44" i="6" s="1"/>
  <c r="F45" i="6"/>
  <c r="T45" i="6" s="1"/>
  <c r="E47" i="6"/>
  <c r="D48" i="6"/>
  <c r="R48" i="6" s="1"/>
  <c r="E49" i="6"/>
  <c r="S49" i="6" s="1"/>
  <c r="M51" i="6"/>
  <c r="AA51" i="6" s="1"/>
  <c r="H60" i="6"/>
  <c r="V60" i="6" s="1"/>
  <c r="AE66" i="6"/>
  <c r="S45" i="4"/>
  <c r="AD55" i="4"/>
  <c r="AH63" i="4"/>
  <c r="Z67" i="4"/>
  <c r="J27" i="5"/>
  <c r="D59" i="6"/>
  <c r="R59" i="6" s="1"/>
  <c r="D39" i="6"/>
  <c r="D70" i="6"/>
  <c r="D61" i="6"/>
  <c r="R61" i="6" s="1"/>
  <c r="D72" i="6"/>
  <c r="R72" i="6" s="1"/>
  <c r="D54" i="6"/>
  <c r="R54" i="6" s="1"/>
  <c r="D34" i="6"/>
  <c r="R34" i="6" s="1"/>
  <c r="D65" i="6"/>
  <c r="R65" i="6" s="1"/>
  <c r="D67" i="6"/>
  <c r="R67" i="6" s="1"/>
  <c r="D58" i="6"/>
  <c r="D60" i="6"/>
  <c r="D40" i="6"/>
  <c r="D9" i="6"/>
  <c r="D73" i="6"/>
  <c r="D53" i="6"/>
  <c r="R53" i="6" s="1"/>
  <c r="D64" i="6"/>
  <c r="D44" i="6"/>
  <c r="R44" i="6" s="1"/>
  <c r="L40" i="6"/>
  <c r="E46" i="6"/>
  <c r="S46" i="6" s="1"/>
  <c r="H55" i="6"/>
  <c r="V55" i="6" s="1"/>
  <c r="L64" i="6"/>
  <c r="Z64" i="6" s="1"/>
  <c r="D66" i="6"/>
  <c r="AA67" i="4"/>
  <c r="C26" i="5"/>
  <c r="C38" i="5" s="1"/>
  <c r="E68" i="6"/>
  <c r="E70" i="6"/>
  <c r="E50" i="6"/>
  <c r="E61" i="6"/>
  <c r="S61" i="6" s="1"/>
  <c r="E52" i="6"/>
  <c r="S52" i="6" s="1"/>
  <c r="E54" i="6"/>
  <c r="E65" i="6"/>
  <c r="S65" i="6" s="1"/>
  <c r="E45" i="6"/>
  <c r="S45" i="6" s="1"/>
  <c r="E69" i="6"/>
  <c r="E71" i="6"/>
  <c r="S71" i="6" s="1"/>
  <c r="E51" i="6"/>
  <c r="S51" i="6" s="1"/>
  <c r="E73" i="6"/>
  <c r="S73" i="6" s="1"/>
  <c r="E53" i="6"/>
  <c r="S53" i="6" s="1"/>
  <c r="E64" i="6"/>
  <c r="E44" i="6"/>
  <c r="S44" i="6" s="1"/>
  <c r="E55" i="6"/>
  <c r="S55" i="6" s="1"/>
  <c r="E35" i="6"/>
  <c r="M40" i="6"/>
  <c r="H47" i="6"/>
  <c r="F48" i="6"/>
  <c r="T48" i="6" s="1"/>
  <c r="E59" i="6"/>
  <c r="S59" i="6" s="1"/>
  <c r="L60" i="6"/>
  <c r="Z60" i="6" s="1"/>
  <c r="E66" i="6"/>
  <c r="D68" i="6"/>
  <c r="Z53" i="4"/>
  <c r="AF55" i="4"/>
  <c r="AB67" i="4"/>
  <c r="M27" i="5"/>
  <c r="M39" i="5" s="1"/>
  <c r="F61" i="6"/>
  <c r="T61" i="6" s="1"/>
  <c r="F72" i="6"/>
  <c r="F63" i="6"/>
  <c r="T63" i="6" s="1"/>
  <c r="F65" i="6"/>
  <c r="T65" i="6" s="1"/>
  <c r="F67" i="6"/>
  <c r="F69" i="6"/>
  <c r="F60" i="6"/>
  <c r="T60" i="6" s="1"/>
  <c r="F62" i="6"/>
  <c r="T62" i="6" s="1"/>
  <c r="F42" i="6"/>
  <c r="T42" i="6" s="1"/>
  <c r="F9" i="6"/>
  <c r="F73" i="6"/>
  <c r="T73" i="6" s="1"/>
  <c r="F64" i="6"/>
  <c r="F55" i="6"/>
  <c r="T55" i="6" s="1"/>
  <c r="F66" i="6"/>
  <c r="F46" i="6"/>
  <c r="T46" i="6" s="1"/>
  <c r="C9" i="6"/>
  <c r="F59" i="6"/>
  <c r="T59" i="6" s="1"/>
  <c r="F68" i="6"/>
  <c r="T68" i="6" s="1"/>
  <c r="AA53" i="4"/>
  <c r="N27" i="5"/>
  <c r="N39" i="5" s="1"/>
  <c r="G41" i="5"/>
  <c r="G70" i="6"/>
  <c r="G72" i="6"/>
  <c r="G52" i="6"/>
  <c r="U52" i="6" s="1"/>
  <c r="G63" i="6"/>
  <c r="U63" i="6" s="1"/>
  <c r="G54" i="6"/>
  <c r="G56" i="6"/>
  <c r="U56" i="6" s="1"/>
  <c r="G67" i="6"/>
  <c r="G47" i="6"/>
  <c r="U47" i="6" s="1"/>
  <c r="G71" i="6"/>
  <c r="U71" i="6" s="1"/>
  <c r="G73" i="6"/>
  <c r="U73" i="6" s="1"/>
  <c r="G53" i="6"/>
  <c r="U53" i="6" s="1"/>
  <c r="G33" i="6"/>
  <c r="G55" i="6"/>
  <c r="U55" i="6" s="1"/>
  <c r="G35" i="6"/>
  <c r="G66" i="6"/>
  <c r="G46" i="6"/>
  <c r="G57" i="6"/>
  <c r="U57" i="6" s="1"/>
  <c r="G37" i="6"/>
  <c r="E9" i="6"/>
  <c r="M42" i="6"/>
  <c r="L46" i="6"/>
  <c r="Z46" i="6" s="1"/>
  <c r="C54" i="6"/>
  <c r="L55" i="6"/>
  <c r="Z55" i="6" s="1"/>
  <c r="G59" i="6"/>
  <c r="U59" i="6" s="1"/>
  <c r="G68" i="6"/>
  <c r="AD67" i="4"/>
  <c r="G26" i="5"/>
  <c r="G38" i="5" s="1"/>
  <c r="H72" i="6"/>
  <c r="V72" i="6" s="1"/>
  <c r="H63" i="6"/>
  <c r="H54" i="6"/>
  <c r="H65" i="6"/>
  <c r="V65" i="6" s="1"/>
  <c r="H67" i="6"/>
  <c r="H58" i="6"/>
  <c r="H38" i="6"/>
  <c r="V38" i="6" s="1"/>
  <c r="H71" i="6"/>
  <c r="V71" i="6" s="1"/>
  <c r="H62" i="6"/>
  <c r="V62" i="6" s="1"/>
  <c r="H64" i="6"/>
  <c r="V64" i="6" s="1"/>
  <c r="H44" i="6"/>
  <c r="V44" i="6" s="1"/>
  <c r="H66" i="6"/>
  <c r="H46" i="6"/>
  <c r="H37" i="6"/>
  <c r="H48" i="6"/>
  <c r="V48" i="6" s="1"/>
  <c r="G9" i="6"/>
  <c r="L43" i="6"/>
  <c r="Z43" i="6" s="1"/>
  <c r="L45" i="6"/>
  <c r="Z45" i="6" s="1"/>
  <c r="M46" i="6"/>
  <c r="AA46" i="6" s="1"/>
  <c r="M48" i="6"/>
  <c r="AA48" i="6" s="1"/>
  <c r="L49" i="6"/>
  <c r="Z49" i="6" s="1"/>
  <c r="F54" i="6"/>
  <c r="T54" i="6" s="1"/>
  <c r="M55" i="6"/>
  <c r="AA55" i="6" s="1"/>
  <c r="H59" i="6"/>
  <c r="V59" i="6" s="1"/>
  <c r="I39" i="6"/>
  <c r="K41" i="6"/>
  <c r="Y41" i="6" s="1"/>
  <c r="I59" i="6"/>
  <c r="W59" i="6" s="1"/>
  <c r="K61" i="6"/>
  <c r="Y61" i="6" s="1"/>
  <c r="AD79" i="6"/>
  <c r="I48" i="6"/>
  <c r="W48" i="6" s="1"/>
  <c r="AE59" i="6"/>
  <c r="I68" i="6"/>
  <c r="K70" i="6"/>
  <c r="AE79" i="6"/>
  <c r="I37" i="6"/>
  <c r="W37" i="6" s="1"/>
  <c r="K39" i="6"/>
  <c r="Y39" i="6" s="1"/>
  <c r="I57" i="6"/>
  <c r="W57" i="6" s="1"/>
  <c r="O83" i="6"/>
  <c r="AC75" i="6"/>
  <c r="AE77" i="6"/>
  <c r="O92" i="6"/>
  <c r="I35" i="6"/>
  <c r="K37" i="6"/>
  <c r="I55" i="6"/>
  <c r="W55" i="6" s="1"/>
  <c r="K57" i="6"/>
  <c r="Y57" i="6" s="1"/>
  <c r="AD75" i="6"/>
  <c r="AC84" i="6"/>
  <c r="AC82" i="6"/>
  <c r="AE84" i="6"/>
  <c r="AE73" i="6"/>
  <c r="AD82" i="6"/>
  <c r="AC91" i="6"/>
  <c r="AC80" i="6"/>
  <c r="AD91" i="6"/>
  <c r="AE91" i="6"/>
  <c r="K51" i="6"/>
  <c r="Y51" i="6" s="1"/>
  <c r="I69" i="6"/>
  <c r="I58" i="6"/>
  <c r="K60" i="6"/>
  <c r="I56" i="6"/>
  <c r="W56" i="6" s="1"/>
  <c r="K58" i="6"/>
  <c r="K67" i="6"/>
  <c r="I34" i="6"/>
  <c r="W34" i="6" s="1"/>
  <c r="K36" i="6"/>
  <c r="Y36" i="6" s="1"/>
  <c r="I54" i="6"/>
  <c r="W54" i="6" s="1"/>
  <c r="AC83" i="6"/>
  <c r="AC92" i="6"/>
  <c r="AD92" i="6"/>
  <c r="AC43" i="6" l="1"/>
  <c r="T40" i="6"/>
  <c r="O40" i="6"/>
  <c r="Q71" i="6"/>
  <c r="O71" i="6"/>
  <c r="AB36" i="6"/>
  <c r="AA36" i="6"/>
  <c r="D37" i="5"/>
  <c r="J37" i="5"/>
  <c r="J45" i="5" s="1"/>
  <c r="I37" i="5"/>
  <c r="D39" i="5"/>
  <c r="O39" i="5" s="1"/>
  <c r="O73" i="6"/>
  <c r="V61" i="6"/>
  <c r="O61" i="6"/>
  <c r="F25" i="6"/>
  <c r="G37" i="5"/>
  <c r="X66" i="6"/>
  <c r="V66" i="6"/>
  <c r="U35" i="6"/>
  <c r="K27" i="5"/>
  <c r="K39" i="5" s="1"/>
  <c r="R58" i="6"/>
  <c r="Q67" i="6"/>
  <c r="O45" i="6"/>
  <c r="O41" i="6"/>
  <c r="X35" i="6"/>
  <c r="X68" i="6"/>
  <c r="Y62" i="6"/>
  <c r="AB60" i="6"/>
  <c r="K32" i="5"/>
  <c r="K44" i="5" s="1"/>
  <c r="V40" i="6"/>
  <c r="W36" i="6"/>
  <c r="R41" i="6"/>
  <c r="N32" i="5"/>
  <c r="N44" i="5" s="1"/>
  <c r="K63" i="6"/>
  <c r="Y63" i="6" s="1"/>
  <c r="C26" i="6"/>
  <c r="U33" i="6"/>
  <c r="AB67" i="6"/>
  <c r="C37" i="6"/>
  <c r="AK12" i="4"/>
  <c r="AK24" i="4"/>
  <c r="Y68" i="4"/>
  <c r="C15" i="6"/>
  <c r="C17" i="2"/>
  <c r="B9" i="2" s="1"/>
  <c r="U68" i="6"/>
  <c r="O43" i="6"/>
  <c r="AD43" i="6" s="1"/>
  <c r="V18" i="4" s="1"/>
  <c r="AC50" i="6"/>
  <c r="C44" i="2"/>
  <c r="C51" i="2" s="1"/>
  <c r="G30" i="5"/>
  <c r="G42" i="5" s="1"/>
  <c r="Q42" i="5" s="1"/>
  <c r="R42" i="5" s="1"/>
  <c r="F15" i="6"/>
  <c r="AB68" i="4"/>
  <c r="F17" i="2"/>
  <c r="U39" i="6"/>
  <c r="Q54" i="6"/>
  <c r="AD68" i="4"/>
  <c r="H15" i="6"/>
  <c r="H17" i="2"/>
  <c r="E26" i="5"/>
  <c r="E38" i="5" s="1"/>
  <c r="W40" i="6"/>
  <c r="H37" i="5"/>
  <c r="R66" i="6"/>
  <c r="Q72" i="6"/>
  <c r="O72" i="6"/>
  <c r="Z68" i="4"/>
  <c r="D15" i="6"/>
  <c r="D17" i="2"/>
  <c r="H34" i="6"/>
  <c r="V34" i="6" s="1"/>
  <c r="H27" i="5"/>
  <c r="H39" i="5" s="1"/>
  <c r="O60" i="6"/>
  <c r="G58" i="6"/>
  <c r="U58" i="6" s="1"/>
  <c r="M47" i="6"/>
  <c r="AA47" i="6" s="1"/>
  <c r="AB54" i="6"/>
  <c r="U67" i="6"/>
  <c r="M37" i="5"/>
  <c r="AK44" i="4"/>
  <c r="V67" i="6"/>
  <c r="H49" i="6"/>
  <c r="V49" i="6" s="1"/>
  <c r="Z40" i="6"/>
  <c r="Q48" i="6"/>
  <c r="Q64" i="6"/>
  <c r="J27" i="6"/>
  <c r="M67" i="6"/>
  <c r="AA67" i="6" s="1"/>
  <c r="AA64" i="6"/>
  <c r="Z68" i="6"/>
  <c r="G42" i="6"/>
  <c r="AK25" i="4"/>
  <c r="X51" i="6"/>
  <c r="W70" i="6"/>
  <c r="AB63" i="6"/>
  <c r="AK43" i="4"/>
  <c r="S38" i="6"/>
  <c r="N25" i="5"/>
  <c r="I15" i="6"/>
  <c r="I17" i="2"/>
  <c r="AE68" i="4"/>
  <c r="M31" i="5"/>
  <c r="M43" i="5" s="1"/>
  <c r="Q40" i="6"/>
  <c r="J26" i="5"/>
  <c r="J38" i="5" s="1"/>
  <c r="Y40" i="6"/>
  <c r="Y70" i="6"/>
  <c r="D63" i="6"/>
  <c r="R63" i="6" s="1"/>
  <c r="AC63" i="6" s="1"/>
  <c r="O38" i="6"/>
  <c r="S66" i="6"/>
  <c r="E27" i="6" s="1"/>
  <c r="Z35" i="6"/>
  <c r="L21" i="6" s="1"/>
  <c r="V39" i="6"/>
  <c r="H30" i="5"/>
  <c r="H42" i="5" s="1"/>
  <c r="Q60" i="6"/>
  <c r="AK15" i="4"/>
  <c r="L44" i="6"/>
  <c r="Z44" i="6" s="1"/>
  <c r="U54" i="6"/>
  <c r="H26" i="6"/>
  <c r="R70" i="6"/>
  <c r="D22" i="6"/>
  <c r="O68" i="6"/>
  <c r="Q68" i="6"/>
  <c r="S60" i="6"/>
  <c r="K65" i="6"/>
  <c r="Y65" i="6" s="1"/>
  <c r="AA33" i="6"/>
  <c r="W42" i="6"/>
  <c r="I22" i="6" s="1"/>
  <c r="AK22" i="4"/>
  <c r="F32" i="5"/>
  <c r="F44" i="5" s="1"/>
  <c r="X41" i="6"/>
  <c r="J22" i="6" s="1"/>
  <c r="X69" i="6"/>
  <c r="AK38" i="4"/>
  <c r="AK37" i="4"/>
  <c r="W60" i="6"/>
  <c r="C32" i="5"/>
  <c r="C65" i="6"/>
  <c r="AK40" i="4"/>
  <c r="K30" i="5"/>
  <c r="K42" i="5" s="1"/>
  <c r="G15" i="6"/>
  <c r="AC68" i="4"/>
  <c r="G17" i="2"/>
  <c r="I26" i="5"/>
  <c r="I38" i="5" s="1"/>
  <c r="O67" i="6"/>
  <c r="Y67" i="6"/>
  <c r="E21" i="6"/>
  <c r="N24" i="6"/>
  <c r="T67" i="6"/>
  <c r="O50" i="6"/>
  <c r="AD50" i="6" s="1"/>
  <c r="V25" i="4" s="1"/>
  <c r="AA35" i="6"/>
  <c r="AA42" i="6"/>
  <c r="Z73" i="6"/>
  <c r="T51" i="6"/>
  <c r="T70" i="6"/>
  <c r="AB62" i="6"/>
  <c r="N26" i="6" s="1"/>
  <c r="AK46" i="4"/>
  <c r="S69" i="6"/>
  <c r="T69" i="6"/>
  <c r="D26" i="5"/>
  <c r="D38" i="5" s="1"/>
  <c r="P38" i="5" s="1"/>
  <c r="D35" i="6"/>
  <c r="R35" i="6" s="1"/>
  <c r="Z70" i="6"/>
  <c r="V54" i="6"/>
  <c r="R39" i="6"/>
  <c r="D21" i="6" s="1"/>
  <c r="Q66" i="6"/>
  <c r="X42" i="6"/>
  <c r="D23" i="6"/>
  <c r="L30" i="5"/>
  <c r="L42" i="5" s="1"/>
  <c r="K26" i="5"/>
  <c r="K38" i="5" s="1"/>
  <c r="W58" i="6"/>
  <c r="I24" i="6"/>
  <c r="H22" i="6"/>
  <c r="S50" i="6"/>
  <c r="R64" i="6"/>
  <c r="S47" i="6"/>
  <c r="C33" i="6"/>
  <c r="Q46" i="6"/>
  <c r="O46" i="6"/>
  <c r="M20" i="6"/>
  <c r="H25" i="6"/>
  <c r="R38" i="6"/>
  <c r="AC38" i="6" s="1"/>
  <c r="O34" i="6"/>
  <c r="AD34" i="6" s="1"/>
  <c r="V9" i="4" s="1"/>
  <c r="U51" i="6"/>
  <c r="G23" i="6" s="1"/>
  <c r="AB65" i="6"/>
  <c r="AB50" i="6"/>
  <c r="E62" i="6"/>
  <c r="S62" i="6" s="1"/>
  <c r="E31" i="5"/>
  <c r="E43" i="5" s="1"/>
  <c r="S58" i="6"/>
  <c r="C36" i="6"/>
  <c r="AK11" i="4"/>
  <c r="R57" i="6"/>
  <c r="D24" i="6" s="1"/>
  <c r="L15" i="6"/>
  <c r="AH68" i="4"/>
  <c r="L17" i="2"/>
  <c r="F33" i="6"/>
  <c r="AK27" i="4"/>
  <c r="AK35" i="4"/>
  <c r="J34" i="6"/>
  <c r="X34" i="6" s="1"/>
  <c r="K37" i="5"/>
  <c r="C57" i="6"/>
  <c r="AK32" i="4"/>
  <c r="V58" i="6"/>
  <c r="Z33" i="6"/>
  <c r="L8" i="6"/>
  <c r="Y60" i="6"/>
  <c r="K26" i="6"/>
  <c r="H27" i="6"/>
  <c r="M53" i="6"/>
  <c r="AA53" i="6" s="1"/>
  <c r="E25" i="6"/>
  <c r="N22" i="6"/>
  <c r="M22" i="6"/>
  <c r="K24" i="6"/>
  <c r="X67" i="6"/>
  <c r="E32" i="5"/>
  <c r="E44" i="5" s="1"/>
  <c r="J15" i="6"/>
  <c r="J17" i="2"/>
  <c r="AF68" i="4"/>
  <c r="Q39" i="6"/>
  <c r="AC39" i="6" s="1"/>
  <c r="O39" i="6"/>
  <c r="Y37" i="6"/>
  <c r="V63" i="6"/>
  <c r="G24" i="6"/>
  <c r="U72" i="6"/>
  <c r="T72" i="6"/>
  <c r="V47" i="6"/>
  <c r="S70" i="6"/>
  <c r="E23" i="6" s="1"/>
  <c r="D33" i="6"/>
  <c r="Q53" i="6"/>
  <c r="O55" i="6"/>
  <c r="F27" i="5"/>
  <c r="F39" i="5" s="1"/>
  <c r="Q39" i="5" s="1"/>
  <c r="R39" i="5" s="1"/>
  <c r="AA62" i="6"/>
  <c r="M26" i="6" s="1"/>
  <c r="Z42" i="6"/>
  <c r="V51" i="6"/>
  <c r="W67" i="6"/>
  <c r="AB57" i="6"/>
  <c r="N70" i="6"/>
  <c r="AB70" i="6" s="1"/>
  <c r="H29" i="5"/>
  <c r="H41" i="5" s="1"/>
  <c r="AC61" i="6"/>
  <c r="K15" i="6"/>
  <c r="AG68" i="4"/>
  <c r="K17" i="2"/>
  <c r="Q41" i="6"/>
  <c r="AC41" i="6" s="1"/>
  <c r="H33" i="6"/>
  <c r="H35" i="6"/>
  <c r="V35" i="6" s="1"/>
  <c r="K55" i="6"/>
  <c r="Y55" i="6" s="1"/>
  <c r="M24" i="6"/>
  <c r="AC59" i="6"/>
  <c r="O9" i="6"/>
  <c r="O44" i="6"/>
  <c r="Q44" i="6"/>
  <c r="AC44" i="6" s="1"/>
  <c r="Z62" i="6"/>
  <c r="L26" i="6" s="1"/>
  <c r="W51" i="6"/>
  <c r="I23" i="6" s="1"/>
  <c r="W66" i="6"/>
  <c r="AB33" i="6"/>
  <c r="C56" i="6"/>
  <c r="AK31" i="4"/>
  <c r="G31" i="5"/>
  <c r="G43" i="5" s="1"/>
  <c r="N29" i="5"/>
  <c r="N41" i="5" s="1"/>
  <c r="C47" i="2"/>
  <c r="C24" i="3"/>
  <c r="F7" i="5" s="1"/>
  <c r="F8" i="5" s="1"/>
  <c r="K12" i="2"/>
  <c r="T37" i="6"/>
  <c r="F53" i="6"/>
  <c r="M15" i="6"/>
  <c r="AI68" i="4"/>
  <c r="M17" i="2"/>
  <c r="I33" i="6"/>
  <c r="K35" i="6"/>
  <c r="Y35" i="6" s="1"/>
  <c r="L28" i="5"/>
  <c r="L40" i="5" s="1"/>
  <c r="AK13" i="4"/>
  <c r="Q52" i="6"/>
  <c r="AC52" i="6" s="1"/>
  <c r="O52" i="6"/>
  <c r="Q70" i="6"/>
  <c r="G32" i="5"/>
  <c r="G44" i="5" s="1"/>
  <c r="G65" i="6"/>
  <c r="U65" i="6" s="1"/>
  <c r="G27" i="6" s="1"/>
  <c r="AA66" i="6"/>
  <c r="W69" i="6"/>
  <c r="U62" i="6"/>
  <c r="G26" i="6" s="1"/>
  <c r="Y66" i="6"/>
  <c r="K27" i="6" s="1"/>
  <c r="F23" i="6"/>
  <c r="AB35" i="6"/>
  <c r="N21" i="6" s="1"/>
  <c r="J31" i="5"/>
  <c r="J43" i="5" s="1"/>
  <c r="E48" i="6"/>
  <c r="S48" i="6" s="1"/>
  <c r="C29" i="5"/>
  <c r="AK28" i="4"/>
  <c r="AK8" i="4"/>
  <c r="AK26" i="4"/>
  <c r="Y33" i="6"/>
  <c r="K20" i="6" s="1"/>
  <c r="L32" i="5"/>
  <c r="L44" i="5" s="1"/>
  <c r="Z54" i="6"/>
  <c r="L24" i="6" s="1"/>
  <c r="O66" i="6"/>
  <c r="AB66" i="6"/>
  <c r="N27" i="6" s="1"/>
  <c r="I65" i="6"/>
  <c r="AA68" i="4"/>
  <c r="E15" i="6"/>
  <c r="E17" i="2"/>
  <c r="L37" i="5"/>
  <c r="N20" i="6"/>
  <c r="AA60" i="6"/>
  <c r="M25" i="6" s="1"/>
  <c r="Q62" i="6"/>
  <c r="M27" i="6"/>
  <c r="J30" i="5"/>
  <c r="J42" i="5" s="1"/>
  <c r="P42" i="5" s="1"/>
  <c r="N26" i="5"/>
  <c r="N38" i="5" s="1"/>
  <c r="V53" i="6"/>
  <c r="H24" i="6" s="1"/>
  <c r="AB58" i="6"/>
  <c r="I59" i="2"/>
  <c r="C57" i="2"/>
  <c r="F59" i="2"/>
  <c r="G59" i="2"/>
  <c r="B57" i="2"/>
  <c r="K56" i="2"/>
  <c r="E59" i="2"/>
  <c r="F56" i="2"/>
  <c r="B59" i="2"/>
  <c r="B56" i="2"/>
  <c r="C59" i="2"/>
  <c r="E56" i="2"/>
  <c r="I55" i="2"/>
  <c r="C56" i="2"/>
  <c r="K58" i="2"/>
  <c r="I58" i="2"/>
  <c r="K55" i="2"/>
  <c r="I60" i="2"/>
  <c r="G58" i="2"/>
  <c r="F58" i="2"/>
  <c r="G55" i="2"/>
  <c r="E58" i="2"/>
  <c r="F55" i="2"/>
  <c r="C58" i="2"/>
  <c r="E55" i="2"/>
  <c r="K57" i="2"/>
  <c r="K60" i="2"/>
  <c r="B58" i="2"/>
  <c r="C55" i="2"/>
  <c r="B55" i="2"/>
  <c r="I57" i="2"/>
  <c r="G56" i="2"/>
  <c r="B60" i="2"/>
  <c r="G57" i="2"/>
  <c r="F57" i="2"/>
  <c r="E57" i="2"/>
  <c r="E60" i="2"/>
  <c r="I56" i="2"/>
  <c r="G60" i="2"/>
  <c r="F60" i="2"/>
  <c r="C60" i="2"/>
  <c r="K59" i="2"/>
  <c r="L22" i="6"/>
  <c r="AK45" i="4"/>
  <c r="J23" i="6"/>
  <c r="F35" i="6"/>
  <c r="T35" i="6" s="1"/>
  <c r="D42" i="6"/>
  <c r="R42" i="6" s="1"/>
  <c r="Q47" i="6"/>
  <c r="O47" i="6"/>
  <c r="AB47" i="6"/>
  <c r="V70" i="6"/>
  <c r="Y47" i="6"/>
  <c r="K23" i="6" s="1"/>
  <c r="L23" i="6"/>
  <c r="AB37" i="6"/>
  <c r="AB53" i="6"/>
  <c r="AK17" i="4"/>
  <c r="N15" i="6"/>
  <c r="AJ68" i="4"/>
  <c r="N17" i="2"/>
  <c r="W53" i="6"/>
  <c r="AC34" i="6"/>
  <c r="O54" i="6"/>
  <c r="R68" i="6"/>
  <c r="Z36" i="6"/>
  <c r="W35" i="6"/>
  <c r="U70" i="6"/>
  <c r="Q73" i="6"/>
  <c r="R73" i="6"/>
  <c r="L27" i="6"/>
  <c r="F21" i="6"/>
  <c r="Z58" i="6"/>
  <c r="L25" i="6" s="1"/>
  <c r="X58" i="6"/>
  <c r="J25" i="6" s="1"/>
  <c r="K28" i="5"/>
  <c r="K40" i="5" s="1"/>
  <c r="N59" i="6"/>
  <c r="AB59" i="6" s="1"/>
  <c r="C48" i="2"/>
  <c r="L26" i="5"/>
  <c r="L38" i="5" s="1"/>
  <c r="Y53" i="6"/>
  <c r="C68" i="2"/>
  <c r="E65" i="2"/>
  <c r="J67" i="2"/>
  <c r="B65" i="2"/>
  <c r="B68" i="2"/>
  <c r="G68" i="2" s="1"/>
  <c r="C65" i="2"/>
  <c r="B69" i="2"/>
  <c r="G69" i="2" s="1"/>
  <c r="I65" i="2"/>
  <c r="F65" i="2"/>
  <c r="J64" i="2"/>
  <c r="I67" i="2"/>
  <c r="J68" i="2"/>
  <c r="J66" i="2"/>
  <c r="I68" i="2"/>
  <c r="F64" i="2"/>
  <c r="F68" i="2"/>
  <c r="I64" i="2"/>
  <c r="E68" i="2"/>
  <c r="E64" i="2"/>
  <c r="F67" i="2"/>
  <c r="C64" i="2"/>
  <c r="E67" i="2"/>
  <c r="B64" i="2"/>
  <c r="G64" i="2" s="1"/>
  <c r="B67" i="2"/>
  <c r="C67" i="2"/>
  <c r="J69" i="2"/>
  <c r="I69" i="2"/>
  <c r="E69" i="2"/>
  <c r="F69" i="2"/>
  <c r="C69" i="2"/>
  <c r="I66" i="2"/>
  <c r="J65" i="2"/>
  <c r="F66" i="2"/>
  <c r="B66" i="2"/>
  <c r="G66" i="2" s="1"/>
  <c r="E66" i="2"/>
  <c r="C66" i="2"/>
  <c r="Q58" i="6"/>
  <c r="W68" i="6"/>
  <c r="I25" i="6" s="1"/>
  <c r="S68" i="6"/>
  <c r="T50" i="6"/>
  <c r="L20" i="6"/>
  <c r="E29" i="5"/>
  <c r="E41" i="5" s="1"/>
  <c r="X54" i="6"/>
  <c r="J24" i="6" s="1"/>
  <c r="V37" i="6"/>
  <c r="E37" i="5"/>
  <c r="C22" i="6"/>
  <c r="O64" i="6"/>
  <c r="F27" i="6"/>
  <c r="X39" i="6"/>
  <c r="J21" i="6" s="1"/>
  <c r="M23" i="6"/>
  <c r="AB73" i="6"/>
  <c r="D28" i="5"/>
  <c r="D40" i="5" s="1"/>
  <c r="O63" i="6"/>
  <c r="W39" i="6"/>
  <c r="C31" i="5"/>
  <c r="U46" i="6"/>
  <c r="S64" i="6"/>
  <c r="R40" i="6"/>
  <c r="Z38" i="6"/>
  <c r="C49" i="6"/>
  <c r="E22" i="6"/>
  <c r="I28" i="5"/>
  <c r="I40" i="5" s="1"/>
  <c r="C25" i="6"/>
  <c r="AA68" i="6"/>
  <c r="I21" i="6"/>
  <c r="J62" i="6"/>
  <c r="X62" i="6" s="1"/>
  <c r="N23" i="6"/>
  <c r="AB51" i="6"/>
  <c r="C28" i="5"/>
  <c r="AK20" i="4"/>
  <c r="C25" i="5"/>
  <c r="M26" i="5"/>
  <c r="M38" i="5" s="1"/>
  <c r="AK16" i="4"/>
  <c r="C35" i="6"/>
  <c r="AK10" i="4"/>
  <c r="Y58" i="6"/>
  <c r="K25" i="6" s="1"/>
  <c r="S54" i="6"/>
  <c r="E24" i="6" s="1"/>
  <c r="AA40" i="6"/>
  <c r="Q42" i="6"/>
  <c r="T66" i="6"/>
  <c r="S35" i="6"/>
  <c r="D25" i="6"/>
  <c r="D27" i="6"/>
  <c r="AB64" i="6"/>
  <c r="U37" i="6"/>
  <c r="G21" i="6" s="1"/>
  <c r="V42" i="6"/>
  <c r="Q51" i="6"/>
  <c r="O51" i="6"/>
  <c r="O69" i="6"/>
  <c r="V46" i="6"/>
  <c r="H23" i="6" s="1"/>
  <c r="U66" i="6"/>
  <c r="T64" i="6"/>
  <c r="F26" i="6" s="1"/>
  <c r="E33" i="6"/>
  <c r="R60" i="6"/>
  <c r="E26" i="6"/>
  <c r="Q69" i="6"/>
  <c r="K22" i="6"/>
  <c r="Q45" i="6"/>
  <c r="AC45" i="6" s="1"/>
  <c r="AA63" i="6"/>
  <c r="J33" i="6"/>
  <c r="Q55" i="6"/>
  <c r="AC55" i="6" s="1"/>
  <c r="W62" i="6"/>
  <c r="I26" i="6" s="1"/>
  <c r="F22" i="6"/>
  <c r="AB71" i="6"/>
  <c r="H32" i="5"/>
  <c r="H44" i="5" s="1"/>
  <c r="U41" i="6"/>
  <c r="S36" i="6"/>
  <c r="F25" i="5"/>
  <c r="V36" i="6"/>
  <c r="AK19" i="4"/>
  <c r="K8" i="6" l="1"/>
  <c r="AD39" i="6"/>
  <c r="V14" i="4" s="1"/>
  <c r="K33" i="5"/>
  <c r="K18" i="2" s="1"/>
  <c r="K20" i="2" s="1"/>
  <c r="O62" i="6"/>
  <c r="AD62" i="6" s="1"/>
  <c r="V37" i="4" s="1"/>
  <c r="W33" i="6"/>
  <c r="I8" i="6"/>
  <c r="I20" i="6"/>
  <c r="M8" i="6"/>
  <c r="M11" i="6" s="1"/>
  <c r="D33" i="5"/>
  <c r="D18" i="2" s="1"/>
  <c r="D20" i="2" s="1"/>
  <c r="AC66" i="6"/>
  <c r="AD66" i="6" s="1"/>
  <c r="V41" i="4" s="1"/>
  <c r="K45" i="5"/>
  <c r="AK68" i="4"/>
  <c r="AD38" i="6"/>
  <c r="V13" i="4" s="1"/>
  <c r="O26" i="6"/>
  <c r="G49" i="2" s="1"/>
  <c r="D45" i="5"/>
  <c r="AC47" i="6"/>
  <c r="AD47" i="6" s="1"/>
  <c r="V22" i="4" s="1"/>
  <c r="AC62" i="6"/>
  <c r="C41" i="5"/>
  <c r="O29" i="5"/>
  <c r="D47" i="2" s="1"/>
  <c r="F47" i="2" s="1"/>
  <c r="M10" i="6"/>
  <c r="G45" i="5"/>
  <c r="M21" i="6"/>
  <c r="M28" i="6" s="1"/>
  <c r="Q57" i="6"/>
  <c r="AC57" i="6" s="1"/>
  <c r="O57" i="6"/>
  <c r="U42" i="6"/>
  <c r="G10" i="6" s="1"/>
  <c r="G22" i="6"/>
  <c r="O22" i="6" s="1"/>
  <c r="G45" i="2" s="1"/>
  <c r="K21" i="6"/>
  <c r="K28" i="6" s="1"/>
  <c r="E45" i="5"/>
  <c r="AC42" i="6"/>
  <c r="AC73" i="6"/>
  <c r="AD73" i="6" s="1"/>
  <c r="V48" i="4" s="1"/>
  <c r="J60" i="2" s="1"/>
  <c r="AD44" i="6"/>
  <c r="V19" i="4" s="1"/>
  <c r="AD46" i="6"/>
  <c r="V21" i="4" s="1"/>
  <c r="G33" i="5"/>
  <c r="G18" i="2" s="1"/>
  <c r="G20" i="2" s="1"/>
  <c r="AC46" i="6"/>
  <c r="AC64" i="6"/>
  <c r="AD64" i="6"/>
  <c r="V39" i="4" s="1"/>
  <c r="J8" i="6"/>
  <c r="X33" i="6"/>
  <c r="J10" i="6" s="1"/>
  <c r="J20" i="6"/>
  <c r="J28" i="6" s="1"/>
  <c r="O49" i="6"/>
  <c r="Q49" i="6"/>
  <c r="AC49" i="6" s="1"/>
  <c r="T53" i="6"/>
  <c r="F24" i="6" s="1"/>
  <c r="O53" i="6"/>
  <c r="T33" i="6"/>
  <c r="F10" i="6" s="1"/>
  <c r="F8" i="6"/>
  <c r="F11" i="6" s="1"/>
  <c r="F20" i="6"/>
  <c r="F28" i="6" s="1"/>
  <c r="Q33" i="6"/>
  <c r="C8" i="6"/>
  <c r="O33" i="6"/>
  <c r="C20" i="6"/>
  <c r="O26" i="5"/>
  <c r="D44" i="2" s="1"/>
  <c r="F44" i="2" s="1"/>
  <c r="AC48" i="6"/>
  <c r="D26" i="6"/>
  <c r="J33" i="5"/>
  <c r="J18" i="2" s="1"/>
  <c r="J20" i="2" s="1"/>
  <c r="O42" i="6"/>
  <c r="AC69" i="6"/>
  <c r="AD69" i="6" s="1"/>
  <c r="V44" i="4" s="1"/>
  <c r="J57" i="2" s="1"/>
  <c r="L45" i="5"/>
  <c r="O30" i="5"/>
  <c r="D48" i="2" s="1"/>
  <c r="F48" i="2" s="1"/>
  <c r="AD55" i="6"/>
  <c r="V30" i="4" s="1"/>
  <c r="AC40" i="6"/>
  <c r="AD40" i="6" s="1"/>
  <c r="V15" i="4" s="1"/>
  <c r="O48" i="6"/>
  <c r="AD48" i="6" s="1"/>
  <c r="V23" i="4" s="1"/>
  <c r="AC72" i="6"/>
  <c r="AD72" i="6" s="1"/>
  <c r="V47" i="4" s="1"/>
  <c r="J59" i="2" s="1"/>
  <c r="P39" i="5"/>
  <c r="G25" i="6"/>
  <c r="O25" i="6" s="1"/>
  <c r="G48" i="2" s="1"/>
  <c r="L28" i="6"/>
  <c r="L33" i="5"/>
  <c r="L18" i="2" s="1"/>
  <c r="L20" i="2" s="1"/>
  <c r="AC53" i="6"/>
  <c r="AC68" i="6"/>
  <c r="AD68" i="6" s="1"/>
  <c r="V43" i="4" s="1"/>
  <c r="J56" i="2" s="1"/>
  <c r="O59" i="6"/>
  <c r="AD59" i="6" s="1"/>
  <c r="V34" i="4" s="1"/>
  <c r="G67" i="2"/>
  <c r="G65" i="2"/>
  <c r="AD54" i="6"/>
  <c r="V29" i="4" s="1"/>
  <c r="R33" i="6"/>
  <c r="D10" i="6" s="1"/>
  <c r="D8" i="6"/>
  <c r="D11" i="6" s="1"/>
  <c r="D20" i="6"/>
  <c r="D28" i="6" s="1"/>
  <c r="C23" i="6"/>
  <c r="O23" i="6" s="1"/>
  <c r="G46" i="2" s="1"/>
  <c r="H45" i="5"/>
  <c r="O15" i="6"/>
  <c r="H33" i="5"/>
  <c r="H18" i="2" s="1"/>
  <c r="H20" i="2" s="1"/>
  <c r="AD61" i="6"/>
  <c r="V36" i="4" s="1"/>
  <c r="AC71" i="6"/>
  <c r="AD71" i="6" s="1"/>
  <c r="V46" i="4" s="1"/>
  <c r="J58" i="2" s="1"/>
  <c r="C43" i="5"/>
  <c r="O31" i="5"/>
  <c r="D49" i="2" s="1"/>
  <c r="F49" i="2" s="1"/>
  <c r="Q35" i="6"/>
  <c r="O35" i="6"/>
  <c r="V33" i="6"/>
  <c r="H10" i="6" s="1"/>
  <c r="H8" i="6"/>
  <c r="J26" i="6"/>
  <c r="O32" i="5"/>
  <c r="D50" i="2" s="1"/>
  <c r="F50" i="2" s="1"/>
  <c r="C44" i="5"/>
  <c r="O42" i="5"/>
  <c r="G8" i="6"/>
  <c r="B7" i="2"/>
  <c r="O17" i="2"/>
  <c r="Q36" i="6"/>
  <c r="AC36" i="6" s="1"/>
  <c r="O36" i="6"/>
  <c r="AD36" i="6" s="1"/>
  <c r="V11" i="4" s="1"/>
  <c r="N33" i="5"/>
  <c r="N18" i="2" s="1"/>
  <c r="N20" i="2" s="1"/>
  <c r="N37" i="5"/>
  <c r="N45" i="5" s="1"/>
  <c r="E12" i="2"/>
  <c r="M45" i="5"/>
  <c r="N25" i="6"/>
  <c r="N28" i="6" s="1"/>
  <c r="O27" i="5"/>
  <c r="D45" i="2" s="1"/>
  <c r="F45" i="2" s="1"/>
  <c r="S33" i="6"/>
  <c r="E10" i="6" s="1"/>
  <c r="E8" i="6"/>
  <c r="Q65" i="6"/>
  <c r="O65" i="6"/>
  <c r="C33" i="5"/>
  <c r="C37" i="5"/>
  <c r="O25" i="5"/>
  <c r="D43" i="2" s="1"/>
  <c r="E33" i="5"/>
  <c r="E18" i="2" s="1"/>
  <c r="E20" i="2" s="1"/>
  <c r="O70" i="6"/>
  <c r="M33" i="5"/>
  <c r="M18" i="2" s="1"/>
  <c r="M20" i="2" s="1"/>
  <c r="AD41" i="6"/>
  <c r="V16" i="4" s="1"/>
  <c r="Q38" i="5"/>
  <c r="R38" i="5" s="1"/>
  <c r="K10" i="6"/>
  <c r="W65" i="6"/>
  <c r="I27" i="6"/>
  <c r="AD51" i="6"/>
  <c r="V26" i="4" s="1"/>
  <c r="Q56" i="6"/>
  <c r="AC56" i="6" s="1"/>
  <c r="O56" i="6"/>
  <c r="AD56" i="6" s="1"/>
  <c r="V31" i="4" s="1"/>
  <c r="L11" i="6"/>
  <c r="G20" i="6"/>
  <c r="G28" i="6" s="1"/>
  <c r="AD45" i="6"/>
  <c r="V20" i="4" s="1"/>
  <c r="O38" i="5"/>
  <c r="AD63" i="6"/>
  <c r="V38" i="4" s="1"/>
  <c r="F33" i="5"/>
  <c r="F18" i="2" s="1"/>
  <c r="F20" i="2" s="1"/>
  <c r="F37" i="5"/>
  <c r="F45" i="5" s="1"/>
  <c r="AC51" i="6"/>
  <c r="AC60" i="6"/>
  <c r="AD60" i="6" s="1"/>
  <c r="V35" i="4" s="1"/>
  <c r="AC54" i="6"/>
  <c r="Q37" i="6"/>
  <c r="AC37" i="6" s="1"/>
  <c r="O37" i="6"/>
  <c r="AD37" i="6" s="1"/>
  <c r="V12" i="4" s="1"/>
  <c r="AC67" i="6"/>
  <c r="AD67" i="6" s="1"/>
  <c r="V42" i="4" s="1"/>
  <c r="J55" i="2" s="1"/>
  <c r="I45" i="5"/>
  <c r="O58" i="6"/>
  <c r="AC70" i="6"/>
  <c r="O28" i="5"/>
  <c r="D46" i="2" s="1"/>
  <c r="F46" i="2" s="1"/>
  <c r="C40" i="5"/>
  <c r="AC58" i="6"/>
  <c r="N8" i="6"/>
  <c r="N11" i="6" s="1"/>
  <c r="L10" i="6"/>
  <c r="H21" i="6"/>
  <c r="AD52" i="6"/>
  <c r="V27" i="4" s="1"/>
  <c r="N10" i="6"/>
  <c r="I33" i="5"/>
  <c r="I18" i="2" s="1"/>
  <c r="I20" i="2" s="1"/>
  <c r="I48" i="2" l="1"/>
  <c r="I45" i="2"/>
  <c r="N13" i="6"/>
  <c r="N16" i="6"/>
  <c r="N14" i="6"/>
  <c r="N21" i="2"/>
  <c r="N23" i="2" s="1"/>
  <c r="E11" i="6"/>
  <c r="H11" i="6"/>
  <c r="AD35" i="6"/>
  <c r="V10" i="4" s="1"/>
  <c r="AD58" i="6"/>
  <c r="V33" i="4" s="1"/>
  <c r="I28" i="6"/>
  <c r="F13" i="6"/>
  <c r="F16" i="6"/>
  <c r="F14" i="6"/>
  <c r="F21" i="2"/>
  <c r="F23" i="2" s="1"/>
  <c r="M16" i="6"/>
  <c r="M14" i="6"/>
  <c r="M13" i="6"/>
  <c r="M21" i="2"/>
  <c r="M23" i="2" s="1"/>
  <c r="AD57" i="6"/>
  <c r="V32" i="4" s="1"/>
  <c r="AD70" i="6"/>
  <c r="V45" i="4" s="1"/>
  <c r="AD49" i="6"/>
  <c r="V24" i="4" s="1"/>
  <c r="I10" i="6"/>
  <c r="I11" i="6" s="1"/>
  <c r="G11" i="6"/>
  <c r="F43" i="2"/>
  <c r="D51" i="2"/>
  <c r="F51" i="2" s="1"/>
  <c r="AD42" i="6"/>
  <c r="V17" i="4" s="1"/>
  <c r="J11" i="6"/>
  <c r="I49" i="2"/>
  <c r="L13" i="6"/>
  <c r="L16" i="6"/>
  <c r="L14" i="6"/>
  <c r="L21" i="2"/>
  <c r="L23" i="2" s="1"/>
  <c r="AD53" i="6"/>
  <c r="V28" i="4" s="1"/>
  <c r="C45" i="5"/>
  <c r="O45" i="5" s="1"/>
  <c r="Q37" i="5"/>
  <c r="P37" i="5"/>
  <c r="O37" i="5"/>
  <c r="D14" i="6"/>
  <c r="D13" i="6"/>
  <c r="D16" i="6"/>
  <c r="D21" i="2"/>
  <c r="D23" i="2" s="1"/>
  <c r="O33" i="5"/>
  <c r="C18" i="2"/>
  <c r="Q44" i="5"/>
  <c r="R44" i="5" s="1"/>
  <c r="O44" i="5"/>
  <c r="P44" i="5"/>
  <c r="AD33" i="6"/>
  <c r="V8" i="4" s="1"/>
  <c r="C11" i="6"/>
  <c r="O8" i="6"/>
  <c r="I46" i="2"/>
  <c r="AD65" i="6"/>
  <c r="V40" i="4" s="1"/>
  <c r="Q41" i="5"/>
  <c r="R41" i="5" s="1"/>
  <c r="P41" i="5"/>
  <c r="O41" i="5"/>
  <c r="K11" i="6"/>
  <c r="AC35" i="6"/>
  <c r="C21" i="6"/>
  <c r="O21" i="6" s="1"/>
  <c r="G44" i="2" s="1"/>
  <c r="C10" i="6"/>
  <c r="AC33" i="6"/>
  <c r="O43" i="5"/>
  <c r="P43" i="5"/>
  <c r="Q43" i="5"/>
  <c r="R43" i="5" s="1"/>
  <c r="AC65" i="6"/>
  <c r="O40" i="5"/>
  <c r="Q40" i="5"/>
  <c r="R40" i="5" s="1"/>
  <c r="P40" i="5"/>
  <c r="C24" i="6"/>
  <c r="O24" i="6" s="1"/>
  <c r="G47" i="2" s="1"/>
  <c r="E20" i="6"/>
  <c r="E28" i="6" s="1"/>
  <c r="H20" i="6"/>
  <c r="H28" i="6" s="1"/>
  <c r="C27" i="6"/>
  <c r="O27" i="6" s="1"/>
  <c r="G50" i="2" s="1"/>
  <c r="I13" i="6" l="1"/>
  <c r="I16" i="6"/>
  <c r="I14" i="6"/>
  <c r="I21" i="2"/>
  <c r="I23" i="2" s="1"/>
  <c r="I50" i="2"/>
  <c r="O20" i="6"/>
  <c r="Q45" i="5"/>
  <c r="G9" i="2" s="1"/>
  <c r="R37" i="5"/>
  <c r="O18" i="2"/>
  <c r="C7" i="2" s="1"/>
  <c r="C20" i="2"/>
  <c r="O20" i="2" s="1"/>
  <c r="G7" i="2" s="1"/>
  <c r="C28" i="6"/>
  <c r="H13" i="6"/>
  <c r="H16" i="6"/>
  <c r="H14" i="6"/>
  <c r="H21" i="2"/>
  <c r="H23" i="2" s="1"/>
  <c r="I47" i="2"/>
  <c r="V68" i="4"/>
  <c r="J13" i="6"/>
  <c r="J16" i="6"/>
  <c r="J14" i="6"/>
  <c r="J21" i="2"/>
  <c r="J23" i="2" s="1"/>
  <c r="E16" i="6"/>
  <c r="E13" i="6"/>
  <c r="E14" i="6"/>
  <c r="E21" i="2"/>
  <c r="E23" i="2" s="1"/>
  <c r="I44" i="2"/>
  <c r="G16" i="6"/>
  <c r="G13" i="6"/>
  <c r="G14" i="6"/>
  <c r="G21" i="2"/>
  <c r="G23" i="2" s="1"/>
  <c r="C14" i="6"/>
  <c r="C13" i="6"/>
  <c r="O11" i="6"/>
  <c r="C16" i="6"/>
  <c r="C21" i="2"/>
  <c r="O10" i="6"/>
  <c r="K14" i="6"/>
  <c r="K13" i="6"/>
  <c r="K16" i="6"/>
  <c r="K21" i="2"/>
  <c r="K23" i="2" s="1"/>
  <c r="P45" i="5"/>
  <c r="O21" i="2" l="1"/>
  <c r="C23" i="2"/>
  <c r="O16" i="6"/>
  <c r="O14" i="6"/>
  <c r="O13" i="6"/>
  <c r="O28" i="6"/>
  <c r="O29" i="6" s="1"/>
  <c r="G43" i="2"/>
  <c r="G51" i="2" l="1"/>
  <c r="H43" i="2"/>
  <c r="I43" i="2"/>
  <c r="I7" i="2"/>
  <c r="G12" i="2"/>
  <c r="O23" i="2"/>
  <c r="K7" i="2" s="1"/>
  <c r="I51" i="2" l="1"/>
  <c r="H46" i="2"/>
  <c r="H48" i="2"/>
  <c r="H45" i="2"/>
  <c r="H49" i="2"/>
  <c r="H50" i="2"/>
  <c r="H44" i="2"/>
  <c r="H51" i="2" s="1"/>
  <c r="H47" i="2"/>
</calcChain>
</file>

<file path=xl/sharedStrings.xml><?xml version="1.0" encoding="utf-8"?>
<sst xmlns="http://schemas.openxmlformats.org/spreadsheetml/2006/main" count="709" uniqueCount="373">
  <si>
    <t>Personalplanung</t>
  </si>
  <si>
    <t>Personalbestand, Stellenbedarf und Personalkosten in einer Datei planen – vom Soll-Ist-Abgleich bis zum Budget.</t>
  </si>
  <si>
    <t>Die Vorlage verbindet drei Fragen der Personalplanung: Wie viele Mitarbeitende brauchen wir (Soll)? Wie viele haben bzw. bekommen wir (Ist inkl. Planstellen)? Und was kostet das im Planjahr? Alle Auswertungen aktualisieren sich automatisch.</t>
  </si>
  <si>
    <t>So arbeiten Sie mit der Vorlage</t>
  </si>
  <si>
    <t>Parameter</t>
  </si>
  <si>
    <t>Planjahr, Unternehmen, Arbeitszeit, Ausfalltage, Gehaltsanpassung und SV-Sätze prüfen. Abteilungen und Kostenstellen eintragen (bis zu 8).</t>
  </si>
  <si>
    <t>Personal</t>
  </si>
  <si>
    <t>Bestand mit Eintritt, Austritt, Wochenstunden und Bruttogehalt erfassen (bis zu 60 Zeilen). Geplante Stellen als „Neueinstellung“ oder „Ersatz“ anlegen und mit „Einplanen?“ steuern. FTE je Monat, Ausschreibungstermin und Hinweise entstehen automatisch.</t>
  </si>
  <si>
    <t>Bedarfsplanung</t>
  </si>
  <si>
    <t>Soll-FTE je Abteilung und Monat eintragen – bei Bedarf mit dem FTE-Rechner aus dem Arbeitsvolumen ableiten. Die Abweichung zeigt, wo und wie lange Kapazität fehlt.</t>
  </si>
  <si>
    <t>Personalkosten</t>
  </si>
  <si>
    <t>Monatsbudget eintragen. Gehälter, Sonderzahlungen und AG-Anteile werden je Person und Monat berechnet und nach Abteilungen summiert.</t>
  </si>
  <si>
    <t>Übersicht</t>
  </si>
  <si>
    <t>Kennzahlen, Monatsverlauf, Abteilungsvergleich, Recruiting-Fahrplan und anstehende Austritte auf einen Blick – ideal für Gespräche mit Geschäftsführung und Führungskräften.</t>
  </si>
  <si>
    <t>Farben &amp; Zellen</t>
  </si>
  <si>
    <t>Eingabe</t>
  </si>
  <si>
    <t>Weiße Felder: hier Daten erfassen, meist per Auswahlliste.</t>
  </si>
  <si>
    <t>Formel</t>
  </si>
  <si>
    <t>Graue Felder rechnen automatisch – bitte nicht überschreiben.</t>
  </si>
  <si>
    <t>Stellschraube</t>
  </si>
  <si>
    <t>Bordeaux umrandet: zentrale Annahmen wie Planjahr oder Gehaltsanpassung.</t>
  </si>
  <si>
    <t>Handlungsbedarf</t>
  </si>
  <si>
    <t>Unterdeckung, Budgetüberschreitung, fällige Ausschreibung oder Grenzwert verletzt.</t>
  </si>
  <si>
    <t>Prüfen</t>
  </si>
  <si>
    <t>Befristung endet, Stelle noch offen oder Nachfolge nicht eingeplant.</t>
  </si>
  <si>
    <t>Im Plan</t>
  </si>
  <si>
    <t>Abweichung innerhalb der Toleranz bzw. Budget eingehalten.</t>
  </si>
  <si>
    <t>Info</t>
  </si>
  <si>
    <t>Austritt im Planjahr, Stelle im Verfahren oder Überdeckung.</t>
  </si>
  <si>
    <t>Gut zu wissen</t>
  </si>
  <si>
    <t>■</t>
  </si>
  <si>
    <t>FTE = Wochenstunden ÷ Vollzeit-Wochenstunden. Ein- und Austritte werden tagesgenau auf die Monate verteilt.</t>
  </si>
  <si>
    <t>„Geplante Stellen einrechnen = Nein“ (Parameter) zeigt den reinen Bestand – ideal für den Vergleich zweier Szenarien.</t>
  </si>
  <si>
    <t>Ausschreibung ab = Eintritt minus Recruiting-Vorlauf. Ist der Termin erreicht und die Stelle noch offen, erscheint ein Hinweis.</t>
  </si>
  <si>
    <t>Fluktuationsquote = Austritte im Planjahr ÷ durchschnittliche Kopfzahl.</t>
  </si>
  <si>
    <t>Die Prüfung auf Mindestlohn rechnet mit 4,33 Wochen je Monat; die SV-Werte 2027 sind Planwerte und vor Verwendung zu prüfen.</t>
  </si>
  <si>
    <t>Personaldaten sind vertraulich: Datei nur berechtigten Personen zugänglich machen.</t>
  </si>
  <si>
    <t>Personalplanung – Übersicht</t>
  </si>
  <si>
    <t>KÖPFE ZUM JAHRESENDE</t>
  </si>
  <si>
    <t>Ø FTE PLAN</t>
  </si>
  <si>
    <t>Ø FTE SOLL</t>
  </si>
  <si>
    <t>Ø ABWEICHUNG</t>
  </si>
  <si>
    <t>PERSONALKOSTEN</t>
  </si>
  <si>
    <t>BUDGET-ABWEICHUNG</t>
  </si>
  <si>
    <t>OFFENE PLANSTELLEN</t>
  </si>
  <si>
    <t>Eintritte im Planjahr</t>
  </si>
  <si>
    <t>Austritte im Planjahr</t>
  </si>
  <si>
    <t>Fluktuationsquote</t>
  </si>
  <si>
    <t>Ø Kosten je FTE / Jahr</t>
  </si>
  <si>
    <t>Ausfallquote</t>
  </si>
  <si>
    <t>Netto-Std. je FTE / Jahr</t>
  </si>
  <si>
    <t>Monatsverlauf</t>
  </si>
  <si>
    <t>Kennzahl</t>
  </si>
  <si>
    <t>Jan</t>
  </si>
  <si>
    <t>Feb</t>
  </si>
  <si>
    <t>Mär</t>
  </si>
  <si>
    <t>Apr</t>
  </si>
  <si>
    <t>Mai</t>
  </si>
  <si>
    <t>Jun</t>
  </si>
  <si>
    <t>Jul</t>
  </si>
  <si>
    <t>Aug</t>
  </si>
  <si>
    <t>Sep</t>
  </si>
  <si>
    <t>Okt</t>
  </si>
  <si>
    <t>Nov</t>
  </si>
  <si>
    <t>Dez</t>
  </si>
  <si>
    <t>Jahr</t>
  </si>
  <si>
    <t>Köpfe (im Monat beschäftigt)</t>
  </si>
  <si>
    <t>FTE Plan</t>
  </si>
  <si>
    <t>FTE Soll</t>
  </si>
  <si>
    <t>Abweichung FTE</t>
  </si>
  <si>
    <t>Budget</t>
  </si>
  <si>
    <t>Abweichung Budget</t>
  </si>
  <si>
    <t>Abteilungen im Vergleich</t>
  </si>
  <si>
    <t>Abteilung</t>
  </si>
  <si>
    <t>Köpfe
(Dez)</t>
  </si>
  <si>
    <t>Ø FTE
Plan</t>
  </si>
  <si>
    <t>Ø FTE
Soll</t>
  </si>
  <si>
    <t>Ab-
weichung</t>
  </si>
  <si>
    <t>Personal-
kosten</t>
  </si>
  <si>
    <t>Anteil
Kosten</t>
  </si>
  <si>
    <t>Kosten
je FTE</t>
  </si>
  <si>
    <t>Kosten-
stelle</t>
  </si>
  <si>
    <t>Lesehilfe
Abweichung = Ø FTE Plan − Ø FTE Soll. Negative Werte (rot) zeigen, wo Kapazität fehlt. Details je Monat stehen im Blatt „Bedarfsplanung“. Kosten je FTE helfen beim Vergleich der Bereiche und als Richtwert für neue Stellen.</t>
  </si>
  <si>
    <t>Gesamt</t>
  </si>
  <si>
    <t>Recruiting-Fahrplan (nach Ausschreibungstermin)</t>
  </si>
  <si>
    <t>Stelle</t>
  </si>
  <si>
    <t>Eintritt</t>
  </si>
  <si>
    <t>Ausschrei-
bung ab</t>
  </si>
  <si>
    <t>Status</t>
  </si>
  <si>
    <t>FTE</t>
  </si>
  <si>
    <t>Kosten
Planjahr</t>
  </si>
  <si>
    <t>Hinweis</t>
  </si>
  <si>
    <t>Austritte &amp; auslaufende Befristungen im Planjahr</t>
  </si>
  <si>
    <t>Name</t>
  </si>
  <si>
    <t>Austritt</t>
  </si>
  <si>
    <t>Vertragsart</t>
  </si>
  <si>
    <t>Nachfolge
eingeplant?</t>
  </si>
  <si>
    <t>Parameter &amp; Annahmen</t>
  </si>
  <si>
    <t>Allgemein</t>
  </si>
  <si>
    <t>Sozialversicherung Arbeitgeber</t>
  </si>
  <si>
    <t>Listen</t>
  </si>
  <si>
    <t>Unternehmen</t>
  </si>
  <si>
    <t>Beispielfirma GmbH</t>
  </si>
  <si>
    <t>Beitragsbemessungsgrenze RV / AV</t>
  </si>
  <si>
    <t>je Monat</t>
  </si>
  <si>
    <t>Art</t>
  </si>
  <si>
    <t>Recruiting-
Status</t>
  </si>
  <si>
    <t>Monat</t>
  </si>
  <si>
    <t>Planjahr</t>
  </si>
  <si>
    <t>steuert alle Monats- und Jahreswerte</t>
  </si>
  <si>
    <t>Beitragsbemessungsgrenze KV / PV</t>
  </si>
  <si>
    <t>Geschäftsleitung</t>
  </si>
  <si>
    <t>Bestand</t>
  </si>
  <si>
    <t>Unbefristet</t>
  </si>
  <si>
    <t>Offen</t>
  </si>
  <si>
    <t>Januar</t>
  </si>
  <si>
    <t>Geplante Stellen einrechnen</t>
  </si>
  <si>
    <t>Ja</t>
  </si>
  <si>
    <t>Ja = Szenario inkl. Neueinstellungen</t>
  </si>
  <si>
    <t>Rentenversicherung</t>
  </si>
  <si>
    <t>AG-Anteil</t>
  </si>
  <si>
    <t>Vertrieb</t>
  </si>
  <si>
    <t>Neueinstellung</t>
  </si>
  <si>
    <t>Befristet</t>
  </si>
  <si>
    <t>Ausgeschrieben</t>
  </si>
  <si>
    <t>Februar</t>
  </si>
  <si>
    <t>Recruiting-Vorlauf (Monate)</t>
  </si>
  <si>
    <t>Ausschreibung = Eintritt minus Vorlauf</t>
  </si>
  <si>
    <t>Arbeitslosenversicherung</t>
  </si>
  <si>
    <t>Marketing</t>
  </si>
  <si>
    <t>Ersatz</t>
  </si>
  <si>
    <t>Auswahlverfahren</t>
  </si>
  <si>
    <t>März</t>
  </si>
  <si>
    <t>Toleranz Soll-Ist (FTE)</t>
  </si>
  <si>
    <t>kleinere Abweichungen gelten als ausgeglichen</t>
  </si>
  <si>
    <t>Krankenversicherung (allgemein)</t>
  </si>
  <si>
    <t>Operations</t>
  </si>
  <si>
    <t>Zusage</t>
  </si>
  <si>
    <t>April</t>
  </si>
  <si>
    <t>Ø Zusatzbeitrag KV (gesamt)</t>
  </si>
  <si>
    <t>AG trägt Hälfte</t>
  </si>
  <si>
    <t>Kundenservice</t>
  </si>
  <si>
    <t>Besetzt</t>
  </si>
  <si>
    <t>Arbeitszeit &amp; Kapazität</t>
  </si>
  <si>
    <t>Pflegeversicherung</t>
  </si>
  <si>
    <t>IT</t>
  </si>
  <si>
    <t>Gestrichen</t>
  </si>
  <si>
    <t>Juni</t>
  </si>
  <si>
    <t>Vollzeit-Wochenstunden</t>
  </si>
  <si>
    <t>Basis für FTE = Wochenstunden ÷ Vollzeit</t>
  </si>
  <si>
    <t>Umlage U1 (Krankheit)</t>
  </si>
  <si>
    <t>kassenabhängig</t>
  </si>
  <si>
    <t>Finanzen &amp; Controlling</t>
  </si>
  <si>
    <t>Juli</t>
  </si>
  <si>
    <t>Arbeitstage pro Woche</t>
  </si>
  <si>
    <t>Umlage U2 (Mutterschaft)</t>
  </si>
  <si>
    <t>August</t>
  </si>
  <si>
    <t>Brutto-Arbeitstage (Mo–Fr)</t>
  </si>
  <si>
    <t>automatisch aus dem Kalender</t>
  </si>
  <si>
    <t>Insolvenzgeldumlage</t>
  </si>
  <si>
    <t>Ja / Nein</t>
  </si>
  <si>
    <t>September</t>
  </si>
  <si>
    <t>Urlaubstage</t>
  </si>
  <si>
    <t>Unfallversicherung (BG)</t>
  </si>
  <si>
    <t>branchenabhängig</t>
  </si>
  <si>
    <t>Oktober</t>
  </si>
  <si>
    <t>Gesetzliche Feiertage (Mo–Fr)</t>
  </si>
  <si>
    <t>bundesweit 2027: 6 – regionale ergänzen</t>
  </si>
  <si>
    <t>Minijob: Pauschale KV</t>
  </si>
  <si>
    <t>Nein</t>
  </si>
  <si>
    <t>November</t>
  </si>
  <si>
    <t>Ø Krankheitstage</t>
  </si>
  <si>
    <t>Minijob: Pauschale RV</t>
  </si>
  <si>
    <t>Dezember</t>
  </si>
  <si>
    <t>Weiterbildungstage</t>
  </si>
  <si>
    <t>Minijob: Pauschsteuer</t>
  </si>
  <si>
    <t>Sonstige Ausfalltage</t>
  </si>
  <si>
    <t>Planwerte für 2027 – vor Verwendung mit den endgültigen Rechengrößen, dem Zusatzbeitrag der Krankenkasse und den Umlagesätzen abgleichen.</t>
  </si>
  <si>
    <t>Abteilungen und Kostenstellen frei anpassen (max. 8). Die übrigen Listen steuern Formeln – Einträge bitte nicht umbenennen.</t>
  </si>
  <si>
    <t>Netto-Arbeitstage je FTE</t>
  </si>
  <si>
    <t>Netto-Stunden je FTE / Jahr</t>
  </si>
  <si>
    <t>AG-Sätze je SV-Gruppe (berechnet)</t>
  </si>
  <si>
    <t>Netto-Stunden je FTE / Monat</t>
  </si>
  <si>
    <t>SV-Gruppe</t>
  </si>
  <si>
    <t>Satz bis
BBG RV</t>
  </si>
  <si>
    <t>Satz bis
BBG KV</t>
  </si>
  <si>
    <t>Satz auf
Gesamtbrutto</t>
  </si>
  <si>
    <t>Summe
(Orientierung)</t>
  </si>
  <si>
    <t>SV-pflichtig</t>
  </si>
  <si>
    <t>Vergütung &amp; Grenzwerte</t>
  </si>
  <si>
    <t>Minijob</t>
  </si>
  <si>
    <t>Allgemeine Gehaltsanpassung</t>
  </si>
  <si>
    <t>gilt, wenn keine individuelle Anpassung</t>
  </si>
  <si>
    <t>Werkstudent</t>
  </si>
  <si>
    <t>Anpassung wirksam ab Monat</t>
  </si>
  <si>
    <t>Ohne SV</t>
  </si>
  <si>
    <t>Auszahlungsmonat Sonderzahlung</t>
  </si>
  <si>
    <t>Gesetzlicher Mindestlohn (€/Std.)</t>
  </si>
  <si>
    <t>Planwert 2027</t>
  </si>
  <si>
    <t>Minijob-Grenze (€/Monat)</t>
  </si>
  <si>
    <t>Personal – Bestand &amp; Planstellen</t>
  </si>
  <si>
    <t>Eine Zeile je Person oder geplanter Stelle. Weiße Felder ausfüllen, graue Felder rechnen automatisch. Planstellen mit Art „Neueinstellung“ oder „Ersatz“ anlegen.</t>
  </si>
  <si>
    <t>STAMMDATEN</t>
  </si>
  <si>
    <t>VERTRAG</t>
  </si>
  <si>
    <t>ZEITRAUM &amp; VERGÜTUNG</t>
  </si>
  <si>
    <t>PLANSTELLE</t>
  </si>
  <si>
    <t>AUTOMATISCH BERECHNET</t>
  </si>
  <si>
    <t>Nr.</t>
  </si>
  <si>
    <t>Personal-/
Stellen-Nr.</t>
  </si>
  <si>
    <t>Name / Stelle</t>
  </si>
  <si>
    <t>Funktion</t>
  </si>
  <si>
    <t>Austritt /
Befristung bis</t>
  </si>
  <si>
    <t>Wochen-
stunden</t>
  </si>
  <si>
    <t>Brutto /
Monat</t>
  </si>
  <si>
    <t>Sonder-
zahlung
(% Gehalt)</t>
  </si>
  <si>
    <t>Indiv.
Anpassung
(optional)</t>
  </si>
  <si>
    <t>Ein-
planen?</t>
  </si>
  <si>
    <t>Gehalt nach
Anpassung</t>
  </si>
  <si>
    <t>Beschäfti-
gungsanteil
Planjahr</t>
  </si>
  <si>
    <t>Personal-
kosten
Planjahr</t>
  </si>
  <si>
    <t>Ø FTE</t>
  </si>
  <si>
    <t>Hilfsspalte
einplanen</t>
  </si>
  <si>
    <t>Anpassung
%</t>
  </si>
  <si>
    <t>Satz RV</t>
  </si>
  <si>
    <t>Satz KV</t>
  </si>
  <si>
    <t>Satz gesamt</t>
  </si>
  <si>
    <t>Key
Recruiting</t>
  </si>
  <si>
    <t>Key
Austritt</t>
  </si>
  <si>
    <t>P-1001</t>
  </si>
  <si>
    <t>Katrin Lehmann</t>
  </si>
  <si>
    <t>Geschäftsführung</t>
  </si>
  <si>
    <t>P-1002</t>
  </si>
  <si>
    <t>Oliver Brandes</t>
  </si>
  <si>
    <t>Assistenz der Geschäftsführung</t>
  </si>
  <si>
    <t>P-1003</t>
  </si>
  <si>
    <t>Stefan Maier</t>
  </si>
  <si>
    <t>Leitung Vertrieb</t>
  </si>
  <si>
    <t>P-1004</t>
  </si>
  <si>
    <t>Carina Hoffmann</t>
  </si>
  <si>
    <t>Key Account Management</t>
  </si>
  <si>
    <t>P-1005</t>
  </si>
  <si>
    <t>Benedikt Schulte</t>
  </si>
  <si>
    <t>Außendienst</t>
  </si>
  <si>
    <t>P-1006</t>
  </si>
  <si>
    <t>Melanie Ernst</t>
  </si>
  <si>
    <t>P-1007</t>
  </si>
  <si>
    <t>Torsten Beck</t>
  </si>
  <si>
    <t>Vertriebsinnendienst</t>
  </si>
  <si>
    <t>P-1008</t>
  </si>
  <si>
    <t>Yasemin Arslan</t>
  </si>
  <si>
    <t>P-1009</t>
  </si>
  <si>
    <t>Franziska Wendt</t>
  </si>
  <si>
    <t>Leitung Marketing</t>
  </si>
  <si>
    <t>P-1010</t>
  </si>
  <si>
    <t>Robin Lange</t>
  </si>
  <si>
    <t>Content &amp; Kommunikation</t>
  </si>
  <si>
    <t>P-1011</t>
  </si>
  <si>
    <t>Selina Hahn</t>
  </si>
  <si>
    <t>Online-Marketing</t>
  </si>
  <si>
    <t>P-1012</t>
  </si>
  <si>
    <t>Noah Bergmann</t>
  </si>
  <si>
    <t>Werkstudent Marketing</t>
  </si>
  <si>
    <t>P-1013</t>
  </si>
  <si>
    <t>Markus Zimmer</t>
  </si>
  <si>
    <t>Leitung Operations</t>
  </si>
  <si>
    <t>P-1014</t>
  </si>
  <si>
    <t>Petra Schuster</t>
  </si>
  <si>
    <t>Teamleitung Auftragsabwicklung</t>
  </si>
  <si>
    <t>P-1015</t>
  </si>
  <si>
    <t>Dennis Wagner</t>
  </si>
  <si>
    <t>Sachbearbeitung</t>
  </si>
  <si>
    <t>P-1016</t>
  </si>
  <si>
    <t>Jana Frank</t>
  </si>
  <si>
    <t>P-1017</t>
  </si>
  <si>
    <t>Ali Kaya</t>
  </si>
  <si>
    <t>P-1018</t>
  </si>
  <si>
    <t>Sabine Möller</t>
  </si>
  <si>
    <t>P-1019</t>
  </si>
  <si>
    <t>Uwe Krüger</t>
  </si>
  <si>
    <t>Lager &amp; Logistik</t>
  </si>
  <si>
    <t>P-1020</t>
  </si>
  <si>
    <t>Gisela Pfeiffer</t>
  </si>
  <si>
    <t>Aushilfe Versand</t>
  </si>
  <si>
    <t>P-1021</t>
  </si>
  <si>
    <t>Tanja Heinrich</t>
  </si>
  <si>
    <t>Teamleitung Kundenservice</t>
  </si>
  <si>
    <t>P-1022</t>
  </si>
  <si>
    <t>Max Köhler</t>
  </si>
  <si>
    <t>Kundenberatung</t>
  </si>
  <si>
    <t>P-1023</t>
  </si>
  <si>
    <t>Lea Schmitt</t>
  </si>
  <si>
    <t>P-1024</t>
  </si>
  <si>
    <t>Emre Aydin</t>
  </si>
  <si>
    <t>P-1025</t>
  </si>
  <si>
    <t>Birgit Scholz</t>
  </si>
  <si>
    <t>P-1026</t>
  </si>
  <si>
    <t>Christian Vogel</t>
  </si>
  <si>
    <t>Leitung IT</t>
  </si>
  <si>
    <t>P-1027</t>
  </si>
  <si>
    <t>Mehmet Öztürk</t>
  </si>
  <si>
    <t>Softwareentwicklung</t>
  </si>
  <si>
    <t>P-1028</t>
  </si>
  <si>
    <t>Patrick Huber</t>
  </si>
  <si>
    <t>Systemadministration</t>
  </si>
  <si>
    <t>P-1029</t>
  </si>
  <si>
    <t>Luisa Kremer</t>
  </si>
  <si>
    <t>Werkstudentin IT</t>
  </si>
  <si>
    <t>P-1030</t>
  </si>
  <si>
    <t>Andrea Schäfer</t>
  </si>
  <si>
    <t>Leitung Finanzen</t>
  </si>
  <si>
    <t>P-1031</t>
  </si>
  <si>
    <t>Thomas Berger</t>
  </si>
  <si>
    <t>Buchhaltung</t>
  </si>
  <si>
    <t>P-1032</t>
  </si>
  <si>
    <t>Nadine Krämer</t>
  </si>
  <si>
    <t>Controlling</t>
  </si>
  <si>
    <t>P-1033</t>
  </si>
  <si>
    <t>Ralf Dietrich</t>
  </si>
  <si>
    <t>Leitung Personal</t>
  </si>
  <si>
    <t>P-1034</t>
  </si>
  <si>
    <t>Svenja Otto</t>
  </si>
  <si>
    <t>Personalreferentin</t>
  </si>
  <si>
    <t>S-2701</t>
  </si>
  <si>
    <t>N.N. Key Account Management</t>
  </si>
  <si>
    <t>S-2702</t>
  </si>
  <si>
    <t>N.N. Softwareentwicklung</t>
  </si>
  <si>
    <t>S-2703</t>
  </si>
  <si>
    <t>N.N. Performance Marketing</t>
  </si>
  <si>
    <t>S-2704</t>
  </si>
  <si>
    <t>N.N. Sachbearbeitung</t>
  </si>
  <si>
    <t>S-2705</t>
  </si>
  <si>
    <t>N.N. Außendienst (Nachfolge)</t>
  </si>
  <si>
    <t>S-2706</t>
  </si>
  <si>
    <t>N.N. Kundenberatung (Nachfolge)</t>
  </si>
  <si>
    <t>S-2707</t>
  </si>
  <si>
    <t>N.N. Lohnbuchhaltung</t>
  </si>
  <si>
    <t>Entgeltabrechnung</t>
  </si>
  <si>
    <t>Summe / Anzahl</t>
  </si>
  <si>
    <t>Bedarfsplanung – Soll / Ist</t>
  </si>
  <si>
    <t>FTE-Rechner: Wie viele Stellen braucht ein Arbeitsvolumen?</t>
  </si>
  <si>
    <t>Arbeitsvolumen (Stunden je Monat)</t>
  </si>
  <si>
    <t>Arbeitsvolumen eines Bereichs eingeben (z. B. Aufträge × Bearbeitungszeit). Der Rechner berücksichtigt Urlaub, Feiertage, Krankheit und Weiterbildung aus den Parametern. Das Ergebnis kann direkt als Soll-FTE in die Tabelle darunter übernommen werden.</t>
  </si>
  <si>
    <t>Netto-Stunden je FTE und Monat</t>
  </si>
  <si>
    <t>Benötigte FTE inkl. Ausfallzeiten</t>
  </si>
  <si>
    <t>Benötigte FTE ohne Ausfallzeiten</t>
  </si>
  <si>
    <t>Soll-FTE je Abteilung (Eingabe)</t>
  </si>
  <si>
    <t>Ø</t>
  </si>
  <si>
    <t>Ist-FTE laut Personalplan (inkl. eingeplanter Stellen)</t>
  </si>
  <si>
    <t>Abweichung Ist − Soll (negativ = Unterdeckung)</t>
  </si>
  <si>
    <t>Größte
Lücke</t>
  </si>
  <si>
    <t>Monate
mit Lücke</t>
  </si>
  <si>
    <t>Rot: Lücke größer als die Toleranz (Parameter) – grün: im Plan – blau: mehr Kapazität als geplant. Soll-Werte in FTE eintragen (1,00 = eine Vollzeitstelle).</t>
  </si>
  <si>
    <t>Monatliche Kosten je Person: Gehalt anteilig nach Beschäftigungszeit, Gehaltsanpassung ab Wirkungsmonat, Sonderzahlung im Auszahlungsmonat, AG-Anteile mit Beitragsbemessungsgrenzen.</t>
  </si>
  <si>
    <t>Position</t>
  </si>
  <si>
    <t>Bruttogehälter (inkl. Sonderzahlung)</t>
  </si>
  <si>
    <t>So wird gerechnet
• Gehalt × Beschäftigungsanteil des Monats (Ein- und Austritte tagesgenau)
• ab dem Wirkungsmonat inkl. allgemeiner bzw. individueller Gehaltsanpassung
• Sonderzahlung im Auszahlungsmonat, anteilig nach Beschäftigungszeit im Jahr
• AG-Anteile je SV-Gruppe; RV/AV und KV/PV höchstens bis zur monatlichen Beitragsbemessungsgrenze
• Vereinfachung: keine anteilige Jahres-BBG für Einmalzahlungen, keine Steuern oder Benefits</t>
  </si>
  <si>
    <t xml:space="preserve">   davon Sonderzahlungen</t>
  </si>
  <si>
    <t>AG-Sozialabgaben &amp; Umlagen</t>
  </si>
  <si>
    <t>Personalkosten gesamt</t>
  </si>
  <si>
    <t>Budget (Eingabe)</t>
  </si>
  <si>
    <t>Abweichung (Budget − Plan)</t>
  </si>
  <si>
    <t>Budgetausschöpfung</t>
  </si>
  <si>
    <t>FTE (Plan)</t>
  </si>
  <si>
    <t>Kosten je FTE</t>
  </si>
  <si>
    <t>Personalkosten je Abteilung (Brutto + AG-Anteil)</t>
  </si>
  <si>
    <t>Summe</t>
  </si>
  <si>
    <t>Kontrolle: Summe der Abteilungen = Personalkosten gesamt</t>
  </si>
  <si>
    <t>Einzelaufstellung je Person / Planstelle</t>
  </si>
  <si>
    <t>BRUTTOGEHALT</t>
  </si>
  <si>
    <t>ARBEITGEBERANTEIL SOZIALVERSICHERUNG &amp; UMLAGEN</t>
  </si>
  <si>
    <t>GESAMT</t>
  </si>
  <si>
    <t>Σ Brutto</t>
  </si>
  <si>
    <t>Σ AG-Anteil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</si>
</sst>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0;\-0.00;0.00"/>
    <numFmt numFmtId="165" formatCode="#,##0&quot; €&quot;"/>
    <numFmt numFmtId="166" formatCode="\+#,##0&quot; €&quot;;\-#,##0&quot; €&quot;;0&quot; €&quot;"/>
    <numFmt numFmtId="167" formatCode="0.0%"/>
    <numFmt numFmtId="168" formatCode="dd\.mm\.yyyy"/>
    <numFmt numFmtId="169" formatCode="0.0"/>
    <numFmt numFmtId="170" formatCode="#,##0.0"/>
    <numFmt numFmtId="171" formatCode="#,##0.00&quot; €&quot;"/>
    <numFmt numFmtId="172" formatCode="dd\.mm\."/>
    <numFmt numFmtId="173" formatCode="0.00;\-0.00;\–"/>
    <numFmt numFmtId="174" formatCode="mm/dd/yy"/>
    <numFmt numFmtId="175" formatCode="\+0.00;\-0.00;\–"/>
    <numFmt numFmtId="176" formatCode="0;\-0;\–"/>
    <numFmt numFmtId="177" formatCode="#,##0&quot; €&quot;;\-#,##0&quot; €&quot;;\–"/>
    <numFmt numFmtId="178" formatCode="\+#,##0&quot; €&quot;;\-#,##0&quot; €&quot;;\–"/>
  </numFmts>
  <fonts count="38" x14ac:knownFonts="1">
    <font>
      <sz val="11"/>
      <color theme="1"/>
      <name val="Calibri"/>
      <family val="2"/>
      <charset val="1"/>
    </font>
    <font>
      <b/>
      <sz val="22"/>
      <color rgb="FF2B303A"/>
      <name val="Calibri"/>
      <charset val="1"/>
    </font>
    <font>
      <b/>
      <sz val="9"/>
      <color rgb="FF8C2F39"/>
      <name val="Calibri"/>
      <charset val="1"/>
    </font>
    <font>
      <sz val="10"/>
      <color rgb="FF6B7280"/>
      <name val="Calibri"/>
      <charset val="1"/>
    </font>
    <font>
      <sz val="10.5"/>
      <color rgb="FF23272F"/>
      <name val="Calibri"/>
      <charset val="1"/>
    </font>
    <font>
      <b/>
      <sz val="11"/>
      <color rgb="FF2B303A"/>
      <name val="Calibri"/>
      <charset val="1"/>
    </font>
    <font>
      <b/>
      <sz val="16"/>
      <color rgb="FF8C2F39"/>
      <name val="Calibri"/>
      <charset val="1"/>
    </font>
    <font>
      <sz val="9.5"/>
      <color rgb="FF23272F"/>
      <name val="Calibri"/>
      <charset val="1"/>
    </font>
    <font>
      <b/>
      <sz val="10"/>
      <color rgb="FF2B303A"/>
      <name val="Calibri"/>
      <charset val="1"/>
    </font>
    <font>
      <b/>
      <sz val="10"/>
      <color rgb="FF8C2F39"/>
      <name val="Calibri"/>
      <charset val="1"/>
    </font>
    <font>
      <b/>
      <sz val="10"/>
      <color rgb="FF7A5410"/>
      <name val="Calibri"/>
      <charset val="1"/>
    </font>
    <font>
      <b/>
      <sz val="10"/>
      <color rgb="FF256B43"/>
      <name val="Calibri"/>
      <charset val="1"/>
    </font>
    <font>
      <b/>
      <sz val="10"/>
      <color rgb="FF34506B"/>
      <name val="Calibri"/>
      <charset val="1"/>
    </font>
    <font>
      <b/>
      <sz val="8"/>
      <color rgb="FF8C2F39"/>
      <name val="Calibri"/>
      <charset val="1"/>
    </font>
    <font>
      <b/>
      <sz val="8.5"/>
      <color rgb="FF6B7280"/>
      <name val="Calibri"/>
      <charset val="1"/>
    </font>
    <font>
      <i/>
      <sz val="8.5"/>
      <color rgb="FF6B7280"/>
      <name val="Calibri"/>
      <charset val="1"/>
    </font>
    <font>
      <sz val="8.5"/>
      <color rgb="FF6B7280"/>
      <name val="Calibri"/>
      <charset val="1"/>
    </font>
    <font>
      <b/>
      <sz val="13"/>
      <color rgb="FF3A4250"/>
      <name val="Calibri"/>
      <charset val="1"/>
    </font>
    <font>
      <b/>
      <sz val="9.5"/>
      <color rgb="FFFFFFFF"/>
      <name val="Calibri"/>
      <charset val="1"/>
    </font>
    <font>
      <sz val="10"/>
      <color rgb="FF23272F"/>
      <name val="Calibri"/>
      <charset val="1"/>
    </font>
    <font>
      <sz val="9"/>
      <color rgb="FF4B5563"/>
      <name val="Calibri"/>
      <charset val="1"/>
    </font>
    <font>
      <b/>
      <sz val="11"/>
      <color rgb="FFFFFFFF"/>
      <name val="Calibri"/>
      <charset val="1"/>
    </font>
    <font>
      <b/>
      <sz val="9.5"/>
      <color rgb="FF2B303A"/>
      <name val="Calibri"/>
      <charset val="1"/>
    </font>
    <font>
      <sz val="9.5"/>
      <color rgb="FF2B303A"/>
      <name val="Calibri"/>
      <charset val="1"/>
    </font>
    <font>
      <i/>
      <sz val="9"/>
      <color rgb="FF6B7280"/>
      <name val="Calibri"/>
      <charset val="1"/>
    </font>
    <font>
      <b/>
      <sz val="9"/>
      <color rgb="FF6B7280"/>
      <name val="Calibri"/>
      <charset val="1"/>
    </font>
    <font>
      <b/>
      <sz val="9"/>
      <color rgb="FFFFFFFF"/>
      <name val="Calibri"/>
      <charset val="1"/>
    </font>
    <font>
      <sz val="8"/>
      <color rgb="FF6B7280"/>
      <name val="Calibri"/>
      <charset val="1"/>
    </font>
    <font>
      <sz val="9"/>
      <color rgb="FF6B7280"/>
      <name val="Calibri"/>
      <charset val="1"/>
    </font>
    <font>
      <b/>
      <sz val="10"/>
      <color rgb="FF23272F"/>
      <name val="Calibri"/>
      <charset val="1"/>
    </font>
    <font>
      <b/>
      <sz val="9"/>
      <color rgb="FF23272F"/>
      <name val="Calibri"/>
      <charset val="1"/>
    </font>
    <font>
      <b/>
      <sz val="10"/>
      <color rgb="FFFFFFFF"/>
      <name val="Calibri"/>
      <charset val="1"/>
    </font>
    <font>
      <b/>
      <sz val="12"/>
      <color rgb="FF8C2F39"/>
      <name val="Calibri"/>
      <charset val="1"/>
    </font>
    <font>
      <b/>
      <sz val="9.5"/>
      <color rgb="FF23272F"/>
      <name val="Calibri"/>
      <charset val="1"/>
    </font>
    <font>
      <sz val="10"/>
      <color rgb="FF2B303A"/>
      <name val="Calibri"/>
      <charset val="1"/>
    </font>
    <font>
      <b/>
      <sz val="9"/>
      <color rgb="FF256B43"/>
      <name val="Calibri"/>
      <charset val="1"/>
    </font>
    <font>
      <sz val="9.5"/>
      <color rgb="FF4B5563"/>
      <name val="Calibri"/>
      <charset val="1"/>
    </font>
    <font>
      <sz val="9"/>
      <color rgb="FF23272F"/>
      <name val="Calibri"/>
      <charset val="1"/>
    </font>
  </fonts>
  <fills count="17">
    <fill>
      <patternFill patternType="none"/>
    </fill>
    <fill>
      <patternFill patternType="gray125"/>
    </fill>
    <fill>
      <patternFill patternType="solid">
        <fgColor rgb="FF8C2F39"/>
        <bgColor rgb="FF7A5410"/>
      </patternFill>
    </fill>
    <fill>
      <patternFill patternType="solid">
        <fgColor rgb="FFF3F4F7"/>
        <bgColor rgb="FFF7F8FA"/>
      </patternFill>
    </fill>
    <fill>
      <patternFill patternType="solid">
        <fgColor rgb="FFFFFFFF"/>
        <bgColor rgb="FFF7F8FA"/>
      </patternFill>
    </fill>
    <fill>
      <patternFill patternType="solid">
        <fgColor rgb="FFEDF0F4"/>
        <bgColor rgb="FFF3F4F7"/>
      </patternFill>
    </fill>
    <fill>
      <patternFill patternType="solid">
        <fgColor rgb="FFFCF4F5"/>
        <bgColor rgb="FFF7F8FA"/>
      </patternFill>
    </fill>
    <fill>
      <patternFill patternType="solid">
        <fgColor rgb="FFF7DADD"/>
        <bgColor rgb="FFF3E3E5"/>
      </patternFill>
    </fill>
    <fill>
      <patternFill patternType="solid">
        <fgColor rgb="FFFBEBC8"/>
        <bgColor rgb="FFF3E3E5"/>
      </patternFill>
    </fill>
    <fill>
      <patternFill patternType="solid">
        <fgColor rgb="FFDCEFE2"/>
        <bgColor rgb="FFE3EAF2"/>
      </patternFill>
    </fill>
    <fill>
      <patternFill patternType="solid">
        <fgColor rgb="FFE1E8F0"/>
        <bgColor rgb="FFE3EAF2"/>
      </patternFill>
    </fill>
    <fill>
      <patternFill patternType="solid">
        <fgColor rgb="FFF7F8FA"/>
        <bgColor rgb="FFF3F4F7"/>
      </patternFill>
    </fill>
    <fill>
      <patternFill patternType="solid">
        <fgColor rgb="FF3A4250"/>
        <bgColor rgb="FF34506B"/>
      </patternFill>
    </fill>
    <fill>
      <patternFill patternType="solid">
        <fgColor rgb="FF2B303A"/>
        <bgColor rgb="FF23272F"/>
      </patternFill>
    </fill>
    <fill>
      <patternFill patternType="solid">
        <fgColor rgb="FF6B7280"/>
        <bgColor rgb="FF5A6372"/>
      </patternFill>
    </fill>
    <fill>
      <patternFill patternType="solid">
        <fgColor rgb="FF5A6372"/>
        <bgColor rgb="FF58606E"/>
      </patternFill>
    </fill>
    <fill>
      <patternFill patternType="solid">
        <fgColor rgb="FF9CA3AF"/>
        <bgColor rgb="FF9AA3B2"/>
      </patternFill>
    </fill>
  </fills>
  <borders count="8">
    <border>
      <left/>
      <right/>
      <top/>
      <bottom/>
      <diagonal/>
    </border>
    <border>
      <left/>
      <right/>
      <top/>
      <bottom style="thin">
        <color rgb="FF2B303A"/>
      </bottom>
      <diagonal/>
    </border>
    <border>
      <left style="thick">
        <color rgb="FF8C2F39"/>
      </left>
      <right/>
      <top/>
      <bottom/>
      <diagonal/>
    </border>
    <border>
      <left/>
      <right style="thick">
        <color rgb="FF8C2F39"/>
      </right>
      <top/>
      <bottom/>
      <diagonal/>
    </border>
    <border>
      <left style="thin">
        <color rgb="FFCDD3DB"/>
      </left>
      <right style="thin">
        <color rgb="FFCDD3DB"/>
      </right>
      <top style="thin">
        <color rgb="FFCDD3DB"/>
      </top>
      <bottom style="thin">
        <color rgb="FFCDD3DB"/>
      </bottom>
      <diagonal/>
    </border>
    <border>
      <left style="medium">
        <color rgb="FF8C2F39"/>
      </left>
      <right style="medium">
        <color rgb="FF8C2F39"/>
      </right>
      <top style="medium">
        <color rgb="FF8C2F39"/>
      </top>
      <bottom style="medium">
        <color rgb="FF8C2F39"/>
      </bottom>
      <diagonal/>
    </border>
    <border>
      <left/>
      <right/>
      <top/>
      <bottom style="thin">
        <color rgb="FFCDD3DB"/>
      </bottom>
      <diagonal/>
    </border>
    <border>
      <left style="thin">
        <color rgb="FF58606E"/>
      </left>
      <right style="thin">
        <color rgb="FF58606E"/>
      </right>
      <top/>
      <bottom/>
      <diagonal/>
    </border>
  </borders>
  <cellStyleXfs count="1">
    <xf numFmtId="0" fontId="0" fillId="0" borderId="0"/>
  </cellStyleXfs>
  <cellXfs count="155">
    <xf numFmtId="0" fontId="0" fillId="0" borderId="0" xfId="0"/>
    <xf numFmtId="0" fontId="18" fillId="12" borderId="7" xfId="0" applyFont="1" applyFill="1" applyBorder="1" applyAlignment="1">
      <alignment horizontal="center" vertical="center" wrapText="1"/>
    </xf>
    <xf numFmtId="0" fontId="20" fillId="3" borderId="2" xfId="0" applyFont="1" applyFill="1" applyBorder="1" applyAlignment="1">
      <alignment horizontal="left" vertical="top" wrapText="1" indent="1"/>
    </xf>
    <xf numFmtId="3" fontId="17" fillId="0" borderId="6" xfId="0" applyNumberFormat="1" applyFont="1" applyBorder="1" applyAlignment="1">
      <alignment horizontal="left" vertical="center" indent="1"/>
    </xf>
    <xf numFmtId="165" fontId="17" fillId="0" borderId="6" xfId="0" applyNumberFormat="1" applyFont="1" applyBorder="1" applyAlignment="1">
      <alignment horizontal="left" vertical="center" indent="1"/>
    </xf>
    <xf numFmtId="167" fontId="17" fillId="0" borderId="6" xfId="0" applyNumberFormat="1" applyFont="1" applyBorder="1" applyAlignment="1">
      <alignment horizontal="left" vertical="center" indent="1"/>
    </xf>
    <xf numFmtId="1" fontId="17" fillId="0" borderId="6" xfId="0" applyNumberFormat="1" applyFont="1" applyBorder="1" applyAlignment="1">
      <alignment horizontal="left" vertical="center" indent="1"/>
    </xf>
    <xf numFmtId="0" fontId="16" fillId="0" borderId="0" xfId="0" applyFont="1" applyAlignment="1">
      <alignment horizontal="left" indent="1"/>
    </xf>
    <xf numFmtId="0" fontId="15" fillId="11" borderId="2" xfId="0" applyFont="1" applyFill="1" applyBorder="1" applyAlignment="1">
      <alignment horizontal="left" vertical="top" wrapText="1" indent="1"/>
    </xf>
    <xf numFmtId="166" fontId="1" fillId="11" borderId="2" xfId="0" applyNumberFormat="1" applyFont="1" applyFill="1" applyBorder="1" applyAlignment="1">
      <alignment horizontal="left" vertical="center" indent="1"/>
    </xf>
    <xf numFmtId="165" fontId="1" fillId="11" borderId="2" xfId="0" applyNumberFormat="1" applyFont="1" applyFill="1" applyBorder="1" applyAlignment="1">
      <alignment horizontal="left" vertical="center" indent="1"/>
    </xf>
    <xf numFmtId="164" fontId="1" fillId="11" borderId="2" xfId="0" applyNumberFormat="1" applyFont="1" applyFill="1" applyBorder="1" applyAlignment="1">
      <alignment horizontal="left" vertical="center" indent="1"/>
    </xf>
    <xf numFmtId="2" fontId="1" fillId="11" borderId="2" xfId="0" applyNumberFormat="1" applyFont="1" applyFill="1" applyBorder="1" applyAlignment="1">
      <alignment horizontal="left" vertical="center" indent="1"/>
    </xf>
    <xf numFmtId="1" fontId="1" fillId="11" borderId="2" xfId="0" applyNumberFormat="1" applyFont="1" applyFill="1" applyBorder="1" applyAlignment="1">
      <alignment horizontal="left" vertical="center" indent="1"/>
    </xf>
    <xf numFmtId="0" fontId="14" fillId="11" borderId="2" xfId="0" applyFont="1" applyFill="1" applyBorder="1" applyAlignment="1">
      <alignment horizontal="left" indent="1"/>
    </xf>
    <xf numFmtId="0" fontId="0" fillId="2" borderId="0" xfId="0" applyFill="1"/>
    <xf numFmtId="0" fontId="1" fillId="0" borderId="0" xfId="0" applyFont="1"/>
    <xf numFmtId="0" fontId="2" fillId="0" borderId="0" xfId="0" applyFont="1" applyAlignment="1">
      <alignment horizontal="right"/>
    </xf>
    <xf numFmtId="0" fontId="3" fillId="0" borderId="1" xfId="0" applyFont="1" applyBorder="1"/>
    <xf numFmtId="0" fontId="0" fillId="0" borderId="1" xfId="0" applyBorder="1"/>
    <xf numFmtId="0" fontId="5" fillId="3" borderId="2" xfId="0" applyFont="1" applyFill="1" applyBorder="1" applyAlignment="1">
      <alignment horizontal="left" vertical="center" indent="1"/>
    </xf>
    <xf numFmtId="0" fontId="0" fillId="3" borderId="0" xfId="0" applyFill="1"/>
    <xf numFmtId="0" fontId="5" fillId="0" borderId="0" xfId="0" applyFont="1" applyAlignment="1">
      <alignment horizontal="left" vertical="center" indent="1"/>
    </xf>
    <xf numFmtId="0" fontId="13" fillId="0" borderId="0" xfId="0" applyFont="1" applyAlignment="1">
      <alignment horizontal="center" vertical="center" wrapText="1"/>
    </xf>
    <xf numFmtId="0" fontId="14" fillId="11" borderId="2" xfId="0" applyFont="1" applyFill="1" applyBorder="1" applyAlignment="1">
      <alignment horizontal="left" indent="1"/>
    </xf>
    <xf numFmtId="0" fontId="15" fillId="11" borderId="2" xfId="0" applyFont="1" applyFill="1" applyBorder="1" applyAlignment="1">
      <alignment horizontal="left" vertical="top" wrapText="1" indent="1"/>
    </xf>
    <xf numFmtId="0" fontId="16" fillId="0" borderId="0" xfId="0" applyFont="1" applyAlignment="1">
      <alignment horizontal="left" indent="1"/>
    </xf>
    <xf numFmtId="1" fontId="17" fillId="0" borderId="6" xfId="0" applyNumberFormat="1" applyFont="1" applyBorder="1" applyAlignment="1">
      <alignment horizontal="left" vertical="center" indent="1"/>
    </xf>
    <xf numFmtId="0" fontId="18" fillId="12" borderId="7" xfId="0" applyFont="1" applyFill="1" applyBorder="1" applyAlignment="1">
      <alignment horizontal="center" vertical="center" wrapText="1"/>
    </xf>
    <xf numFmtId="0" fontId="8" fillId="4" borderId="4" xfId="0" applyFont="1" applyFill="1" applyBorder="1" applyAlignment="1">
      <alignment horizontal="left" vertical="center" indent="1"/>
    </xf>
    <xf numFmtId="1" fontId="19" fillId="4" borderId="4" xfId="0" applyNumberFormat="1" applyFont="1" applyFill="1" applyBorder="1" applyAlignment="1">
      <alignment horizontal="center" vertical="center" wrapText="1"/>
    </xf>
    <xf numFmtId="1" fontId="8" fillId="5" borderId="4" xfId="0" applyNumberFormat="1" applyFont="1" applyFill="1" applyBorder="1" applyAlignment="1">
      <alignment horizontal="center" vertical="center" wrapText="1"/>
    </xf>
    <xf numFmtId="2" fontId="19" fillId="4" borderId="4" xfId="0" applyNumberFormat="1" applyFont="1" applyFill="1" applyBorder="1" applyAlignment="1">
      <alignment horizontal="center" vertical="center" wrapText="1"/>
    </xf>
    <xf numFmtId="2" fontId="8" fillId="5" borderId="4" xfId="0" applyNumberFormat="1" applyFont="1" applyFill="1" applyBorder="1" applyAlignment="1">
      <alignment horizontal="center" vertical="center" wrapText="1"/>
    </xf>
    <xf numFmtId="164" fontId="19" fillId="4" borderId="4" xfId="0" applyNumberFormat="1" applyFont="1" applyFill="1" applyBorder="1" applyAlignment="1">
      <alignment horizontal="center" vertical="center" wrapText="1"/>
    </xf>
    <xf numFmtId="164" fontId="8" fillId="5" borderId="4" xfId="0" applyNumberFormat="1" applyFont="1" applyFill="1" applyBorder="1" applyAlignment="1">
      <alignment horizontal="center" vertical="center" wrapText="1"/>
    </xf>
    <xf numFmtId="165" fontId="7" fillId="4" borderId="4" xfId="0" applyNumberFormat="1" applyFont="1" applyFill="1" applyBorder="1" applyAlignment="1">
      <alignment horizontal="right" vertical="center" indent="1"/>
    </xf>
    <xf numFmtId="165" fontId="8" fillId="5" borderId="4" xfId="0" applyNumberFormat="1" applyFont="1" applyFill="1" applyBorder="1" applyAlignment="1">
      <alignment horizontal="right" vertical="center" indent="1"/>
    </xf>
    <xf numFmtId="165" fontId="19" fillId="4" borderId="4" xfId="0" applyNumberFormat="1" applyFont="1" applyFill="1" applyBorder="1" applyAlignment="1">
      <alignment horizontal="right" vertical="center" indent="1"/>
    </xf>
    <xf numFmtId="166" fontId="19" fillId="4" borderId="4" xfId="0" applyNumberFormat="1" applyFont="1" applyFill="1" applyBorder="1" applyAlignment="1">
      <alignment horizontal="right" vertical="center" indent="1"/>
    </xf>
    <xf numFmtId="166" fontId="8" fillId="5" borderId="4" xfId="0" applyNumberFormat="1" applyFont="1" applyFill="1" applyBorder="1" applyAlignment="1">
      <alignment horizontal="right" vertical="center" indent="1"/>
    </xf>
    <xf numFmtId="167" fontId="19" fillId="4" borderId="4" xfId="0" applyNumberFormat="1" applyFont="1" applyFill="1" applyBorder="1" applyAlignment="1">
      <alignment horizontal="center" vertical="center" wrapText="1"/>
    </xf>
    <xf numFmtId="0" fontId="21" fillId="13" borderId="0" xfId="0" applyFont="1" applyFill="1" applyAlignment="1">
      <alignment horizontal="left" vertical="center" indent="1"/>
    </xf>
    <xf numFmtId="1" fontId="21" fillId="13" borderId="0" xfId="0" applyNumberFormat="1" applyFont="1" applyFill="1" applyAlignment="1">
      <alignment horizontal="center" vertical="center" wrapText="1"/>
    </xf>
    <xf numFmtId="2" fontId="21" fillId="13" borderId="0" xfId="0" applyNumberFormat="1" applyFont="1" applyFill="1" applyAlignment="1">
      <alignment horizontal="center" vertical="center" wrapText="1"/>
    </xf>
    <xf numFmtId="164" fontId="21" fillId="13" borderId="0" xfId="0" applyNumberFormat="1" applyFont="1" applyFill="1" applyAlignment="1">
      <alignment horizontal="center" vertical="center" wrapText="1"/>
    </xf>
    <xf numFmtId="165" fontId="21" fillId="13" borderId="0" xfId="0" applyNumberFormat="1" applyFont="1" applyFill="1" applyAlignment="1">
      <alignment horizontal="right" vertical="center" indent="1"/>
    </xf>
    <xf numFmtId="167" fontId="21" fillId="13" borderId="0" xfId="0" applyNumberFormat="1" applyFont="1" applyFill="1" applyAlignment="1">
      <alignment horizontal="center" vertical="center" wrapText="1"/>
    </xf>
    <xf numFmtId="0" fontId="21" fillId="13" borderId="0" xfId="0" applyFont="1" applyFill="1" applyAlignment="1">
      <alignment horizontal="center" vertical="center" wrapText="1"/>
    </xf>
    <xf numFmtId="0" fontId="22" fillId="4" borderId="4" xfId="0" applyFont="1" applyFill="1" applyBorder="1" applyAlignment="1">
      <alignment horizontal="left" vertical="center" indent="1"/>
    </xf>
    <xf numFmtId="168" fontId="23" fillId="4" borderId="4" xfId="0" applyNumberFormat="1" applyFont="1" applyFill="1" applyBorder="1" applyAlignment="1">
      <alignment horizontal="center" vertical="center" wrapText="1"/>
    </xf>
    <xf numFmtId="0" fontId="23" fillId="4" borderId="4" xfId="0" applyFont="1" applyFill="1" applyBorder="1" applyAlignment="1">
      <alignment horizontal="center" vertical="center" wrapText="1"/>
    </xf>
    <xf numFmtId="2" fontId="23" fillId="4" borderId="4" xfId="0" applyNumberFormat="1" applyFont="1" applyFill="1" applyBorder="1" applyAlignment="1">
      <alignment horizontal="center" vertical="center" wrapText="1"/>
    </xf>
    <xf numFmtId="165" fontId="23" fillId="4" borderId="4" xfId="0" applyNumberFormat="1" applyFont="1" applyFill="1" applyBorder="1" applyAlignment="1">
      <alignment horizontal="right" vertical="center" indent="1"/>
    </xf>
    <xf numFmtId="0" fontId="19" fillId="0" borderId="6" xfId="0" applyFont="1" applyBorder="1" applyAlignment="1">
      <alignment horizontal="left" vertical="center" indent="1"/>
    </xf>
    <xf numFmtId="165" fontId="5" fillId="6" borderId="5" xfId="0" applyNumberFormat="1" applyFont="1" applyFill="1" applyBorder="1" applyAlignment="1">
      <alignment horizontal="center" vertical="center"/>
    </xf>
    <xf numFmtId="0" fontId="24" fillId="0" borderId="0" xfId="0" applyFont="1" applyAlignment="1">
      <alignment horizontal="left" vertical="center" indent="1"/>
    </xf>
    <xf numFmtId="0" fontId="0" fillId="4" borderId="0" xfId="0" applyFill="1"/>
    <xf numFmtId="1" fontId="5" fillId="6" borderId="5" xfId="0" applyNumberFormat="1" applyFont="1" applyFill="1" applyBorder="1" applyAlignment="1">
      <alignment horizontal="center" vertical="center"/>
    </xf>
    <xf numFmtId="0" fontId="19" fillId="4" borderId="4" xfId="0" applyFont="1" applyFill="1" applyBorder="1" applyAlignment="1">
      <alignment horizontal="left" vertical="center" indent="1"/>
    </xf>
    <xf numFmtId="0" fontId="7" fillId="5" borderId="4" xfId="0" applyFont="1" applyFill="1" applyBorder="1" applyAlignment="1">
      <alignment horizontal="left" vertical="center" indent="1"/>
    </xf>
    <xf numFmtId="0" fontId="5" fillId="6" borderId="5" xfId="0" applyFont="1" applyFill="1" applyBorder="1" applyAlignment="1">
      <alignment horizontal="center" vertical="center"/>
    </xf>
    <xf numFmtId="10" fontId="5" fillId="6" borderId="5" xfId="0" applyNumberFormat="1" applyFont="1" applyFill="1" applyBorder="1" applyAlignment="1">
      <alignment horizontal="center" vertical="center"/>
    </xf>
    <xf numFmtId="2" fontId="5" fillId="6" borderId="5" xfId="0" applyNumberFormat="1" applyFont="1" applyFill="1" applyBorder="1" applyAlignment="1">
      <alignment horizontal="center" vertical="center"/>
    </xf>
    <xf numFmtId="169" fontId="5" fillId="6" borderId="5" xfId="0" applyNumberFormat="1" applyFont="1" applyFill="1" applyBorder="1" applyAlignment="1">
      <alignment horizontal="center" vertical="center"/>
    </xf>
    <xf numFmtId="1" fontId="5" fillId="5" borderId="4" xfId="0" applyNumberFormat="1" applyFont="1" applyFill="1" applyBorder="1" applyAlignment="1">
      <alignment horizontal="center" vertical="center"/>
    </xf>
    <xf numFmtId="0" fontId="25" fillId="0" borderId="0" xfId="0" applyFont="1"/>
    <xf numFmtId="0" fontId="19" fillId="5" borderId="4" xfId="0" applyFont="1" applyFill="1" applyBorder="1" applyAlignment="1">
      <alignment horizontal="left" vertical="center" indent="1"/>
    </xf>
    <xf numFmtId="167" fontId="5" fillId="5" borderId="4" xfId="0" applyNumberFormat="1" applyFont="1" applyFill="1" applyBorder="1" applyAlignment="1">
      <alignment horizontal="center" vertical="center"/>
    </xf>
    <xf numFmtId="3" fontId="5" fillId="5" borderId="4" xfId="0" applyNumberFormat="1" applyFont="1" applyFill="1" applyBorder="1" applyAlignment="1">
      <alignment horizontal="center" vertical="center"/>
    </xf>
    <xf numFmtId="170" fontId="5" fillId="5" borderId="4" xfId="0" applyNumberFormat="1" applyFont="1" applyFill="1" applyBorder="1" applyAlignment="1">
      <alignment horizontal="center" vertical="center"/>
    </xf>
    <xf numFmtId="0" fontId="8" fillId="5" borderId="4" xfId="0" applyFont="1" applyFill="1" applyBorder="1" applyAlignment="1">
      <alignment horizontal="left" vertical="center" indent="1"/>
    </xf>
    <xf numFmtId="10" fontId="19" fillId="5" borderId="4" xfId="0" applyNumberFormat="1" applyFont="1" applyFill="1" applyBorder="1" applyAlignment="1">
      <alignment horizontal="center" vertical="center" wrapText="1"/>
    </xf>
    <xf numFmtId="10" fontId="9" fillId="5" borderId="4" xfId="0" applyNumberFormat="1" applyFont="1" applyFill="1" applyBorder="1" applyAlignment="1">
      <alignment horizontal="center" vertical="center" wrapText="1"/>
    </xf>
    <xf numFmtId="167" fontId="5" fillId="6" borderId="5" xfId="0" applyNumberFormat="1" applyFont="1" applyFill="1" applyBorder="1" applyAlignment="1">
      <alignment horizontal="center" vertical="center"/>
    </xf>
    <xf numFmtId="0" fontId="2" fillId="0" borderId="0" xfId="0" applyFont="1" applyAlignment="1">
      <alignment horizontal="left" vertical="center" indent="1"/>
    </xf>
    <xf numFmtId="171" fontId="5" fillId="6" borderId="5" xfId="0" applyNumberFormat="1" applyFont="1" applyFill="1" applyBorder="1" applyAlignment="1">
      <alignment horizontal="center" vertical="center"/>
    </xf>
    <xf numFmtId="0" fontId="24" fillId="0" borderId="0" xfId="0" applyFont="1"/>
    <xf numFmtId="172" fontId="27" fillId="0" borderId="0" xfId="0" applyNumberFormat="1" applyFont="1" applyAlignment="1">
      <alignment horizontal="center" vertical="center" wrapText="1"/>
    </xf>
    <xf numFmtId="0" fontId="18" fillId="15" borderId="7" xfId="0" applyFont="1" applyFill="1" applyBorder="1" applyAlignment="1">
      <alignment horizontal="center" vertical="center" wrapText="1"/>
    </xf>
    <xf numFmtId="0" fontId="18" fillId="16" borderId="7" xfId="0" applyFont="1" applyFill="1" applyBorder="1" applyAlignment="1">
      <alignment horizontal="center" vertical="center" wrapText="1"/>
    </xf>
    <xf numFmtId="1" fontId="28" fillId="5" borderId="4" xfId="0" applyNumberFormat="1" applyFont="1" applyFill="1" applyBorder="1" applyAlignment="1">
      <alignment horizontal="center" vertical="center" wrapText="1"/>
    </xf>
    <xf numFmtId="0" fontId="19" fillId="4" borderId="4" xfId="0" applyFont="1" applyFill="1" applyBorder="1" applyAlignment="1">
      <alignment horizontal="center" vertical="center" wrapText="1"/>
    </xf>
    <xf numFmtId="0" fontId="29" fillId="4" borderId="4" xfId="0" applyFont="1" applyFill="1" applyBorder="1" applyAlignment="1">
      <alignment horizontal="left" vertical="center" indent="1"/>
    </xf>
    <xf numFmtId="168" fontId="19" fillId="4" borderId="4" xfId="0" applyNumberFormat="1" applyFont="1" applyFill="1" applyBorder="1" applyAlignment="1">
      <alignment horizontal="center" vertical="center" wrapText="1"/>
    </xf>
    <xf numFmtId="169" fontId="19" fillId="4" borderId="4" xfId="0" applyNumberFormat="1" applyFont="1" applyFill="1" applyBorder="1" applyAlignment="1">
      <alignment horizontal="center" vertical="center" wrapText="1"/>
    </xf>
    <xf numFmtId="9" fontId="19" fillId="4" borderId="4" xfId="0" applyNumberFormat="1" applyFont="1" applyFill="1" applyBorder="1" applyAlignment="1">
      <alignment horizontal="center" vertical="center" wrapText="1"/>
    </xf>
    <xf numFmtId="165" fontId="19" fillId="5" borderId="4" xfId="0" applyNumberFormat="1" applyFont="1" applyFill="1" applyBorder="1" applyAlignment="1">
      <alignment horizontal="right" vertical="center" indent="1"/>
    </xf>
    <xf numFmtId="9" fontId="19" fillId="5" borderId="4" xfId="0" applyNumberFormat="1" applyFont="1" applyFill="1" applyBorder="1" applyAlignment="1">
      <alignment horizontal="center" vertical="center" wrapText="1"/>
    </xf>
    <xf numFmtId="168" fontId="19" fillId="5" borderId="4" xfId="0" applyNumberFormat="1" applyFont="1" applyFill="1" applyBorder="1" applyAlignment="1">
      <alignment horizontal="center" vertical="center" wrapText="1"/>
    </xf>
    <xf numFmtId="0" fontId="30" fillId="5" borderId="4" xfId="0" applyFont="1" applyFill="1" applyBorder="1" applyAlignment="1">
      <alignment horizontal="left" vertical="center" indent="1"/>
    </xf>
    <xf numFmtId="173" fontId="23" fillId="0" borderId="4" xfId="0" applyNumberFormat="1" applyFont="1" applyBorder="1" applyAlignment="1">
      <alignment horizontal="center" vertical="center" wrapText="1"/>
    </xf>
    <xf numFmtId="173" fontId="8" fillId="5" borderId="4" xfId="0" applyNumberFormat="1" applyFont="1" applyFill="1" applyBorder="1" applyAlignment="1">
      <alignment horizontal="center" vertical="center" wrapText="1"/>
    </xf>
    <xf numFmtId="0" fontId="28" fillId="0" borderId="0" xfId="0" applyFont="1"/>
    <xf numFmtId="167" fontId="28" fillId="0" borderId="0" xfId="0" applyNumberFormat="1" applyFont="1"/>
    <xf numFmtId="10" fontId="28" fillId="0" borderId="0" xfId="0" applyNumberFormat="1" applyFont="1"/>
    <xf numFmtId="174" fontId="28" fillId="0" borderId="0" xfId="0" applyNumberFormat="1" applyFont="1"/>
    <xf numFmtId="0" fontId="31" fillId="13" borderId="0" xfId="0" applyFont="1" applyFill="1" applyAlignment="1">
      <alignment horizontal="center" vertical="center" wrapText="1"/>
    </xf>
    <xf numFmtId="1" fontId="31" fillId="13" borderId="0" xfId="0" applyNumberFormat="1" applyFont="1" applyFill="1" applyAlignment="1">
      <alignment horizontal="center" vertical="center" wrapText="1"/>
    </xf>
    <xf numFmtId="165" fontId="31" fillId="13" borderId="0" xfId="0" applyNumberFormat="1" applyFont="1" applyFill="1" applyAlignment="1">
      <alignment horizontal="center" vertical="center" wrapText="1"/>
    </xf>
    <xf numFmtId="2" fontId="31" fillId="13" borderId="0" xfId="0" applyNumberFormat="1" applyFont="1" applyFill="1" applyAlignment="1">
      <alignment horizontal="center" vertical="center" wrapText="1"/>
    </xf>
    <xf numFmtId="3" fontId="5" fillId="6" borderId="5" xfId="0" applyNumberFormat="1" applyFont="1" applyFill="1" applyBorder="1" applyAlignment="1">
      <alignment horizontal="center" vertical="center"/>
    </xf>
    <xf numFmtId="2" fontId="32" fillId="5" borderId="4" xfId="0" applyNumberFormat="1" applyFont="1" applyFill="1" applyBorder="1" applyAlignment="1">
      <alignment horizontal="center" vertical="center"/>
    </xf>
    <xf numFmtId="2" fontId="5" fillId="5" borderId="4" xfId="0" applyNumberFormat="1" applyFont="1" applyFill="1" applyBorder="1" applyAlignment="1">
      <alignment horizontal="center" vertical="center"/>
    </xf>
    <xf numFmtId="173" fontId="19" fillId="5" borderId="4" xfId="0" applyNumberFormat="1" applyFont="1" applyFill="1" applyBorder="1" applyAlignment="1">
      <alignment horizontal="center" vertical="center" wrapText="1"/>
    </xf>
    <xf numFmtId="164" fontId="29" fillId="5" borderId="4" xfId="0" applyNumberFormat="1" applyFont="1" applyFill="1" applyBorder="1" applyAlignment="1">
      <alignment horizontal="center" vertical="center" wrapText="1"/>
    </xf>
    <xf numFmtId="175" fontId="9" fillId="5" borderId="4" xfId="0" applyNumberFormat="1" applyFont="1" applyFill="1" applyBorder="1" applyAlignment="1">
      <alignment horizontal="center" vertical="center" wrapText="1"/>
    </xf>
    <xf numFmtId="176" fontId="19" fillId="5" borderId="4" xfId="0" applyNumberFormat="1" applyFont="1" applyFill="1" applyBorder="1" applyAlignment="1">
      <alignment horizontal="center" vertical="center" wrapText="1"/>
    </xf>
    <xf numFmtId="175" fontId="21" fillId="13" borderId="0" xfId="0" applyNumberFormat="1" applyFont="1" applyFill="1" applyAlignment="1">
      <alignment horizontal="center" vertical="center" wrapText="1"/>
    </xf>
    <xf numFmtId="177" fontId="34" fillId="5" borderId="4" xfId="0" applyNumberFormat="1" applyFont="1" applyFill="1" applyBorder="1" applyAlignment="1">
      <alignment horizontal="right" vertical="center" indent="1"/>
    </xf>
    <xf numFmtId="177" fontId="8" fillId="5" borderId="4" xfId="0" applyNumberFormat="1" applyFont="1" applyFill="1" applyBorder="1" applyAlignment="1">
      <alignment horizontal="right" vertical="center" indent="1"/>
    </xf>
    <xf numFmtId="0" fontId="8" fillId="10" borderId="4" xfId="0" applyFont="1" applyFill="1" applyBorder="1" applyAlignment="1">
      <alignment horizontal="left" vertical="center" indent="1"/>
    </xf>
    <xf numFmtId="177" fontId="8" fillId="10" borderId="4" xfId="0" applyNumberFormat="1" applyFont="1" applyFill="1" applyBorder="1" applyAlignment="1">
      <alignment horizontal="right" vertical="center" indent="1"/>
    </xf>
    <xf numFmtId="177" fontId="19" fillId="4" borderId="4" xfId="0" applyNumberFormat="1" applyFont="1" applyFill="1" applyBorder="1" applyAlignment="1">
      <alignment horizontal="right" vertical="center" indent="1"/>
    </xf>
    <xf numFmtId="178" fontId="8" fillId="10" borderId="4" xfId="0" applyNumberFormat="1" applyFont="1" applyFill="1" applyBorder="1" applyAlignment="1">
      <alignment horizontal="right" vertical="center" indent="1"/>
    </xf>
    <xf numFmtId="178" fontId="8" fillId="5" borderId="4" xfId="0" applyNumberFormat="1" applyFont="1" applyFill="1" applyBorder="1" applyAlignment="1">
      <alignment horizontal="right" vertical="center" indent="1"/>
    </xf>
    <xf numFmtId="167" fontId="34" fillId="5" borderId="4" xfId="0" applyNumberFormat="1" applyFont="1" applyFill="1" applyBorder="1" applyAlignment="1">
      <alignment horizontal="right" vertical="center" indent="1"/>
    </xf>
    <xf numFmtId="167" fontId="8" fillId="5" borderId="4" xfId="0" applyNumberFormat="1" applyFont="1" applyFill="1" applyBorder="1" applyAlignment="1">
      <alignment horizontal="right" vertical="center" indent="1"/>
    </xf>
    <xf numFmtId="2" fontId="34" fillId="5" borderId="4" xfId="0" applyNumberFormat="1" applyFont="1" applyFill="1" applyBorder="1" applyAlignment="1">
      <alignment horizontal="right" vertical="center" indent="1"/>
    </xf>
    <xf numFmtId="2" fontId="8" fillId="5" borderId="4" xfId="0" applyNumberFormat="1" applyFont="1" applyFill="1" applyBorder="1" applyAlignment="1">
      <alignment horizontal="right" vertical="center" indent="1"/>
    </xf>
    <xf numFmtId="177" fontId="19" fillId="5" borderId="4" xfId="0" applyNumberFormat="1" applyFont="1" applyFill="1" applyBorder="1" applyAlignment="1">
      <alignment horizontal="right" vertical="center" indent="1"/>
    </xf>
    <xf numFmtId="177" fontId="21" fillId="13" borderId="0" xfId="0" applyNumberFormat="1" applyFont="1" applyFill="1" applyAlignment="1">
      <alignment horizontal="right" vertical="center" indent="1"/>
    </xf>
    <xf numFmtId="0" fontId="15" fillId="0" borderId="0" xfId="0" applyFont="1"/>
    <xf numFmtId="0" fontId="35" fillId="0" borderId="0" xfId="0" applyFont="1" applyAlignment="1">
      <alignment horizontal="right" vertical="center" indent="1"/>
    </xf>
    <xf numFmtId="0" fontId="18" fillId="2" borderId="7" xfId="0" applyFont="1" applyFill="1" applyBorder="1" applyAlignment="1">
      <alignment horizontal="center" vertical="center" wrapText="1"/>
    </xf>
    <xf numFmtId="0" fontId="22" fillId="5" borderId="4" xfId="0" applyFont="1" applyFill="1" applyBorder="1" applyAlignment="1">
      <alignment horizontal="left" vertical="center" indent="1"/>
    </xf>
    <xf numFmtId="177" fontId="7" fillId="0" borderId="4" xfId="0" applyNumberFormat="1" applyFont="1" applyBorder="1" applyAlignment="1">
      <alignment horizontal="right" vertical="center" indent="1"/>
    </xf>
    <xf numFmtId="177" fontId="22" fillId="5" borderId="4" xfId="0" applyNumberFormat="1" applyFont="1" applyFill="1" applyBorder="1" applyAlignment="1">
      <alignment horizontal="right" vertical="center" indent="1"/>
    </xf>
    <xf numFmtId="177" fontId="36" fillId="0" borderId="4" xfId="0" applyNumberFormat="1" applyFont="1" applyBorder="1" applyAlignment="1">
      <alignment horizontal="right" vertical="center" indent="1"/>
    </xf>
    <xf numFmtId="177" fontId="9" fillId="5" borderId="4" xfId="0" applyNumberFormat="1" applyFont="1" applyFill="1" applyBorder="1" applyAlignment="1">
      <alignment horizontal="right" vertical="center" indent="1"/>
    </xf>
    <xf numFmtId="0" fontId="37" fillId="5" borderId="4" xfId="0" applyFont="1" applyFill="1" applyBorder="1" applyAlignment="1">
      <alignment horizontal="left" vertical="center" indent="1"/>
    </xf>
    <xf numFmtId="0" fontId="23" fillId="4" borderId="4" xfId="0" applyFont="1" applyFill="1" applyBorder="1" applyAlignment="1">
      <alignment horizontal="left" vertical="center" indent="1"/>
    </xf>
    <xf numFmtId="0" fontId="23" fillId="4" borderId="4" xfId="0" applyFont="1" applyFill="1" applyBorder="1" applyAlignment="1">
      <alignment horizontal="center" vertical="center" wrapText="1"/>
    </xf>
    <xf numFmtId="0" fontId="4" fillId="0" borderId="0" xfId="0" applyFont="1" applyAlignment="1">
      <alignment horizontal="left" vertical="top" wrapText="1" indent="1"/>
    </xf>
    <xf numFmtId="0" fontId="6" fillId="0" borderId="3" xfId="0" applyFont="1" applyBorder="1" applyAlignment="1">
      <alignment horizontal="center" vertical="center" wrapText="1"/>
    </xf>
    <xf numFmtId="0" fontId="7" fillId="0" borderId="0" xfId="0" applyFont="1" applyAlignment="1">
      <alignment horizontal="left" vertical="top" wrapText="1" indent="1"/>
    </xf>
    <xf numFmtId="0" fontId="8" fillId="4" borderId="4" xfId="0" applyFont="1" applyFill="1" applyBorder="1" applyAlignment="1">
      <alignment horizontal="center" vertical="center" wrapText="1"/>
    </xf>
    <xf numFmtId="0" fontId="7" fillId="0" borderId="0" xfId="0" applyFont="1" applyAlignment="1">
      <alignment horizontal="left" vertical="center" indent="1"/>
    </xf>
    <xf numFmtId="0" fontId="8" fillId="5"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5" fillId="6" borderId="5" xfId="0" applyFont="1" applyFill="1" applyBorder="1" applyAlignment="1">
      <alignment horizontal="left" vertical="center" indent="1"/>
    </xf>
    <xf numFmtId="0" fontId="24" fillId="0" borderId="0" xfId="0" applyFont="1" applyAlignment="1">
      <alignment horizontal="left" vertical="top" wrapText="1" indent="1"/>
    </xf>
    <xf numFmtId="0" fontId="26" fillId="13" borderId="0" xfId="0" applyFont="1" applyFill="1" applyAlignment="1">
      <alignment horizontal="center" vertical="center" wrapText="1"/>
    </xf>
    <xf numFmtId="0" fontId="26" fillId="2" borderId="0" xfId="0" applyFont="1" applyFill="1" applyAlignment="1">
      <alignment horizontal="center" vertical="center" wrapText="1"/>
    </xf>
    <xf numFmtId="0" fontId="26" fillId="14" borderId="0" xfId="0" applyFont="1" applyFill="1" applyAlignment="1">
      <alignment horizontal="center" vertical="center" wrapText="1"/>
    </xf>
    <xf numFmtId="0" fontId="19" fillId="0" borderId="6" xfId="0" applyFont="1" applyBorder="1" applyAlignment="1">
      <alignment horizontal="left" vertical="center" indent="1"/>
    </xf>
    <xf numFmtId="0" fontId="8" fillId="0" borderId="6" xfId="0" applyFont="1" applyBorder="1" applyAlignment="1">
      <alignment horizontal="left" vertical="center" indent="1"/>
    </xf>
    <xf numFmtId="0" fontId="33" fillId="5" borderId="4" xfId="0" applyFont="1" applyFill="1" applyBorder="1" applyAlignment="1">
      <alignment horizontal="left" vertical="center" indent="1"/>
    </xf>
    <xf numFmtId="0" fontId="0" fillId="13" borderId="0" xfId="0" applyFill="1"/>
    <xf numFmtId="0" fontId="26" fillId="12" borderId="0" xfId="0" applyFont="1" applyFill="1" applyAlignment="1">
      <alignment horizontal="center" vertical="center" wrapText="1"/>
    </xf>
    <xf numFmtId="0" fontId="26" fillId="15" borderId="0" xfId="0" applyFont="1" applyFill="1" applyAlignment="1">
      <alignment horizontal="center" vertical="center" wrapText="1"/>
    </xf>
  </cellXfs>
  <cellStyles count="1">
    <cellStyle name="Standard" xfId="0" builtinId="0"/>
  </cellStyles>
  <dxfs count="37">
    <dxf>
      <font>
        <b/>
        <color rgb="FF256B43"/>
        <name val="Calibri"/>
        <charset val="1"/>
      </font>
      <fill>
        <patternFill>
          <bgColor rgb="FFDCEFE2"/>
        </patternFill>
      </fill>
    </dxf>
    <dxf>
      <font>
        <b/>
        <color rgb="FF8C2F39"/>
        <name val="Calibri"/>
        <charset val="1"/>
      </font>
      <fill>
        <patternFill>
          <bgColor rgb="FFF7DADD"/>
        </patternFill>
      </fill>
    </dxf>
    <dxf>
      <fill>
        <patternFill>
          <bgColor rgb="FFF3E3E5"/>
        </patternFill>
      </fill>
    </dxf>
    <dxf>
      <font>
        <b/>
        <color rgb="FF256B43"/>
        <name val="Calibri"/>
        <charset val="1"/>
      </font>
      <fill>
        <patternFill>
          <bgColor rgb="FFDCEFE2"/>
        </patternFill>
      </fill>
    </dxf>
    <dxf>
      <font>
        <b/>
        <color rgb="FF34506B"/>
        <name val="Calibri"/>
        <charset val="1"/>
      </font>
      <fill>
        <patternFill>
          <bgColor rgb="FFE1E8F0"/>
        </patternFill>
      </fill>
    </dxf>
    <dxf>
      <font>
        <b/>
        <color rgb="FF8C2F39"/>
        <name val="Calibri"/>
        <charset val="1"/>
      </font>
      <fill>
        <patternFill>
          <bgColor rgb="FFF7DADD"/>
        </patternFill>
      </fill>
    </dxf>
    <dxf>
      <font>
        <color rgb="FF256B43"/>
        <name val="Calibri"/>
        <charset val="1"/>
      </font>
      <fill>
        <patternFill>
          <bgColor rgb="FFDCEFE2"/>
        </patternFill>
      </fill>
    </dxf>
    <dxf>
      <font>
        <b/>
        <color rgb="FF34506B"/>
        <name val="Calibri"/>
        <charset val="1"/>
      </font>
      <fill>
        <patternFill>
          <bgColor rgb="FFE1E8F0"/>
        </patternFill>
      </fill>
    </dxf>
    <dxf>
      <font>
        <b/>
        <color rgb="FF8C2F39"/>
        <name val="Calibri"/>
        <charset val="1"/>
      </font>
      <fill>
        <patternFill>
          <bgColor rgb="FFF7DADD"/>
        </patternFill>
      </fill>
    </dxf>
    <dxf>
      <fill>
        <patternFill>
          <bgColor rgb="FFE3EAF2"/>
        </patternFill>
      </fill>
    </dxf>
    <dxf>
      <fill>
        <patternFill>
          <bgColor rgb="FFF3E3E5"/>
        </patternFill>
      </fill>
    </dxf>
    <dxf>
      <font>
        <i/>
        <color rgb="FF9CA3AF"/>
        <name val="Calibri"/>
        <charset val="1"/>
      </font>
    </dxf>
    <dxf>
      <font>
        <b/>
        <color rgb="FF34506B"/>
        <name val="Calibri"/>
        <charset val="1"/>
      </font>
      <fill>
        <patternFill>
          <bgColor rgb="FFE1E8F0"/>
        </patternFill>
      </fill>
    </dxf>
    <dxf>
      <font>
        <b/>
        <color rgb="FF7A5410"/>
        <name val="Calibri"/>
        <charset val="1"/>
      </font>
      <fill>
        <patternFill>
          <bgColor rgb="FFFBEBC8"/>
        </patternFill>
      </fill>
    </dxf>
    <dxf>
      <font>
        <b/>
        <color rgb="FF8C2F39"/>
        <name val="Calibri"/>
        <charset val="1"/>
      </font>
      <fill>
        <patternFill>
          <bgColor rgb="FFF7DADD"/>
        </patternFill>
      </fill>
    </dxf>
    <dxf>
      <font>
        <strike/>
        <color rgb="FF9CA3AF"/>
        <name val="Calibri"/>
        <charset val="1"/>
      </font>
    </dxf>
    <dxf>
      <font>
        <b/>
        <color rgb="FF34506B"/>
        <name val="Calibri"/>
        <charset val="1"/>
      </font>
      <fill>
        <patternFill>
          <bgColor rgb="FFE1E8F0"/>
        </patternFill>
      </fill>
    </dxf>
    <dxf>
      <font>
        <b/>
        <color rgb="FF7A5410"/>
        <name val="Calibri"/>
        <charset val="1"/>
      </font>
      <fill>
        <patternFill>
          <bgColor rgb="FFFBEBC8"/>
        </patternFill>
      </fill>
    </dxf>
    <dxf>
      <font>
        <b/>
        <color rgb="FF256B43"/>
        <name val="Calibri"/>
        <charset val="1"/>
      </font>
      <fill>
        <patternFill>
          <bgColor rgb="FFDCEFE2"/>
        </patternFill>
      </fill>
    </dxf>
    <dxf>
      <font>
        <b/>
        <color rgb="FF8C2F39"/>
        <name val="Calibri"/>
        <charset val="1"/>
      </font>
    </dxf>
    <dxf>
      <font>
        <b/>
        <i/>
        <color rgb="FF8C2F39"/>
        <name val="Calibri"/>
        <charset val="1"/>
      </font>
    </dxf>
    <dxf>
      <font>
        <i/>
        <color rgb="FF9CA3AF"/>
        <name val="Calibri"/>
        <charset val="1"/>
      </font>
    </dxf>
    <dxf>
      <font>
        <b/>
        <sz val="22"/>
        <color rgb="FF8C2F39"/>
        <name val="Calibri"/>
        <charset val="1"/>
      </font>
    </dxf>
    <dxf>
      <font>
        <b/>
        <sz val="22"/>
        <color rgb="FF256B43"/>
        <name val="Calibri"/>
        <charset val="1"/>
      </font>
    </dxf>
    <dxf>
      <font>
        <b/>
        <sz val="22"/>
        <color rgb="FF8C2F39"/>
        <name val="Calibri"/>
        <charset val="1"/>
      </font>
    </dxf>
    <dxf>
      <font>
        <b/>
        <color rgb="FF8C2F39"/>
        <name val="Calibri"/>
        <charset val="1"/>
      </font>
      <fill>
        <patternFill>
          <bgColor rgb="FFF7DADD"/>
        </patternFill>
      </fill>
    </dxf>
    <dxf>
      <font>
        <b/>
        <sz val="22"/>
        <color rgb="FF8C2F39"/>
        <name val="Calibri"/>
        <charset val="1"/>
      </font>
    </dxf>
    <dxf>
      <font>
        <b/>
        <color rgb="FF256B43"/>
        <name val="Calibri"/>
        <charset val="1"/>
      </font>
      <fill>
        <patternFill>
          <bgColor rgb="FFDCEFE2"/>
        </patternFill>
      </fill>
    </dxf>
    <dxf>
      <font>
        <b/>
        <color rgb="FF7A5410"/>
        <name val="Calibri"/>
        <charset val="1"/>
      </font>
      <fill>
        <patternFill>
          <bgColor rgb="FFFBEBC8"/>
        </patternFill>
      </fill>
    </dxf>
    <dxf>
      <font>
        <b/>
        <color rgb="FF34506B"/>
        <name val="Calibri"/>
        <charset val="1"/>
      </font>
      <fill>
        <patternFill>
          <bgColor rgb="FFE1E8F0"/>
        </patternFill>
      </fill>
    </dxf>
    <dxf>
      <font>
        <b/>
        <color rgb="FF256B43"/>
        <name val="Calibri"/>
        <charset val="1"/>
      </font>
      <fill>
        <patternFill>
          <bgColor rgb="FFDCEFE2"/>
        </patternFill>
      </fill>
    </dxf>
    <dxf>
      <font>
        <b/>
        <color rgb="FF7A5410"/>
        <name val="Calibri"/>
        <charset val="1"/>
      </font>
      <fill>
        <patternFill>
          <bgColor rgb="FFFBEBC8"/>
        </patternFill>
      </fill>
    </dxf>
    <dxf>
      <font>
        <b/>
        <color rgb="FF8C2F39"/>
        <name val="Calibri"/>
        <charset val="1"/>
      </font>
      <fill>
        <patternFill>
          <bgColor rgb="FFF7DADD"/>
        </patternFill>
      </fill>
    </dxf>
    <dxf>
      <font>
        <b/>
        <color rgb="FF256B43"/>
        <name val="Calibri"/>
        <charset val="1"/>
      </font>
      <fill>
        <patternFill>
          <bgColor rgb="FFDCEFE2"/>
        </patternFill>
      </fill>
    </dxf>
    <dxf>
      <font>
        <b/>
        <color rgb="FF8C2F39"/>
        <name val="Calibri"/>
        <charset val="1"/>
      </font>
      <fill>
        <patternFill>
          <bgColor rgb="FFF7DADD"/>
        </patternFill>
      </fill>
    </dxf>
    <dxf>
      <font>
        <b/>
        <color rgb="FF256B43"/>
        <name val="Calibri"/>
        <charset val="1"/>
      </font>
      <fill>
        <patternFill>
          <bgColor rgb="FFDCEFE2"/>
        </patternFill>
      </fill>
    </dxf>
    <dxf>
      <font>
        <b/>
        <color rgb="FF8C2F39"/>
        <name val="Calibri"/>
        <charset val="1"/>
      </font>
      <fill>
        <patternFill>
          <bgColor rgb="FFF7DADD"/>
        </patternFill>
      </fill>
    </dxf>
  </dxfs>
  <tableStyles count="0" defaultTableStyle="TableStyleMedium2" defaultPivotStyle="PivotStyleLight16"/>
  <colors>
    <indexedColors>
      <rgbColor rgb="FF000000"/>
      <rgbColor rgb="FFFFFFFF"/>
      <rgbColor rgb="FFFF0000"/>
      <rgbColor rgb="FF00FF00"/>
      <rgbColor rgb="FF0000FF"/>
      <rgbColor rgb="FFF7F8FA"/>
      <rgbColor rgb="FFFF00FF"/>
      <rgbColor rgb="FF00FFFF"/>
      <rgbColor rgb="FF800000"/>
      <rgbColor rgb="FF008000"/>
      <rgbColor rgb="FF000080"/>
      <rgbColor rgb="FF58606E"/>
      <rgbColor rgb="FF800080"/>
      <rgbColor rgb="FF256B43"/>
      <rgbColor rgb="FFD9D9D9"/>
      <rgbColor rgb="FF878787"/>
      <rgbColor rgb="FF9AA3B2"/>
      <rgbColor rgb="FF8C2F39"/>
      <rgbColor rgb="FFFBEBC8"/>
      <rgbColor rgb="FFE3EAF2"/>
      <rgbColor rgb="FF660066"/>
      <rgbColor rgb="FFFF8080"/>
      <rgbColor rgb="FF0066CC"/>
      <rgbColor rgb="FFCDD3DB"/>
      <rgbColor rgb="FF000080"/>
      <rgbColor rgb="FFFF00FF"/>
      <rgbColor rgb="FFFFFF00"/>
      <rgbColor rgb="FF00FFFF"/>
      <rgbColor rgb="FF800080"/>
      <rgbColor rgb="FF800000"/>
      <rgbColor rgb="FF008080"/>
      <rgbColor rgb="FF0000FF"/>
      <rgbColor rgb="FF00CCFF"/>
      <rgbColor rgb="FFE1E8F0"/>
      <rgbColor rgb="FFDCEFE2"/>
      <rgbColor rgb="FFFCF4F5"/>
      <rgbColor rgb="FFF3E3E5"/>
      <rgbColor rgb="FFEDF0F4"/>
      <rgbColor rgb="FFF3F4F7"/>
      <rgbColor rgb="FFF7DADD"/>
      <rgbColor rgb="FF3366FF"/>
      <rgbColor rgb="FF33CCCC"/>
      <rgbColor rgb="FF99CC00"/>
      <rgbColor rgb="FFFFCC00"/>
      <rgbColor rgb="FFFF9900"/>
      <rgbColor rgb="FFFF6600"/>
      <rgbColor rgb="FF6B7280"/>
      <rgbColor rgb="FF9CA3AF"/>
      <rgbColor rgb="FF3A4250"/>
      <rgbColor rgb="FF5A6372"/>
      <rgbColor rgb="FF003300"/>
      <rgbColor rgb="FF23272F"/>
      <rgbColor rgb="FF7A5410"/>
      <rgbColor rgb="FF4B5563"/>
      <rgbColor rgb="FF34506B"/>
      <rgbColor rgb="FF2B303A"/>
      <rgbColor rgb="00003366"/>
      <rgbColor rgb="00339966"/>
      <rgbColor rgb="00003300"/>
      <rgbColor rgb="00333300"/>
      <rgbColor rgb="00993300"/>
      <rgbColor rgb="00993366"/>
      <rgbColor rgb="00333399"/>
      <rgbColor rgb="00333333"/>
    </indexedColors>
    <mruColors>
      <color rgb="FFF7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FTE Plan vs. Soll</a:t>
            </a:r>
          </a:p>
        </c:rich>
      </c:tx>
      <c:overlay val="0"/>
      <c:spPr>
        <a:noFill/>
        <a:ln w="0">
          <a:noFill/>
        </a:ln>
      </c:spPr>
    </c:title>
    <c:autoTitleDeleted val="0"/>
    <c:plotArea>
      <c:layout/>
      <c:barChart>
        <c:barDir val="col"/>
        <c:grouping val="clustered"/>
        <c:varyColors val="0"/>
        <c:ser>
          <c:idx val="0"/>
          <c:order val="0"/>
          <c:tx>
            <c:v>FTE Plan</c:v>
          </c:tx>
          <c:spPr>
            <a:solidFill>
              <a:srgbClr val="3A4250"/>
            </a:solidFill>
            <a:ln w="9360">
              <a:solidFill>
                <a:srgbClr val="3A4250"/>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Übersicht!$C$15:$N$15</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Übersicht!$C$18:$N$18</c:f>
              <c:numCache>
                <c:formatCode>0.00</c:formatCode>
                <c:ptCount val="12"/>
                <c:pt idx="0">
                  <c:v>31.85</c:v>
                </c:pt>
                <c:pt idx="1">
                  <c:v>32.85</c:v>
                </c:pt>
                <c:pt idx="2">
                  <c:v>33.85</c:v>
                </c:pt>
                <c:pt idx="3">
                  <c:v>32.85</c:v>
                </c:pt>
                <c:pt idx="4">
                  <c:v>32.85</c:v>
                </c:pt>
                <c:pt idx="5">
                  <c:v>32.85</c:v>
                </c:pt>
                <c:pt idx="6">
                  <c:v>32.85</c:v>
                </c:pt>
                <c:pt idx="7">
                  <c:v>32.85</c:v>
                </c:pt>
                <c:pt idx="8">
                  <c:v>32.85</c:v>
                </c:pt>
                <c:pt idx="9">
                  <c:v>32.900000000000006</c:v>
                </c:pt>
                <c:pt idx="10">
                  <c:v>32.900000000000006</c:v>
                </c:pt>
                <c:pt idx="11">
                  <c:v>32.900000000000006</c:v>
                </c:pt>
              </c:numCache>
            </c:numRef>
          </c:val>
          <c:extLst>
            <c:ext xmlns:c16="http://schemas.microsoft.com/office/drawing/2014/chart" uri="{C3380CC4-5D6E-409C-BE32-E72D297353CC}">
              <c16:uniqueId val="{00000000-343C-4E09-AD43-70535CFF74DF}"/>
            </c:ext>
          </c:extLst>
        </c:ser>
        <c:dLbls>
          <c:showLegendKey val="0"/>
          <c:showVal val="0"/>
          <c:showCatName val="0"/>
          <c:showSerName val="0"/>
          <c:showPercent val="0"/>
          <c:showBubbleSize val="0"/>
        </c:dLbls>
        <c:gapWidth val="150"/>
        <c:axId val="84271003"/>
        <c:axId val="42608928"/>
      </c:barChart>
      <c:lineChart>
        <c:grouping val="standard"/>
        <c:varyColors val="0"/>
        <c:ser>
          <c:idx val="1"/>
          <c:order val="1"/>
          <c:tx>
            <c:v>FTE Soll</c:v>
          </c:tx>
          <c:spPr>
            <a:ln w="28080">
              <a:solidFill>
                <a:srgbClr val="8C2F39"/>
              </a:solidFill>
              <a:round/>
            </a:ln>
          </c:spPr>
          <c:marker>
            <c:symbol val="none"/>
          </c:marker>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Übersicht!$C$15:$N$15</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Übersicht!$C$19:$N$19</c:f>
              <c:numCache>
                <c:formatCode>0.00</c:formatCode>
                <c:ptCount val="12"/>
                <c:pt idx="0">
                  <c:v>32.75</c:v>
                </c:pt>
                <c:pt idx="1">
                  <c:v>33.75</c:v>
                </c:pt>
                <c:pt idx="2">
                  <c:v>33.75</c:v>
                </c:pt>
                <c:pt idx="3">
                  <c:v>33.75</c:v>
                </c:pt>
                <c:pt idx="4">
                  <c:v>33.75</c:v>
                </c:pt>
                <c:pt idx="5">
                  <c:v>33.75</c:v>
                </c:pt>
                <c:pt idx="6">
                  <c:v>34.25</c:v>
                </c:pt>
                <c:pt idx="7">
                  <c:v>34.25</c:v>
                </c:pt>
                <c:pt idx="8">
                  <c:v>35.25</c:v>
                </c:pt>
                <c:pt idx="9">
                  <c:v>35.25</c:v>
                </c:pt>
                <c:pt idx="10">
                  <c:v>35.25</c:v>
                </c:pt>
                <c:pt idx="11">
                  <c:v>35.25</c:v>
                </c:pt>
              </c:numCache>
            </c:numRef>
          </c:val>
          <c:smooth val="0"/>
          <c:extLst>
            <c:ext xmlns:c16="http://schemas.microsoft.com/office/drawing/2014/chart" uri="{C3380CC4-5D6E-409C-BE32-E72D297353CC}">
              <c16:uniqueId val="{00000001-343C-4E09-AD43-70535CFF74DF}"/>
            </c:ext>
          </c:extLst>
        </c:ser>
        <c:dLbls>
          <c:showLegendKey val="0"/>
          <c:showVal val="0"/>
          <c:showCatName val="0"/>
          <c:showSerName val="0"/>
          <c:showPercent val="0"/>
          <c:showBubbleSize val="0"/>
        </c:dLbls>
        <c:hiLowLines>
          <c:spPr>
            <a:ln w="0">
              <a:noFill/>
            </a:ln>
          </c:spPr>
        </c:hiLowLines>
        <c:marker val="1"/>
        <c:smooth val="0"/>
        <c:axId val="84271003"/>
        <c:axId val="42608928"/>
      </c:lineChart>
      <c:catAx>
        <c:axId val="8427100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2608928"/>
        <c:crosses val="autoZero"/>
        <c:auto val="1"/>
        <c:lblAlgn val="ctr"/>
        <c:lblOffset val="100"/>
        <c:noMultiLvlLbl val="0"/>
      </c:catAx>
      <c:valAx>
        <c:axId val="42608928"/>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84271003"/>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7F8FA"/>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Personalkosten vs. Budget</a:t>
            </a:r>
          </a:p>
        </c:rich>
      </c:tx>
      <c:overlay val="0"/>
      <c:spPr>
        <a:noFill/>
        <a:ln w="0">
          <a:noFill/>
        </a:ln>
      </c:spPr>
    </c:title>
    <c:autoTitleDeleted val="0"/>
    <c:plotArea>
      <c:layout/>
      <c:barChart>
        <c:barDir val="col"/>
        <c:grouping val="clustered"/>
        <c:varyColors val="0"/>
        <c:ser>
          <c:idx val="0"/>
          <c:order val="0"/>
          <c:tx>
            <c:v>Personalkosten</c:v>
          </c:tx>
          <c:spPr>
            <a:solidFill>
              <a:srgbClr val="9AA3B2"/>
            </a:solidFill>
            <a:ln w="9360">
              <a:solidFill>
                <a:srgbClr val="9AA3B2"/>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Übersicht!$C$15:$N$15</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Übersicht!$C$21:$N$21</c:f>
              <c:numCache>
                <c:formatCode>#,##0" €"</c:formatCode>
                <c:ptCount val="12"/>
                <c:pt idx="0">
                  <c:v>192211.4375</c:v>
                </c:pt>
                <c:pt idx="1">
                  <c:v>199651.4375</c:v>
                </c:pt>
                <c:pt idx="2">
                  <c:v>205355.4375</c:v>
                </c:pt>
                <c:pt idx="3">
                  <c:v>206025.13399999999</c:v>
                </c:pt>
                <c:pt idx="4">
                  <c:v>206025.13399999999</c:v>
                </c:pt>
                <c:pt idx="5">
                  <c:v>206025.13399999999</c:v>
                </c:pt>
                <c:pt idx="6">
                  <c:v>205718.85399999999</c:v>
                </c:pt>
                <c:pt idx="7">
                  <c:v>205718.85399999999</c:v>
                </c:pt>
                <c:pt idx="8">
                  <c:v>205658.09399999998</c:v>
                </c:pt>
                <c:pt idx="9">
                  <c:v>206939.99399999998</c:v>
                </c:pt>
                <c:pt idx="10">
                  <c:v>356972.53056849318</c:v>
                </c:pt>
                <c:pt idx="11">
                  <c:v>206939.99399999998</c:v>
                </c:pt>
              </c:numCache>
            </c:numRef>
          </c:val>
          <c:extLst>
            <c:ext xmlns:c16="http://schemas.microsoft.com/office/drawing/2014/chart" uri="{C3380CC4-5D6E-409C-BE32-E72D297353CC}">
              <c16:uniqueId val="{00000000-02E9-4745-BA15-C15AC7FF0208}"/>
            </c:ext>
          </c:extLst>
        </c:ser>
        <c:dLbls>
          <c:showLegendKey val="0"/>
          <c:showVal val="0"/>
          <c:showCatName val="0"/>
          <c:showSerName val="0"/>
          <c:showPercent val="0"/>
          <c:showBubbleSize val="0"/>
        </c:dLbls>
        <c:gapWidth val="150"/>
        <c:axId val="64520370"/>
        <c:axId val="11932419"/>
      </c:barChart>
      <c:lineChart>
        <c:grouping val="standard"/>
        <c:varyColors val="0"/>
        <c:ser>
          <c:idx val="1"/>
          <c:order val="1"/>
          <c:tx>
            <c:v>Budget</c:v>
          </c:tx>
          <c:spPr>
            <a:ln w="28080">
              <a:solidFill>
                <a:srgbClr val="8C2F39"/>
              </a:solidFill>
              <a:prstDash val="dash"/>
              <a:round/>
            </a:ln>
          </c:spPr>
          <c:marker>
            <c:symbol val="none"/>
          </c:marker>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Übersicht!$C$15:$N$15</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Übersicht!$C$22:$N$22</c:f>
              <c:numCache>
                <c:formatCode>#,##0" €"</c:formatCode>
                <c:ptCount val="12"/>
                <c:pt idx="0">
                  <c:v>196000</c:v>
                </c:pt>
                <c:pt idx="1">
                  <c:v>206000</c:v>
                </c:pt>
                <c:pt idx="2">
                  <c:v>205000</c:v>
                </c:pt>
                <c:pt idx="3">
                  <c:v>208000</c:v>
                </c:pt>
                <c:pt idx="4">
                  <c:v>204000</c:v>
                </c:pt>
                <c:pt idx="5">
                  <c:v>206000</c:v>
                </c:pt>
                <c:pt idx="6">
                  <c:v>210000</c:v>
                </c:pt>
                <c:pt idx="7">
                  <c:v>208000</c:v>
                </c:pt>
                <c:pt idx="8">
                  <c:v>202000</c:v>
                </c:pt>
                <c:pt idx="9">
                  <c:v>207000</c:v>
                </c:pt>
                <c:pt idx="10">
                  <c:v>361000</c:v>
                </c:pt>
                <c:pt idx="11">
                  <c:v>213000</c:v>
                </c:pt>
              </c:numCache>
            </c:numRef>
          </c:val>
          <c:smooth val="0"/>
          <c:extLst>
            <c:ext xmlns:c16="http://schemas.microsoft.com/office/drawing/2014/chart" uri="{C3380CC4-5D6E-409C-BE32-E72D297353CC}">
              <c16:uniqueId val="{00000001-02E9-4745-BA15-C15AC7FF0208}"/>
            </c:ext>
          </c:extLst>
        </c:ser>
        <c:dLbls>
          <c:showLegendKey val="0"/>
          <c:showVal val="0"/>
          <c:showCatName val="0"/>
          <c:showSerName val="0"/>
          <c:showPercent val="0"/>
          <c:showBubbleSize val="0"/>
        </c:dLbls>
        <c:hiLowLines>
          <c:spPr>
            <a:ln w="0">
              <a:noFill/>
            </a:ln>
          </c:spPr>
        </c:hiLowLines>
        <c:marker val="1"/>
        <c:smooth val="0"/>
        <c:axId val="64520370"/>
        <c:axId val="11932419"/>
      </c:lineChart>
      <c:catAx>
        <c:axId val="6452037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11932419"/>
        <c:crosses val="autoZero"/>
        <c:auto val="1"/>
        <c:lblAlgn val="ctr"/>
        <c:lblOffset val="100"/>
        <c:noMultiLvlLbl val="0"/>
      </c:catAx>
      <c:valAx>
        <c:axId val="11932419"/>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4520370"/>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7F8FA"/>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7</xdr:col>
      <xdr:colOff>148167</xdr:colOff>
      <xdr:row>37</xdr:row>
      <xdr:rowOff>115200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222250</xdr:colOff>
      <xdr:row>24</xdr:row>
      <xdr:rowOff>0</xdr:rowOff>
    </xdr:from>
    <xdr:to>
      <xdr:col>15</xdr:col>
      <xdr:colOff>134303</xdr:colOff>
      <xdr:row>37</xdr:row>
      <xdr:rowOff>115200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C2F39"/>
    <pageSetUpPr fitToPage="1"/>
  </sheetPr>
  <dimension ref="A1:K40"/>
  <sheetViews>
    <sheetView showGridLines="0" zoomScale="90" zoomScaleNormal="90" workbookViewId="0"/>
  </sheetViews>
  <sheetFormatPr baseColWidth="10" defaultColWidth="8.7109375" defaultRowHeight="15" x14ac:dyDescent="0.25"/>
  <cols>
    <col min="1" max="1" width="1.5703125" customWidth="1"/>
    <col min="2" max="2" width="4" customWidth="1"/>
    <col min="3" max="11" width="14" customWidth="1"/>
  </cols>
  <sheetData>
    <row r="1" spans="1:11" ht="7.5" customHeight="1" x14ac:dyDescent="0.25"/>
    <row r="2" spans="1:11" ht="37.5" customHeight="1" x14ac:dyDescent="0.45">
      <c r="A2" s="15"/>
      <c r="B2" s="16" t="s">
        <v>0</v>
      </c>
      <c r="K2" s="17" t="str">
        <f>"PERSONALPLANUNG "&amp;Parameter!$C$7</f>
        <v>PERSONALPLANUNG 2027</v>
      </c>
    </row>
    <row r="3" spans="1:11" ht="18" customHeight="1" x14ac:dyDescent="0.25">
      <c r="A3" s="15"/>
      <c r="B3" s="18" t="s">
        <v>1</v>
      </c>
      <c r="C3" s="19"/>
      <c r="D3" s="19"/>
      <c r="E3" s="19"/>
      <c r="F3" s="19"/>
      <c r="G3" s="19"/>
      <c r="H3" s="19"/>
      <c r="I3" s="19"/>
      <c r="J3" s="19"/>
      <c r="K3" s="19"/>
    </row>
    <row r="4" spans="1:11" ht="13.5" customHeight="1" x14ac:dyDescent="0.25"/>
    <row r="5" spans="1:11" ht="24" customHeight="1" x14ac:dyDescent="0.25">
      <c r="B5" s="133" t="s">
        <v>2</v>
      </c>
      <c r="C5" s="133"/>
      <c r="D5" s="133"/>
      <c r="E5" s="133"/>
      <c r="F5" s="133"/>
      <c r="G5" s="133"/>
      <c r="H5" s="133"/>
      <c r="I5" s="133"/>
      <c r="J5" s="133"/>
      <c r="K5" s="133"/>
    </row>
    <row r="6" spans="1:11" ht="24" customHeight="1" x14ac:dyDescent="0.25">
      <c r="B6" s="133"/>
      <c r="C6" s="133"/>
      <c r="D6" s="133"/>
      <c r="E6" s="133"/>
      <c r="F6" s="133"/>
      <c r="G6" s="133"/>
      <c r="H6" s="133"/>
      <c r="I6" s="133"/>
      <c r="J6" s="133"/>
      <c r="K6" s="133"/>
    </row>
    <row r="8" spans="1:11" ht="24" customHeight="1" x14ac:dyDescent="0.25">
      <c r="B8" s="20" t="s">
        <v>3</v>
      </c>
      <c r="C8" s="21"/>
      <c r="D8" s="21"/>
      <c r="E8" s="21"/>
      <c r="F8" s="21"/>
      <c r="G8" s="21"/>
      <c r="H8" s="21"/>
      <c r="I8" s="21"/>
      <c r="J8" s="21"/>
      <c r="K8" s="21"/>
    </row>
    <row r="9" spans="1:11" ht="18" customHeight="1" x14ac:dyDescent="0.25">
      <c r="B9" s="134">
        <v>1</v>
      </c>
      <c r="C9" s="22" t="s">
        <v>4</v>
      </c>
    </row>
    <row r="10" spans="1:11" ht="37.5" customHeight="1" x14ac:dyDescent="0.25">
      <c r="B10" s="134"/>
      <c r="C10" s="135" t="s">
        <v>5</v>
      </c>
      <c r="D10" s="135"/>
      <c r="E10" s="135"/>
      <c r="F10" s="135"/>
      <c r="G10" s="135"/>
      <c r="H10" s="135"/>
      <c r="I10" s="135"/>
      <c r="J10" s="135"/>
      <c r="K10" s="135"/>
    </row>
    <row r="11" spans="1:11" ht="6" customHeight="1" x14ac:dyDescent="0.25"/>
    <row r="12" spans="1:11" ht="18" customHeight="1" x14ac:dyDescent="0.25">
      <c r="B12" s="134">
        <v>2</v>
      </c>
      <c r="C12" s="22" t="s">
        <v>6</v>
      </c>
    </row>
    <row r="13" spans="1:11" ht="37.5" customHeight="1" x14ac:dyDescent="0.25">
      <c r="B13" s="134"/>
      <c r="C13" s="135" t="s">
        <v>7</v>
      </c>
      <c r="D13" s="135"/>
      <c r="E13" s="135"/>
      <c r="F13" s="135"/>
      <c r="G13" s="135"/>
      <c r="H13" s="135"/>
      <c r="I13" s="135"/>
      <c r="J13" s="135"/>
      <c r="K13" s="135"/>
    </row>
    <row r="14" spans="1:11" ht="6" customHeight="1" x14ac:dyDescent="0.25"/>
    <row r="15" spans="1:11" ht="18" customHeight="1" x14ac:dyDescent="0.25">
      <c r="B15" s="134">
        <v>3</v>
      </c>
      <c r="C15" s="22" t="s">
        <v>8</v>
      </c>
    </row>
    <row r="16" spans="1:11" ht="37.5" customHeight="1" x14ac:dyDescent="0.25">
      <c r="B16" s="134"/>
      <c r="C16" s="135" t="s">
        <v>9</v>
      </c>
      <c r="D16" s="135"/>
      <c r="E16" s="135"/>
      <c r="F16" s="135"/>
      <c r="G16" s="135"/>
      <c r="H16" s="135"/>
      <c r="I16" s="135"/>
      <c r="J16" s="135"/>
      <c r="K16" s="135"/>
    </row>
    <row r="17" spans="2:11" ht="6" customHeight="1" x14ac:dyDescent="0.25"/>
    <row r="18" spans="2:11" ht="18" customHeight="1" x14ac:dyDescent="0.25">
      <c r="B18" s="134">
        <v>4</v>
      </c>
      <c r="C18" s="22" t="s">
        <v>10</v>
      </c>
    </row>
    <row r="19" spans="2:11" ht="37.5" customHeight="1" x14ac:dyDescent="0.25">
      <c r="B19" s="134"/>
      <c r="C19" s="135" t="s">
        <v>11</v>
      </c>
      <c r="D19" s="135"/>
      <c r="E19" s="135"/>
      <c r="F19" s="135"/>
      <c r="G19" s="135"/>
      <c r="H19" s="135"/>
      <c r="I19" s="135"/>
      <c r="J19" s="135"/>
      <c r="K19" s="135"/>
    </row>
    <row r="20" spans="2:11" ht="6" customHeight="1" x14ac:dyDescent="0.25"/>
    <row r="21" spans="2:11" ht="18" customHeight="1" x14ac:dyDescent="0.25">
      <c r="B21" s="134">
        <v>5</v>
      </c>
      <c r="C21" s="22" t="s">
        <v>12</v>
      </c>
    </row>
    <row r="22" spans="2:11" ht="37.5" customHeight="1" x14ac:dyDescent="0.25">
      <c r="B22" s="134"/>
      <c r="C22" s="135" t="s">
        <v>13</v>
      </c>
      <c r="D22" s="135"/>
      <c r="E22" s="135"/>
      <c r="F22" s="135"/>
      <c r="G22" s="135"/>
      <c r="H22" s="135"/>
      <c r="I22" s="135"/>
      <c r="J22" s="135"/>
      <c r="K22" s="135"/>
    </row>
    <row r="23" spans="2:11" ht="6" customHeight="1" x14ac:dyDescent="0.25"/>
    <row r="25" spans="2:11" ht="24" customHeight="1" x14ac:dyDescent="0.25">
      <c r="B25" s="20" t="s">
        <v>14</v>
      </c>
      <c r="C25" s="21"/>
      <c r="D25" s="21"/>
      <c r="E25" s="21"/>
      <c r="F25" s="21"/>
      <c r="G25" s="21"/>
      <c r="H25" s="21"/>
      <c r="I25" s="21"/>
      <c r="J25" s="21"/>
      <c r="K25" s="21"/>
    </row>
    <row r="26" spans="2:11" ht="19.5" customHeight="1" x14ac:dyDescent="0.25">
      <c r="B26" s="136" t="s">
        <v>15</v>
      </c>
      <c r="C26" s="136"/>
      <c r="D26" s="137" t="s">
        <v>16</v>
      </c>
      <c r="E26" s="137"/>
      <c r="F26" s="137"/>
      <c r="G26" s="137"/>
      <c r="H26" s="137"/>
      <c r="I26" s="137"/>
      <c r="J26" s="137"/>
      <c r="K26" s="137"/>
    </row>
    <row r="27" spans="2:11" ht="19.5" customHeight="1" x14ac:dyDescent="0.25">
      <c r="B27" s="138" t="s">
        <v>17</v>
      </c>
      <c r="C27" s="138"/>
      <c r="D27" s="137" t="s">
        <v>18</v>
      </c>
      <c r="E27" s="137"/>
      <c r="F27" s="137"/>
      <c r="G27" s="137"/>
      <c r="H27" s="137"/>
      <c r="I27" s="137"/>
      <c r="J27" s="137"/>
      <c r="K27" s="137"/>
    </row>
    <row r="28" spans="2:11" ht="19.5" customHeight="1" x14ac:dyDescent="0.25">
      <c r="B28" s="139" t="s">
        <v>19</v>
      </c>
      <c r="C28" s="139"/>
      <c r="D28" s="137" t="s">
        <v>20</v>
      </c>
      <c r="E28" s="137"/>
      <c r="F28" s="137"/>
      <c r="G28" s="137"/>
      <c r="H28" s="137"/>
      <c r="I28" s="137"/>
      <c r="J28" s="137"/>
      <c r="K28" s="137"/>
    </row>
    <row r="29" spans="2:11" ht="19.5" customHeight="1" x14ac:dyDescent="0.25">
      <c r="B29" s="140" t="s">
        <v>21</v>
      </c>
      <c r="C29" s="140"/>
      <c r="D29" s="137" t="s">
        <v>22</v>
      </c>
      <c r="E29" s="137"/>
      <c r="F29" s="137"/>
      <c r="G29" s="137"/>
      <c r="H29" s="137"/>
      <c r="I29" s="137"/>
      <c r="J29" s="137"/>
      <c r="K29" s="137"/>
    </row>
    <row r="30" spans="2:11" ht="19.5" customHeight="1" x14ac:dyDescent="0.25">
      <c r="B30" s="141" t="s">
        <v>23</v>
      </c>
      <c r="C30" s="141"/>
      <c r="D30" s="137" t="s">
        <v>24</v>
      </c>
      <c r="E30" s="137"/>
      <c r="F30" s="137"/>
      <c r="G30" s="137"/>
      <c r="H30" s="137"/>
      <c r="I30" s="137"/>
      <c r="J30" s="137"/>
      <c r="K30" s="137"/>
    </row>
    <row r="31" spans="2:11" ht="19.5" customHeight="1" x14ac:dyDescent="0.25">
      <c r="B31" s="142" t="s">
        <v>25</v>
      </c>
      <c r="C31" s="142"/>
      <c r="D31" s="137" t="s">
        <v>26</v>
      </c>
      <c r="E31" s="137"/>
      <c r="F31" s="137"/>
      <c r="G31" s="137"/>
      <c r="H31" s="137"/>
      <c r="I31" s="137"/>
      <c r="J31" s="137"/>
      <c r="K31" s="137"/>
    </row>
    <row r="32" spans="2:11" ht="19.5" customHeight="1" x14ac:dyDescent="0.25">
      <c r="B32" s="143" t="s">
        <v>27</v>
      </c>
      <c r="C32" s="143"/>
      <c r="D32" s="137" t="s">
        <v>28</v>
      </c>
      <c r="E32" s="137"/>
      <c r="F32" s="137"/>
      <c r="G32" s="137"/>
      <c r="H32" s="137"/>
      <c r="I32" s="137"/>
      <c r="J32" s="137"/>
      <c r="K32" s="137"/>
    </row>
    <row r="34" spans="2:11" ht="24" customHeight="1" x14ac:dyDescent="0.25">
      <c r="B34" s="20" t="s">
        <v>29</v>
      </c>
      <c r="C34" s="21"/>
      <c r="D34" s="21"/>
      <c r="E34" s="21"/>
      <c r="F34" s="21"/>
      <c r="G34" s="21"/>
      <c r="H34" s="21"/>
      <c r="I34" s="21"/>
      <c r="J34" s="21"/>
      <c r="K34" s="21"/>
    </row>
    <row r="35" spans="2:11" ht="19.5" customHeight="1" x14ac:dyDescent="0.25">
      <c r="B35" s="23" t="s">
        <v>30</v>
      </c>
      <c r="C35" s="137" t="s">
        <v>31</v>
      </c>
      <c r="D35" s="137"/>
      <c r="E35" s="137"/>
      <c r="F35" s="137"/>
      <c r="G35" s="137"/>
      <c r="H35" s="137"/>
      <c r="I35" s="137"/>
      <c r="J35" s="137"/>
      <c r="K35" s="137"/>
    </row>
    <row r="36" spans="2:11" ht="19.5" customHeight="1" x14ac:dyDescent="0.25">
      <c r="B36" s="23" t="s">
        <v>30</v>
      </c>
      <c r="C36" s="137" t="s">
        <v>32</v>
      </c>
      <c r="D36" s="137"/>
      <c r="E36" s="137"/>
      <c r="F36" s="137"/>
      <c r="G36" s="137"/>
      <c r="H36" s="137"/>
      <c r="I36" s="137"/>
      <c r="J36" s="137"/>
      <c r="K36" s="137"/>
    </row>
    <row r="37" spans="2:11" ht="19.5" customHeight="1" x14ac:dyDescent="0.25">
      <c r="B37" s="23" t="s">
        <v>30</v>
      </c>
      <c r="C37" s="137" t="s">
        <v>33</v>
      </c>
      <c r="D37" s="137"/>
      <c r="E37" s="137"/>
      <c r="F37" s="137"/>
      <c r="G37" s="137"/>
      <c r="H37" s="137"/>
      <c r="I37" s="137"/>
      <c r="J37" s="137"/>
      <c r="K37" s="137"/>
    </row>
    <row r="38" spans="2:11" ht="19.5" customHeight="1" x14ac:dyDescent="0.25">
      <c r="B38" s="23" t="s">
        <v>30</v>
      </c>
      <c r="C38" s="137" t="s">
        <v>34</v>
      </c>
      <c r="D38" s="137"/>
      <c r="E38" s="137"/>
      <c r="F38" s="137"/>
      <c r="G38" s="137"/>
      <c r="H38" s="137"/>
      <c r="I38" s="137"/>
      <c r="J38" s="137"/>
      <c r="K38" s="137"/>
    </row>
    <row r="39" spans="2:11" ht="19.5" customHeight="1" x14ac:dyDescent="0.25">
      <c r="B39" s="23" t="s">
        <v>30</v>
      </c>
      <c r="C39" s="137" t="s">
        <v>35</v>
      </c>
      <c r="D39" s="137"/>
      <c r="E39" s="137"/>
      <c r="F39" s="137"/>
      <c r="G39" s="137"/>
      <c r="H39" s="137"/>
      <c r="I39" s="137"/>
      <c r="J39" s="137"/>
      <c r="K39" s="137"/>
    </row>
    <row r="40" spans="2:11" ht="19.5" customHeight="1" x14ac:dyDescent="0.25">
      <c r="B40" s="23" t="s">
        <v>30</v>
      </c>
      <c r="C40" s="137" t="s">
        <v>36</v>
      </c>
      <c r="D40" s="137"/>
      <c r="E40" s="137"/>
      <c r="F40" s="137"/>
      <c r="G40" s="137"/>
      <c r="H40" s="137"/>
      <c r="I40" s="137"/>
      <c r="J40" s="137"/>
      <c r="K40" s="137"/>
    </row>
  </sheetData>
  <mergeCells count="31">
    <mergeCell ref="C38:K38"/>
    <mergeCell ref="C39:K39"/>
    <mergeCell ref="C40:K40"/>
    <mergeCell ref="B32:C32"/>
    <mergeCell ref="D32:K32"/>
    <mergeCell ref="C35:K35"/>
    <mergeCell ref="C36:K36"/>
    <mergeCell ref="C37:K37"/>
    <mergeCell ref="B29:C29"/>
    <mergeCell ref="D29:K29"/>
    <mergeCell ref="B30:C30"/>
    <mergeCell ref="D30:K30"/>
    <mergeCell ref="B31:C31"/>
    <mergeCell ref="D31:K31"/>
    <mergeCell ref="B26:C26"/>
    <mergeCell ref="D26:K26"/>
    <mergeCell ref="B27:C27"/>
    <mergeCell ref="D27:K27"/>
    <mergeCell ref="B28:C28"/>
    <mergeCell ref="D28:K28"/>
    <mergeCell ref="B15:B16"/>
    <mergeCell ref="C16:K16"/>
    <mergeCell ref="B18:B19"/>
    <mergeCell ref="C19:K19"/>
    <mergeCell ref="B21:B22"/>
    <mergeCell ref="C22:K22"/>
    <mergeCell ref="B5:K6"/>
    <mergeCell ref="B9:B10"/>
    <mergeCell ref="C10:K10"/>
    <mergeCell ref="B12:B13"/>
    <mergeCell ref="C13:K13"/>
  </mergeCells>
  <pageMargins left="0.4" right="0.4" top="1" bottom="1"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B303A"/>
    <pageSetUpPr fitToPage="1"/>
  </sheetPr>
  <dimension ref="A1:O69"/>
  <sheetViews>
    <sheetView showGridLines="0" tabSelected="1" zoomScale="90" zoomScaleNormal="90" workbookViewId="0">
      <pane ySplit="4" topLeftCell="A5" activePane="bottomLeft" state="frozen"/>
      <selection pane="bottomLeft" activeCell="Q52" sqref="Q52"/>
    </sheetView>
  </sheetViews>
  <sheetFormatPr baseColWidth="10" defaultColWidth="8.7109375" defaultRowHeight="15" x14ac:dyDescent="0.25"/>
  <cols>
    <col min="1" max="1" width="1.5703125" customWidth="1"/>
    <col min="2" max="2" width="30" customWidth="1"/>
    <col min="3" max="8" width="10.42578125" customWidth="1"/>
    <col min="9" max="9" width="11.7109375" customWidth="1"/>
    <col min="10" max="10" width="11.85546875" customWidth="1"/>
    <col min="11" max="14" width="10.42578125" customWidth="1"/>
    <col min="15" max="15" width="14" customWidth="1"/>
  </cols>
  <sheetData>
    <row r="1" spans="1:15" ht="7.5" customHeight="1" x14ac:dyDescent="0.25"/>
    <row r="2" spans="1:15" ht="37.5" customHeight="1" x14ac:dyDescent="0.45">
      <c r="A2" s="15"/>
      <c r="B2" s="16" t="s">
        <v>37</v>
      </c>
      <c r="O2" s="17" t="str">
        <f>"PERSONALPLANUNG "&amp;Parameter!$C$7</f>
        <v>PERSONALPLANUNG 2027</v>
      </c>
    </row>
    <row r="3" spans="1:15" ht="18" customHeight="1" x14ac:dyDescent="0.25">
      <c r="A3" s="15"/>
      <c r="B3" s="18" t="str">
        <f>Parameter!$C$6&amp;"  |  Planjahr "&amp;Parameter!$C$7</f>
        <v>Beispielfirma GmbH  |  Planjahr 2027</v>
      </c>
      <c r="C3" s="19"/>
      <c r="D3" s="19"/>
      <c r="E3" s="19"/>
      <c r="F3" s="19"/>
      <c r="G3" s="19"/>
      <c r="H3" s="19"/>
      <c r="I3" s="19"/>
      <c r="J3" s="19"/>
      <c r="K3" s="19"/>
      <c r="L3" s="19"/>
      <c r="M3" s="19"/>
      <c r="N3" s="19"/>
      <c r="O3" s="19"/>
    </row>
    <row r="4" spans="1:15" ht="13.5" customHeight="1" x14ac:dyDescent="0.25"/>
    <row r="6" spans="1:15" ht="19.5" customHeight="1" x14ac:dyDescent="0.25">
      <c r="B6" s="24" t="s">
        <v>38</v>
      </c>
      <c r="C6" s="14" t="s">
        <v>39</v>
      </c>
      <c r="D6" s="14"/>
      <c r="E6" s="14" t="s">
        <v>40</v>
      </c>
      <c r="F6" s="14"/>
      <c r="G6" s="14" t="s">
        <v>41</v>
      </c>
      <c r="H6" s="14"/>
      <c r="I6" s="14" t="s">
        <v>42</v>
      </c>
      <c r="J6" s="14"/>
      <c r="K6" s="14" t="s">
        <v>43</v>
      </c>
      <c r="L6" s="14"/>
      <c r="M6" s="14" t="s">
        <v>44</v>
      </c>
      <c r="N6" s="14"/>
    </row>
    <row r="7" spans="1:15" ht="19.5" customHeight="1" x14ac:dyDescent="0.25">
      <c r="B7" s="13">
        <f>N17</f>
        <v>36</v>
      </c>
      <c r="C7" s="12">
        <f>O18</f>
        <v>32.862500000000004</v>
      </c>
      <c r="D7" s="12"/>
      <c r="E7" s="12">
        <f>O19</f>
        <v>34.25</v>
      </c>
      <c r="F7" s="12"/>
      <c r="G7" s="11">
        <f>O20</f>
        <v>-1.3874999999999975</v>
      </c>
      <c r="H7" s="11"/>
      <c r="I7" s="10">
        <f>O21</f>
        <v>2603242.0350684933</v>
      </c>
      <c r="J7" s="10"/>
      <c r="K7" s="9">
        <f>O23</f>
        <v>22757.964931506664</v>
      </c>
      <c r="L7" s="9"/>
      <c r="M7" s="13">
        <f>COUNTIFS(Personal!$G$8:$G$67,"&lt;&gt;Bestand",Personal!$AM$8:$AM$67,1,Personal!$P$8:$P$67,"&lt;&gt;Besetzt")</f>
        <v>6</v>
      </c>
      <c r="N7" s="13"/>
    </row>
    <row r="8" spans="1:15" ht="19.5" customHeight="1" x14ac:dyDescent="0.25">
      <c r="B8" s="13"/>
      <c r="C8" s="13"/>
      <c r="D8" s="12"/>
      <c r="E8" s="12"/>
      <c r="F8" s="12"/>
      <c r="G8" s="11"/>
      <c r="H8" s="11"/>
      <c r="I8" s="10"/>
      <c r="J8" s="10"/>
      <c r="K8" s="9"/>
      <c r="L8" s="9"/>
      <c r="M8" s="13"/>
      <c r="N8" s="13"/>
    </row>
    <row r="9" spans="1:15" ht="25.5" customHeight="1" x14ac:dyDescent="0.25">
      <c r="B9" s="25" t="str">
        <f>"im Januar: "&amp;C17</f>
        <v>im Januar: 35</v>
      </c>
      <c r="C9" s="8" t="str">
        <f>"Personalplan inkl. Planstellen"</f>
        <v>Personalplan inkl. Planstellen</v>
      </c>
      <c r="D9" s="8"/>
      <c r="E9" s="8" t="str">
        <f>"laut Bedarfsplanung"</f>
        <v>laut Bedarfsplanung</v>
      </c>
      <c r="F9" s="8"/>
      <c r="G9" s="8" t="str">
        <f>Bedarfsplanung!Q45&amp;" Monate mit Lücke (alle Abt.)"</f>
        <v>21 Monate mit Lücke (alle Abt.)</v>
      </c>
      <c r="H9" s="8"/>
      <c r="I9" s="8" t="str">
        <f>"Brutto + AG-Anteil im Planjahr"</f>
        <v>Brutto + AG-Anteil im Planjahr</v>
      </c>
      <c r="J9" s="8"/>
      <c r="K9" s="8" t="str">
        <f>"Budget: "&amp;FIXED(O22,0)&amp;" €"</f>
        <v>Budget: 2.626.000 €</v>
      </c>
      <c r="L9" s="8"/>
      <c r="M9" s="8" t="str">
        <f>"= "&amp;FIXED(SUMIFS(Personal!$R$8:$R$67,Personal!$G$8:$G$67,"&lt;&gt;Bestand",Personal!$AM$8:$AM$67,1,Personal!$P$8:$P$67,"&lt;&gt;Besetzt"),2)&amp;" FTE noch zu besetzen"</f>
        <v>= 5,50 FTE noch zu besetzen</v>
      </c>
      <c r="N9" s="8"/>
    </row>
    <row r="11" spans="1:15" ht="15.75" customHeight="1" x14ac:dyDescent="0.25">
      <c r="B11" s="26" t="s">
        <v>45</v>
      </c>
      <c r="C11" s="7" t="s">
        <v>46</v>
      </c>
      <c r="D11" s="7"/>
      <c r="E11" s="7" t="s">
        <v>47</v>
      </c>
      <c r="F11" s="7"/>
      <c r="G11" s="7" t="s">
        <v>48</v>
      </c>
      <c r="H11" s="7"/>
      <c r="I11" s="7" t="s">
        <v>49</v>
      </c>
      <c r="J11" s="7"/>
      <c r="K11" s="7" t="s">
        <v>50</v>
      </c>
      <c r="L11" s="7"/>
    </row>
    <row r="12" spans="1:15" ht="21.75" customHeight="1" x14ac:dyDescent="0.25">
      <c r="B12" s="27">
        <f>COUNTIFS(Personal!$J$8:$J$67,"&gt;="&amp;DATE(Parameter!$C$7,1,1),Personal!$J$8:$J$67,"&lt;="&amp;DATE(Parameter!$C$7,12,31),Personal!$AM$8:$AM$67,1)</f>
        <v>6</v>
      </c>
      <c r="C12" s="6">
        <f>COUNTIFS(Personal!$K$8:$K$67,"&gt;="&amp;DATE(Parameter!$C$7,1,1),Personal!$K$8:$K$67,"&lt;="&amp;DATE(Parameter!$C$7,12,31),Personal!$AM$8:$AM$67,1)</f>
        <v>4</v>
      </c>
      <c r="D12" s="6"/>
      <c r="E12" s="5">
        <f>IFERROR(C12/AVERAGE(C17:N17),0)</f>
        <v>0.1111111111111111</v>
      </c>
      <c r="F12" s="5"/>
      <c r="G12" s="4">
        <f>IFERROR(O21/O18,0)</f>
        <v>79216.189732019571</v>
      </c>
      <c r="H12" s="4"/>
      <c r="I12" s="5">
        <f>Parameter!$C$22</f>
        <v>0.20306513409961691</v>
      </c>
      <c r="J12" s="5"/>
      <c r="K12" s="3">
        <f>Parameter!$C$23</f>
        <v>1664</v>
      </c>
      <c r="L12" s="3"/>
    </row>
    <row r="14" spans="1:15" ht="24" customHeight="1" x14ac:dyDescent="0.25">
      <c r="B14" s="20" t="s">
        <v>51</v>
      </c>
      <c r="C14" s="21"/>
      <c r="D14" s="21"/>
      <c r="E14" s="21"/>
      <c r="F14" s="21"/>
      <c r="G14" s="21"/>
      <c r="H14" s="21"/>
      <c r="I14" s="21"/>
      <c r="J14" s="21"/>
      <c r="K14" s="21"/>
      <c r="L14" s="21"/>
      <c r="M14" s="21"/>
      <c r="N14" s="21"/>
      <c r="O14" s="21"/>
    </row>
    <row r="15" spans="1:15" ht="21.75" customHeight="1" x14ac:dyDescent="0.25">
      <c r="B15" s="28" t="s">
        <v>52</v>
      </c>
      <c r="C15" s="28" t="s">
        <v>53</v>
      </c>
      <c r="D15" s="28" t="s">
        <v>54</v>
      </c>
      <c r="E15" s="28" t="s">
        <v>55</v>
      </c>
      <c r="F15" s="28" t="s">
        <v>56</v>
      </c>
      <c r="G15" s="28" t="s">
        <v>57</v>
      </c>
      <c r="H15" s="28" t="s">
        <v>58</v>
      </c>
      <c r="I15" s="28" t="s">
        <v>59</v>
      </c>
      <c r="J15" s="28" t="s">
        <v>60</v>
      </c>
      <c r="K15" s="28" t="s">
        <v>61</v>
      </c>
      <c r="L15" s="28" t="s">
        <v>62</v>
      </c>
      <c r="M15" s="28" t="s">
        <v>63</v>
      </c>
      <c r="N15" s="28" t="s">
        <v>64</v>
      </c>
      <c r="O15" s="28" t="s">
        <v>65</v>
      </c>
    </row>
    <row r="16" spans="1:15" ht="3.75" customHeight="1" x14ac:dyDescent="0.25"/>
    <row r="17" spans="2:15" ht="18.75" customHeight="1" x14ac:dyDescent="0.25">
      <c r="B17" s="29" t="s">
        <v>66</v>
      </c>
      <c r="C17" s="30">
        <f>COUNTIF(Personal!Y$8:Y$67,"&gt;0")</f>
        <v>35</v>
      </c>
      <c r="D17" s="30">
        <f>COUNTIF(Personal!Z$8:Z$67,"&gt;0")</f>
        <v>36</v>
      </c>
      <c r="E17" s="30">
        <f>COUNTIF(Personal!AA$8:AA$67,"&gt;0")</f>
        <v>37</v>
      </c>
      <c r="F17" s="30">
        <f>COUNTIF(Personal!AB$8:AB$67,"&gt;0")</f>
        <v>36</v>
      </c>
      <c r="G17" s="30">
        <f>COUNTIF(Personal!AC$8:AC$67,"&gt;0")</f>
        <v>36</v>
      </c>
      <c r="H17" s="30">
        <f>COUNTIF(Personal!AD$8:AD$67,"&gt;0")</f>
        <v>36</v>
      </c>
      <c r="I17" s="30">
        <f>COUNTIF(Personal!AE$8:AE$67,"&gt;0")</f>
        <v>36</v>
      </c>
      <c r="J17" s="30">
        <f>COUNTIF(Personal!AF$8:AF$67,"&gt;0")</f>
        <v>36</v>
      </c>
      <c r="K17" s="30">
        <f>COUNTIF(Personal!AG$8:AG$67,"&gt;0")</f>
        <v>36</v>
      </c>
      <c r="L17" s="30">
        <f>COUNTIF(Personal!AH$8:AH$67,"&gt;0")</f>
        <v>36</v>
      </c>
      <c r="M17" s="30">
        <f>COUNTIF(Personal!AI$8:AI$67,"&gt;0")</f>
        <v>36</v>
      </c>
      <c r="N17" s="30">
        <f>COUNTIF(Personal!AJ$8:AJ$67,"&gt;0")</f>
        <v>36</v>
      </c>
      <c r="O17" s="31">
        <f>N17</f>
        <v>36</v>
      </c>
    </row>
    <row r="18" spans="2:15" ht="18.75" customHeight="1" x14ac:dyDescent="0.25">
      <c r="B18" s="29" t="s">
        <v>67</v>
      </c>
      <c r="C18" s="32">
        <f>Bedarfsplanung!C33</f>
        <v>31.85</v>
      </c>
      <c r="D18" s="32">
        <f>Bedarfsplanung!D33</f>
        <v>32.85</v>
      </c>
      <c r="E18" s="32">
        <f>Bedarfsplanung!E33</f>
        <v>33.85</v>
      </c>
      <c r="F18" s="32">
        <f>Bedarfsplanung!F33</f>
        <v>32.85</v>
      </c>
      <c r="G18" s="32">
        <f>Bedarfsplanung!G33</f>
        <v>32.85</v>
      </c>
      <c r="H18" s="32">
        <f>Bedarfsplanung!H33</f>
        <v>32.85</v>
      </c>
      <c r="I18" s="32">
        <f>Bedarfsplanung!I33</f>
        <v>32.85</v>
      </c>
      <c r="J18" s="32">
        <f>Bedarfsplanung!J33</f>
        <v>32.85</v>
      </c>
      <c r="K18" s="32">
        <f>Bedarfsplanung!K33</f>
        <v>32.85</v>
      </c>
      <c r="L18" s="32">
        <f>Bedarfsplanung!L33</f>
        <v>32.900000000000006</v>
      </c>
      <c r="M18" s="32">
        <f>Bedarfsplanung!M33</f>
        <v>32.900000000000006</v>
      </c>
      <c r="N18" s="32">
        <f>Bedarfsplanung!N33</f>
        <v>32.900000000000006</v>
      </c>
      <c r="O18" s="33">
        <f>AVERAGE(C18:N18)</f>
        <v>32.862500000000004</v>
      </c>
    </row>
    <row r="19" spans="2:15" ht="18.75" customHeight="1" x14ac:dyDescent="0.25">
      <c r="B19" s="29" t="s">
        <v>68</v>
      </c>
      <c r="C19" s="32">
        <f>Bedarfsplanung!C21</f>
        <v>32.75</v>
      </c>
      <c r="D19" s="32">
        <f>Bedarfsplanung!D21</f>
        <v>33.75</v>
      </c>
      <c r="E19" s="32">
        <f>Bedarfsplanung!E21</f>
        <v>33.75</v>
      </c>
      <c r="F19" s="32">
        <f>Bedarfsplanung!F21</f>
        <v>33.75</v>
      </c>
      <c r="G19" s="32">
        <f>Bedarfsplanung!G21</f>
        <v>33.75</v>
      </c>
      <c r="H19" s="32">
        <f>Bedarfsplanung!H21</f>
        <v>33.75</v>
      </c>
      <c r="I19" s="32">
        <f>Bedarfsplanung!I21</f>
        <v>34.25</v>
      </c>
      <c r="J19" s="32">
        <f>Bedarfsplanung!J21</f>
        <v>34.25</v>
      </c>
      <c r="K19" s="32">
        <f>Bedarfsplanung!K21</f>
        <v>35.25</v>
      </c>
      <c r="L19" s="32">
        <f>Bedarfsplanung!L21</f>
        <v>35.25</v>
      </c>
      <c r="M19" s="32">
        <f>Bedarfsplanung!M21</f>
        <v>35.25</v>
      </c>
      <c r="N19" s="32">
        <f>Bedarfsplanung!N21</f>
        <v>35.25</v>
      </c>
      <c r="O19" s="33">
        <f>AVERAGE(C19:N19)</f>
        <v>34.25</v>
      </c>
    </row>
    <row r="20" spans="2:15" ht="18.75" customHeight="1" x14ac:dyDescent="0.25">
      <c r="B20" s="29" t="s">
        <v>69</v>
      </c>
      <c r="C20" s="34">
        <f t="shared" ref="C20:N20" si="0">C18-C19</f>
        <v>-0.89999999999999858</v>
      </c>
      <c r="D20" s="34">
        <f t="shared" si="0"/>
        <v>-0.89999999999999858</v>
      </c>
      <c r="E20" s="34">
        <f t="shared" si="0"/>
        <v>0.10000000000000142</v>
      </c>
      <c r="F20" s="34">
        <f t="shared" si="0"/>
        <v>-0.89999999999999858</v>
      </c>
      <c r="G20" s="34">
        <f t="shared" si="0"/>
        <v>-0.89999999999999858</v>
      </c>
      <c r="H20" s="34">
        <f t="shared" si="0"/>
        <v>-0.89999999999999858</v>
      </c>
      <c r="I20" s="34">
        <f t="shared" si="0"/>
        <v>-1.3999999999999986</v>
      </c>
      <c r="J20" s="34">
        <f t="shared" si="0"/>
        <v>-1.3999999999999986</v>
      </c>
      <c r="K20" s="34">
        <f t="shared" si="0"/>
        <v>-2.3999999999999986</v>
      </c>
      <c r="L20" s="34">
        <f t="shared" si="0"/>
        <v>-2.3499999999999943</v>
      </c>
      <c r="M20" s="34">
        <f t="shared" si="0"/>
        <v>-2.3499999999999943</v>
      </c>
      <c r="N20" s="34">
        <f t="shared" si="0"/>
        <v>-2.3499999999999943</v>
      </c>
      <c r="O20" s="35">
        <f>AVERAGE(C20:N20)</f>
        <v>-1.3874999999999975</v>
      </c>
    </row>
    <row r="21" spans="2:15" ht="18.75" customHeight="1" x14ac:dyDescent="0.25">
      <c r="B21" s="29" t="s">
        <v>10</v>
      </c>
      <c r="C21" s="36">
        <f>Personalkosten!C11</f>
        <v>192211.4375</v>
      </c>
      <c r="D21" s="36">
        <f>Personalkosten!D11</f>
        <v>199651.4375</v>
      </c>
      <c r="E21" s="36">
        <f>Personalkosten!E11</f>
        <v>205355.4375</v>
      </c>
      <c r="F21" s="36">
        <f>Personalkosten!F11</f>
        <v>206025.13399999999</v>
      </c>
      <c r="G21" s="36">
        <f>Personalkosten!G11</f>
        <v>206025.13399999999</v>
      </c>
      <c r="H21" s="36">
        <f>Personalkosten!H11</f>
        <v>206025.13399999999</v>
      </c>
      <c r="I21" s="36">
        <f>Personalkosten!I11</f>
        <v>205718.85399999999</v>
      </c>
      <c r="J21" s="36">
        <f>Personalkosten!J11</f>
        <v>205718.85399999999</v>
      </c>
      <c r="K21" s="36">
        <f>Personalkosten!K11</f>
        <v>205658.09399999998</v>
      </c>
      <c r="L21" s="36">
        <f>Personalkosten!L11</f>
        <v>206939.99399999998</v>
      </c>
      <c r="M21" s="36">
        <f>Personalkosten!M11</f>
        <v>356972.53056849318</v>
      </c>
      <c r="N21" s="36">
        <f>Personalkosten!N11</f>
        <v>206939.99399999998</v>
      </c>
      <c r="O21" s="37">
        <f>SUM(C21:N21)</f>
        <v>2603242.0350684933</v>
      </c>
    </row>
    <row r="22" spans="2:15" ht="18.75" customHeight="1" x14ac:dyDescent="0.25">
      <c r="B22" s="29" t="s">
        <v>70</v>
      </c>
      <c r="C22" s="38">
        <f>Personalkosten!C12</f>
        <v>196000</v>
      </c>
      <c r="D22" s="38">
        <f>Personalkosten!D12</f>
        <v>206000</v>
      </c>
      <c r="E22" s="38">
        <f>Personalkosten!E12</f>
        <v>205000</v>
      </c>
      <c r="F22" s="38">
        <f>Personalkosten!F12</f>
        <v>208000</v>
      </c>
      <c r="G22" s="38">
        <f>Personalkosten!G12</f>
        <v>204000</v>
      </c>
      <c r="H22" s="38">
        <f>Personalkosten!H12</f>
        <v>206000</v>
      </c>
      <c r="I22" s="38">
        <f>Personalkosten!I12</f>
        <v>210000</v>
      </c>
      <c r="J22" s="38">
        <f>Personalkosten!J12</f>
        <v>208000</v>
      </c>
      <c r="K22" s="38">
        <f>Personalkosten!K12</f>
        <v>202000</v>
      </c>
      <c r="L22" s="38">
        <f>Personalkosten!L12</f>
        <v>207000</v>
      </c>
      <c r="M22" s="38">
        <f>Personalkosten!M12</f>
        <v>361000</v>
      </c>
      <c r="N22" s="38">
        <f>Personalkosten!N12</f>
        <v>213000</v>
      </c>
      <c r="O22" s="37">
        <f>SUM(C22:N22)</f>
        <v>2626000</v>
      </c>
    </row>
    <row r="23" spans="2:15" ht="18.75" customHeight="1" x14ac:dyDescent="0.25">
      <c r="B23" s="29" t="s">
        <v>71</v>
      </c>
      <c r="C23" s="39">
        <f t="shared" ref="C23:O23" si="1">C22-C21</f>
        <v>3788.5625</v>
      </c>
      <c r="D23" s="39">
        <f t="shared" si="1"/>
        <v>6348.5625</v>
      </c>
      <c r="E23" s="39">
        <f t="shared" si="1"/>
        <v>-355.4375</v>
      </c>
      <c r="F23" s="39">
        <f t="shared" si="1"/>
        <v>1974.8660000000091</v>
      </c>
      <c r="G23" s="39">
        <f t="shared" si="1"/>
        <v>-2025.1339999999909</v>
      </c>
      <c r="H23" s="39">
        <f t="shared" si="1"/>
        <v>-25.13399999999092</v>
      </c>
      <c r="I23" s="39">
        <f t="shared" si="1"/>
        <v>4281.1460000000079</v>
      </c>
      <c r="J23" s="39">
        <f t="shared" si="1"/>
        <v>2281.1460000000079</v>
      </c>
      <c r="K23" s="39">
        <f t="shared" si="1"/>
        <v>-3658.0939999999828</v>
      </c>
      <c r="L23" s="39">
        <f t="shared" si="1"/>
        <v>60.00600000002305</v>
      </c>
      <c r="M23" s="39">
        <f t="shared" si="1"/>
        <v>4027.4694315068191</v>
      </c>
      <c r="N23" s="39">
        <f t="shared" si="1"/>
        <v>6060.0060000000231</v>
      </c>
      <c r="O23" s="40">
        <f t="shared" si="1"/>
        <v>22757.964931506664</v>
      </c>
    </row>
    <row r="25" spans="2:15" ht="15" customHeight="1" x14ac:dyDescent="0.25"/>
    <row r="26" spans="2:15" ht="15" customHeight="1" x14ac:dyDescent="0.25"/>
    <row r="27" spans="2:15" ht="15" customHeight="1" x14ac:dyDescent="0.25"/>
    <row r="28" spans="2:15" ht="15" customHeight="1" x14ac:dyDescent="0.25"/>
    <row r="29" spans="2:15" ht="15" customHeight="1" x14ac:dyDescent="0.25"/>
    <row r="30" spans="2:15" ht="15" customHeight="1" x14ac:dyDescent="0.25"/>
    <row r="31" spans="2:15" ht="15" customHeight="1" x14ac:dyDescent="0.25"/>
    <row r="32" spans="2:15" ht="15" customHeight="1" x14ac:dyDescent="0.25"/>
    <row r="33" spans="2:15" ht="15" customHeight="1" x14ac:dyDescent="0.25"/>
    <row r="34" spans="2:15" ht="15" customHeight="1" x14ac:dyDescent="0.25"/>
    <row r="35" spans="2:15" ht="15" customHeight="1" x14ac:dyDescent="0.25"/>
    <row r="36" spans="2:15" ht="15" customHeight="1" x14ac:dyDescent="0.25"/>
    <row r="37" spans="2:15" ht="15" customHeight="1" x14ac:dyDescent="0.25"/>
    <row r="38" spans="2:15" ht="15" customHeight="1" x14ac:dyDescent="0.25"/>
    <row r="39" spans="2:15" ht="15" customHeight="1" x14ac:dyDescent="0.25"/>
    <row r="41" spans="2:15" ht="24" customHeight="1" x14ac:dyDescent="0.25">
      <c r="B41" s="20" t="s">
        <v>72</v>
      </c>
      <c r="C41" s="21"/>
      <c r="D41" s="21"/>
      <c r="E41" s="21"/>
      <c r="F41" s="21"/>
      <c r="G41" s="21"/>
      <c r="H41" s="21"/>
      <c r="I41" s="21"/>
      <c r="J41" s="21"/>
      <c r="K41" s="21"/>
      <c r="L41" s="21"/>
      <c r="M41" s="21"/>
      <c r="N41" s="21"/>
      <c r="O41" s="21"/>
    </row>
    <row r="42" spans="2:15" ht="31.5" customHeight="1" x14ac:dyDescent="0.25">
      <c r="B42" s="28" t="s">
        <v>73</v>
      </c>
      <c r="C42" s="28" t="s">
        <v>74</v>
      </c>
      <c r="D42" s="28" t="s">
        <v>75</v>
      </c>
      <c r="E42" s="28" t="s">
        <v>76</v>
      </c>
      <c r="F42" s="28" t="s">
        <v>77</v>
      </c>
      <c r="G42" s="28" t="s">
        <v>78</v>
      </c>
      <c r="H42" s="28" t="s">
        <v>79</v>
      </c>
      <c r="I42" s="28" t="s">
        <v>80</v>
      </c>
      <c r="J42" s="28" t="s">
        <v>81</v>
      </c>
    </row>
    <row r="43" spans="2:15" ht="18.75" customHeight="1" x14ac:dyDescent="0.25">
      <c r="B43" s="29" t="str">
        <f>IF(Parameter!$M$7="","",Parameter!$M$7)</f>
        <v>Geschäftsleitung</v>
      </c>
      <c r="C43" s="30">
        <f>IF($B43="","",COUNTIFS(Personal!$E$8:$E$67,$B43,Personal!$AJ$8:$AJ$67,"&gt;0"))</f>
        <v>2</v>
      </c>
      <c r="D43" s="32">
        <f>IF($B43="","",Bedarfsplanung!O25)</f>
        <v>2</v>
      </c>
      <c r="E43" s="32">
        <f>IF($B43="","",Bedarfsplanung!O13)</f>
        <v>2</v>
      </c>
      <c r="F43" s="34">
        <f t="shared" ref="F43:F50" si="2">IF($B43="","",D43-E43)</f>
        <v>0</v>
      </c>
      <c r="G43" s="38">
        <f>IF($B43="","",Personalkosten!O20)</f>
        <v>207350.61599999998</v>
      </c>
      <c r="H43" s="41">
        <f t="shared" ref="H43:H50" si="3">IF($B43="","",IFERROR(G43/$G$51,0))</f>
        <v>7.9650917281897854E-2</v>
      </c>
      <c r="I43" s="38">
        <f t="shared" ref="I43:I50" si="4">IF($B43="","",IFERROR(G43/D43,0))</f>
        <v>103675.30799999999</v>
      </c>
      <c r="J43" s="30">
        <f>IF($B43="","",Parameter!$N$7)</f>
        <v>1000</v>
      </c>
      <c r="L43" s="2" t="s">
        <v>82</v>
      </c>
      <c r="M43" s="2"/>
      <c r="N43" s="2"/>
      <c r="O43" s="2"/>
    </row>
    <row r="44" spans="2:15" ht="18.75" customHeight="1" x14ac:dyDescent="0.25">
      <c r="B44" s="29" t="str">
        <f>IF(Parameter!$M$8="","",Parameter!$M$8)</f>
        <v>Vertrieb</v>
      </c>
      <c r="C44" s="30">
        <f>IF($B44="","",COUNTIFS(Personal!$E$8:$E$67,$B44,Personal!$AJ$8:$AJ$67,"&gt;0"))</f>
        <v>7</v>
      </c>
      <c r="D44" s="32">
        <f>IF($B44="","",Bedarfsplanung!O26)</f>
        <v>6.75</v>
      </c>
      <c r="E44" s="32">
        <f>IF($B44="","",Bedarfsplanung!O14)</f>
        <v>7.083333333333333</v>
      </c>
      <c r="F44" s="34">
        <f t="shared" si="2"/>
        <v>-0.33333333333333304</v>
      </c>
      <c r="G44" s="38">
        <f>IF($B44="","",Personalkosten!O21)</f>
        <v>562303.42031506845</v>
      </c>
      <c r="H44" s="41">
        <f t="shared" si="3"/>
        <v>0.21600120647263357</v>
      </c>
      <c r="I44" s="38">
        <f t="shared" si="4"/>
        <v>83304.210417047172</v>
      </c>
      <c r="J44" s="30">
        <f>IF($B44="","",Parameter!$N$8)</f>
        <v>2000</v>
      </c>
      <c r="L44" s="2"/>
      <c r="M44" s="2"/>
      <c r="N44" s="2"/>
      <c r="O44" s="2"/>
    </row>
    <row r="45" spans="2:15" ht="18.75" customHeight="1" x14ac:dyDescent="0.25">
      <c r="B45" s="29" t="str">
        <f>IF(Parameter!$M$9="","",Parameter!$M$9)</f>
        <v>Marketing</v>
      </c>
      <c r="C45" s="30">
        <f>IF($B45="","",COUNTIFS(Personal!$E$8:$E$67,$B45,Personal!$AJ$8:$AJ$67,"&gt;0"))</f>
        <v>5</v>
      </c>
      <c r="D45" s="32">
        <f>IF($B45="","",Bedarfsplanung!O27)</f>
        <v>4.333333333333333</v>
      </c>
      <c r="E45" s="32">
        <f>IF($B45="","",Bedarfsplanung!O15)</f>
        <v>4.5</v>
      </c>
      <c r="F45" s="34">
        <f t="shared" si="2"/>
        <v>-0.16666666666666696</v>
      </c>
      <c r="G45" s="38">
        <f>IF($B45="","",Personalkosten!O22)</f>
        <v>323615.14831506845</v>
      </c>
      <c r="H45" s="41">
        <f t="shared" si="3"/>
        <v>0.12431235511551421</v>
      </c>
      <c r="I45" s="38">
        <f t="shared" si="4"/>
        <v>74680.418841938881</v>
      </c>
      <c r="J45" s="30">
        <f>IF($B45="","",Parameter!$N$9)</f>
        <v>2100</v>
      </c>
      <c r="L45" s="2"/>
      <c r="M45" s="2"/>
      <c r="N45" s="2"/>
      <c r="O45" s="2"/>
    </row>
    <row r="46" spans="2:15" ht="18.75" customHeight="1" x14ac:dyDescent="0.25">
      <c r="B46" s="29" t="str">
        <f>IF(Parameter!$M$10="","",Parameter!$M$10)</f>
        <v>Operations</v>
      </c>
      <c r="C46" s="30">
        <f>IF($B46="","",COUNTIFS(Personal!$E$8:$E$67,$B46,Personal!$AJ$8:$AJ$67,"&gt;0"))</f>
        <v>7</v>
      </c>
      <c r="D46" s="32">
        <f>IF($B46="","",Bedarfsplanung!O28)</f>
        <v>6.2250000000000005</v>
      </c>
      <c r="E46" s="32">
        <f>IF($B46="","",Bedarfsplanung!O16)</f>
        <v>7</v>
      </c>
      <c r="F46" s="34">
        <f t="shared" si="2"/>
        <v>-0.77499999999999947</v>
      </c>
      <c r="G46" s="38">
        <f>IF($B46="","",Personalkosten!O23)</f>
        <v>434286.87348630134</v>
      </c>
      <c r="H46" s="41">
        <f t="shared" si="3"/>
        <v>0.16682539219787718</v>
      </c>
      <c r="I46" s="38">
        <f t="shared" si="4"/>
        <v>69764.959596192974</v>
      </c>
      <c r="J46" s="30">
        <f>IF($B46="","",Parameter!$N$10)</f>
        <v>3000</v>
      </c>
      <c r="L46" s="2"/>
      <c r="M46" s="2"/>
      <c r="N46" s="2"/>
      <c r="O46" s="2"/>
    </row>
    <row r="47" spans="2:15" ht="18.75" customHeight="1" x14ac:dyDescent="0.25">
      <c r="B47" s="29" t="str">
        <f>IF(Parameter!$M$11="","",Parameter!$M$11)</f>
        <v>Kundenservice</v>
      </c>
      <c r="C47" s="30">
        <f>IF($B47="","",COUNTIFS(Personal!$E$8:$E$67,$B47,Personal!$AJ$8:$AJ$67,"&gt;0"))</f>
        <v>5</v>
      </c>
      <c r="D47" s="32">
        <f>IF($B47="","",Bedarfsplanung!O29)</f>
        <v>4.625</v>
      </c>
      <c r="E47" s="32">
        <f>IF($B47="","",Bedarfsplanung!O17)</f>
        <v>4.5</v>
      </c>
      <c r="F47" s="34">
        <f t="shared" si="2"/>
        <v>0.125</v>
      </c>
      <c r="G47" s="38">
        <f>IF($B47="","",Personalkosten!O24)</f>
        <v>277380.22978767118</v>
      </c>
      <c r="H47" s="41">
        <f t="shared" si="3"/>
        <v>0.10655184037867346</v>
      </c>
      <c r="I47" s="38">
        <f t="shared" si="4"/>
        <v>59974.103737874852</v>
      </c>
      <c r="J47" s="30">
        <f>IF($B47="","",Parameter!$N$11)</f>
        <v>3100</v>
      </c>
      <c r="L47" s="2"/>
      <c r="M47" s="2"/>
      <c r="N47" s="2"/>
      <c r="O47" s="2"/>
    </row>
    <row r="48" spans="2:15" ht="18.75" customHeight="1" x14ac:dyDescent="0.25">
      <c r="B48" s="29" t="str">
        <f>IF(Parameter!$M$12="","",Parameter!$M$12)</f>
        <v>IT</v>
      </c>
      <c r="C48" s="30">
        <f>IF($B48="","",COUNTIFS(Personal!$E$8:$E$67,$B48,Personal!$AJ$8:$AJ$67,"&gt;0"))</f>
        <v>4</v>
      </c>
      <c r="D48" s="32">
        <f>IF($B48="","",Bedarfsplanung!O30)</f>
        <v>4.2541666666666673</v>
      </c>
      <c r="E48" s="32">
        <f>IF($B48="","",Bedarfsplanung!O18)</f>
        <v>4.416666666666667</v>
      </c>
      <c r="F48" s="34">
        <f t="shared" si="2"/>
        <v>-0.16249999999999964</v>
      </c>
      <c r="G48" s="38">
        <f>IF($B48="","",Personalkosten!O25)</f>
        <v>401114.31739041104</v>
      </c>
      <c r="H48" s="41">
        <f t="shared" si="3"/>
        <v>0.15408260622215153</v>
      </c>
      <c r="I48" s="38">
        <f t="shared" si="4"/>
        <v>94287.400757785144</v>
      </c>
      <c r="J48" s="30">
        <f>IF($B48="","",Parameter!$N$12)</f>
        <v>4000</v>
      </c>
      <c r="L48" s="2"/>
      <c r="M48" s="2"/>
      <c r="N48" s="2"/>
      <c r="O48" s="2"/>
    </row>
    <row r="49" spans="2:15" ht="18.75" customHeight="1" x14ac:dyDescent="0.25">
      <c r="B49" s="29" t="str">
        <f>IF(Parameter!$M$13="","",Parameter!$M$13)</f>
        <v>Finanzen &amp; Controlling</v>
      </c>
      <c r="C49" s="30">
        <f>IF($B49="","",COUNTIFS(Personal!$E$8:$E$67,$B49,Personal!$AJ$8:$AJ$67,"&gt;0"))</f>
        <v>3</v>
      </c>
      <c r="D49" s="32">
        <f>IF($B49="","",Bedarfsplanung!O31)</f>
        <v>2.8000000000000003</v>
      </c>
      <c r="E49" s="32">
        <f>IF($B49="","",Bedarfsplanung!O19)</f>
        <v>2.75</v>
      </c>
      <c r="F49" s="34">
        <f t="shared" si="2"/>
        <v>5.0000000000000266E-2</v>
      </c>
      <c r="G49" s="38">
        <f>IF($B49="","",Personalkosten!O26)</f>
        <v>240526.06</v>
      </c>
      <c r="H49" s="41">
        <f t="shared" si="3"/>
        <v>9.2394812606685486E-2</v>
      </c>
      <c r="I49" s="38">
        <f t="shared" si="4"/>
        <v>85902.164285714272</v>
      </c>
      <c r="J49" s="30">
        <f>IF($B49="","",Parameter!$N$13)</f>
        <v>5000</v>
      </c>
      <c r="L49" s="2"/>
      <c r="M49" s="2"/>
      <c r="N49" s="2"/>
      <c r="O49" s="2"/>
    </row>
    <row r="50" spans="2:15" ht="18.75" customHeight="1" x14ac:dyDescent="0.25">
      <c r="B50" s="29" t="str">
        <f>IF(Parameter!$M$14="","",Parameter!$M$14)</f>
        <v>Personal</v>
      </c>
      <c r="C50" s="30">
        <f>IF($B50="","",COUNTIFS(Personal!$E$8:$E$67,$B50,Personal!$AJ$8:$AJ$67,"&gt;0"))</f>
        <v>3</v>
      </c>
      <c r="D50" s="32">
        <f>IF($B50="","",Bedarfsplanung!O32)</f>
        <v>1.875</v>
      </c>
      <c r="E50" s="32">
        <f>IF($B50="","",Bedarfsplanung!O20)</f>
        <v>2</v>
      </c>
      <c r="F50" s="34">
        <f t="shared" si="2"/>
        <v>-0.125</v>
      </c>
      <c r="G50" s="38">
        <f>IF($B50="","",Personalkosten!O27)</f>
        <v>156665.3697739726</v>
      </c>
      <c r="H50" s="41">
        <f t="shared" si="3"/>
        <v>6.0180869724566592E-2</v>
      </c>
      <c r="I50" s="38">
        <f t="shared" si="4"/>
        <v>83554.863879452052</v>
      </c>
      <c r="J50" s="30">
        <f>IF($B50="","",Parameter!$N$14)</f>
        <v>5100</v>
      </c>
      <c r="L50" s="2"/>
      <c r="M50" s="2"/>
      <c r="N50" s="2"/>
      <c r="O50" s="2"/>
    </row>
    <row r="51" spans="2:15" ht="19.5" customHeight="1" x14ac:dyDescent="0.25">
      <c r="B51" s="42" t="s">
        <v>83</v>
      </c>
      <c r="C51" s="43">
        <f>SUM(C43:C50)</f>
        <v>36</v>
      </c>
      <c r="D51" s="44">
        <f>SUM(D43:D50)</f>
        <v>32.862499999999997</v>
      </c>
      <c r="E51" s="44">
        <f>SUM(E43:E50)</f>
        <v>34.25</v>
      </c>
      <c r="F51" s="45">
        <f>D51-E51</f>
        <v>-1.3875000000000028</v>
      </c>
      <c r="G51" s="46">
        <f>SUM(G43:G50)</f>
        <v>2603242.0350684933</v>
      </c>
      <c r="H51" s="47">
        <f>SUM(H43:H50)</f>
        <v>0.99999999999999989</v>
      </c>
      <c r="I51" s="46">
        <f>IFERROR(G51/D51,0)</f>
        <v>79216.189732019586</v>
      </c>
      <c r="J51" s="48"/>
    </row>
    <row r="53" spans="2:15" ht="24" customHeight="1" x14ac:dyDescent="0.25">
      <c r="B53" s="20" t="s">
        <v>84</v>
      </c>
      <c r="C53" s="21"/>
      <c r="D53" s="21"/>
      <c r="E53" s="21"/>
      <c r="F53" s="21"/>
      <c r="G53" s="21"/>
      <c r="H53" s="21"/>
      <c r="I53" s="21"/>
      <c r="J53" s="21"/>
      <c r="K53" s="21"/>
      <c r="L53" s="21"/>
      <c r="M53" s="21"/>
      <c r="N53" s="21"/>
      <c r="O53" s="21"/>
    </row>
    <row r="54" spans="2:15" ht="30" customHeight="1" x14ac:dyDescent="0.25">
      <c r="B54" s="28" t="s">
        <v>85</v>
      </c>
      <c r="C54" s="1" t="s">
        <v>73</v>
      </c>
      <c r="D54" s="1"/>
      <c r="E54" s="28" t="s">
        <v>86</v>
      </c>
      <c r="F54" s="28" t="s">
        <v>87</v>
      </c>
      <c r="G54" s="1" t="s">
        <v>88</v>
      </c>
      <c r="H54" s="1"/>
      <c r="I54" s="28" t="s">
        <v>89</v>
      </c>
      <c r="J54" s="28" t="s">
        <v>90</v>
      </c>
      <c r="K54" s="1" t="s">
        <v>91</v>
      </c>
      <c r="L54" s="1"/>
      <c r="M54" s="1"/>
      <c r="N54" s="1"/>
      <c r="O54" s="1"/>
    </row>
    <row r="55" spans="2:15" ht="18.75" customHeight="1" x14ac:dyDescent="0.25">
      <c r="B55" s="49" t="str">
        <f>IFERROR(INDEX(Personal!$D$8:$D$67,MATCH(SMALL(Personal!$AR$8:$AR$67,1),Personal!$AR$8:$AR$67,0)),"")</f>
        <v>N.N. Key Account Management</v>
      </c>
      <c r="C55" s="131" t="str">
        <f>IFERROR(INDEX(Personal!$E$8:$E$67,MATCH(SMALL(Personal!$AR$8:$AR$67,1),Personal!$AR$8:$AR$67,0)),"")</f>
        <v>Vertrieb</v>
      </c>
      <c r="D55" s="131"/>
      <c r="E55" s="50">
        <f>IFERROR(INDEX(Personal!$J$8:$J$67,MATCH(SMALL(Personal!$AR$8:$AR$67,1),Personal!$AR$8:$AR$67,0)),"")</f>
        <v>46388</v>
      </c>
      <c r="F55" s="50">
        <f>IFERROR(INDEX(Personal!$U$8:$U$67,MATCH(SMALL(Personal!$AR$8:$AR$67,1),Personal!$AR$8:$AR$67,0)),"")</f>
        <v>46296</v>
      </c>
      <c r="G55" s="132" t="str">
        <f>IFERROR(INDEX(Personal!$P$8:$P$67,MATCH(SMALL(Personal!$AR$8:$AR$67,1),Personal!$AR$8:$AR$67,0)),"")</f>
        <v>Offen</v>
      </c>
      <c r="H55" s="132"/>
      <c r="I55" s="52">
        <f>IFERROR(INDEX(Personal!$R$8:$R$67,MATCH(SMALL(Personal!$AR$8:$AR$67,1),Personal!$AR$8:$AR$67,0)),"")</f>
        <v>1</v>
      </c>
      <c r="J55" s="53">
        <f>IFERROR(INDEX(Personal!$V$8:$V$67,MATCH(SMALL(Personal!$AR$8:$AR$67,1),Personal!$AR$8:$AR$67,0)),"")</f>
        <v>86342.287500000006</v>
      </c>
      <c r="K55" s="131" t="str">
        <f ca="1">IFERROR(INDEX(Personal!$W$8:$W$67,MATCH(SMALL(Personal!$AR$8:$AR$67,1),Personal!$AR$8:$AR$67,0)),"")</f>
        <v>Ausschreibung fällig</v>
      </c>
      <c r="L55" s="131"/>
      <c r="M55" s="131"/>
      <c r="N55" s="131"/>
      <c r="O55" s="131"/>
    </row>
    <row r="56" spans="2:15" ht="18.75" customHeight="1" x14ac:dyDescent="0.25">
      <c r="B56" s="49" t="str">
        <f>IFERROR(INDEX(Personal!$D$8:$D$67,MATCH(SMALL(Personal!$AR$8:$AR$67,2),Personal!$AR$8:$AR$67,0)),"")</f>
        <v>N.N. Softwareentwicklung</v>
      </c>
      <c r="C56" s="131" t="str">
        <f>IFERROR(INDEX(Personal!$E$8:$E$67,MATCH(SMALL(Personal!$AR$8:$AR$67,2),Personal!$AR$8:$AR$67,0)),"")</f>
        <v>IT</v>
      </c>
      <c r="D56" s="131"/>
      <c r="E56" s="50">
        <f>IFERROR(INDEX(Personal!$J$8:$J$67,MATCH(SMALL(Personal!$AR$8:$AR$67,2),Personal!$AR$8:$AR$67,0)),"")</f>
        <v>46419</v>
      </c>
      <c r="F56" s="50">
        <f>IFERROR(INDEX(Personal!$U$8:$U$67,MATCH(SMALL(Personal!$AR$8:$AR$67,2),Personal!$AR$8:$AR$67,0)),"")</f>
        <v>46327</v>
      </c>
      <c r="G56" s="132" t="str">
        <f>IFERROR(INDEX(Personal!$P$8:$P$67,MATCH(SMALL(Personal!$AR$8:$AR$67,2),Personal!$AR$8:$AR$67,0)),"")</f>
        <v>Zusage</v>
      </c>
      <c r="H56" s="132"/>
      <c r="I56" s="52">
        <f>IFERROR(INDEX(Personal!$R$8:$R$67,MATCH(SMALL(Personal!$AR$8:$AR$67,2),Personal!$AR$8:$AR$67,0)),"")</f>
        <v>1</v>
      </c>
      <c r="J56" s="53">
        <f>IFERROR(INDEX(Personal!$V$8:$V$67,MATCH(SMALL(Personal!$AR$8:$AR$67,2),Personal!$AR$8:$AR$67,0)),"")</f>
        <v>87784.983390410955</v>
      </c>
      <c r="K56" s="131" t="str">
        <f ca="1">IFERROR(INDEX(Personal!$W$8:$W$67,MATCH(SMALL(Personal!$AR$8:$AR$67,2),Personal!$AR$8:$AR$67,0)),"")</f>
        <v/>
      </c>
      <c r="L56" s="131"/>
      <c r="M56" s="131"/>
      <c r="N56" s="131"/>
      <c r="O56" s="131"/>
    </row>
    <row r="57" spans="2:15" ht="18.75" customHeight="1" x14ac:dyDescent="0.25">
      <c r="B57" s="49" t="str">
        <f>IFERROR(INDEX(Personal!$D$8:$D$67,MATCH(SMALL(Personal!$AR$8:$AR$67,3),Personal!$AR$8:$AR$67,0)),"")</f>
        <v>N.N. Performance Marketing</v>
      </c>
      <c r="C57" s="131" t="str">
        <f>IFERROR(INDEX(Personal!$E$8:$E$67,MATCH(SMALL(Personal!$AR$8:$AR$67,3),Personal!$AR$8:$AR$67,0)),"")</f>
        <v>Marketing</v>
      </c>
      <c r="D57" s="131"/>
      <c r="E57" s="50">
        <f>IFERROR(INDEX(Personal!$J$8:$J$67,MATCH(SMALL(Personal!$AR$8:$AR$67,3),Personal!$AR$8:$AR$67,0)),"")</f>
        <v>46447</v>
      </c>
      <c r="F57" s="50">
        <f>IFERROR(INDEX(Personal!$U$8:$U$67,MATCH(SMALL(Personal!$AR$8:$AR$67,3),Personal!$AR$8:$AR$67,0)),"")</f>
        <v>46357</v>
      </c>
      <c r="G57" s="132" t="str">
        <f>IFERROR(INDEX(Personal!$P$8:$P$67,MATCH(SMALL(Personal!$AR$8:$AR$67,3),Personal!$AR$8:$AR$67,0)),"")</f>
        <v>Auswahlverfahren</v>
      </c>
      <c r="H57" s="132"/>
      <c r="I57" s="52">
        <f>IFERROR(INDEX(Personal!$R$8:$R$67,MATCH(SMALL(Personal!$AR$8:$AR$67,3),Personal!$AR$8:$AR$67,0)),"")</f>
        <v>1</v>
      </c>
      <c r="J57" s="53">
        <f>IFERROR(INDEX(Personal!$V$8:$V$67,MATCH(SMALL(Personal!$AR$8:$AR$67,3),Personal!$AR$8:$AR$67,0)),"")</f>
        <v>61602.391815068491</v>
      </c>
      <c r="K57" s="131" t="str">
        <f ca="1">IFERROR(INDEX(Personal!$W$8:$W$67,MATCH(SMALL(Personal!$AR$8:$AR$67,3),Personal!$AR$8:$AR$67,0)),"")</f>
        <v/>
      </c>
      <c r="L57" s="131"/>
      <c r="M57" s="131"/>
      <c r="N57" s="131"/>
      <c r="O57" s="131"/>
    </row>
    <row r="58" spans="2:15" ht="18.75" customHeight="1" x14ac:dyDescent="0.25">
      <c r="B58" s="49" t="str">
        <f>IFERROR(INDEX(Personal!$D$8:$D$67,MATCH(SMALL(Personal!$AR$8:$AR$67,4),Personal!$AR$8:$AR$67,0)),"")</f>
        <v>N.N. Außendienst (Nachfolge)</v>
      </c>
      <c r="C58" s="131" t="str">
        <f>IFERROR(INDEX(Personal!$E$8:$E$67,MATCH(SMALL(Personal!$AR$8:$AR$67,4),Personal!$AR$8:$AR$67,0)),"")</f>
        <v>Vertrieb</v>
      </c>
      <c r="D58" s="131"/>
      <c r="E58" s="50">
        <f>IFERROR(INDEX(Personal!$J$8:$J$67,MATCH(SMALL(Personal!$AR$8:$AR$67,4),Personal!$AR$8:$AR$67,0)),"")</f>
        <v>46569</v>
      </c>
      <c r="F58" s="50">
        <f>IFERROR(INDEX(Personal!$U$8:$U$67,MATCH(SMALL(Personal!$AR$8:$AR$67,4),Personal!$AR$8:$AR$67,0)),"")</f>
        <v>46478</v>
      </c>
      <c r="G58" s="132" t="str">
        <f>IFERROR(INDEX(Personal!$P$8:$P$67,MATCH(SMALL(Personal!$AR$8:$AR$67,4),Personal!$AR$8:$AR$67,0)),"")</f>
        <v>Ausgeschrieben</v>
      </c>
      <c r="H58" s="132"/>
      <c r="I58" s="52">
        <f>IFERROR(INDEX(Personal!$R$8:$R$67,MATCH(SMALL(Personal!$AR$8:$AR$67,4),Personal!$AR$8:$AR$67,0)),"")</f>
        <v>1</v>
      </c>
      <c r="J58" s="53">
        <f>IFERROR(INDEX(Personal!$V$8:$V$67,MATCH(SMALL(Personal!$AR$8:$AR$67,4),Personal!$AR$8:$AR$67,0)),"")</f>
        <v>38623.341678082194</v>
      </c>
      <c r="K58" s="131" t="str">
        <f ca="1">IFERROR(INDEX(Personal!$W$8:$W$67,MATCH(SMALL(Personal!$AR$8:$AR$67,4),Personal!$AR$8:$AR$67,0)),"")</f>
        <v/>
      </c>
      <c r="L58" s="131"/>
      <c r="M58" s="131"/>
      <c r="N58" s="131"/>
      <c r="O58" s="131"/>
    </row>
    <row r="59" spans="2:15" ht="18.75" customHeight="1" x14ac:dyDescent="0.25">
      <c r="B59" s="49" t="str">
        <f>IFERROR(INDEX(Personal!$D$8:$D$67,MATCH(SMALL(Personal!$AR$8:$AR$67,5),Personal!$AR$8:$AR$67,0)),"")</f>
        <v>N.N. Kundenberatung (Nachfolge)</v>
      </c>
      <c r="C59" s="131" t="str">
        <f>IFERROR(INDEX(Personal!$E$8:$E$67,MATCH(SMALL(Personal!$AR$8:$AR$67,5),Personal!$AR$8:$AR$67,0)),"")</f>
        <v>Kundenservice</v>
      </c>
      <c r="D59" s="131"/>
      <c r="E59" s="50">
        <f>IFERROR(INDEX(Personal!$J$8:$J$67,MATCH(SMALL(Personal!$AR$8:$AR$67,5),Personal!$AR$8:$AR$67,0)),"")</f>
        <v>46631</v>
      </c>
      <c r="F59" s="50">
        <f>IFERROR(INDEX(Personal!$U$8:$U$67,MATCH(SMALL(Personal!$AR$8:$AR$67,5),Personal!$AR$8:$AR$67,0)),"")</f>
        <v>46539</v>
      </c>
      <c r="G59" s="132" t="str">
        <f>IFERROR(INDEX(Personal!$P$8:$P$67,MATCH(SMALL(Personal!$AR$8:$AR$67,5),Personal!$AR$8:$AR$67,0)),"")</f>
        <v>Offen</v>
      </c>
      <c r="H59" s="132"/>
      <c r="I59" s="52">
        <f>IFERROR(INDEX(Personal!$R$8:$R$67,MATCH(SMALL(Personal!$AR$8:$AR$67,5),Personal!$AR$8:$AR$67,0)),"")</f>
        <v>1</v>
      </c>
      <c r="J59" s="53">
        <f>IFERROR(INDEX(Personal!$V$8:$V$67,MATCH(SMALL(Personal!$AR$8:$AR$67,5),Personal!$AR$8:$AR$67,0)),"")</f>
        <v>18004.460273972603</v>
      </c>
      <c r="K59" s="131" t="str">
        <f ca="1">IFERROR(INDEX(Personal!$W$8:$W$67,MATCH(SMALL(Personal!$AR$8:$AR$67,5),Personal!$AR$8:$AR$67,0)),"")</f>
        <v/>
      </c>
      <c r="L59" s="131"/>
      <c r="M59" s="131"/>
      <c r="N59" s="131"/>
      <c r="O59" s="131"/>
    </row>
    <row r="60" spans="2:15" ht="18.75" customHeight="1" x14ac:dyDescent="0.25">
      <c r="B60" s="49" t="str">
        <f>IFERROR(INDEX(Personal!$D$8:$D$67,MATCH(SMALL(Personal!$AR$8:$AR$67,6),Personal!$AR$8:$AR$67,0)),"")</f>
        <v>N.N. Lohnbuchhaltung</v>
      </c>
      <c r="C60" s="131" t="str">
        <f>IFERROR(INDEX(Personal!$E$8:$E$67,MATCH(SMALL(Personal!$AR$8:$AR$67,6),Personal!$AR$8:$AR$67,0)),"")</f>
        <v>Personal</v>
      </c>
      <c r="D60" s="131"/>
      <c r="E60" s="50">
        <f>IFERROR(INDEX(Personal!$J$8:$J$67,MATCH(SMALL(Personal!$AR$8:$AR$67,6),Personal!$AR$8:$AR$67,0)),"")</f>
        <v>46661</v>
      </c>
      <c r="F60" s="50">
        <f>IFERROR(INDEX(Personal!$U$8:$U$67,MATCH(SMALL(Personal!$AR$8:$AR$67,6),Personal!$AR$8:$AR$67,0)),"")</f>
        <v>46569</v>
      </c>
      <c r="G60" s="132" t="str">
        <f>IFERROR(INDEX(Personal!$P$8:$P$67,MATCH(SMALL(Personal!$AR$8:$AR$67,6),Personal!$AR$8:$AR$67,0)),"")</f>
        <v>Offen</v>
      </c>
      <c r="H60" s="132"/>
      <c r="I60" s="52">
        <f>IFERROR(INDEX(Personal!$R$8:$R$67,MATCH(SMALL(Personal!$AR$8:$AR$67,6),Personal!$AR$8:$AR$67,0)),"")</f>
        <v>0.5</v>
      </c>
      <c r="J60" s="53">
        <f>IFERROR(INDEX(Personal!$V$8:$V$67,MATCH(SMALL(Personal!$AR$8:$AR$67,6),Personal!$AR$8:$AR$67,0)),"")</f>
        <v>9274.860273972603</v>
      </c>
      <c r="K60" s="131" t="str">
        <f ca="1">IFERROR(INDEX(Personal!$W$8:$W$67,MATCH(SMALL(Personal!$AR$8:$AR$67,6),Personal!$AR$8:$AR$67,0)),"")</f>
        <v/>
      </c>
      <c r="L60" s="131"/>
      <c r="M60" s="131"/>
      <c r="N60" s="131"/>
      <c r="O60" s="131"/>
    </row>
    <row r="62" spans="2:15" ht="24" customHeight="1" x14ac:dyDescent="0.25">
      <c r="B62" s="20" t="s">
        <v>92</v>
      </c>
      <c r="C62" s="21"/>
      <c r="D62" s="21"/>
      <c r="E62" s="21"/>
      <c r="F62" s="21"/>
      <c r="G62" s="21"/>
      <c r="H62" s="21"/>
      <c r="I62" s="21"/>
      <c r="J62" s="21"/>
      <c r="K62" s="21"/>
      <c r="L62" s="21"/>
      <c r="M62" s="21"/>
      <c r="N62" s="21"/>
      <c r="O62" s="21"/>
    </row>
    <row r="63" spans="2:15" ht="30" customHeight="1" x14ac:dyDescent="0.25">
      <c r="B63" s="28" t="s">
        <v>93</v>
      </c>
      <c r="C63" s="1" t="s">
        <v>73</v>
      </c>
      <c r="D63" s="1"/>
      <c r="E63" s="28" t="s">
        <v>94</v>
      </c>
      <c r="F63" s="28" t="s">
        <v>95</v>
      </c>
      <c r="G63" s="1" t="s">
        <v>96</v>
      </c>
      <c r="H63" s="1"/>
      <c r="I63" s="28" t="s">
        <v>89</v>
      </c>
      <c r="J63" s="1" t="s">
        <v>91</v>
      </c>
      <c r="K63" s="1"/>
      <c r="L63" s="1"/>
      <c r="M63" s="1"/>
      <c r="N63" s="1"/>
      <c r="O63" s="1"/>
    </row>
    <row r="64" spans="2:15" ht="18.75" customHeight="1" x14ac:dyDescent="0.25">
      <c r="B64" s="49" t="str">
        <f>IFERROR(INDEX(Personal!$D$8:$D$67,MATCH(SMALL(Personal!$AS$8:$AS$67,1),Personal!$AS$8:$AS$67,0)),"")</f>
        <v>Uwe Krüger</v>
      </c>
      <c r="C64" s="131" t="str">
        <f>IFERROR(INDEX(Personal!$E$8:$E$67,MATCH(SMALL(Personal!$AS$8:$AS$67,1),Personal!$AS$8:$AS$67,0)),"")</f>
        <v>Operations</v>
      </c>
      <c r="D64" s="131"/>
      <c r="E64" s="50">
        <f>IFERROR(INDEX(Personal!$K$8:$K$67,MATCH(SMALL(Personal!$AS$8:$AS$67,1),Personal!$AS$8:$AS$67,0)),"")</f>
        <v>46477</v>
      </c>
      <c r="F64" s="51" t="str">
        <f>IFERROR(INDEX(Personal!$H$8:$H$67,MATCH(SMALL(Personal!$AS$8:$AS$67,1),Personal!$AS$8:$AS$67,0)),"")</f>
        <v>Unbefristet</v>
      </c>
      <c r="G64" s="132" t="str">
        <f>IF(B64="","",IF(COUNTIFS(Personal!$E$8:$E$67,C64,Personal!$G$8:$G$67,"Ersatz",Personal!$AM$8:$AM$67,1,Personal!$J$8:$J$67,"&gt;="&amp;E64)&gt;0,"Ja","Nein"))</f>
        <v>Nein</v>
      </c>
      <c r="H64" s="132"/>
      <c r="I64" s="52">
        <f>IFERROR(INDEX(Personal!$R$8:$R$67,MATCH(SMALL(Personal!$AS$8:$AS$67,1),Personal!$AS$8:$AS$67,0)),"")</f>
        <v>1</v>
      </c>
      <c r="J64" s="131" t="str">
        <f ca="1">IFERROR(INDEX(Personal!$W$8:$W$67,MATCH(SMALL(Personal!$AS$8:$AS$67,1),Personal!$AS$8:$AS$67,0)),"")</f>
        <v>Austritt im Planjahr</v>
      </c>
      <c r="K64" s="131"/>
      <c r="L64" s="131"/>
      <c r="M64" s="131"/>
      <c r="N64" s="131"/>
      <c r="O64" s="131"/>
    </row>
    <row r="65" spans="2:15" ht="18.75" customHeight="1" x14ac:dyDescent="0.25">
      <c r="B65" s="49" t="str">
        <f>IFERROR(INDEX(Personal!$D$8:$D$67,MATCH(SMALL(Personal!$AS$8:$AS$67,2),Personal!$AS$8:$AS$67,0)),"")</f>
        <v>Benedikt Schulte</v>
      </c>
      <c r="C65" s="131" t="str">
        <f>IFERROR(INDEX(Personal!$E$8:$E$67,MATCH(SMALL(Personal!$AS$8:$AS$67,2),Personal!$AS$8:$AS$67,0)),"")</f>
        <v>Vertrieb</v>
      </c>
      <c r="D65" s="131"/>
      <c r="E65" s="50">
        <f>IFERROR(INDEX(Personal!$K$8:$K$67,MATCH(SMALL(Personal!$AS$8:$AS$67,2),Personal!$AS$8:$AS$67,0)),"")</f>
        <v>46568</v>
      </c>
      <c r="F65" s="51" t="str">
        <f>IFERROR(INDEX(Personal!$H$8:$H$67,MATCH(SMALL(Personal!$AS$8:$AS$67,2),Personal!$AS$8:$AS$67,0)),"")</f>
        <v>Unbefristet</v>
      </c>
      <c r="G65" s="132" t="str">
        <f>IF(B65="","",IF(COUNTIFS(Personal!$E$8:$E$67,C65,Personal!$G$8:$G$67,"Ersatz",Personal!$AM$8:$AM$67,1,Personal!$J$8:$J$67,"&gt;="&amp;E65)&gt;0,"Ja","Nein"))</f>
        <v>Ja</v>
      </c>
      <c r="H65" s="132"/>
      <c r="I65" s="52">
        <f>IFERROR(INDEX(Personal!$R$8:$R$67,MATCH(SMALL(Personal!$AS$8:$AS$67,2),Personal!$AS$8:$AS$67,0)),"")</f>
        <v>1</v>
      </c>
      <c r="J65" s="131" t="str">
        <f ca="1">IFERROR(INDEX(Personal!$W$8:$W$67,MATCH(SMALL(Personal!$AS$8:$AS$67,2),Personal!$AS$8:$AS$67,0)),"")</f>
        <v>Austritt im Planjahr</v>
      </c>
      <c r="K65" s="131"/>
      <c r="L65" s="131"/>
      <c r="M65" s="131"/>
      <c r="N65" s="131"/>
      <c r="O65" s="131"/>
    </row>
    <row r="66" spans="2:15" ht="18.75" customHeight="1" x14ac:dyDescent="0.25">
      <c r="B66" s="49" t="str">
        <f>IFERROR(INDEX(Personal!$D$8:$D$67,MATCH(SMALL(Personal!$AS$8:$AS$67,3),Personal!$AS$8:$AS$67,0)),"")</f>
        <v>Lea Schmitt</v>
      </c>
      <c r="C66" s="131" t="str">
        <f>IFERROR(INDEX(Personal!$E$8:$E$67,MATCH(SMALL(Personal!$AS$8:$AS$67,3),Personal!$AS$8:$AS$67,0)),"")</f>
        <v>Kundenservice</v>
      </c>
      <c r="D66" s="131"/>
      <c r="E66" s="50">
        <f>IFERROR(INDEX(Personal!$K$8:$K$67,MATCH(SMALL(Personal!$AS$8:$AS$67,3),Personal!$AS$8:$AS$67,0)),"")</f>
        <v>46630</v>
      </c>
      <c r="F66" s="51" t="str">
        <f>IFERROR(INDEX(Personal!$H$8:$H$67,MATCH(SMALL(Personal!$AS$8:$AS$67,3),Personal!$AS$8:$AS$67,0)),"")</f>
        <v>Befristet</v>
      </c>
      <c r="G66" s="132" t="str">
        <f>IF(B66="","",IF(COUNTIFS(Personal!$E$8:$E$67,C66,Personal!$G$8:$G$67,"Ersatz",Personal!$AM$8:$AM$67,1,Personal!$J$8:$J$67,"&gt;="&amp;E66)&gt;0,"Ja","Nein"))</f>
        <v>Ja</v>
      </c>
      <c r="H66" s="132"/>
      <c r="I66" s="52">
        <f>IFERROR(INDEX(Personal!$R$8:$R$67,MATCH(SMALL(Personal!$AS$8:$AS$67,3),Personal!$AS$8:$AS$67,0)),"")</f>
        <v>1</v>
      </c>
      <c r="J66" s="131" t="str">
        <f ca="1">IFERROR(INDEX(Personal!$W$8:$W$67,MATCH(SMALL(Personal!$AS$8:$AS$67,3),Personal!$AS$8:$AS$67,0)),"")</f>
        <v>Befristung endet</v>
      </c>
      <c r="K66" s="131"/>
      <c r="L66" s="131"/>
      <c r="M66" s="131"/>
      <c r="N66" s="131"/>
      <c r="O66" s="131"/>
    </row>
    <row r="67" spans="2:15" ht="18.75" customHeight="1" x14ac:dyDescent="0.25">
      <c r="B67" s="49" t="str">
        <f>IFERROR(INDEX(Personal!$D$8:$D$67,MATCH(SMALL(Personal!$AS$8:$AS$67,4),Personal!$AS$8:$AS$67,0)),"")</f>
        <v>Luisa Kremer</v>
      </c>
      <c r="C67" s="131" t="str">
        <f>IFERROR(INDEX(Personal!$E$8:$E$67,MATCH(SMALL(Personal!$AS$8:$AS$67,4),Personal!$AS$8:$AS$67,0)),"")</f>
        <v>IT</v>
      </c>
      <c r="D67" s="131"/>
      <c r="E67" s="50">
        <f>IFERROR(INDEX(Personal!$K$8:$K$67,MATCH(SMALL(Personal!$AS$8:$AS$67,4),Personal!$AS$8:$AS$67,0)),"")</f>
        <v>46660</v>
      </c>
      <c r="F67" s="51" t="str">
        <f>IFERROR(INDEX(Personal!$H$8:$H$67,MATCH(SMALL(Personal!$AS$8:$AS$67,4),Personal!$AS$8:$AS$67,0)),"")</f>
        <v>Befristet</v>
      </c>
      <c r="G67" s="132" t="str">
        <f>IF(B67="","",IF(COUNTIFS(Personal!$E$8:$E$67,C67,Personal!$G$8:$G$67,"Ersatz",Personal!$AM$8:$AM$67,1,Personal!$J$8:$J$67,"&gt;="&amp;E67)&gt;0,"Ja","Nein"))</f>
        <v>Nein</v>
      </c>
      <c r="H67" s="132"/>
      <c r="I67" s="52">
        <f>IFERROR(INDEX(Personal!$R$8:$R$67,MATCH(SMALL(Personal!$AS$8:$AS$67,4),Personal!$AS$8:$AS$67,0)),"")</f>
        <v>0.45</v>
      </c>
      <c r="J67" s="131" t="str">
        <f ca="1">IFERROR(INDEX(Personal!$W$8:$W$67,MATCH(SMALL(Personal!$AS$8:$AS$67,4),Personal!$AS$8:$AS$67,0)),"")</f>
        <v>Befristung endet</v>
      </c>
      <c r="K67" s="131"/>
      <c r="L67" s="131"/>
      <c r="M67" s="131"/>
      <c r="N67" s="131"/>
      <c r="O67" s="131"/>
    </row>
    <row r="68" spans="2:15" ht="18.75" customHeight="1" x14ac:dyDescent="0.25">
      <c r="B68" s="49" t="str">
        <f>IFERROR(INDEX(Personal!$D$8:$D$67,MATCH(SMALL(Personal!$AS$8:$AS$67,5),Personal!$AS$8:$AS$67,0)),"")</f>
        <v/>
      </c>
      <c r="C68" s="131" t="str">
        <f>IFERROR(INDEX(Personal!$E$8:$E$67,MATCH(SMALL(Personal!$AS$8:$AS$67,5),Personal!$AS$8:$AS$67,0)),"")</f>
        <v/>
      </c>
      <c r="D68" s="131"/>
      <c r="E68" s="50" t="str">
        <f>IFERROR(INDEX(Personal!$K$8:$K$67,MATCH(SMALL(Personal!$AS$8:$AS$67,5),Personal!$AS$8:$AS$67,0)),"")</f>
        <v/>
      </c>
      <c r="F68" s="51" t="str">
        <f>IFERROR(INDEX(Personal!$H$8:$H$67,MATCH(SMALL(Personal!$AS$8:$AS$67,5),Personal!$AS$8:$AS$67,0)),"")</f>
        <v/>
      </c>
      <c r="G68" s="132" t="str">
        <f>IF(B68="","",IF(COUNTIFS(Personal!$E$8:$E$67,C68,Personal!$G$8:$G$67,"Ersatz",Personal!$AM$8:$AM$67,1,Personal!$J$8:$J$67,"&gt;="&amp;E68)&gt;0,"Ja","Nein"))</f>
        <v/>
      </c>
      <c r="H68" s="132"/>
      <c r="I68" s="52" t="str">
        <f>IFERROR(INDEX(Personal!$R$8:$R$67,MATCH(SMALL(Personal!$AS$8:$AS$67,5),Personal!$AS$8:$AS$67,0)),"")</f>
        <v/>
      </c>
      <c r="J68" s="131" t="str">
        <f>IFERROR(INDEX(Personal!$W$8:$W$67,MATCH(SMALL(Personal!$AS$8:$AS$67,5),Personal!$AS$8:$AS$67,0)),"")</f>
        <v/>
      </c>
      <c r="K68" s="131"/>
      <c r="L68" s="131"/>
      <c r="M68" s="131"/>
      <c r="N68" s="131"/>
      <c r="O68" s="131"/>
    </row>
    <row r="69" spans="2:15" ht="18.75" customHeight="1" x14ac:dyDescent="0.25">
      <c r="B69" s="49" t="str">
        <f>IFERROR(INDEX(Personal!$D$8:$D$67,MATCH(SMALL(Personal!$AS$8:$AS$67,6),Personal!$AS$8:$AS$67,0)),"")</f>
        <v/>
      </c>
      <c r="C69" s="131" t="str">
        <f>IFERROR(INDEX(Personal!$E$8:$E$67,MATCH(SMALL(Personal!$AS$8:$AS$67,6),Personal!$AS$8:$AS$67,0)),"")</f>
        <v/>
      </c>
      <c r="D69" s="131"/>
      <c r="E69" s="50" t="str">
        <f>IFERROR(INDEX(Personal!$K$8:$K$67,MATCH(SMALL(Personal!$AS$8:$AS$67,6),Personal!$AS$8:$AS$67,0)),"")</f>
        <v/>
      </c>
      <c r="F69" s="51" t="str">
        <f>IFERROR(INDEX(Personal!$H$8:$H$67,MATCH(SMALL(Personal!$AS$8:$AS$67,6),Personal!$AS$8:$AS$67,0)),"")</f>
        <v/>
      </c>
      <c r="G69" s="132" t="str">
        <f>IF(B69="","",IF(COUNTIFS(Personal!$E$8:$E$67,C69,Personal!$G$8:$G$67,"Ersatz",Personal!$AM$8:$AM$67,1,Personal!$J$8:$J$67,"&gt;="&amp;E69)&gt;0,"Ja","Nein"))</f>
        <v/>
      </c>
      <c r="H69" s="132"/>
      <c r="I69" s="52" t="str">
        <f>IFERROR(INDEX(Personal!$R$8:$R$67,MATCH(SMALL(Personal!$AS$8:$AS$67,6),Personal!$AS$8:$AS$67,0)),"")</f>
        <v/>
      </c>
      <c r="J69" s="131" t="str">
        <f>IFERROR(INDEX(Personal!$W$8:$W$67,MATCH(SMALL(Personal!$AS$8:$AS$67,6),Personal!$AS$8:$AS$67,0)),"")</f>
        <v/>
      </c>
      <c r="K69" s="131"/>
      <c r="L69" s="131"/>
      <c r="M69" s="131"/>
      <c r="N69" s="131"/>
      <c r="O69" s="131"/>
    </row>
  </sheetData>
  <mergeCells count="72">
    <mergeCell ref="C68:D68"/>
    <mergeCell ref="G68:H68"/>
    <mergeCell ref="J68:O68"/>
    <mergeCell ref="C69:D69"/>
    <mergeCell ref="G69:H69"/>
    <mergeCell ref="J69:O69"/>
    <mergeCell ref="C66:D66"/>
    <mergeCell ref="G66:H66"/>
    <mergeCell ref="J66:O66"/>
    <mergeCell ref="C67:D67"/>
    <mergeCell ref="G67:H67"/>
    <mergeCell ref="J67:O67"/>
    <mergeCell ref="C64:D64"/>
    <mergeCell ref="G64:H64"/>
    <mergeCell ref="J64:O64"/>
    <mergeCell ref="C65:D65"/>
    <mergeCell ref="G65:H65"/>
    <mergeCell ref="J65:O65"/>
    <mergeCell ref="C60:D60"/>
    <mergeCell ref="G60:H60"/>
    <mergeCell ref="K60:O60"/>
    <mergeCell ref="C63:D63"/>
    <mergeCell ref="G63:H63"/>
    <mergeCell ref="J63:O63"/>
    <mergeCell ref="C58:D58"/>
    <mergeCell ref="G58:H58"/>
    <mergeCell ref="K58:O58"/>
    <mergeCell ref="C59:D59"/>
    <mergeCell ref="G59:H59"/>
    <mergeCell ref="K59:O59"/>
    <mergeCell ref="C56:D56"/>
    <mergeCell ref="G56:H56"/>
    <mergeCell ref="K56:O56"/>
    <mergeCell ref="C57:D57"/>
    <mergeCell ref="G57:H57"/>
    <mergeCell ref="K57:O57"/>
    <mergeCell ref="L43:O50"/>
    <mergeCell ref="C54:D54"/>
    <mergeCell ref="G54:H54"/>
    <mergeCell ref="K54:O54"/>
    <mergeCell ref="C55:D55"/>
    <mergeCell ref="G55:H55"/>
    <mergeCell ref="K55:O55"/>
    <mergeCell ref="C12:D12"/>
    <mergeCell ref="E12:F12"/>
    <mergeCell ref="G12:H12"/>
    <mergeCell ref="I12:J12"/>
    <mergeCell ref="K12:L12"/>
    <mergeCell ref="M9:N9"/>
    <mergeCell ref="C11:D11"/>
    <mergeCell ref="E11:F11"/>
    <mergeCell ref="G11:H11"/>
    <mergeCell ref="I11:J11"/>
    <mergeCell ref="K11:L11"/>
    <mergeCell ref="C9:D9"/>
    <mergeCell ref="E9:F9"/>
    <mergeCell ref="G9:H9"/>
    <mergeCell ref="I9:J9"/>
    <mergeCell ref="K9:L9"/>
    <mergeCell ref="M6:N6"/>
    <mergeCell ref="B7:B8"/>
    <mergeCell ref="C7:D8"/>
    <mergeCell ref="E7:F8"/>
    <mergeCell ref="G7:H8"/>
    <mergeCell ref="I7:J8"/>
    <mergeCell ref="K7:L8"/>
    <mergeCell ref="M7:N8"/>
    <mergeCell ref="C6:D6"/>
    <mergeCell ref="E6:F6"/>
    <mergeCell ref="G6:H6"/>
    <mergeCell ref="I6:J6"/>
    <mergeCell ref="K6:L6"/>
  </mergeCells>
  <conditionalFormatting sqref="C23:O23">
    <cfRule type="expression" dxfId="34" priority="8">
      <formula>C23&lt;0</formula>
    </cfRule>
    <cfRule type="expression" dxfId="33" priority="9">
      <formula>C23&gt;=0</formula>
    </cfRule>
  </conditionalFormatting>
  <conditionalFormatting sqref="G55:G60">
    <cfRule type="expression" dxfId="31" priority="12">
      <formula>$G55="Offen"</formula>
    </cfRule>
    <cfRule type="expression" dxfId="30" priority="13">
      <formula>$G55="Zusage"</formula>
    </cfRule>
    <cfRule type="expression" dxfId="29" priority="14">
      <formula>OR($G55="Ausgeschrieben",$G55="Auswahlverfahren")</formula>
    </cfRule>
  </conditionalFormatting>
  <conditionalFormatting sqref="G64:G69">
    <cfRule type="expression" dxfId="28" priority="16">
      <formula>$G64="Nein"</formula>
    </cfRule>
    <cfRule type="expression" dxfId="27" priority="17">
      <formula>$G64="Ja"</formula>
    </cfRule>
  </conditionalFormatting>
  <conditionalFormatting sqref="H43:H50">
    <cfRule type="dataBar" priority="11">
      <dataBar>
        <cfvo type="num" val="0"/>
        <cfvo type="max"/>
        <color rgb="FFC9828A"/>
      </dataBar>
      <extLst>
        <ext xmlns:x14="http://schemas.microsoft.com/office/spreadsheetml/2009/9/main" uri="{B025F937-C7B1-47D3-B67F-A62EFF666E3E}">
          <x14:id>{B221EC7E-4EF0-452D-9226-6E7E28C3ABDC}</x14:id>
        </ext>
      </extLst>
    </cfRule>
  </conditionalFormatting>
  <conditionalFormatting sqref="K55:K60">
    <cfRule type="expression" dxfId="25" priority="15">
      <formula>$K55="Ausschreibung fällig"</formula>
    </cfRule>
  </conditionalFormatting>
  <conditionalFormatting sqref="L7">
    <cfRule type="expression" dxfId="24" priority="3">
      <formula>$L$7&lt;0</formula>
    </cfRule>
    <cfRule type="expression" dxfId="23" priority="4">
      <formula>$L$7&gt;=0</formula>
    </cfRule>
  </conditionalFormatting>
  <conditionalFormatting sqref="N7">
    <cfRule type="expression" dxfId="22" priority="5">
      <formula>$N$7&gt;0</formula>
    </cfRule>
  </conditionalFormatting>
  <pageMargins left="0.4" right="0.4" top="1" bottom="1" header="0.511811023622047" footer="0.511811023622047"/>
  <pageSetup paperSize="9" fitToHeight="0"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expression" priority="6" id="{00000000-000E-0000-0100-000006000000}">
            <xm:f>C20&lt;-Parameter!$C$10</xm:f>
            <x14:dxf>
              <font>
                <b/>
                <color rgb="FF8C2F39"/>
                <name val="Calibri"/>
                <charset val="1"/>
              </font>
              <fill>
                <patternFill>
                  <bgColor rgb="FFF7DADD"/>
                </patternFill>
              </fill>
            </x14:dxf>
          </x14:cfRule>
          <x14:cfRule type="expression" priority="7" id="{00000000-000E-0000-0100-000007000000}">
            <xm:f>C20&gt;=-Parameter!$C$10</xm:f>
            <x14:dxf>
              <font>
                <b/>
                <color rgb="FF256B43"/>
                <name val="Calibri"/>
                <charset val="1"/>
              </font>
              <fill>
                <patternFill>
                  <bgColor rgb="FFDCEFE2"/>
                </patternFill>
              </fill>
            </x14:dxf>
          </x14:cfRule>
          <xm:sqref>C20:O20</xm:sqref>
        </x14:conditionalFormatting>
        <x14:conditionalFormatting xmlns:xm="http://schemas.microsoft.com/office/excel/2006/main">
          <x14:cfRule type="expression" priority="10" id="{00000000-000E-0000-0100-00000A000000}">
            <xm:f>AND(ISNUMBER(F43),F43&lt;-Parameter!$C$10)</xm:f>
            <x14:dxf>
              <font>
                <b/>
                <color rgb="FF8C2F39"/>
                <name val="Calibri"/>
                <charset val="1"/>
              </font>
              <fill>
                <patternFill>
                  <bgColor rgb="FFF7DADD"/>
                </patternFill>
              </fill>
            </x14:dxf>
          </x14:cfRule>
          <xm:sqref>F43:F50</xm:sqref>
        </x14:conditionalFormatting>
        <x14:conditionalFormatting xmlns:xm="http://schemas.microsoft.com/office/excel/2006/main">
          <x14:cfRule type="expression" priority="2" id="{00000000-000E-0000-0100-000002000000}">
            <xm:f>$H$7&lt;-Parameter!$C$10</xm:f>
            <x14:dxf>
              <font>
                <b/>
                <sz val="22"/>
                <color rgb="FF8C2F39"/>
                <name val="Calibri"/>
                <charset val="1"/>
              </font>
            </x14:dxf>
          </x14:cfRule>
          <xm:sqref>H7</xm:sqref>
        </x14:conditionalFormatting>
        <x14:conditionalFormatting xmlns:xm="http://schemas.microsoft.com/office/excel/2006/main">
          <x14:cfRule type="dataBar" id="{B221EC7E-4EF0-452D-9226-6E7E28C3ABDC}">
            <x14:dataBar axisPosition="none">
              <x14:cfvo type="num">
                <xm:f>0</xm:f>
              </x14:cfvo>
              <x14:cfvo type="max"/>
              <x14:negativeFillColor rgb="FFC9828A"/>
            </x14:dataBar>
          </x14:cfRule>
          <xm:sqref>H43:H50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B7280"/>
    <pageSetUpPr fitToPage="1"/>
  </sheetPr>
  <dimension ref="A1:S31"/>
  <sheetViews>
    <sheetView showGridLines="0" zoomScale="90" zoomScaleNormal="90" workbookViewId="0"/>
  </sheetViews>
  <sheetFormatPr baseColWidth="10" defaultColWidth="8.7109375" defaultRowHeight="15" x14ac:dyDescent="0.25"/>
  <cols>
    <col min="1" max="1" width="1.5703125" customWidth="1"/>
    <col min="2" max="2" width="32" customWidth="1"/>
    <col min="3" max="3" width="14" customWidth="1"/>
    <col min="4" max="4" width="36" customWidth="1"/>
    <col min="5" max="6" width="2" customWidth="1"/>
    <col min="7" max="7" width="32" customWidth="1"/>
    <col min="8" max="8" width="12" customWidth="1"/>
    <col min="9" max="11" width="13" customWidth="1"/>
    <col min="12" max="12" width="2" customWidth="1"/>
    <col min="13" max="13" width="22" customWidth="1"/>
    <col min="14" max="14" width="9" customWidth="1"/>
    <col min="15" max="15" width="2" customWidth="1"/>
    <col min="16" max="16" width="15" customWidth="1"/>
    <col min="17" max="17" width="13" customWidth="1"/>
    <col min="18" max="18" width="16" customWidth="1"/>
    <col min="19" max="19" width="12" customWidth="1"/>
  </cols>
  <sheetData>
    <row r="1" spans="1:19" ht="7.5" customHeight="1" x14ac:dyDescent="0.25"/>
    <row r="2" spans="1:19" ht="37.5" customHeight="1" x14ac:dyDescent="0.45">
      <c r="A2" s="15"/>
      <c r="B2" s="16" t="s">
        <v>97</v>
      </c>
      <c r="S2" s="17" t="str">
        <f>"PERSONALPLANUNG "&amp;Parameter!$C$7</f>
        <v>PERSONALPLANUNG 2027</v>
      </c>
    </row>
    <row r="3" spans="1:19" ht="18" customHeight="1" x14ac:dyDescent="0.25">
      <c r="A3" s="15"/>
      <c r="B3" s="18" t="str">
        <f>"Zentrale Stellschrauben für das Planjahr "&amp;Parameter!$C$7&amp;" – alle Blätter rechnen mit diesen Werten."</f>
        <v>Zentrale Stellschrauben für das Planjahr 2027 – alle Blätter rechnen mit diesen Werten.</v>
      </c>
      <c r="C3" s="19"/>
      <c r="D3" s="19"/>
      <c r="E3" s="19"/>
      <c r="F3" s="19"/>
      <c r="G3" s="19"/>
      <c r="H3" s="19"/>
      <c r="I3" s="19"/>
      <c r="J3" s="19"/>
      <c r="K3" s="19"/>
      <c r="L3" s="19"/>
      <c r="M3" s="19"/>
      <c r="N3" s="19"/>
      <c r="O3" s="19"/>
      <c r="P3" s="19"/>
      <c r="Q3" s="19"/>
      <c r="R3" s="19"/>
      <c r="S3" s="19"/>
    </row>
    <row r="4" spans="1:19" ht="13.5" customHeight="1" x14ac:dyDescent="0.25"/>
    <row r="5" spans="1:19" ht="24" customHeight="1" x14ac:dyDescent="0.25">
      <c r="B5" s="20" t="s">
        <v>98</v>
      </c>
      <c r="C5" s="21"/>
      <c r="D5" s="21"/>
      <c r="G5" s="20" t="s">
        <v>99</v>
      </c>
      <c r="H5" s="21"/>
      <c r="I5" s="21"/>
      <c r="J5" s="21"/>
      <c r="K5" s="21"/>
      <c r="M5" s="20" t="s">
        <v>100</v>
      </c>
      <c r="N5" s="21"/>
      <c r="O5" s="21"/>
      <c r="P5" s="21"/>
      <c r="Q5" s="21"/>
      <c r="R5" s="21"/>
      <c r="S5" s="21"/>
    </row>
    <row r="6" spans="1:19" ht="30" customHeight="1" x14ac:dyDescent="0.25">
      <c r="B6" s="54" t="s">
        <v>101</v>
      </c>
      <c r="C6" s="144" t="s">
        <v>102</v>
      </c>
      <c r="D6" s="144"/>
      <c r="G6" s="54" t="s">
        <v>103</v>
      </c>
      <c r="H6" s="55">
        <v>8850</v>
      </c>
      <c r="I6" s="56" t="s">
        <v>104</v>
      </c>
      <c r="M6" s="28" t="s">
        <v>73</v>
      </c>
      <c r="N6" s="28" t="s">
        <v>81</v>
      </c>
      <c r="O6" s="57"/>
      <c r="P6" s="28" t="s">
        <v>105</v>
      </c>
      <c r="Q6" s="28" t="s">
        <v>95</v>
      </c>
      <c r="R6" s="28" t="s">
        <v>106</v>
      </c>
      <c r="S6" s="28" t="s">
        <v>107</v>
      </c>
    </row>
    <row r="7" spans="1:19" ht="19.5" customHeight="1" x14ac:dyDescent="0.25">
      <c r="B7" s="54" t="s">
        <v>108</v>
      </c>
      <c r="C7" s="58">
        <v>2027</v>
      </c>
      <c r="D7" s="56" t="s">
        <v>109</v>
      </c>
      <c r="G7" s="54" t="s">
        <v>110</v>
      </c>
      <c r="H7" s="55">
        <v>6375</v>
      </c>
      <c r="I7" s="56" t="s">
        <v>104</v>
      </c>
      <c r="M7" s="59" t="s">
        <v>111</v>
      </c>
      <c r="N7" s="30">
        <v>1000</v>
      </c>
      <c r="P7" s="60" t="s">
        <v>112</v>
      </c>
      <c r="Q7" s="60" t="s">
        <v>113</v>
      </c>
      <c r="R7" s="60" t="s">
        <v>114</v>
      </c>
      <c r="S7" s="60" t="s">
        <v>115</v>
      </c>
    </row>
    <row r="8" spans="1:19" ht="19.5" customHeight="1" x14ac:dyDescent="0.25">
      <c r="B8" s="54" t="s">
        <v>116</v>
      </c>
      <c r="C8" s="61" t="s">
        <v>117</v>
      </c>
      <c r="D8" s="56" t="s">
        <v>118</v>
      </c>
      <c r="G8" s="54" t="s">
        <v>119</v>
      </c>
      <c r="H8" s="62">
        <v>9.2999999999999999E-2</v>
      </c>
      <c r="I8" s="56" t="s">
        <v>120</v>
      </c>
      <c r="M8" s="59" t="s">
        <v>121</v>
      </c>
      <c r="N8" s="30">
        <v>2000</v>
      </c>
      <c r="P8" s="60" t="s">
        <v>122</v>
      </c>
      <c r="Q8" s="60" t="s">
        <v>123</v>
      </c>
      <c r="R8" s="60" t="s">
        <v>124</v>
      </c>
      <c r="S8" s="60" t="s">
        <v>125</v>
      </c>
    </row>
    <row r="9" spans="1:19" ht="19.5" customHeight="1" x14ac:dyDescent="0.25">
      <c r="B9" s="54" t="s">
        <v>126</v>
      </c>
      <c r="C9" s="58">
        <v>3</v>
      </c>
      <c r="D9" s="56" t="s">
        <v>127</v>
      </c>
      <c r="G9" s="54" t="s">
        <v>128</v>
      </c>
      <c r="H9" s="62">
        <v>1.2999999999999999E-2</v>
      </c>
      <c r="I9" s="56" t="s">
        <v>120</v>
      </c>
      <c r="M9" s="59" t="s">
        <v>129</v>
      </c>
      <c r="N9" s="30">
        <v>2100</v>
      </c>
      <c r="P9" s="60" t="s">
        <v>130</v>
      </c>
      <c r="R9" s="60" t="s">
        <v>131</v>
      </c>
      <c r="S9" s="60" t="s">
        <v>132</v>
      </c>
    </row>
    <row r="10" spans="1:19" ht="19.5" customHeight="1" x14ac:dyDescent="0.25">
      <c r="B10" s="54" t="s">
        <v>133</v>
      </c>
      <c r="C10" s="63">
        <v>0.25</v>
      </c>
      <c r="D10" s="56" t="s">
        <v>134</v>
      </c>
      <c r="G10" s="54" t="s">
        <v>135</v>
      </c>
      <c r="H10" s="62">
        <v>7.2999999999999995E-2</v>
      </c>
      <c r="I10" s="56" t="s">
        <v>120</v>
      </c>
      <c r="M10" s="59" t="s">
        <v>136</v>
      </c>
      <c r="N10" s="30">
        <v>3000</v>
      </c>
      <c r="R10" s="60" t="s">
        <v>137</v>
      </c>
      <c r="S10" s="60" t="s">
        <v>138</v>
      </c>
    </row>
    <row r="11" spans="1:19" ht="19.5" customHeight="1" x14ac:dyDescent="0.25">
      <c r="G11" s="54" t="s">
        <v>139</v>
      </c>
      <c r="H11" s="62">
        <v>2.9000000000000001E-2</v>
      </c>
      <c r="I11" s="56" t="s">
        <v>140</v>
      </c>
      <c r="M11" s="59" t="s">
        <v>141</v>
      </c>
      <c r="N11" s="30">
        <v>3100</v>
      </c>
      <c r="R11" s="60" t="s">
        <v>142</v>
      </c>
      <c r="S11" s="60" t="s">
        <v>57</v>
      </c>
    </row>
    <row r="12" spans="1:19" ht="19.5" customHeight="1" x14ac:dyDescent="0.25">
      <c r="B12" s="20" t="s">
        <v>143</v>
      </c>
      <c r="C12" s="21"/>
      <c r="D12" s="21"/>
      <c r="G12" s="54" t="s">
        <v>144</v>
      </c>
      <c r="H12" s="62">
        <v>1.7999999999999999E-2</v>
      </c>
      <c r="I12" s="56" t="s">
        <v>120</v>
      </c>
      <c r="M12" s="59" t="s">
        <v>145</v>
      </c>
      <c r="N12" s="30">
        <v>4000</v>
      </c>
      <c r="R12" s="60" t="s">
        <v>146</v>
      </c>
      <c r="S12" s="60" t="s">
        <v>147</v>
      </c>
    </row>
    <row r="13" spans="1:19" ht="19.5" customHeight="1" x14ac:dyDescent="0.25">
      <c r="B13" s="54" t="s">
        <v>148</v>
      </c>
      <c r="C13" s="64">
        <v>40</v>
      </c>
      <c r="D13" s="56" t="s">
        <v>149</v>
      </c>
      <c r="G13" s="54" t="s">
        <v>150</v>
      </c>
      <c r="H13" s="62">
        <v>1.0999999999999999E-2</v>
      </c>
      <c r="I13" s="56" t="s">
        <v>151</v>
      </c>
      <c r="M13" s="59" t="s">
        <v>152</v>
      </c>
      <c r="N13" s="30">
        <v>5000</v>
      </c>
      <c r="S13" s="60" t="s">
        <v>153</v>
      </c>
    </row>
    <row r="14" spans="1:19" ht="19.5" customHeight="1" x14ac:dyDescent="0.25">
      <c r="B14" s="54" t="s">
        <v>154</v>
      </c>
      <c r="C14" s="58">
        <v>5</v>
      </c>
      <c r="G14" s="54" t="s">
        <v>155</v>
      </c>
      <c r="H14" s="62">
        <v>4.0000000000000001E-3</v>
      </c>
      <c r="I14" s="56" t="s">
        <v>151</v>
      </c>
      <c r="M14" s="59" t="s">
        <v>6</v>
      </c>
      <c r="N14" s="30">
        <v>5100</v>
      </c>
      <c r="S14" s="60" t="s">
        <v>156</v>
      </c>
    </row>
    <row r="15" spans="1:19" ht="19.5" customHeight="1" x14ac:dyDescent="0.25">
      <c r="B15" s="54" t="s">
        <v>157</v>
      </c>
      <c r="C15" s="65">
        <f>NETWORKDAYS(DATE($C$7,1,1),DATE($C$7,12,31))</f>
        <v>261</v>
      </c>
      <c r="D15" s="56" t="s">
        <v>158</v>
      </c>
      <c r="G15" s="54" t="s">
        <v>159</v>
      </c>
      <c r="H15" s="62">
        <v>1.5E-3</v>
      </c>
      <c r="M15" s="66" t="s">
        <v>160</v>
      </c>
      <c r="S15" s="60" t="s">
        <v>161</v>
      </c>
    </row>
    <row r="16" spans="1:19" ht="19.5" customHeight="1" x14ac:dyDescent="0.25">
      <c r="B16" s="54" t="s">
        <v>162</v>
      </c>
      <c r="C16" s="58">
        <v>30</v>
      </c>
      <c r="G16" s="54" t="s">
        <v>163</v>
      </c>
      <c r="H16" s="62">
        <v>1.2E-2</v>
      </c>
      <c r="I16" s="56" t="s">
        <v>164</v>
      </c>
      <c r="M16" s="67" t="s">
        <v>117</v>
      </c>
      <c r="S16" s="60" t="s">
        <v>165</v>
      </c>
    </row>
    <row r="17" spans="2:19" ht="19.5" customHeight="1" x14ac:dyDescent="0.25">
      <c r="B17" s="54" t="s">
        <v>166</v>
      </c>
      <c r="C17" s="58">
        <v>6</v>
      </c>
      <c r="D17" s="56" t="s">
        <v>167</v>
      </c>
      <c r="G17" s="54" t="s">
        <v>168</v>
      </c>
      <c r="H17" s="62">
        <v>0.13</v>
      </c>
      <c r="M17" s="67" t="s">
        <v>169</v>
      </c>
      <c r="S17" s="60" t="s">
        <v>170</v>
      </c>
    </row>
    <row r="18" spans="2:19" ht="19.5" customHeight="1" x14ac:dyDescent="0.25">
      <c r="B18" s="54" t="s">
        <v>171</v>
      </c>
      <c r="C18" s="58">
        <v>12</v>
      </c>
      <c r="G18" s="54" t="s">
        <v>172</v>
      </c>
      <c r="H18" s="62">
        <v>0.15</v>
      </c>
      <c r="S18" s="60" t="s">
        <v>173</v>
      </c>
    </row>
    <row r="19" spans="2:19" ht="19.5" customHeight="1" x14ac:dyDescent="0.25">
      <c r="B19" s="54" t="s">
        <v>174</v>
      </c>
      <c r="C19" s="58">
        <v>3</v>
      </c>
      <c r="G19" s="54" t="s">
        <v>175</v>
      </c>
      <c r="H19" s="62">
        <v>0.02</v>
      </c>
    </row>
    <row r="20" spans="2:19" ht="19.5" customHeight="1" x14ac:dyDescent="0.25">
      <c r="B20" s="54" t="s">
        <v>176</v>
      </c>
      <c r="C20" s="58">
        <v>2</v>
      </c>
      <c r="G20" s="145" t="s">
        <v>177</v>
      </c>
      <c r="H20" s="145"/>
      <c r="I20" s="145"/>
      <c r="J20" s="145"/>
      <c r="K20" s="145"/>
      <c r="P20" s="145" t="s">
        <v>178</v>
      </c>
      <c r="Q20" s="145"/>
      <c r="R20" s="145"/>
      <c r="S20" s="145"/>
    </row>
    <row r="21" spans="2:19" ht="19.5" customHeight="1" x14ac:dyDescent="0.25">
      <c r="B21" s="54" t="s">
        <v>179</v>
      </c>
      <c r="C21" s="65">
        <f>C15-SUM(C16:C20)</f>
        <v>208</v>
      </c>
      <c r="G21" s="145"/>
      <c r="H21" s="145"/>
      <c r="I21" s="145"/>
      <c r="J21" s="145"/>
      <c r="K21" s="145"/>
      <c r="P21" s="145"/>
      <c r="Q21" s="145"/>
      <c r="R21" s="145"/>
      <c r="S21" s="145"/>
    </row>
    <row r="22" spans="2:19" ht="19.5" customHeight="1" x14ac:dyDescent="0.25">
      <c r="B22" s="54" t="s">
        <v>49</v>
      </c>
      <c r="C22" s="68">
        <f>IFERROR(1-C21/C15,0)</f>
        <v>0.20306513409961691</v>
      </c>
      <c r="P22" s="145"/>
      <c r="Q22" s="145"/>
      <c r="R22" s="145"/>
      <c r="S22" s="145"/>
    </row>
    <row r="23" spans="2:19" ht="24" customHeight="1" x14ac:dyDescent="0.25">
      <c r="B23" s="54" t="s">
        <v>180</v>
      </c>
      <c r="C23" s="69">
        <f>C21*C13/C14</f>
        <v>1664</v>
      </c>
      <c r="G23" s="20" t="s">
        <v>181</v>
      </c>
      <c r="H23" s="21"/>
      <c r="I23" s="21"/>
      <c r="J23" s="21"/>
      <c r="K23" s="21"/>
    </row>
    <row r="24" spans="2:19" ht="30" customHeight="1" x14ac:dyDescent="0.25">
      <c r="B24" s="54" t="s">
        <v>182</v>
      </c>
      <c r="C24" s="70">
        <f>C23/12</f>
        <v>138.66666666666666</v>
      </c>
      <c r="G24" s="28" t="s">
        <v>183</v>
      </c>
      <c r="H24" s="28" t="s">
        <v>184</v>
      </c>
      <c r="I24" s="28" t="s">
        <v>185</v>
      </c>
      <c r="J24" s="28" t="s">
        <v>186</v>
      </c>
      <c r="K24" s="28" t="s">
        <v>187</v>
      </c>
    </row>
    <row r="25" spans="2:19" ht="19.5" customHeight="1" x14ac:dyDescent="0.25">
      <c r="G25" s="71" t="s">
        <v>188</v>
      </c>
      <c r="H25" s="72">
        <f>H8+H9+H13+H14+H15</f>
        <v>0.1225</v>
      </c>
      <c r="I25" s="72">
        <f>H10+H11/2+H12</f>
        <v>0.1055</v>
      </c>
      <c r="J25" s="72">
        <f>H16</f>
        <v>1.2E-2</v>
      </c>
      <c r="K25" s="73">
        <f>SUM(H25:J25)</f>
        <v>0.24</v>
      </c>
    </row>
    <row r="26" spans="2:19" ht="19.5" customHeight="1" x14ac:dyDescent="0.25">
      <c r="B26" s="20" t="s">
        <v>189</v>
      </c>
      <c r="C26" s="21"/>
      <c r="D26" s="21"/>
      <c r="G26" s="71" t="s">
        <v>190</v>
      </c>
      <c r="H26" s="72">
        <f>0</f>
        <v>0</v>
      </c>
      <c r="I26" s="72">
        <f>0</f>
        <v>0</v>
      </c>
      <c r="J26" s="72">
        <f>H17+H18+H19+H13+H14+H15+H16</f>
        <v>0.32850000000000007</v>
      </c>
      <c r="K26" s="73">
        <f>SUM(H26:J26)</f>
        <v>0.32850000000000007</v>
      </c>
    </row>
    <row r="27" spans="2:19" ht="19.5" customHeight="1" x14ac:dyDescent="0.25">
      <c r="B27" s="54" t="s">
        <v>191</v>
      </c>
      <c r="C27" s="74">
        <v>0.03</v>
      </c>
      <c r="D27" s="56" t="s">
        <v>192</v>
      </c>
      <c r="G27" s="71" t="s">
        <v>193</v>
      </c>
      <c r="H27" s="72">
        <f>H8+H13+H14+H15</f>
        <v>0.1095</v>
      </c>
      <c r="I27" s="72">
        <f>0</f>
        <v>0</v>
      </c>
      <c r="J27" s="72">
        <f>H16</f>
        <v>1.2E-2</v>
      </c>
      <c r="K27" s="73">
        <f>SUM(H27:J27)</f>
        <v>0.1215</v>
      </c>
    </row>
    <row r="28" spans="2:19" ht="19.5" customHeight="1" x14ac:dyDescent="0.25">
      <c r="B28" s="54" t="s">
        <v>194</v>
      </c>
      <c r="C28" s="58">
        <v>4</v>
      </c>
      <c r="D28" s="75" t="str">
        <f>INDEX($S$7:$S$18,C28)</f>
        <v>April</v>
      </c>
      <c r="G28" s="71" t="s">
        <v>195</v>
      </c>
      <c r="H28" s="72">
        <f>0</f>
        <v>0</v>
      </c>
      <c r="I28" s="72">
        <f>0</f>
        <v>0</v>
      </c>
      <c r="J28" s="72">
        <f>H16</f>
        <v>1.2E-2</v>
      </c>
      <c r="K28" s="73">
        <f>SUM(H28:J28)</f>
        <v>1.2E-2</v>
      </c>
    </row>
    <row r="29" spans="2:19" ht="19.5" customHeight="1" x14ac:dyDescent="0.25">
      <c r="B29" s="54" t="s">
        <v>196</v>
      </c>
      <c r="C29" s="58">
        <v>11</v>
      </c>
      <c r="D29" s="75" t="str">
        <f>INDEX($S$7:$S$18,C29)</f>
        <v>November</v>
      </c>
    </row>
    <row r="30" spans="2:19" ht="19.5" customHeight="1" x14ac:dyDescent="0.25">
      <c r="B30" s="54" t="s">
        <v>197</v>
      </c>
      <c r="C30" s="76">
        <v>14.6</v>
      </c>
      <c r="D30" s="56" t="s">
        <v>198</v>
      </c>
    </row>
    <row r="31" spans="2:19" ht="19.5" customHeight="1" x14ac:dyDescent="0.25">
      <c r="B31" s="54" t="s">
        <v>199</v>
      </c>
      <c r="C31" s="55">
        <v>633</v>
      </c>
      <c r="D31" s="56" t="s">
        <v>198</v>
      </c>
    </row>
  </sheetData>
  <mergeCells count="3">
    <mergeCell ref="C6:D6"/>
    <mergeCell ref="G20:K21"/>
    <mergeCell ref="P20:S22"/>
  </mergeCells>
  <dataValidations count="3">
    <dataValidation type="list" allowBlank="1" showErrorMessage="1" errorTitle="Ungültiger Wert" error="Bitte einen Wert aus der Liste wählen." sqref="C8" xr:uid="{00000000-0002-0000-0200-000000000000}">
      <formula1>$M$16:$M$17</formula1>
      <formula2>0</formula2>
    </dataValidation>
    <dataValidation type="whole" showErrorMessage="1" error="Monat 1 bis 12 eingeben." sqref="C28:C29" xr:uid="{00000000-0002-0000-0200-000001000000}">
      <formula1>1</formula1>
      <formula2>12</formula2>
    </dataValidation>
    <dataValidation type="whole" showErrorMessage="1" error="Bitte ein Jahr eingeben." sqref="C7" xr:uid="{00000000-0002-0000-0200-000002000000}">
      <formula1>2020</formula1>
      <formula2>2040</formula2>
    </dataValidation>
  </dataValidations>
  <pageMargins left="0.4" right="0.4" top="1" bottom="1" header="0.511811023622047" footer="0.511811023622047"/>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C2F39"/>
    <pageSetUpPr fitToPage="1"/>
  </sheetPr>
  <dimension ref="A1:AS68"/>
  <sheetViews>
    <sheetView showGridLines="0" zoomScale="90" zoomScaleNormal="90" workbookViewId="0">
      <pane xSplit="4" ySplit="7" topLeftCell="E8" activePane="bottomRight" state="frozen"/>
      <selection pane="topRight" activeCell="E1" sqref="E1"/>
      <selection pane="bottomLeft" activeCell="A8" sqref="A8"/>
      <selection pane="bottomRight"/>
    </sheetView>
  </sheetViews>
  <sheetFormatPr baseColWidth="10" defaultColWidth="8.7109375" defaultRowHeight="15" outlineLevelCol="1" x14ac:dyDescent="0.25"/>
  <cols>
    <col min="1" max="1" width="1.5703125" customWidth="1"/>
    <col min="2" max="2" width="5" customWidth="1"/>
    <col min="3" max="3" width="11" customWidth="1"/>
    <col min="4" max="4" width="30" customWidth="1"/>
    <col min="5" max="5" width="21" customWidth="1"/>
    <col min="6" max="6" width="27" customWidth="1"/>
    <col min="7" max="7" width="14" customWidth="1"/>
    <col min="8" max="8" width="12" customWidth="1"/>
    <col min="9" max="9" width="13" customWidth="1"/>
    <col min="10" max="10" width="11" customWidth="1"/>
    <col min="11" max="11" width="12" customWidth="1"/>
    <col min="12" max="12" width="9" customWidth="1"/>
    <col min="13" max="15" width="10" customWidth="1"/>
    <col min="16" max="16" width="15" customWidth="1"/>
    <col min="17" max="17" width="8" customWidth="1"/>
    <col min="18" max="18" width="7" customWidth="1"/>
    <col min="19" max="21" width="11" customWidth="1"/>
    <col min="22" max="22" width="12" customWidth="1"/>
    <col min="23" max="23" width="24" customWidth="1"/>
    <col min="24" max="24" width="2" customWidth="1"/>
    <col min="25" max="36" width="6.5703125" customWidth="1"/>
    <col min="37" max="37" width="8" customWidth="1"/>
    <col min="38" max="38" width="2" customWidth="1"/>
    <col min="39" max="45" width="11" hidden="1" customWidth="1" outlineLevel="1"/>
  </cols>
  <sheetData>
    <row r="1" spans="1:45" ht="7.5" customHeight="1" x14ac:dyDescent="0.25"/>
    <row r="2" spans="1:45" ht="37.5" customHeight="1" x14ac:dyDescent="0.45">
      <c r="A2" s="15"/>
      <c r="B2" s="16" t="s">
        <v>200</v>
      </c>
      <c r="W2" s="17" t="str">
        <f>"PERSONALPLANUNG "&amp;Parameter!$C$7</f>
        <v>PERSONALPLANUNG 2027</v>
      </c>
    </row>
    <row r="3" spans="1:45" ht="18" customHeight="1" x14ac:dyDescent="0.25">
      <c r="A3" s="15"/>
      <c r="B3" s="18" t="str">
        <f>Parameter!$C$6&amp;"  |  Planjahr "&amp;Parameter!$C$7</f>
        <v>Beispielfirma GmbH  |  Planjahr 2027</v>
      </c>
      <c r="C3" s="19"/>
      <c r="D3" s="19"/>
      <c r="E3" s="19"/>
      <c r="F3" s="19"/>
      <c r="G3" s="19"/>
      <c r="H3" s="19"/>
      <c r="I3" s="19"/>
      <c r="J3" s="19"/>
      <c r="K3" s="19"/>
      <c r="L3" s="19"/>
      <c r="M3" s="19"/>
      <c r="N3" s="19"/>
      <c r="O3" s="19"/>
      <c r="P3" s="19"/>
      <c r="Q3" s="19"/>
      <c r="R3" s="19"/>
      <c r="S3" s="19"/>
      <c r="T3" s="19"/>
      <c r="U3" s="19"/>
      <c r="V3" s="19"/>
      <c r="W3" s="19"/>
    </row>
    <row r="4" spans="1:45" ht="19.5" customHeight="1" x14ac:dyDescent="0.25">
      <c r="B4" s="77" t="s">
        <v>201</v>
      </c>
    </row>
    <row r="5" spans="1:45" ht="18" customHeight="1" x14ac:dyDescent="0.25">
      <c r="B5" s="146" t="s">
        <v>202</v>
      </c>
      <c r="C5" s="146"/>
      <c r="D5" s="146"/>
      <c r="E5" s="146"/>
      <c r="F5" s="146"/>
      <c r="G5" s="146" t="s">
        <v>203</v>
      </c>
      <c r="H5" s="146"/>
      <c r="I5" s="146"/>
      <c r="J5" s="146" t="s">
        <v>204</v>
      </c>
      <c r="K5" s="146"/>
      <c r="L5" s="146"/>
      <c r="M5" s="146"/>
      <c r="N5" s="146"/>
      <c r="O5" s="146"/>
      <c r="P5" s="147" t="s">
        <v>205</v>
      </c>
      <c r="Q5" s="147"/>
      <c r="R5" s="148" t="s">
        <v>206</v>
      </c>
      <c r="S5" s="148"/>
      <c r="T5" s="148"/>
      <c r="U5" s="148"/>
      <c r="V5" s="148"/>
      <c r="W5" s="148"/>
      <c r="Y5" s="148" t="str">
        <f>"FTE JE MONAT "&amp;Parameter!$C$7</f>
        <v>FTE JE MONAT 2027</v>
      </c>
      <c r="Z5" s="148"/>
      <c r="AA5" s="148"/>
      <c r="AB5" s="148"/>
      <c r="AC5" s="148"/>
      <c r="AD5" s="148"/>
      <c r="AE5" s="148"/>
      <c r="AF5" s="148"/>
      <c r="AG5" s="148"/>
      <c r="AH5" s="148"/>
      <c r="AI5" s="148"/>
      <c r="AJ5" s="148"/>
      <c r="AK5" s="148"/>
    </row>
    <row r="6" spans="1:45" x14ac:dyDescent="0.25">
      <c r="Y6" s="78">
        <f>DATE(Parameter!$C$7,1,1)</f>
        <v>46388</v>
      </c>
      <c r="Z6" s="78">
        <f>DATE(Parameter!$C$7,2,1)</f>
        <v>46419</v>
      </c>
      <c r="AA6" s="78">
        <f>DATE(Parameter!$C$7,3,1)</f>
        <v>46447</v>
      </c>
      <c r="AB6" s="78">
        <f>DATE(Parameter!$C$7,4,1)</f>
        <v>46478</v>
      </c>
      <c r="AC6" s="78">
        <f>DATE(Parameter!$C$7,5,1)</f>
        <v>46508</v>
      </c>
      <c r="AD6" s="78">
        <f>DATE(Parameter!$C$7,6,1)</f>
        <v>46539</v>
      </c>
      <c r="AE6" s="78">
        <f>DATE(Parameter!$C$7,7,1)</f>
        <v>46569</v>
      </c>
      <c r="AF6" s="78">
        <f>DATE(Parameter!$C$7,8,1)</f>
        <v>46600</v>
      </c>
      <c r="AG6" s="78">
        <f>DATE(Parameter!$C$7,9,1)</f>
        <v>46631</v>
      </c>
      <c r="AH6" s="78">
        <f>DATE(Parameter!$C$7,10,1)</f>
        <v>46661</v>
      </c>
      <c r="AI6" s="78">
        <f>DATE(Parameter!$C$7,11,1)</f>
        <v>46692</v>
      </c>
      <c r="AJ6" s="78">
        <f>DATE(Parameter!$C$7,12,1)</f>
        <v>46722</v>
      </c>
    </row>
    <row r="7" spans="1:45" ht="45.75" customHeight="1" x14ac:dyDescent="0.25">
      <c r="B7" s="28" t="s">
        <v>207</v>
      </c>
      <c r="C7" s="28" t="s">
        <v>208</v>
      </c>
      <c r="D7" s="28" t="s">
        <v>209</v>
      </c>
      <c r="E7" s="28" t="s">
        <v>73</v>
      </c>
      <c r="F7" s="28" t="s">
        <v>210</v>
      </c>
      <c r="G7" s="28" t="s">
        <v>105</v>
      </c>
      <c r="H7" s="28" t="s">
        <v>95</v>
      </c>
      <c r="I7" s="28" t="s">
        <v>183</v>
      </c>
      <c r="J7" s="28" t="s">
        <v>86</v>
      </c>
      <c r="K7" s="28" t="s">
        <v>211</v>
      </c>
      <c r="L7" s="28" t="s">
        <v>212</v>
      </c>
      <c r="M7" s="28" t="s">
        <v>213</v>
      </c>
      <c r="N7" s="28" t="s">
        <v>214</v>
      </c>
      <c r="O7" s="28" t="s">
        <v>215</v>
      </c>
      <c r="P7" s="28" t="s">
        <v>106</v>
      </c>
      <c r="Q7" s="28" t="s">
        <v>216</v>
      </c>
      <c r="R7" s="28" t="s">
        <v>89</v>
      </c>
      <c r="S7" s="28" t="s">
        <v>217</v>
      </c>
      <c r="T7" s="28" t="s">
        <v>218</v>
      </c>
      <c r="U7" s="28" t="s">
        <v>87</v>
      </c>
      <c r="V7" s="28" t="s">
        <v>219</v>
      </c>
      <c r="W7" s="28" t="s">
        <v>91</v>
      </c>
      <c r="Y7" s="79" t="s">
        <v>53</v>
      </c>
      <c r="Z7" s="79" t="s">
        <v>54</v>
      </c>
      <c r="AA7" s="79" t="s">
        <v>55</v>
      </c>
      <c r="AB7" s="79" t="s">
        <v>56</v>
      </c>
      <c r="AC7" s="79" t="s">
        <v>57</v>
      </c>
      <c r="AD7" s="79" t="s">
        <v>58</v>
      </c>
      <c r="AE7" s="79" t="s">
        <v>59</v>
      </c>
      <c r="AF7" s="79" t="s">
        <v>60</v>
      </c>
      <c r="AG7" s="79" t="s">
        <v>61</v>
      </c>
      <c r="AH7" s="79" t="s">
        <v>62</v>
      </c>
      <c r="AI7" s="79" t="s">
        <v>63</v>
      </c>
      <c r="AJ7" s="79" t="s">
        <v>64</v>
      </c>
      <c r="AK7" s="79" t="s">
        <v>220</v>
      </c>
      <c r="AM7" s="80" t="s">
        <v>221</v>
      </c>
      <c r="AN7" s="80" t="s">
        <v>222</v>
      </c>
      <c r="AO7" s="80" t="s">
        <v>223</v>
      </c>
      <c r="AP7" s="80" t="s">
        <v>224</v>
      </c>
      <c r="AQ7" s="80" t="s">
        <v>225</v>
      </c>
      <c r="AR7" s="80" t="s">
        <v>226</v>
      </c>
      <c r="AS7" s="80" t="s">
        <v>227</v>
      </c>
    </row>
    <row r="8" spans="1:45" ht="18" customHeight="1" x14ac:dyDescent="0.25">
      <c r="B8" s="81">
        <f t="shared" ref="B8:B39" si="0">IF(D8="","",ROW()-7)</f>
        <v>1</v>
      </c>
      <c r="C8" s="82" t="s">
        <v>228</v>
      </c>
      <c r="D8" s="83" t="s">
        <v>229</v>
      </c>
      <c r="E8" s="59" t="s">
        <v>111</v>
      </c>
      <c r="F8" s="59" t="s">
        <v>230</v>
      </c>
      <c r="G8" s="59" t="s">
        <v>112</v>
      </c>
      <c r="H8" s="59" t="s">
        <v>113</v>
      </c>
      <c r="I8" s="59" t="s">
        <v>188</v>
      </c>
      <c r="J8" s="84">
        <v>41730</v>
      </c>
      <c r="K8" s="84"/>
      <c r="L8" s="85">
        <v>40</v>
      </c>
      <c r="M8" s="38">
        <v>9800</v>
      </c>
      <c r="N8" s="86">
        <v>0</v>
      </c>
      <c r="O8" s="41">
        <v>0</v>
      </c>
      <c r="P8" s="59"/>
      <c r="Q8" s="82"/>
      <c r="R8" s="33">
        <f>IF(OR(D8="",L8=""),"",L8/Parameter!$C$13)</f>
        <v>1</v>
      </c>
      <c r="S8" s="87">
        <f t="shared" ref="S8:S39" si="1">IF(M8="","",M8*(1+AN8))</f>
        <v>9800</v>
      </c>
      <c r="T8" s="88">
        <f>IF(D8="","",AM8*MAX(0,MIN(IF(K8="",DATE(Parameter!$C$7,12,31),K8),DATE(Parameter!$C$7,12,31))-MAX(IF(J8="",DATE(Parameter!$C$7,1,1),J8),DATE(Parameter!$C$7,1,1))+1)/(DATE(Parameter!$C$7,12,31)-DATE(Parameter!$C$7,1,1)+1))</f>
        <v>1</v>
      </c>
      <c r="U8" s="89" t="str">
        <f>IF(OR(D8="",G8="Bestand",J8=""),"",EDATE(J8,-Parameter!$C$9))</f>
        <v/>
      </c>
      <c r="V8" s="37">
        <f>IF(D8="","",Personalkosten!$AD$33)</f>
        <v>140091.45000000001</v>
      </c>
      <c r="W8" s="90" t="str">
        <f ca="1">IF(D8="","",IF(AND(G8&lt;&gt;"Bestand",AM8=0),"nicht eingeplant",IF(AND(G8&lt;&gt;"Bestand",OR(P8="Offen",P8=""),U8&lt;&gt;"",U8&lt;=TODAY()),"Ausschreibung fällig",IF(AND(I8="Minijob",M8&gt;Parameter!$C$31),"Minijob-Grenze überschritten",IF(AND(N(M8)&gt;0,IFERROR(M8/(L8*13/3),999)&lt;Parameter!$C$30),"Unter Mindestlohn",IF(AND(K8&lt;&gt;"",K8&gt;=DATE(Parameter!$C$7,1,1),K8&lt;=DATE(Parameter!$C$7,12,31),H8="Befristet"),"Befristung endet",IF(AND(K8&lt;&gt;"",K8&gt;=DATE(Parameter!$C$7,1,1),K8&lt;=DATE(Parameter!$C$7,12,31)),"Austritt im Planjahr","")))))))</f>
        <v/>
      </c>
      <c r="Y8" s="91">
        <f t="shared" ref="Y8:AJ17" si="2">IF($R8="","",$AM8*$R8*MAX(0,MIN(IF($K8="",DATE(9999,12,31),$K8),EOMONTH(Y$6,0))-MAX(IF($J8="",Y$6,$J8),Y$6)+1)/DAY(EOMONTH(Y$6,0)))</f>
        <v>1</v>
      </c>
      <c r="Z8" s="91">
        <f t="shared" si="2"/>
        <v>1</v>
      </c>
      <c r="AA8" s="91">
        <f t="shared" si="2"/>
        <v>1</v>
      </c>
      <c r="AB8" s="91">
        <f t="shared" si="2"/>
        <v>1</v>
      </c>
      <c r="AC8" s="91">
        <f t="shared" si="2"/>
        <v>1</v>
      </c>
      <c r="AD8" s="91">
        <f t="shared" si="2"/>
        <v>1</v>
      </c>
      <c r="AE8" s="91">
        <f t="shared" si="2"/>
        <v>1</v>
      </c>
      <c r="AF8" s="91">
        <f t="shared" si="2"/>
        <v>1</v>
      </c>
      <c r="AG8" s="91">
        <f t="shared" si="2"/>
        <v>1</v>
      </c>
      <c r="AH8" s="91">
        <f t="shared" si="2"/>
        <v>1</v>
      </c>
      <c r="AI8" s="91">
        <f t="shared" si="2"/>
        <v>1</v>
      </c>
      <c r="AJ8" s="91">
        <f t="shared" si="2"/>
        <v>1</v>
      </c>
      <c r="AK8" s="92">
        <f t="shared" ref="AK8:AK39" si="3">IF(R8="","",AVERAGE(Y8:AJ8))</f>
        <v>1</v>
      </c>
      <c r="AM8" s="93">
        <f>IF(D8="",0,IF(G8="Bestand",1,IF(AND(Parameter!$C$8="Ja",Q8&lt;&gt;"Nein",P8&lt;&gt;"Gestrichen"),1,0)))</f>
        <v>1</v>
      </c>
      <c r="AN8" s="94">
        <f>IF(O8="",Parameter!$C$27,O8)</f>
        <v>0</v>
      </c>
      <c r="AO8" s="95">
        <f>IFERROR(INDEX(Parameter!$H$25:$H$28,MATCH(I8,Parameter!$G$25:$G$28,0)),0)</f>
        <v>0.1225</v>
      </c>
      <c r="AP8" s="95">
        <f>IFERROR(INDEX(Parameter!$I$25:$I$28,MATCH(I8,Parameter!$G$25:$G$28,0)),0)</f>
        <v>0.1055</v>
      </c>
      <c r="AQ8" s="95">
        <f>IFERROR(INDEX(Parameter!$J$25:$J$28,MATCH(I8,Parameter!$G$25:$G$28,0)),0)</f>
        <v>1.2E-2</v>
      </c>
      <c r="AR8" s="93" t="str">
        <f t="shared" ref="AR8:AR39" si="4">IF(AND(G8&lt;&gt;"Bestand",G8&lt;&gt;"",AM8=1,P8&lt;&gt;"Besetzt",U8&lt;&gt;""),U8+ROW()/100000,"")</f>
        <v/>
      </c>
      <c r="AS8" s="93" t="str">
        <f>IF(AND(K8&lt;&gt;"",AM8=1),IF(AND(K8&gt;=DATE(Parameter!$C$7,1,1),K8&lt;=DATE(Parameter!$C$7,12,31)),K8+ROW()/100000,""),"")</f>
        <v/>
      </c>
    </row>
    <row r="9" spans="1:45" ht="18" customHeight="1" x14ac:dyDescent="0.25">
      <c r="B9" s="81">
        <f t="shared" si="0"/>
        <v>2</v>
      </c>
      <c r="C9" s="82" t="s">
        <v>231</v>
      </c>
      <c r="D9" s="83" t="s">
        <v>232</v>
      </c>
      <c r="E9" s="59" t="s">
        <v>111</v>
      </c>
      <c r="F9" s="59" t="s">
        <v>233</v>
      </c>
      <c r="G9" s="59" t="s">
        <v>112</v>
      </c>
      <c r="H9" s="59" t="s">
        <v>113</v>
      </c>
      <c r="I9" s="59" t="s">
        <v>188</v>
      </c>
      <c r="J9" s="84">
        <v>43709</v>
      </c>
      <c r="K9" s="84"/>
      <c r="L9" s="85">
        <v>40</v>
      </c>
      <c r="M9" s="38">
        <v>4100</v>
      </c>
      <c r="N9" s="86">
        <v>1</v>
      </c>
      <c r="O9" s="41"/>
      <c r="P9" s="59"/>
      <c r="Q9" s="82"/>
      <c r="R9" s="33">
        <f>IF(OR(D9="",L9=""),"",L9/Parameter!$C$13)</f>
        <v>1</v>
      </c>
      <c r="S9" s="87">
        <f t="shared" si="1"/>
        <v>4223</v>
      </c>
      <c r="T9" s="88">
        <f>IF(D9="","",AM9*MAX(0,MIN(IF(K9="",DATE(Parameter!$C$7,12,31),K9),DATE(Parameter!$C$7,12,31))-MAX(IF(J9="",DATE(Parameter!$C$7,1,1),J9),DATE(Parameter!$C$7,1,1))+1)/(DATE(Parameter!$C$7,12,31)-DATE(Parameter!$C$7,1,1)+1))</f>
        <v>1</v>
      </c>
      <c r="U9" s="89" t="str">
        <f>IF(OR(D9="",G9="Bestand",J9=""),"",EDATE(J9,-Parameter!$C$9))</f>
        <v/>
      </c>
      <c r="V9" s="37">
        <f>IF(D9="","",Personalkosten!$AD$34)</f>
        <v>67259.165999999997</v>
      </c>
      <c r="W9" s="90" t="str">
        <f ca="1">IF(D9="","",IF(AND(G9&lt;&gt;"Bestand",AM9=0),"nicht eingeplant",IF(AND(G9&lt;&gt;"Bestand",OR(P9="Offen",P9=""),U9&lt;&gt;"",U9&lt;=TODAY()),"Ausschreibung fällig",IF(AND(I9="Minijob",M9&gt;Parameter!$C$31),"Minijob-Grenze überschritten",IF(AND(N(M9)&gt;0,IFERROR(M9/(L9*13/3),999)&lt;Parameter!$C$30),"Unter Mindestlohn",IF(AND(K9&lt;&gt;"",K9&gt;=DATE(Parameter!$C$7,1,1),K9&lt;=DATE(Parameter!$C$7,12,31),H9="Befristet"),"Befristung endet",IF(AND(K9&lt;&gt;"",K9&gt;=DATE(Parameter!$C$7,1,1),K9&lt;=DATE(Parameter!$C$7,12,31)),"Austritt im Planjahr","")))))))</f>
        <v/>
      </c>
      <c r="Y9" s="91">
        <f t="shared" si="2"/>
        <v>1</v>
      </c>
      <c r="Z9" s="91">
        <f t="shared" si="2"/>
        <v>1</v>
      </c>
      <c r="AA9" s="91">
        <f t="shared" si="2"/>
        <v>1</v>
      </c>
      <c r="AB9" s="91">
        <f t="shared" si="2"/>
        <v>1</v>
      </c>
      <c r="AC9" s="91">
        <f t="shared" si="2"/>
        <v>1</v>
      </c>
      <c r="AD9" s="91">
        <f t="shared" si="2"/>
        <v>1</v>
      </c>
      <c r="AE9" s="91">
        <f t="shared" si="2"/>
        <v>1</v>
      </c>
      <c r="AF9" s="91">
        <f t="shared" si="2"/>
        <v>1</v>
      </c>
      <c r="AG9" s="91">
        <f t="shared" si="2"/>
        <v>1</v>
      </c>
      <c r="AH9" s="91">
        <f t="shared" si="2"/>
        <v>1</v>
      </c>
      <c r="AI9" s="91">
        <f t="shared" si="2"/>
        <v>1</v>
      </c>
      <c r="AJ9" s="91">
        <f t="shared" si="2"/>
        <v>1</v>
      </c>
      <c r="AK9" s="92">
        <f t="shared" si="3"/>
        <v>1</v>
      </c>
      <c r="AM9" s="93">
        <f>IF(D9="",0,IF(G9="Bestand",1,IF(AND(Parameter!$C$8="Ja",Q9&lt;&gt;"Nein",P9&lt;&gt;"Gestrichen"),1,0)))</f>
        <v>1</v>
      </c>
      <c r="AN9" s="94">
        <f>IF(O9="",Parameter!$C$27,O9)</f>
        <v>0.03</v>
      </c>
      <c r="AO9" s="95">
        <f>IFERROR(INDEX(Parameter!$H$25:$H$28,MATCH(I9,Parameter!$G$25:$G$28,0)),0)</f>
        <v>0.1225</v>
      </c>
      <c r="AP9" s="95">
        <f>IFERROR(INDEX(Parameter!$I$25:$I$28,MATCH(I9,Parameter!$G$25:$G$28,0)),0)</f>
        <v>0.1055</v>
      </c>
      <c r="AQ9" s="95">
        <f>IFERROR(INDEX(Parameter!$J$25:$J$28,MATCH(I9,Parameter!$G$25:$G$28,0)),0)</f>
        <v>1.2E-2</v>
      </c>
      <c r="AR9" s="93" t="str">
        <f t="shared" si="4"/>
        <v/>
      </c>
      <c r="AS9" s="93" t="str">
        <f>IF(AND(K9&lt;&gt;"",AM9=1),IF(AND(K9&gt;=DATE(Parameter!$C$7,1,1),K9&lt;=DATE(Parameter!$C$7,12,31)),K9+ROW()/100000,""),"")</f>
        <v/>
      </c>
    </row>
    <row r="10" spans="1:45" ht="18" customHeight="1" x14ac:dyDescent="0.25">
      <c r="B10" s="81">
        <f t="shared" si="0"/>
        <v>3</v>
      </c>
      <c r="C10" s="82" t="s">
        <v>234</v>
      </c>
      <c r="D10" s="83" t="s">
        <v>235</v>
      </c>
      <c r="E10" s="59" t="s">
        <v>121</v>
      </c>
      <c r="F10" s="59" t="s">
        <v>236</v>
      </c>
      <c r="G10" s="59" t="s">
        <v>112</v>
      </c>
      <c r="H10" s="59" t="s">
        <v>113</v>
      </c>
      <c r="I10" s="59" t="s">
        <v>188</v>
      </c>
      <c r="J10" s="84">
        <v>42370</v>
      </c>
      <c r="K10" s="84"/>
      <c r="L10" s="85">
        <v>40</v>
      </c>
      <c r="M10" s="38">
        <v>7200</v>
      </c>
      <c r="N10" s="86">
        <v>0.5</v>
      </c>
      <c r="O10" s="41"/>
      <c r="P10" s="59"/>
      <c r="Q10" s="82"/>
      <c r="R10" s="33">
        <f>IF(OR(D10="",L10=""),"",L10/Parameter!$C$13)</f>
        <v>1</v>
      </c>
      <c r="S10" s="87">
        <f t="shared" si="1"/>
        <v>7416</v>
      </c>
      <c r="T10" s="88">
        <f>IF(D10="","",AM10*MAX(0,MIN(IF(K10="",DATE(Parameter!$C$7,12,31),K10),DATE(Parameter!$C$7,12,31))-MAX(IF(J10="",DATE(Parameter!$C$7,1,1),J10),DATE(Parameter!$C$7,1,1))+1)/(DATE(Parameter!$C$7,12,31)-DATE(Parameter!$C$7,1,1)+1))</f>
        <v>1</v>
      </c>
      <c r="U10" s="89" t="str">
        <f>IF(OR(D10="",G10="Bestand",J10=""),"",EDATE(J10,-Parameter!$C$9))</f>
        <v/>
      </c>
      <c r="V10" s="37">
        <f>IF(D10="","",Personalkosten!$AD$35)</f>
        <v>112115.883</v>
      </c>
      <c r="W10" s="90" t="str">
        <f ca="1">IF(D10="","",IF(AND(G10&lt;&gt;"Bestand",AM10=0),"nicht eingeplant",IF(AND(G10&lt;&gt;"Bestand",OR(P10="Offen",P10=""),U10&lt;&gt;"",U10&lt;=TODAY()),"Ausschreibung fällig",IF(AND(I10="Minijob",M10&gt;Parameter!$C$31),"Minijob-Grenze überschritten",IF(AND(N(M10)&gt;0,IFERROR(M10/(L10*13/3),999)&lt;Parameter!$C$30),"Unter Mindestlohn",IF(AND(K10&lt;&gt;"",K10&gt;=DATE(Parameter!$C$7,1,1),K10&lt;=DATE(Parameter!$C$7,12,31),H10="Befristet"),"Befristung endet",IF(AND(K10&lt;&gt;"",K10&gt;=DATE(Parameter!$C$7,1,1),K10&lt;=DATE(Parameter!$C$7,12,31)),"Austritt im Planjahr","")))))))</f>
        <v/>
      </c>
      <c r="Y10" s="91">
        <f t="shared" si="2"/>
        <v>1</v>
      </c>
      <c r="Z10" s="91">
        <f t="shared" si="2"/>
        <v>1</v>
      </c>
      <c r="AA10" s="91">
        <f t="shared" si="2"/>
        <v>1</v>
      </c>
      <c r="AB10" s="91">
        <f t="shared" si="2"/>
        <v>1</v>
      </c>
      <c r="AC10" s="91">
        <f t="shared" si="2"/>
        <v>1</v>
      </c>
      <c r="AD10" s="91">
        <f t="shared" si="2"/>
        <v>1</v>
      </c>
      <c r="AE10" s="91">
        <f t="shared" si="2"/>
        <v>1</v>
      </c>
      <c r="AF10" s="91">
        <f t="shared" si="2"/>
        <v>1</v>
      </c>
      <c r="AG10" s="91">
        <f t="shared" si="2"/>
        <v>1</v>
      </c>
      <c r="AH10" s="91">
        <f t="shared" si="2"/>
        <v>1</v>
      </c>
      <c r="AI10" s="91">
        <f t="shared" si="2"/>
        <v>1</v>
      </c>
      <c r="AJ10" s="91">
        <f t="shared" si="2"/>
        <v>1</v>
      </c>
      <c r="AK10" s="92">
        <f t="shared" si="3"/>
        <v>1</v>
      </c>
      <c r="AM10" s="93">
        <f>IF(D10="",0,IF(G10="Bestand",1,IF(AND(Parameter!$C$8="Ja",Q10&lt;&gt;"Nein",P10&lt;&gt;"Gestrichen"),1,0)))</f>
        <v>1</v>
      </c>
      <c r="AN10" s="94">
        <f>IF(O10="",Parameter!$C$27,O10)</f>
        <v>0.03</v>
      </c>
      <c r="AO10" s="95">
        <f>IFERROR(INDEX(Parameter!$H$25:$H$28,MATCH(I10,Parameter!$G$25:$G$28,0)),0)</f>
        <v>0.1225</v>
      </c>
      <c r="AP10" s="95">
        <f>IFERROR(INDEX(Parameter!$I$25:$I$28,MATCH(I10,Parameter!$G$25:$G$28,0)),0)</f>
        <v>0.1055</v>
      </c>
      <c r="AQ10" s="95">
        <f>IFERROR(INDEX(Parameter!$J$25:$J$28,MATCH(I10,Parameter!$G$25:$G$28,0)),0)</f>
        <v>1.2E-2</v>
      </c>
      <c r="AR10" s="93" t="str">
        <f t="shared" si="4"/>
        <v/>
      </c>
      <c r="AS10" s="93" t="str">
        <f>IF(AND(K10&lt;&gt;"",AM10=1),IF(AND(K10&gt;=DATE(Parameter!$C$7,1,1),K10&lt;=DATE(Parameter!$C$7,12,31)),K10+ROW()/100000,""),"")</f>
        <v/>
      </c>
    </row>
    <row r="11" spans="1:45" ht="18" customHeight="1" x14ac:dyDescent="0.25">
      <c r="B11" s="81">
        <f t="shared" si="0"/>
        <v>4</v>
      </c>
      <c r="C11" s="82" t="s">
        <v>237</v>
      </c>
      <c r="D11" s="83" t="s">
        <v>238</v>
      </c>
      <c r="E11" s="59" t="s">
        <v>121</v>
      </c>
      <c r="F11" s="59" t="s">
        <v>239</v>
      </c>
      <c r="G11" s="59" t="s">
        <v>112</v>
      </c>
      <c r="H11" s="59" t="s">
        <v>113</v>
      </c>
      <c r="I11" s="59" t="s">
        <v>188</v>
      </c>
      <c r="J11" s="84">
        <v>43891</v>
      </c>
      <c r="K11" s="84"/>
      <c r="L11" s="85">
        <v>40</v>
      </c>
      <c r="M11" s="38">
        <v>5600</v>
      </c>
      <c r="N11" s="86">
        <v>1</v>
      </c>
      <c r="O11" s="41">
        <v>0.05</v>
      </c>
      <c r="P11" s="59"/>
      <c r="Q11" s="82"/>
      <c r="R11" s="33">
        <f>IF(OR(D11="",L11=""),"",L11/Parameter!$C$13)</f>
        <v>1</v>
      </c>
      <c r="S11" s="87">
        <f t="shared" si="1"/>
        <v>5880</v>
      </c>
      <c r="T11" s="88">
        <f>IF(D11="","",AM11*MAX(0,MIN(IF(K11="",DATE(Parameter!$C$7,12,31),K11),DATE(Parameter!$C$7,12,31))-MAX(IF(J11="",DATE(Parameter!$C$7,1,1),J11),DATE(Parameter!$C$7,1,1))+1)/(DATE(Parameter!$C$7,12,31)-DATE(Parameter!$C$7,1,1)+1))</f>
        <v>1</v>
      </c>
      <c r="U11" s="89" t="str">
        <f>IF(OR(D11="",G11="Bestand",J11=""),"",EDATE(J11,-Parameter!$C$9))</f>
        <v/>
      </c>
      <c r="V11" s="37">
        <f>IF(D11="","",Personalkosten!$AD$36)</f>
        <v>92536.047500000001</v>
      </c>
      <c r="W11" s="90" t="str">
        <f ca="1">IF(D11="","",IF(AND(G11&lt;&gt;"Bestand",AM11=0),"nicht eingeplant",IF(AND(G11&lt;&gt;"Bestand",OR(P11="Offen",P11=""),U11&lt;&gt;"",U11&lt;=TODAY()),"Ausschreibung fällig",IF(AND(I11="Minijob",M11&gt;Parameter!$C$31),"Minijob-Grenze überschritten",IF(AND(N(M11)&gt;0,IFERROR(M11/(L11*13/3),999)&lt;Parameter!$C$30),"Unter Mindestlohn",IF(AND(K11&lt;&gt;"",K11&gt;=DATE(Parameter!$C$7,1,1),K11&lt;=DATE(Parameter!$C$7,12,31),H11="Befristet"),"Befristung endet",IF(AND(K11&lt;&gt;"",K11&gt;=DATE(Parameter!$C$7,1,1),K11&lt;=DATE(Parameter!$C$7,12,31)),"Austritt im Planjahr","")))))))</f>
        <v/>
      </c>
      <c r="Y11" s="91">
        <f t="shared" si="2"/>
        <v>1</v>
      </c>
      <c r="Z11" s="91">
        <f t="shared" si="2"/>
        <v>1</v>
      </c>
      <c r="AA11" s="91">
        <f t="shared" si="2"/>
        <v>1</v>
      </c>
      <c r="AB11" s="91">
        <f t="shared" si="2"/>
        <v>1</v>
      </c>
      <c r="AC11" s="91">
        <f t="shared" si="2"/>
        <v>1</v>
      </c>
      <c r="AD11" s="91">
        <f t="shared" si="2"/>
        <v>1</v>
      </c>
      <c r="AE11" s="91">
        <f t="shared" si="2"/>
        <v>1</v>
      </c>
      <c r="AF11" s="91">
        <f t="shared" si="2"/>
        <v>1</v>
      </c>
      <c r="AG11" s="91">
        <f t="shared" si="2"/>
        <v>1</v>
      </c>
      <c r="AH11" s="91">
        <f t="shared" si="2"/>
        <v>1</v>
      </c>
      <c r="AI11" s="91">
        <f t="shared" si="2"/>
        <v>1</v>
      </c>
      <c r="AJ11" s="91">
        <f t="shared" si="2"/>
        <v>1</v>
      </c>
      <c r="AK11" s="92">
        <f t="shared" si="3"/>
        <v>1</v>
      </c>
      <c r="AM11" s="93">
        <f>IF(D11="",0,IF(G11="Bestand",1,IF(AND(Parameter!$C$8="Ja",Q11&lt;&gt;"Nein",P11&lt;&gt;"Gestrichen"),1,0)))</f>
        <v>1</v>
      </c>
      <c r="AN11" s="94">
        <f>IF(O11="",Parameter!$C$27,O11)</f>
        <v>0.05</v>
      </c>
      <c r="AO11" s="95">
        <f>IFERROR(INDEX(Parameter!$H$25:$H$28,MATCH(I11,Parameter!$G$25:$G$28,0)),0)</f>
        <v>0.1225</v>
      </c>
      <c r="AP11" s="95">
        <f>IFERROR(INDEX(Parameter!$I$25:$I$28,MATCH(I11,Parameter!$G$25:$G$28,0)),0)</f>
        <v>0.1055</v>
      </c>
      <c r="AQ11" s="95">
        <f>IFERROR(INDEX(Parameter!$J$25:$J$28,MATCH(I11,Parameter!$G$25:$G$28,0)),0)</f>
        <v>1.2E-2</v>
      </c>
      <c r="AR11" s="93" t="str">
        <f t="shared" si="4"/>
        <v/>
      </c>
      <c r="AS11" s="93" t="str">
        <f>IF(AND(K11&lt;&gt;"",AM11=1),IF(AND(K11&gt;=DATE(Parameter!$C$7,1,1),K11&lt;=DATE(Parameter!$C$7,12,31)),K11+ROW()/100000,""),"")</f>
        <v/>
      </c>
    </row>
    <row r="12" spans="1:45" ht="18" customHeight="1" x14ac:dyDescent="0.25">
      <c r="B12" s="81">
        <f t="shared" si="0"/>
        <v>5</v>
      </c>
      <c r="C12" s="82" t="s">
        <v>240</v>
      </c>
      <c r="D12" s="83" t="s">
        <v>241</v>
      </c>
      <c r="E12" s="59" t="s">
        <v>121</v>
      </c>
      <c r="F12" s="59" t="s">
        <v>242</v>
      </c>
      <c r="G12" s="59" t="s">
        <v>112</v>
      </c>
      <c r="H12" s="59" t="s">
        <v>113</v>
      </c>
      <c r="I12" s="59" t="s">
        <v>188</v>
      </c>
      <c r="J12" s="84">
        <v>43282</v>
      </c>
      <c r="K12" s="84">
        <v>46568</v>
      </c>
      <c r="L12" s="85">
        <v>40</v>
      </c>
      <c r="M12" s="38">
        <v>4900</v>
      </c>
      <c r="N12" s="86">
        <v>1</v>
      </c>
      <c r="O12" s="41"/>
      <c r="P12" s="59"/>
      <c r="Q12" s="82"/>
      <c r="R12" s="33">
        <f>IF(OR(D12="",L12=""),"",L12/Parameter!$C$13)</f>
        <v>1</v>
      </c>
      <c r="S12" s="87">
        <f t="shared" si="1"/>
        <v>5047</v>
      </c>
      <c r="T12" s="88">
        <f>IF(D12="","",AM12*MAX(0,MIN(IF(K12="",DATE(Parameter!$C$7,12,31),K12),DATE(Parameter!$C$7,12,31))-MAX(IF(J12="",DATE(Parameter!$C$7,1,1),J12),DATE(Parameter!$C$7,1,1))+1)/(DATE(Parameter!$C$7,12,31)-DATE(Parameter!$C$7,1,1)+1))</f>
        <v>0.49589041095890413</v>
      </c>
      <c r="U12" s="89" t="str">
        <f>IF(OR(D12="",G12="Bestand",J12=""),"",EDATE(J12,-Parameter!$C$9))</f>
        <v/>
      </c>
      <c r="V12" s="37">
        <f>IF(D12="","",Personalkosten!$AD$37)</f>
        <v>40015.870136986305</v>
      </c>
      <c r="W12" s="90" t="str">
        <f ca="1">IF(D12="","",IF(AND(G12&lt;&gt;"Bestand",AM12=0),"nicht eingeplant",IF(AND(G12&lt;&gt;"Bestand",OR(P12="Offen",P12=""),U12&lt;&gt;"",U12&lt;=TODAY()),"Ausschreibung fällig",IF(AND(I12="Minijob",M12&gt;Parameter!$C$31),"Minijob-Grenze überschritten",IF(AND(N(M12)&gt;0,IFERROR(M12/(L12*13/3),999)&lt;Parameter!$C$30),"Unter Mindestlohn",IF(AND(K12&lt;&gt;"",K12&gt;=DATE(Parameter!$C$7,1,1),K12&lt;=DATE(Parameter!$C$7,12,31),H12="Befristet"),"Befristung endet",IF(AND(K12&lt;&gt;"",K12&gt;=DATE(Parameter!$C$7,1,1),K12&lt;=DATE(Parameter!$C$7,12,31)),"Austritt im Planjahr","")))))))</f>
        <v>Austritt im Planjahr</v>
      </c>
      <c r="Y12" s="91">
        <f t="shared" si="2"/>
        <v>1</v>
      </c>
      <c r="Z12" s="91">
        <f t="shared" si="2"/>
        <v>1</v>
      </c>
      <c r="AA12" s="91">
        <f t="shared" si="2"/>
        <v>1</v>
      </c>
      <c r="AB12" s="91">
        <f t="shared" si="2"/>
        <v>1</v>
      </c>
      <c r="AC12" s="91">
        <f t="shared" si="2"/>
        <v>1</v>
      </c>
      <c r="AD12" s="91">
        <f t="shared" si="2"/>
        <v>1</v>
      </c>
      <c r="AE12" s="91">
        <f t="shared" si="2"/>
        <v>0</v>
      </c>
      <c r="AF12" s="91">
        <f t="shared" si="2"/>
        <v>0</v>
      </c>
      <c r="AG12" s="91">
        <f t="shared" si="2"/>
        <v>0</v>
      </c>
      <c r="AH12" s="91">
        <f t="shared" si="2"/>
        <v>0</v>
      </c>
      <c r="AI12" s="91">
        <f t="shared" si="2"/>
        <v>0</v>
      </c>
      <c r="AJ12" s="91">
        <f t="shared" si="2"/>
        <v>0</v>
      </c>
      <c r="AK12" s="92">
        <f t="shared" si="3"/>
        <v>0.5</v>
      </c>
      <c r="AM12" s="93">
        <f>IF(D12="",0,IF(G12="Bestand",1,IF(AND(Parameter!$C$8="Ja",Q12&lt;&gt;"Nein",P12&lt;&gt;"Gestrichen"),1,0)))</f>
        <v>1</v>
      </c>
      <c r="AN12" s="94">
        <f>IF(O12="",Parameter!$C$27,O12)</f>
        <v>0.03</v>
      </c>
      <c r="AO12" s="95">
        <f>IFERROR(INDEX(Parameter!$H$25:$H$28,MATCH(I12,Parameter!$G$25:$G$28,0)),0)</f>
        <v>0.1225</v>
      </c>
      <c r="AP12" s="95">
        <f>IFERROR(INDEX(Parameter!$I$25:$I$28,MATCH(I12,Parameter!$G$25:$G$28,0)),0)</f>
        <v>0.1055</v>
      </c>
      <c r="AQ12" s="95">
        <f>IFERROR(INDEX(Parameter!$J$25:$J$28,MATCH(I12,Parameter!$G$25:$G$28,0)),0)</f>
        <v>1.2E-2</v>
      </c>
      <c r="AR12" s="93" t="str">
        <f t="shared" si="4"/>
        <v/>
      </c>
      <c r="AS12" s="96">
        <f>IF(AND(K12&lt;&gt;"",AM12=1),IF(AND(K12&gt;=DATE(Parameter!$C$7,1,1),K12&lt;=DATE(Parameter!$C$7,12,31)),K12+ROW()/100000,""),"")</f>
        <v>46568.000119999997</v>
      </c>
    </row>
    <row r="13" spans="1:45" ht="18" customHeight="1" x14ac:dyDescent="0.25">
      <c r="B13" s="81">
        <f t="shared" si="0"/>
        <v>6</v>
      </c>
      <c r="C13" s="82" t="s">
        <v>243</v>
      </c>
      <c r="D13" s="83" t="s">
        <v>244</v>
      </c>
      <c r="E13" s="59" t="s">
        <v>121</v>
      </c>
      <c r="F13" s="59" t="s">
        <v>242</v>
      </c>
      <c r="G13" s="59" t="s">
        <v>112</v>
      </c>
      <c r="H13" s="59" t="s">
        <v>113</v>
      </c>
      <c r="I13" s="59" t="s">
        <v>188</v>
      </c>
      <c r="J13" s="84">
        <v>44317</v>
      </c>
      <c r="K13" s="84"/>
      <c r="L13" s="85">
        <v>40</v>
      </c>
      <c r="M13" s="38">
        <v>4900</v>
      </c>
      <c r="N13" s="86">
        <v>1</v>
      </c>
      <c r="O13" s="41"/>
      <c r="P13" s="59"/>
      <c r="Q13" s="82"/>
      <c r="R13" s="33">
        <f>IF(OR(D13="",L13=""),"",L13/Parameter!$C$13)</f>
        <v>1</v>
      </c>
      <c r="S13" s="87">
        <f t="shared" si="1"/>
        <v>5047</v>
      </c>
      <c r="T13" s="88">
        <f>IF(D13="","",AM13*MAX(0,MIN(IF(K13="",DATE(Parameter!$C$7,12,31),K13),DATE(Parameter!$C$7,12,31))-MAX(IF(J13="",DATE(Parameter!$C$7,1,1),J13),DATE(Parameter!$C$7,1,1))+1)/(DATE(Parameter!$C$7,12,31)-DATE(Parameter!$C$7,1,1)+1))</f>
        <v>1</v>
      </c>
      <c r="U13" s="89" t="str">
        <f>IF(OR(D13="",G13="Bestand",J13=""),"",EDATE(J13,-Parameter!$C$9))</f>
        <v/>
      </c>
      <c r="V13" s="37">
        <f>IF(D13="","",Personalkosten!$AD$38)</f>
        <v>80117.291500000007</v>
      </c>
      <c r="W13" s="90" t="str">
        <f ca="1">IF(D13="","",IF(AND(G13&lt;&gt;"Bestand",AM13=0),"nicht eingeplant",IF(AND(G13&lt;&gt;"Bestand",OR(P13="Offen",P13=""),U13&lt;&gt;"",U13&lt;=TODAY()),"Ausschreibung fällig",IF(AND(I13="Minijob",M13&gt;Parameter!$C$31),"Minijob-Grenze überschritten",IF(AND(N(M13)&gt;0,IFERROR(M13/(L13*13/3),999)&lt;Parameter!$C$30),"Unter Mindestlohn",IF(AND(K13&lt;&gt;"",K13&gt;=DATE(Parameter!$C$7,1,1),K13&lt;=DATE(Parameter!$C$7,12,31),H13="Befristet"),"Befristung endet",IF(AND(K13&lt;&gt;"",K13&gt;=DATE(Parameter!$C$7,1,1),K13&lt;=DATE(Parameter!$C$7,12,31)),"Austritt im Planjahr","")))))))</f>
        <v/>
      </c>
      <c r="Y13" s="91">
        <f t="shared" si="2"/>
        <v>1</v>
      </c>
      <c r="Z13" s="91">
        <f t="shared" si="2"/>
        <v>1</v>
      </c>
      <c r="AA13" s="91">
        <f t="shared" si="2"/>
        <v>1</v>
      </c>
      <c r="AB13" s="91">
        <f t="shared" si="2"/>
        <v>1</v>
      </c>
      <c r="AC13" s="91">
        <f t="shared" si="2"/>
        <v>1</v>
      </c>
      <c r="AD13" s="91">
        <f t="shared" si="2"/>
        <v>1</v>
      </c>
      <c r="AE13" s="91">
        <f t="shared" si="2"/>
        <v>1</v>
      </c>
      <c r="AF13" s="91">
        <f t="shared" si="2"/>
        <v>1</v>
      </c>
      <c r="AG13" s="91">
        <f t="shared" si="2"/>
        <v>1</v>
      </c>
      <c r="AH13" s="91">
        <f t="shared" si="2"/>
        <v>1</v>
      </c>
      <c r="AI13" s="91">
        <f t="shared" si="2"/>
        <v>1</v>
      </c>
      <c r="AJ13" s="91">
        <f t="shared" si="2"/>
        <v>1</v>
      </c>
      <c r="AK13" s="92">
        <f t="shared" si="3"/>
        <v>1</v>
      </c>
      <c r="AM13" s="93">
        <f>IF(D13="",0,IF(G13="Bestand",1,IF(AND(Parameter!$C$8="Ja",Q13&lt;&gt;"Nein",P13&lt;&gt;"Gestrichen"),1,0)))</f>
        <v>1</v>
      </c>
      <c r="AN13" s="94">
        <f>IF(O13="",Parameter!$C$27,O13)</f>
        <v>0.03</v>
      </c>
      <c r="AO13" s="95">
        <f>IFERROR(INDEX(Parameter!$H$25:$H$28,MATCH(I13,Parameter!$G$25:$G$28,0)),0)</f>
        <v>0.1225</v>
      </c>
      <c r="AP13" s="95">
        <f>IFERROR(INDEX(Parameter!$I$25:$I$28,MATCH(I13,Parameter!$G$25:$G$28,0)),0)</f>
        <v>0.1055</v>
      </c>
      <c r="AQ13" s="95">
        <f>IFERROR(INDEX(Parameter!$J$25:$J$28,MATCH(I13,Parameter!$G$25:$G$28,0)),0)</f>
        <v>1.2E-2</v>
      </c>
      <c r="AR13" s="93" t="str">
        <f t="shared" si="4"/>
        <v/>
      </c>
      <c r="AS13" s="93" t="str">
        <f>IF(AND(K13&lt;&gt;"",AM13=1),IF(AND(K13&gt;=DATE(Parameter!$C$7,1,1),K13&lt;=DATE(Parameter!$C$7,12,31)),K13+ROW()/100000,""),"")</f>
        <v/>
      </c>
    </row>
    <row r="14" spans="1:45" ht="18" customHeight="1" x14ac:dyDescent="0.25">
      <c r="B14" s="81">
        <f t="shared" si="0"/>
        <v>7</v>
      </c>
      <c r="C14" s="82" t="s">
        <v>245</v>
      </c>
      <c r="D14" s="83" t="s">
        <v>246</v>
      </c>
      <c r="E14" s="59" t="s">
        <v>121</v>
      </c>
      <c r="F14" s="59" t="s">
        <v>247</v>
      </c>
      <c r="G14" s="59" t="s">
        <v>112</v>
      </c>
      <c r="H14" s="59" t="s">
        <v>113</v>
      </c>
      <c r="I14" s="59" t="s">
        <v>188</v>
      </c>
      <c r="J14" s="84">
        <v>43009</v>
      </c>
      <c r="K14" s="84"/>
      <c r="L14" s="85">
        <v>40</v>
      </c>
      <c r="M14" s="38">
        <v>3900</v>
      </c>
      <c r="N14" s="86">
        <v>1</v>
      </c>
      <c r="O14" s="41"/>
      <c r="P14" s="59"/>
      <c r="Q14" s="82"/>
      <c r="R14" s="33">
        <f>IF(OR(D14="",L14=""),"",L14/Parameter!$C$13)</f>
        <v>1</v>
      </c>
      <c r="S14" s="87">
        <f t="shared" si="1"/>
        <v>4017</v>
      </c>
      <c r="T14" s="88">
        <f>IF(D14="","",AM14*MAX(0,MIN(IF(K14="",DATE(Parameter!$C$7,12,31),K14),DATE(Parameter!$C$7,12,31))-MAX(IF(J14="",DATE(Parameter!$C$7,1,1),J14),DATE(Parameter!$C$7,1,1))+1)/(DATE(Parameter!$C$7,12,31)-DATE(Parameter!$C$7,1,1)+1))</f>
        <v>1</v>
      </c>
      <c r="U14" s="89" t="str">
        <f>IF(OR(D14="",G14="Bestand",J14=""),"",EDATE(J14,-Parameter!$C$9))</f>
        <v/>
      </c>
      <c r="V14" s="37">
        <f>IF(D14="","",Personalkosten!$AD$39)</f>
        <v>64011.038999999997</v>
      </c>
      <c r="W14" s="90" t="str">
        <f ca="1">IF(D14="","",IF(AND(G14&lt;&gt;"Bestand",AM14=0),"nicht eingeplant",IF(AND(G14&lt;&gt;"Bestand",OR(P14="Offen",P14=""),U14&lt;&gt;"",U14&lt;=TODAY()),"Ausschreibung fällig",IF(AND(I14="Minijob",M14&gt;Parameter!$C$31),"Minijob-Grenze überschritten",IF(AND(N(M14)&gt;0,IFERROR(M14/(L14*13/3),999)&lt;Parameter!$C$30),"Unter Mindestlohn",IF(AND(K14&lt;&gt;"",K14&gt;=DATE(Parameter!$C$7,1,1),K14&lt;=DATE(Parameter!$C$7,12,31),H14="Befristet"),"Befristung endet",IF(AND(K14&lt;&gt;"",K14&gt;=DATE(Parameter!$C$7,1,1),K14&lt;=DATE(Parameter!$C$7,12,31)),"Austritt im Planjahr","")))))))</f>
        <v/>
      </c>
      <c r="Y14" s="91">
        <f t="shared" si="2"/>
        <v>1</v>
      </c>
      <c r="Z14" s="91">
        <f t="shared" si="2"/>
        <v>1</v>
      </c>
      <c r="AA14" s="91">
        <f t="shared" si="2"/>
        <v>1</v>
      </c>
      <c r="AB14" s="91">
        <f t="shared" si="2"/>
        <v>1</v>
      </c>
      <c r="AC14" s="91">
        <f t="shared" si="2"/>
        <v>1</v>
      </c>
      <c r="AD14" s="91">
        <f t="shared" si="2"/>
        <v>1</v>
      </c>
      <c r="AE14" s="91">
        <f t="shared" si="2"/>
        <v>1</v>
      </c>
      <c r="AF14" s="91">
        <f t="shared" si="2"/>
        <v>1</v>
      </c>
      <c r="AG14" s="91">
        <f t="shared" si="2"/>
        <v>1</v>
      </c>
      <c r="AH14" s="91">
        <f t="shared" si="2"/>
        <v>1</v>
      </c>
      <c r="AI14" s="91">
        <f t="shared" si="2"/>
        <v>1</v>
      </c>
      <c r="AJ14" s="91">
        <f t="shared" si="2"/>
        <v>1</v>
      </c>
      <c r="AK14" s="92">
        <f t="shared" si="3"/>
        <v>1</v>
      </c>
      <c r="AM14" s="93">
        <f>IF(D14="",0,IF(G14="Bestand",1,IF(AND(Parameter!$C$8="Ja",Q14&lt;&gt;"Nein",P14&lt;&gt;"Gestrichen"),1,0)))</f>
        <v>1</v>
      </c>
      <c r="AN14" s="94">
        <f>IF(O14="",Parameter!$C$27,O14)</f>
        <v>0.03</v>
      </c>
      <c r="AO14" s="95">
        <f>IFERROR(INDEX(Parameter!$H$25:$H$28,MATCH(I14,Parameter!$G$25:$G$28,0)),0)</f>
        <v>0.1225</v>
      </c>
      <c r="AP14" s="95">
        <f>IFERROR(INDEX(Parameter!$I$25:$I$28,MATCH(I14,Parameter!$G$25:$G$28,0)),0)</f>
        <v>0.1055</v>
      </c>
      <c r="AQ14" s="95">
        <f>IFERROR(INDEX(Parameter!$J$25:$J$28,MATCH(I14,Parameter!$G$25:$G$28,0)),0)</f>
        <v>1.2E-2</v>
      </c>
      <c r="AR14" s="93" t="str">
        <f t="shared" si="4"/>
        <v/>
      </c>
      <c r="AS14" s="93" t="str">
        <f>IF(AND(K14&lt;&gt;"",AM14=1),IF(AND(K14&gt;=DATE(Parameter!$C$7,1,1),K14&lt;=DATE(Parameter!$C$7,12,31)),K14+ROW()/100000,""),"")</f>
        <v/>
      </c>
    </row>
    <row r="15" spans="1:45" ht="18" customHeight="1" x14ac:dyDescent="0.25">
      <c r="B15" s="81">
        <f t="shared" si="0"/>
        <v>8</v>
      </c>
      <c r="C15" s="82" t="s">
        <v>248</v>
      </c>
      <c r="D15" s="83" t="s">
        <v>249</v>
      </c>
      <c r="E15" s="59" t="s">
        <v>121</v>
      </c>
      <c r="F15" s="59" t="s">
        <v>247</v>
      </c>
      <c r="G15" s="59" t="s">
        <v>112</v>
      </c>
      <c r="H15" s="59" t="s">
        <v>113</v>
      </c>
      <c r="I15" s="59" t="s">
        <v>188</v>
      </c>
      <c r="J15" s="84">
        <v>44593</v>
      </c>
      <c r="K15" s="84"/>
      <c r="L15" s="85">
        <v>30</v>
      </c>
      <c r="M15" s="38">
        <v>2950</v>
      </c>
      <c r="N15" s="86">
        <v>1</v>
      </c>
      <c r="O15" s="41"/>
      <c r="P15" s="59"/>
      <c r="Q15" s="82"/>
      <c r="R15" s="33">
        <f>IF(OR(D15="",L15=""),"",L15/Parameter!$C$13)</f>
        <v>0.75</v>
      </c>
      <c r="S15" s="87">
        <f t="shared" si="1"/>
        <v>3038.5</v>
      </c>
      <c r="T15" s="88">
        <f>IF(D15="","",AM15*MAX(0,MIN(IF(K15="",DATE(Parameter!$C$7,12,31),K15),DATE(Parameter!$C$7,12,31))-MAX(IF(J15="",DATE(Parameter!$C$7,1,1),J15),DATE(Parameter!$C$7,1,1))+1)/(DATE(Parameter!$C$7,12,31)-DATE(Parameter!$C$7,1,1)+1))</f>
        <v>1</v>
      </c>
      <c r="U15" s="89" t="str">
        <f>IF(OR(D15="",G15="Bestand",J15=""),"",EDATE(J15,-Parameter!$C$9))</f>
        <v/>
      </c>
      <c r="V15" s="37">
        <f>IF(D15="","",Personalkosten!$AD$40)</f>
        <v>48541.659999999996</v>
      </c>
      <c r="W15" s="90" t="str">
        <f ca="1">IF(D15="","",IF(AND(G15&lt;&gt;"Bestand",AM15=0),"nicht eingeplant",IF(AND(G15&lt;&gt;"Bestand",OR(P15="Offen",P15=""),U15&lt;&gt;"",U15&lt;=TODAY()),"Ausschreibung fällig",IF(AND(I15="Minijob",M15&gt;Parameter!$C$31),"Minijob-Grenze überschritten",IF(AND(N(M15)&gt;0,IFERROR(M15/(L15*13/3),999)&lt;Parameter!$C$30),"Unter Mindestlohn",IF(AND(K15&lt;&gt;"",K15&gt;=DATE(Parameter!$C$7,1,1),K15&lt;=DATE(Parameter!$C$7,12,31),H15="Befristet"),"Befristung endet",IF(AND(K15&lt;&gt;"",K15&gt;=DATE(Parameter!$C$7,1,1),K15&lt;=DATE(Parameter!$C$7,12,31)),"Austritt im Planjahr","")))))))</f>
        <v/>
      </c>
      <c r="Y15" s="91">
        <f t="shared" si="2"/>
        <v>0.75</v>
      </c>
      <c r="Z15" s="91">
        <f t="shared" si="2"/>
        <v>0.75</v>
      </c>
      <c r="AA15" s="91">
        <f t="shared" si="2"/>
        <v>0.75</v>
      </c>
      <c r="AB15" s="91">
        <f t="shared" si="2"/>
        <v>0.75</v>
      </c>
      <c r="AC15" s="91">
        <f t="shared" si="2"/>
        <v>0.75</v>
      </c>
      <c r="AD15" s="91">
        <f t="shared" si="2"/>
        <v>0.75</v>
      </c>
      <c r="AE15" s="91">
        <f t="shared" si="2"/>
        <v>0.75</v>
      </c>
      <c r="AF15" s="91">
        <f t="shared" si="2"/>
        <v>0.75</v>
      </c>
      <c r="AG15" s="91">
        <f t="shared" si="2"/>
        <v>0.75</v>
      </c>
      <c r="AH15" s="91">
        <f t="shared" si="2"/>
        <v>0.75</v>
      </c>
      <c r="AI15" s="91">
        <f t="shared" si="2"/>
        <v>0.75</v>
      </c>
      <c r="AJ15" s="91">
        <f t="shared" si="2"/>
        <v>0.75</v>
      </c>
      <c r="AK15" s="92">
        <f t="shared" si="3"/>
        <v>0.75</v>
      </c>
      <c r="AM15" s="93">
        <f>IF(D15="",0,IF(G15="Bestand",1,IF(AND(Parameter!$C$8="Ja",Q15&lt;&gt;"Nein",P15&lt;&gt;"Gestrichen"),1,0)))</f>
        <v>1</v>
      </c>
      <c r="AN15" s="94">
        <f>IF(O15="",Parameter!$C$27,O15)</f>
        <v>0.03</v>
      </c>
      <c r="AO15" s="95">
        <f>IFERROR(INDEX(Parameter!$H$25:$H$28,MATCH(I15,Parameter!$G$25:$G$28,0)),0)</f>
        <v>0.1225</v>
      </c>
      <c r="AP15" s="95">
        <f>IFERROR(INDEX(Parameter!$I$25:$I$28,MATCH(I15,Parameter!$G$25:$G$28,0)),0)</f>
        <v>0.1055</v>
      </c>
      <c r="AQ15" s="95">
        <f>IFERROR(INDEX(Parameter!$J$25:$J$28,MATCH(I15,Parameter!$G$25:$G$28,0)),0)</f>
        <v>1.2E-2</v>
      </c>
      <c r="AR15" s="93" t="str">
        <f t="shared" si="4"/>
        <v/>
      </c>
      <c r="AS15" s="93" t="str">
        <f>IF(AND(K15&lt;&gt;"",AM15=1),IF(AND(K15&gt;=DATE(Parameter!$C$7,1,1),K15&lt;=DATE(Parameter!$C$7,12,31)),K15+ROW()/100000,""),"")</f>
        <v/>
      </c>
    </row>
    <row r="16" spans="1:45" ht="18" customHeight="1" x14ac:dyDescent="0.25">
      <c r="B16" s="81">
        <f t="shared" si="0"/>
        <v>9</v>
      </c>
      <c r="C16" s="82" t="s">
        <v>250</v>
      </c>
      <c r="D16" s="83" t="s">
        <v>251</v>
      </c>
      <c r="E16" s="59" t="s">
        <v>129</v>
      </c>
      <c r="F16" s="59" t="s">
        <v>252</v>
      </c>
      <c r="G16" s="59" t="s">
        <v>112</v>
      </c>
      <c r="H16" s="59" t="s">
        <v>113</v>
      </c>
      <c r="I16" s="59" t="s">
        <v>188</v>
      </c>
      <c r="J16" s="84">
        <v>43101</v>
      </c>
      <c r="K16" s="84"/>
      <c r="L16" s="85">
        <v>40</v>
      </c>
      <c r="M16" s="38">
        <v>6300</v>
      </c>
      <c r="N16" s="86">
        <v>0.5</v>
      </c>
      <c r="O16" s="41"/>
      <c r="P16" s="59"/>
      <c r="Q16" s="82"/>
      <c r="R16" s="33">
        <f>IF(OR(D16="",L16=""),"",L16/Parameter!$C$13)</f>
        <v>1</v>
      </c>
      <c r="S16" s="87">
        <f t="shared" si="1"/>
        <v>6489</v>
      </c>
      <c r="T16" s="88">
        <f>IF(D16="","",AM16*MAX(0,MIN(IF(K16="",DATE(Parameter!$C$7,12,31),K16),DATE(Parameter!$C$7,12,31))-MAX(IF(J16="",DATE(Parameter!$C$7,1,1),J16),DATE(Parameter!$C$7,1,1))+1)/(DATE(Parameter!$C$7,12,31)-DATE(Parameter!$C$7,1,1)+1))</f>
        <v>1</v>
      </c>
      <c r="U16" s="89" t="str">
        <f>IF(OR(D16="",G16="Bestand",J16=""),"",EDATE(J16,-Parameter!$C$9))</f>
        <v/>
      </c>
      <c r="V16" s="37">
        <f>IF(D16="","",Personalkosten!$AD$41)</f>
        <v>99222.019499999995</v>
      </c>
      <c r="W16" s="90" t="str">
        <f ca="1">IF(D16="","",IF(AND(G16&lt;&gt;"Bestand",AM16=0),"nicht eingeplant",IF(AND(G16&lt;&gt;"Bestand",OR(P16="Offen",P16=""),U16&lt;&gt;"",U16&lt;=TODAY()),"Ausschreibung fällig",IF(AND(I16="Minijob",M16&gt;Parameter!$C$31),"Minijob-Grenze überschritten",IF(AND(N(M16)&gt;0,IFERROR(M16/(L16*13/3),999)&lt;Parameter!$C$30),"Unter Mindestlohn",IF(AND(K16&lt;&gt;"",K16&gt;=DATE(Parameter!$C$7,1,1),K16&lt;=DATE(Parameter!$C$7,12,31),H16="Befristet"),"Befristung endet",IF(AND(K16&lt;&gt;"",K16&gt;=DATE(Parameter!$C$7,1,1),K16&lt;=DATE(Parameter!$C$7,12,31)),"Austritt im Planjahr","")))))))</f>
        <v/>
      </c>
      <c r="Y16" s="91">
        <f t="shared" si="2"/>
        <v>1</v>
      </c>
      <c r="Z16" s="91">
        <f t="shared" si="2"/>
        <v>1</v>
      </c>
      <c r="AA16" s="91">
        <f t="shared" si="2"/>
        <v>1</v>
      </c>
      <c r="AB16" s="91">
        <f t="shared" si="2"/>
        <v>1</v>
      </c>
      <c r="AC16" s="91">
        <f t="shared" si="2"/>
        <v>1</v>
      </c>
      <c r="AD16" s="91">
        <f t="shared" si="2"/>
        <v>1</v>
      </c>
      <c r="AE16" s="91">
        <f t="shared" si="2"/>
        <v>1</v>
      </c>
      <c r="AF16" s="91">
        <f t="shared" si="2"/>
        <v>1</v>
      </c>
      <c r="AG16" s="91">
        <f t="shared" si="2"/>
        <v>1</v>
      </c>
      <c r="AH16" s="91">
        <f t="shared" si="2"/>
        <v>1</v>
      </c>
      <c r="AI16" s="91">
        <f t="shared" si="2"/>
        <v>1</v>
      </c>
      <c r="AJ16" s="91">
        <f t="shared" si="2"/>
        <v>1</v>
      </c>
      <c r="AK16" s="92">
        <f t="shared" si="3"/>
        <v>1</v>
      </c>
      <c r="AM16" s="93">
        <f>IF(D16="",0,IF(G16="Bestand",1,IF(AND(Parameter!$C$8="Ja",Q16&lt;&gt;"Nein",P16&lt;&gt;"Gestrichen"),1,0)))</f>
        <v>1</v>
      </c>
      <c r="AN16" s="94">
        <f>IF(O16="",Parameter!$C$27,O16)</f>
        <v>0.03</v>
      </c>
      <c r="AO16" s="95">
        <f>IFERROR(INDEX(Parameter!$H$25:$H$28,MATCH(I16,Parameter!$G$25:$G$28,0)),0)</f>
        <v>0.1225</v>
      </c>
      <c r="AP16" s="95">
        <f>IFERROR(INDEX(Parameter!$I$25:$I$28,MATCH(I16,Parameter!$G$25:$G$28,0)),0)</f>
        <v>0.1055</v>
      </c>
      <c r="AQ16" s="95">
        <f>IFERROR(INDEX(Parameter!$J$25:$J$28,MATCH(I16,Parameter!$G$25:$G$28,0)),0)</f>
        <v>1.2E-2</v>
      </c>
      <c r="AR16" s="93" t="str">
        <f t="shared" si="4"/>
        <v/>
      </c>
      <c r="AS16" s="93" t="str">
        <f>IF(AND(K16&lt;&gt;"",AM16=1),IF(AND(K16&gt;=DATE(Parameter!$C$7,1,1),K16&lt;=DATE(Parameter!$C$7,12,31)),K16+ROW()/100000,""),"")</f>
        <v/>
      </c>
    </row>
    <row r="17" spans="2:45" ht="18" customHeight="1" x14ac:dyDescent="0.25">
      <c r="B17" s="81">
        <f t="shared" si="0"/>
        <v>10</v>
      </c>
      <c r="C17" s="82" t="s">
        <v>253</v>
      </c>
      <c r="D17" s="83" t="s">
        <v>254</v>
      </c>
      <c r="E17" s="59" t="s">
        <v>129</v>
      </c>
      <c r="F17" s="59" t="s">
        <v>255</v>
      </c>
      <c r="G17" s="59" t="s">
        <v>112</v>
      </c>
      <c r="H17" s="59" t="s">
        <v>113</v>
      </c>
      <c r="I17" s="59" t="s">
        <v>188</v>
      </c>
      <c r="J17" s="84">
        <v>44409</v>
      </c>
      <c r="K17" s="84"/>
      <c r="L17" s="85">
        <v>40</v>
      </c>
      <c r="M17" s="38">
        <v>4200</v>
      </c>
      <c r="N17" s="86">
        <v>1</v>
      </c>
      <c r="O17" s="41"/>
      <c r="P17" s="59"/>
      <c r="Q17" s="82"/>
      <c r="R17" s="33">
        <f>IF(OR(D17="",L17=""),"",L17/Parameter!$C$13)</f>
        <v>1</v>
      </c>
      <c r="S17" s="87">
        <f t="shared" si="1"/>
        <v>4326</v>
      </c>
      <c r="T17" s="88">
        <f>IF(D17="","",AM17*MAX(0,MIN(IF(K17="",DATE(Parameter!$C$7,12,31),K17),DATE(Parameter!$C$7,12,31))-MAX(IF(J17="",DATE(Parameter!$C$7,1,1),J17),DATE(Parameter!$C$7,1,1))+1)/(DATE(Parameter!$C$7,12,31)-DATE(Parameter!$C$7,1,1)+1))</f>
        <v>1</v>
      </c>
      <c r="U17" s="89" t="str">
        <f>IF(OR(D17="",G17="Bestand",J17=""),"",EDATE(J17,-Parameter!$C$9))</f>
        <v/>
      </c>
      <c r="V17" s="37">
        <f>IF(D17="","",Personalkosten!$AD$42)</f>
        <v>68883.229500000001</v>
      </c>
      <c r="W17" s="90" t="str">
        <f ca="1">IF(D17="","",IF(AND(G17&lt;&gt;"Bestand",AM17=0),"nicht eingeplant",IF(AND(G17&lt;&gt;"Bestand",OR(P17="Offen",P17=""),U17&lt;&gt;"",U17&lt;=TODAY()),"Ausschreibung fällig",IF(AND(I17="Minijob",M17&gt;Parameter!$C$31),"Minijob-Grenze überschritten",IF(AND(N(M17)&gt;0,IFERROR(M17/(L17*13/3),999)&lt;Parameter!$C$30),"Unter Mindestlohn",IF(AND(K17&lt;&gt;"",K17&gt;=DATE(Parameter!$C$7,1,1),K17&lt;=DATE(Parameter!$C$7,12,31),H17="Befristet"),"Befristung endet",IF(AND(K17&lt;&gt;"",K17&gt;=DATE(Parameter!$C$7,1,1),K17&lt;=DATE(Parameter!$C$7,12,31)),"Austritt im Planjahr","")))))))</f>
        <v/>
      </c>
      <c r="Y17" s="91">
        <f t="shared" si="2"/>
        <v>1</v>
      </c>
      <c r="Z17" s="91">
        <f t="shared" si="2"/>
        <v>1</v>
      </c>
      <c r="AA17" s="91">
        <f t="shared" si="2"/>
        <v>1</v>
      </c>
      <c r="AB17" s="91">
        <f t="shared" si="2"/>
        <v>1</v>
      </c>
      <c r="AC17" s="91">
        <f t="shared" si="2"/>
        <v>1</v>
      </c>
      <c r="AD17" s="91">
        <f t="shared" si="2"/>
        <v>1</v>
      </c>
      <c r="AE17" s="91">
        <f t="shared" si="2"/>
        <v>1</v>
      </c>
      <c r="AF17" s="91">
        <f t="shared" si="2"/>
        <v>1</v>
      </c>
      <c r="AG17" s="91">
        <f t="shared" si="2"/>
        <v>1</v>
      </c>
      <c r="AH17" s="91">
        <f t="shared" si="2"/>
        <v>1</v>
      </c>
      <c r="AI17" s="91">
        <f t="shared" si="2"/>
        <v>1</v>
      </c>
      <c r="AJ17" s="91">
        <f t="shared" si="2"/>
        <v>1</v>
      </c>
      <c r="AK17" s="92">
        <f t="shared" si="3"/>
        <v>1</v>
      </c>
      <c r="AM17" s="93">
        <f>IF(D17="",0,IF(G17="Bestand",1,IF(AND(Parameter!$C$8="Ja",Q17&lt;&gt;"Nein",P17&lt;&gt;"Gestrichen"),1,0)))</f>
        <v>1</v>
      </c>
      <c r="AN17" s="94">
        <f>IF(O17="",Parameter!$C$27,O17)</f>
        <v>0.03</v>
      </c>
      <c r="AO17" s="95">
        <f>IFERROR(INDEX(Parameter!$H$25:$H$28,MATCH(I17,Parameter!$G$25:$G$28,0)),0)</f>
        <v>0.1225</v>
      </c>
      <c r="AP17" s="95">
        <f>IFERROR(INDEX(Parameter!$I$25:$I$28,MATCH(I17,Parameter!$G$25:$G$28,0)),0)</f>
        <v>0.1055</v>
      </c>
      <c r="AQ17" s="95">
        <f>IFERROR(INDEX(Parameter!$J$25:$J$28,MATCH(I17,Parameter!$G$25:$G$28,0)),0)</f>
        <v>1.2E-2</v>
      </c>
      <c r="AR17" s="93" t="str">
        <f t="shared" si="4"/>
        <v/>
      </c>
      <c r="AS17" s="93" t="str">
        <f>IF(AND(K17&lt;&gt;"",AM17=1),IF(AND(K17&gt;=DATE(Parameter!$C$7,1,1),K17&lt;=DATE(Parameter!$C$7,12,31)),K17+ROW()/100000,""),"")</f>
        <v/>
      </c>
    </row>
    <row r="18" spans="2:45" ht="18" customHeight="1" x14ac:dyDescent="0.25">
      <c r="B18" s="81">
        <f t="shared" si="0"/>
        <v>11</v>
      </c>
      <c r="C18" s="82" t="s">
        <v>256</v>
      </c>
      <c r="D18" s="83" t="s">
        <v>257</v>
      </c>
      <c r="E18" s="59" t="s">
        <v>129</v>
      </c>
      <c r="F18" s="59" t="s">
        <v>258</v>
      </c>
      <c r="G18" s="59" t="s">
        <v>112</v>
      </c>
      <c r="H18" s="59" t="s">
        <v>113</v>
      </c>
      <c r="I18" s="59" t="s">
        <v>188</v>
      </c>
      <c r="J18" s="84">
        <v>45017</v>
      </c>
      <c r="K18" s="84"/>
      <c r="L18" s="85">
        <v>40</v>
      </c>
      <c r="M18" s="38">
        <v>4500</v>
      </c>
      <c r="N18" s="86">
        <v>1</v>
      </c>
      <c r="O18" s="41"/>
      <c r="P18" s="59"/>
      <c r="Q18" s="82"/>
      <c r="R18" s="33">
        <f>IF(OR(D18="",L18=""),"",L18/Parameter!$C$13)</f>
        <v>1</v>
      </c>
      <c r="S18" s="87">
        <f t="shared" si="1"/>
        <v>4635</v>
      </c>
      <c r="T18" s="88">
        <f>IF(D18="","",AM18*MAX(0,MIN(IF(K18="",DATE(Parameter!$C$7,12,31),K18),DATE(Parameter!$C$7,12,31))-MAX(IF(J18="",DATE(Parameter!$C$7,1,1),J18),DATE(Parameter!$C$7,1,1))+1)/(DATE(Parameter!$C$7,12,31)-DATE(Parameter!$C$7,1,1)+1))</f>
        <v>1</v>
      </c>
      <c r="U18" s="89" t="str">
        <f>IF(OR(D18="",G18="Bestand",J18=""),"",EDATE(J18,-Parameter!$C$9))</f>
        <v/>
      </c>
      <c r="V18" s="37">
        <f>IF(D18="","",Personalkosten!$AD$43)</f>
        <v>73720.507499999992</v>
      </c>
      <c r="W18" s="90" t="str">
        <f ca="1">IF(D18="","",IF(AND(G18&lt;&gt;"Bestand",AM18=0),"nicht eingeplant",IF(AND(G18&lt;&gt;"Bestand",OR(P18="Offen",P18=""),U18&lt;&gt;"",U18&lt;=TODAY()),"Ausschreibung fällig",IF(AND(I18="Minijob",M18&gt;Parameter!$C$31),"Minijob-Grenze überschritten",IF(AND(N(M18)&gt;0,IFERROR(M18/(L18*13/3),999)&lt;Parameter!$C$30),"Unter Mindestlohn",IF(AND(K18&lt;&gt;"",K18&gt;=DATE(Parameter!$C$7,1,1),K18&lt;=DATE(Parameter!$C$7,12,31),H18="Befristet"),"Befristung endet",IF(AND(K18&lt;&gt;"",K18&gt;=DATE(Parameter!$C$7,1,1),K18&lt;=DATE(Parameter!$C$7,12,31)),"Austritt im Planjahr","")))))))</f>
        <v/>
      </c>
      <c r="Y18" s="91">
        <f t="shared" ref="Y18:AJ27" si="5">IF($R18="","",$AM18*$R18*MAX(0,MIN(IF($K18="",DATE(9999,12,31),$K18),EOMONTH(Y$6,0))-MAX(IF($J18="",Y$6,$J18),Y$6)+1)/DAY(EOMONTH(Y$6,0)))</f>
        <v>1</v>
      </c>
      <c r="Z18" s="91">
        <f t="shared" si="5"/>
        <v>1</v>
      </c>
      <c r="AA18" s="91">
        <f t="shared" si="5"/>
        <v>1</v>
      </c>
      <c r="AB18" s="91">
        <f t="shared" si="5"/>
        <v>1</v>
      </c>
      <c r="AC18" s="91">
        <f t="shared" si="5"/>
        <v>1</v>
      </c>
      <c r="AD18" s="91">
        <f t="shared" si="5"/>
        <v>1</v>
      </c>
      <c r="AE18" s="91">
        <f t="shared" si="5"/>
        <v>1</v>
      </c>
      <c r="AF18" s="91">
        <f t="shared" si="5"/>
        <v>1</v>
      </c>
      <c r="AG18" s="91">
        <f t="shared" si="5"/>
        <v>1</v>
      </c>
      <c r="AH18" s="91">
        <f t="shared" si="5"/>
        <v>1</v>
      </c>
      <c r="AI18" s="91">
        <f t="shared" si="5"/>
        <v>1</v>
      </c>
      <c r="AJ18" s="91">
        <f t="shared" si="5"/>
        <v>1</v>
      </c>
      <c r="AK18" s="92">
        <f t="shared" si="3"/>
        <v>1</v>
      </c>
      <c r="AM18" s="93">
        <f>IF(D18="",0,IF(G18="Bestand",1,IF(AND(Parameter!$C$8="Ja",Q18&lt;&gt;"Nein",P18&lt;&gt;"Gestrichen"),1,0)))</f>
        <v>1</v>
      </c>
      <c r="AN18" s="94">
        <f>IF(O18="",Parameter!$C$27,O18)</f>
        <v>0.03</v>
      </c>
      <c r="AO18" s="95">
        <f>IFERROR(INDEX(Parameter!$H$25:$H$28,MATCH(I18,Parameter!$G$25:$G$28,0)),0)</f>
        <v>0.1225</v>
      </c>
      <c r="AP18" s="95">
        <f>IFERROR(INDEX(Parameter!$I$25:$I$28,MATCH(I18,Parameter!$G$25:$G$28,0)),0)</f>
        <v>0.1055</v>
      </c>
      <c r="AQ18" s="95">
        <f>IFERROR(INDEX(Parameter!$J$25:$J$28,MATCH(I18,Parameter!$G$25:$G$28,0)),0)</f>
        <v>1.2E-2</v>
      </c>
      <c r="AR18" s="93" t="str">
        <f t="shared" si="4"/>
        <v/>
      </c>
      <c r="AS18" s="93" t="str">
        <f>IF(AND(K18&lt;&gt;"",AM18=1),IF(AND(K18&gt;=DATE(Parameter!$C$7,1,1),K18&lt;=DATE(Parameter!$C$7,12,31)),K18+ROW()/100000,""),"")</f>
        <v/>
      </c>
    </row>
    <row r="19" spans="2:45" ht="18" customHeight="1" x14ac:dyDescent="0.25">
      <c r="B19" s="81">
        <f t="shared" si="0"/>
        <v>12</v>
      </c>
      <c r="C19" s="82" t="s">
        <v>259</v>
      </c>
      <c r="D19" s="83" t="s">
        <v>260</v>
      </c>
      <c r="E19" s="59" t="s">
        <v>129</v>
      </c>
      <c r="F19" s="59" t="s">
        <v>261</v>
      </c>
      <c r="G19" s="59" t="s">
        <v>112</v>
      </c>
      <c r="H19" s="59" t="s">
        <v>123</v>
      </c>
      <c r="I19" s="59" t="s">
        <v>193</v>
      </c>
      <c r="J19" s="84">
        <v>45931</v>
      </c>
      <c r="K19" s="84">
        <v>46843</v>
      </c>
      <c r="L19" s="85">
        <v>20</v>
      </c>
      <c r="M19" s="38">
        <v>1500</v>
      </c>
      <c r="N19" s="86">
        <v>0</v>
      </c>
      <c r="O19" s="41">
        <v>0</v>
      </c>
      <c r="P19" s="59"/>
      <c r="Q19" s="82"/>
      <c r="R19" s="33">
        <f>IF(OR(D19="",L19=""),"",L19/Parameter!$C$13)</f>
        <v>0.5</v>
      </c>
      <c r="S19" s="87">
        <f t="shared" si="1"/>
        <v>1500</v>
      </c>
      <c r="T19" s="88">
        <f>IF(D19="","",AM19*MAX(0,MIN(IF(K19="",DATE(Parameter!$C$7,12,31),K19),DATE(Parameter!$C$7,12,31))-MAX(IF(J19="",DATE(Parameter!$C$7,1,1),J19),DATE(Parameter!$C$7,1,1))+1)/(DATE(Parameter!$C$7,12,31)-DATE(Parameter!$C$7,1,1)+1))</f>
        <v>1</v>
      </c>
      <c r="U19" s="89" t="str">
        <f>IF(OR(D19="",G19="Bestand",J19=""),"",EDATE(J19,-Parameter!$C$9))</f>
        <v/>
      </c>
      <c r="V19" s="37">
        <f>IF(D19="","",Personalkosten!$AD$44)</f>
        <v>20187</v>
      </c>
      <c r="W19" s="90" t="str">
        <f ca="1">IF(D19="","",IF(AND(G19&lt;&gt;"Bestand",AM19=0),"nicht eingeplant",IF(AND(G19&lt;&gt;"Bestand",OR(P19="Offen",P19=""),U19&lt;&gt;"",U19&lt;=TODAY()),"Ausschreibung fällig",IF(AND(I19="Minijob",M19&gt;Parameter!$C$31),"Minijob-Grenze überschritten",IF(AND(N(M19)&gt;0,IFERROR(M19/(L19*13/3),999)&lt;Parameter!$C$30),"Unter Mindestlohn",IF(AND(K19&lt;&gt;"",K19&gt;=DATE(Parameter!$C$7,1,1),K19&lt;=DATE(Parameter!$C$7,12,31),H19="Befristet"),"Befristung endet",IF(AND(K19&lt;&gt;"",K19&gt;=DATE(Parameter!$C$7,1,1),K19&lt;=DATE(Parameter!$C$7,12,31)),"Austritt im Planjahr","")))))))</f>
        <v/>
      </c>
      <c r="Y19" s="91">
        <f t="shared" si="5"/>
        <v>0.5</v>
      </c>
      <c r="Z19" s="91">
        <f t="shared" si="5"/>
        <v>0.5</v>
      </c>
      <c r="AA19" s="91">
        <f t="shared" si="5"/>
        <v>0.5</v>
      </c>
      <c r="AB19" s="91">
        <f t="shared" si="5"/>
        <v>0.5</v>
      </c>
      <c r="AC19" s="91">
        <f t="shared" si="5"/>
        <v>0.5</v>
      </c>
      <c r="AD19" s="91">
        <f t="shared" si="5"/>
        <v>0.5</v>
      </c>
      <c r="AE19" s="91">
        <f t="shared" si="5"/>
        <v>0.5</v>
      </c>
      <c r="AF19" s="91">
        <f t="shared" si="5"/>
        <v>0.5</v>
      </c>
      <c r="AG19" s="91">
        <f t="shared" si="5"/>
        <v>0.5</v>
      </c>
      <c r="AH19" s="91">
        <f t="shared" si="5"/>
        <v>0.5</v>
      </c>
      <c r="AI19" s="91">
        <f t="shared" si="5"/>
        <v>0.5</v>
      </c>
      <c r="AJ19" s="91">
        <f t="shared" si="5"/>
        <v>0.5</v>
      </c>
      <c r="AK19" s="92">
        <f t="shared" si="3"/>
        <v>0.5</v>
      </c>
      <c r="AM19" s="93">
        <f>IF(D19="",0,IF(G19="Bestand",1,IF(AND(Parameter!$C$8="Ja",Q19&lt;&gt;"Nein",P19&lt;&gt;"Gestrichen"),1,0)))</f>
        <v>1</v>
      </c>
      <c r="AN19" s="94">
        <f>IF(O19="",Parameter!$C$27,O19)</f>
        <v>0</v>
      </c>
      <c r="AO19" s="95">
        <f>IFERROR(INDEX(Parameter!$H$25:$H$28,MATCH(I19,Parameter!$G$25:$G$28,0)),0)</f>
        <v>0.1095</v>
      </c>
      <c r="AP19" s="95">
        <f>IFERROR(INDEX(Parameter!$I$25:$I$28,MATCH(I19,Parameter!$G$25:$G$28,0)),0)</f>
        <v>0</v>
      </c>
      <c r="AQ19" s="95">
        <f>IFERROR(INDEX(Parameter!$J$25:$J$28,MATCH(I19,Parameter!$G$25:$G$28,0)),0)</f>
        <v>1.2E-2</v>
      </c>
      <c r="AR19" s="93" t="str">
        <f t="shared" si="4"/>
        <v/>
      </c>
      <c r="AS19" s="93" t="str">
        <f>IF(AND(K19&lt;&gt;"",AM19=1),IF(AND(K19&gt;=DATE(Parameter!$C$7,1,1),K19&lt;=DATE(Parameter!$C$7,12,31)),K19+ROW()/100000,""),"")</f>
        <v/>
      </c>
    </row>
    <row r="20" spans="2:45" ht="18" customHeight="1" x14ac:dyDescent="0.25">
      <c r="B20" s="81">
        <f t="shared" si="0"/>
        <v>13</v>
      </c>
      <c r="C20" s="82" t="s">
        <v>262</v>
      </c>
      <c r="D20" s="83" t="s">
        <v>263</v>
      </c>
      <c r="E20" s="59" t="s">
        <v>136</v>
      </c>
      <c r="F20" s="59" t="s">
        <v>264</v>
      </c>
      <c r="G20" s="59" t="s">
        <v>112</v>
      </c>
      <c r="H20" s="59" t="s">
        <v>113</v>
      </c>
      <c r="I20" s="59" t="s">
        <v>188</v>
      </c>
      <c r="J20" s="84">
        <v>42156</v>
      </c>
      <c r="K20" s="84"/>
      <c r="L20" s="85">
        <v>40</v>
      </c>
      <c r="M20" s="38">
        <v>6500</v>
      </c>
      <c r="N20" s="86">
        <v>0.5</v>
      </c>
      <c r="O20" s="41"/>
      <c r="P20" s="59"/>
      <c r="Q20" s="82"/>
      <c r="R20" s="33">
        <f>IF(OR(D20="",L20=""),"",L20/Parameter!$C$13)</f>
        <v>1</v>
      </c>
      <c r="S20" s="87">
        <f t="shared" si="1"/>
        <v>6695</v>
      </c>
      <c r="T20" s="88">
        <f>IF(D20="","",AM20*MAX(0,MIN(IF(K20="",DATE(Parameter!$C$7,12,31),K20),DATE(Parameter!$C$7,12,31))-MAX(IF(J20="",DATE(Parameter!$C$7,1,1),J20),DATE(Parameter!$C$7,1,1))+1)/(DATE(Parameter!$C$7,12,31)-DATE(Parameter!$C$7,1,1)+1))</f>
        <v>1</v>
      </c>
      <c r="U20" s="89" t="str">
        <f>IF(OR(D20="",G20="Bestand",J20=""),"",EDATE(J20,-Parameter!$C$9))</f>
        <v/>
      </c>
      <c r="V20" s="37">
        <f>IF(D20="","",Personalkosten!$AD$45)</f>
        <v>102105.785</v>
      </c>
      <c r="W20" s="90" t="str">
        <f ca="1">IF(D20="","",IF(AND(G20&lt;&gt;"Bestand",AM20=0),"nicht eingeplant",IF(AND(G20&lt;&gt;"Bestand",OR(P20="Offen",P20=""),U20&lt;&gt;"",U20&lt;=TODAY()),"Ausschreibung fällig",IF(AND(I20="Minijob",M20&gt;Parameter!$C$31),"Minijob-Grenze überschritten",IF(AND(N(M20)&gt;0,IFERROR(M20/(L20*13/3),999)&lt;Parameter!$C$30),"Unter Mindestlohn",IF(AND(K20&lt;&gt;"",K20&gt;=DATE(Parameter!$C$7,1,1),K20&lt;=DATE(Parameter!$C$7,12,31),H20="Befristet"),"Befristung endet",IF(AND(K20&lt;&gt;"",K20&gt;=DATE(Parameter!$C$7,1,1),K20&lt;=DATE(Parameter!$C$7,12,31)),"Austritt im Planjahr","")))))))</f>
        <v/>
      </c>
      <c r="Y20" s="91">
        <f t="shared" si="5"/>
        <v>1</v>
      </c>
      <c r="Z20" s="91">
        <f t="shared" si="5"/>
        <v>1</v>
      </c>
      <c r="AA20" s="91">
        <f t="shared" si="5"/>
        <v>1</v>
      </c>
      <c r="AB20" s="91">
        <f t="shared" si="5"/>
        <v>1</v>
      </c>
      <c r="AC20" s="91">
        <f t="shared" si="5"/>
        <v>1</v>
      </c>
      <c r="AD20" s="91">
        <f t="shared" si="5"/>
        <v>1</v>
      </c>
      <c r="AE20" s="91">
        <f t="shared" si="5"/>
        <v>1</v>
      </c>
      <c r="AF20" s="91">
        <f t="shared" si="5"/>
        <v>1</v>
      </c>
      <c r="AG20" s="91">
        <f t="shared" si="5"/>
        <v>1</v>
      </c>
      <c r="AH20" s="91">
        <f t="shared" si="5"/>
        <v>1</v>
      </c>
      <c r="AI20" s="91">
        <f t="shared" si="5"/>
        <v>1</v>
      </c>
      <c r="AJ20" s="91">
        <f t="shared" si="5"/>
        <v>1</v>
      </c>
      <c r="AK20" s="92">
        <f t="shared" si="3"/>
        <v>1</v>
      </c>
      <c r="AM20" s="93">
        <f>IF(D20="",0,IF(G20="Bestand",1,IF(AND(Parameter!$C$8="Ja",Q20&lt;&gt;"Nein",P20&lt;&gt;"Gestrichen"),1,0)))</f>
        <v>1</v>
      </c>
      <c r="AN20" s="94">
        <f>IF(O20="",Parameter!$C$27,O20)</f>
        <v>0.03</v>
      </c>
      <c r="AO20" s="95">
        <f>IFERROR(INDEX(Parameter!$H$25:$H$28,MATCH(I20,Parameter!$G$25:$G$28,0)),0)</f>
        <v>0.1225</v>
      </c>
      <c r="AP20" s="95">
        <f>IFERROR(INDEX(Parameter!$I$25:$I$28,MATCH(I20,Parameter!$G$25:$G$28,0)),0)</f>
        <v>0.1055</v>
      </c>
      <c r="AQ20" s="95">
        <f>IFERROR(INDEX(Parameter!$J$25:$J$28,MATCH(I20,Parameter!$G$25:$G$28,0)),0)</f>
        <v>1.2E-2</v>
      </c>
      <c r="AR20" s="93" t="str">
        <f t="shared" si="4"/>
        <v/>
      </c>
      <c r="AS20" s="93" t="str">
        <f>IF(AND(K20&lt;&gt;"",AM20=1),IF(AND(K20&gt;=DATE(Parameter!$C$7,1,1),K20&lt;=DATE(Parameter!$C$7,12,31)),K20+ROW()/100000,""),"")</f>
        <v/>
      </c>
    </row>
    <row r="21" spans="2:45" ht="18" customHeight="1" x14ac:dyDescent="0.25">
      <c r="B21" s="81">
        <f t="shared" si="0"/>
        <v>14</v>
      </c>
      <c r="C21" s="82" t="s">
        <v>265</v>
      </c>
      <c r="D21" s="83" t="s">
        <v>266</v>
      </c>
      <c r="E21" s="59" t="s">
        <v>136</v>
      </c>
      <c r="F21" s="59" t="s">
        <v>267</v>
      </c>
      <c r="G21" s="59" t="s">
        <v>112</v>
      </c>
      <c r="H21" s="59" t="s">
        <v>113</v>
      </c>
      <c r="I21" s="59" t="s">
        <v>188</v>
      </c>
      <c r="J21" s="84">
        <v>42675</v>
      </c>
      <c r="K21" s="84"/>
      <c r="L21" s="85">
        <v>40</v>
      </c>
      <c r="M21" s="38">
        <v>4800</v>
      </c>
      <c r="N21" s="86">
        <v>1</v>
      </c>
      <c r="O21" s="41"/>
      <c r="P21" s="59"/>
      <c r="Q21" s="82"/>
      <c r="R21" s="33">
        <f>IF(OR(D21="",L21=""),"",L21/Parameter!$C$13)</f>
        <v>1</v>
      </c>
      <c r="S21" s="87">
        <f t="shared" si="1"/>
        <v>4944</v>
      </c>
      <c r="T21" s="88">
        <f>IF(D21="","",AM21*MAX(0,MIN(IF(K21="",DATE(Parameter!$C$7,12,31),K21),DATE(Parameter!$C$7,12,31))-MAX(IF(J21="",DATE(Parameter!$C$7,1,1),J21),DATE(Parameter!$C$7,1,1))+1)/(DATE(Parameter!$C$7,12,31)-DATE(Parameter!$C$7,1,1)+1))</f>
        <v>1</v>
      </c>
      <c r="U21" s="89" t="str">
        <f>IF(OR(D21="",G21="Bestand",J21=""),"",EDATE(J21,-Parameter!$C$9))</f>
        <v/>
      </c>
      <c r="V21" s="37">
        <f>IF(D21="","",Personalkosten!$AD$46)</f>
        <v>78518.095499999996</v>
      </c>
      <c r="W21" s="90" t="str">
        <f ca="1">IF(D21="","",IF(AND(G21&lt;&gt;"Bestand",AM21=0),"nicht eingeplant",IF(AND(G21&lt;&gt;"Bestand",OR(P21="Offen",P21=""),U21&lt;&gt;"",U21&lt;=TODAY()),"Ausschreibung fällig",IF(AND(I21="Minijob",M21&gt;Parameter!$C$31),"Minijob-Grenze überschritten",IF(AND(N(M21)&gt;0,IFERROR(M21/(L21*13/3),999)&lt;Parameter!$C$30),"Unter Mindestlohn",IF(AND(K21&lt;&gt;"",K21&gt;=DATE(Parameter!$C$7,1,1),K21&lt;=DATE(Parameter!$C$7,12,31),H21="Befristet"),"Befristung endet",IF(AND(K21&lt;&gt;"",K21&gt;=DATE(Parameter!$C$7,1,1),K21&lt;=DATE(Parameter!$C$7,12,31)),"Austritt im Planjahr","")))))))</f>
        <v/>
      </c>
      <c r="Y21" s="91">
        <f t="shared" si="5"/>
        <v>1</v>
      </c>
      <c r="Z21" s="91">
        <f t="shared" si="5"/>
        <v>1</v>
      </c>
      <c r="AA21" s="91">
        <f t="shared" si="5"/>
        <v>1</v>
      </c>
      <c r="AB21" s="91">
        <f t="shared" si="5"/>
        <v>1</v>
      </c>
      <c r="AC21" s="91">
        <f t="shared" si="5"/>
        <v>1</v>
      </c>
      <c r="AD21" s="91">
        <f t="shared" si="5"/>
        <v>1</v>
      </c>
      <c r="AE21" s="91">
        <f t="shared" si="5"/>
        <v>1</v>
      </c>
      <c r="AF21" s="91">
        <f t="shared" si="5"/>
        <v>1</v>
      </c>
      <c r="AG21" s="91">
        <f t="shared" si="5"/>
        <v>1</v>
      </c>
      <c r="AH21" s="91">
        <f t="shared" si="5"/>
        <v>1</v>
      </c>
      <c r="AI21" s="91">
        <f t="shared" si="5"/>
        <v>1</v>
      </c>
      <c r="AJ21" s="91">
        <f t="shared" si="5"/>
        <v>1</v>
      </c>
      <c r="AK21" s="92">
        <f t="shared" si="3"/>
        <v>1</v>
      </c>
      <c r="AM21" s="93">
        <f>IF(D21="",0,IF(G21="Bestand",1,IF(AND(Parameter!$C$8="Ja",Q21&lt;&gt;"Nein",P21&lt;&gt;"Gestrichen"),1,0)))</f>
        <v>1</v>
      </c>
      <c r="AN21" s="94">
        <f>IF(O21="",Parameter!$C$27,O21)</f>
        <v>0.03</v>
      </c>
      <c r="AO21" s="95">
        <f>IFERROR(INDEX(Parameter!$H$25:$H$28,MATCH(I21,Parameter!$G$25:$G$28,0)),0)</f>
        <v>0.1225</v>
      </c>
      <c r="AP21" s="95">
        <f>IFERROR(INDEX(Parameter!$I$25:$I$28,MATCH(I21,Parameter!$G$25:$G$28,0)),0)</f>
        <v>0.1055</v>
      </c>
      <c r="AQ21" s="95">
        <f>IFERROR(INDEX(Parameter!$J$25:$J$28,MATCH(I21,Parameter!$G$25:$G$28,0)),0)</f>
        <v>1.2E-2</v>
      </c>
      <c r="AR21" s="93" t="str">
        <f t="shared" si="4"/>
        <v/>
      </c>
      <c r="AS21" s="93" t="str">
        <f>IF(AND(K21&lt;&gt;"",AM21=1),IF(AND(K21&gt;=DATE(Parameter!$C$7,1,1),K21&lt;=DATE(Parameter!$C$7,12,31)),K21+ROW()/100000,""),"")</f>
        <v/>
      </c>
    </row>
    <row r="22" spans="2:45" ht="18" customHeight="1" x14ac:dyDescent="0.25">
      <c r="B22" s="81">
        <f t="shared" si="0"/>
        <v>15</v>
      </c>
      <c r="C22" s="82" t="s">
        <v>268</v>
      </c>
      <c r="D22" s="83" t="s">
        <v>269</v>
      </c>
      <c r="E22" s="59" t="s">
        <v>136</v>
      </c>
      <c r="F22" s="59" t="s">
        <v>270</v>
      </c>
      <c r="G22" s="59" t="s">
        <v>112</v>
      </c>
      <c r="H22" s="59" t="s">
        <v>113</v>
      </c>
      <c r="I22" s="59" t="s">
        <v>188</v>
      </c>
      <c r="J22" s="84">
        <v>43497</v>
      </c>
      <c r="K22" s="84"/>
      <c r="L22" s="85">
        <v>40</v>
      </c>
      <c r="M22" s="38">
        <v>3800</v>
      </c>
      <c r="N22" s="86">
        <v>1</v>
      </c>
      <c r="O22" s="41"/>
      <c r="P22" s="59"/>
      <c r="Q22" s="82"/>
      <c r="R22" s="33">
        <f>IF(OR(D22="",L22=""),"",L22/Parameter!$C$13)</f>
        <v>1</v>
      </c>
      <c r="S22" s="87">
        <f t="shared" si="1"/>
        <v>3914</v>
      </c>
      <c r="T22" s="88">
        <f>IF(D22="","",AM22*MAX(0,MIN(IF(K22="",DATE(Parameter!$C$7,12,31),K22),DATE(Parameter!$C$7,12,31))-MAX(IF(J22="",DATE(Parameter!$C$7,1,1),J22),DATE(Parameter!$C$7,1,1))+1)/(DATE(Parameter!$C$7,12,31)-DATE(Parameter!$C$7,1,1)+1))</f>
        <v>1</v>
      </c>
      <c r="U22" s="89" t="str">
        <f>IF(OR(D22="",G22="Bestand",J22=""),"",EDATE(J22,-Parameter!$C$9))</f>
        <v/>
      </c>
      <c r="V22" s="37">
        <f>IF(D22="","",Personalkosten!$AD$47)</f>
        <v>62386.9755</v>
      </c>
      <c r="W22" s="90" t="str">
        <f ca="1">IF(D22="","",IF(AND(G22&lt;&gt;"Bestand",AM22=0),"nicht eingeplant",IF(AND(G22&lt;&gt;"Bestand",OR(P22="Offen",P22=""),U22&lt;&gt;"",U22&lt;=TODAY()),"Ausschreibung fällig",IF(AND(I22="Minijob",M22&gt;Parameter!$C$31),"Minijob-Grenze überschritten",IF(AND(N(M22)&gt;0,IFERROR(M22/(L22*13/3),999)&lt;Parameter!$C$30),"Unter Mindestlohn",IF(AND(K22&lt;&gt;"",K22&gt;=DATE(Parameter!$C$7,1,1),K22&lt;=DATE(Parameter!$C$7,12,31),H22="Befristet"),"Befristung endet",IF(AND(K22&lt;&gt;"",K22&gt;=DATE(Parameter!$C$7,1,1),K22&lt;=DATE(Parameter!$C$7,12,31)),"Austritt im Planjahr","")))))))</f>
        <v/>
      </c>
      <c r="Y22" s="91">
        <f t="shared" si="5"/>
        <v>1</v>
      </c>
      <c r="Z22" s="91">
        <f t="shared" si="5"/>
        <v>1</v>
      </c>
      <c r="AA22" s="91">
        <f t="shared" si="5"/>
        <v>1</v>
      </c>
      <c r="AB22" s="91">
        <f t="shared" si="5"/>
        <v>1</v>
      </c>
      <c r="AC22" s="91">
        <f t="shared" si="5"/>
        <v>1</v>
      </c>
      <c r="AD22" s="91">
        <f t="shared" si="5"/>
        <v>1</v>
      </c>
      <c r="AE22" s="91">
        <f t="shared" si="5"/>
        <v>1</v>
      </c>
      <c r="AF22" s="91">
        <f t="shared" si="5"/>
        <v>1</v>
      </c>
      <c r="AG22" s="91">
        <f t="shared" si="5"/>
        <v>1</v>
      </c>
      <c r="AH22" s="91">
        <f t="shared" si="5"/>
        <v>1</v>
      </c>
      <c r="AI22" s="91">
        <f t="shared" si="5"/>
        <v>1</v>
      </c>
      <c r="AJ22" s="91">
        <f t="shared" si="5"/>
        <v>1</v>
      </c>
      <c r="AK22" s="92">
        <f t="shared" si="3"/>
        <v>1</v>
      </c>
      <c r="AM22" s="93">
        <f>IF(D22="",0,IF(G22="Bestand",1,IF(AND(Parameter!$C$8="Ja",Q22&lt;&gt;"Nein",P22&lt;&gt;"Gestrichen"),1,0)))</f>
        <v>1</v>
      </c>
      <c r="AN22" s="94">
        <f>IF(O22="",Parameter!$C$27,O22)</f>
        <v>0.03</v>
      </c>
      <c r="AO22" s="95">
        <f>IFERROR(INDEX(Parameter!$H$25:$H$28,MATCH(I22,Parameter!$G$25:$G$28,0)),0)</f>
        <v>0.1225</v>
      </c>
      <c r="AP22" s="95">
        <f>IFERROR(INDEX(Parameter!$I$25:$I$28,MATCH(I22,Parameter!$G$25:$G$28,0)),0)</f>
        <v>0.1055</v>
      </c>
      <c r="AQ22" s="95">
        <f>IFERROR(INDEX(Parameter!$J$25:$J$28,MATCH(I22,Parameter!$G$25:$G$28,0)),0)</f>
        <v>1.2E-2</v>
      </c>
      <c r="AR22" s="93" t="str">
        <f t="shared" si="4"/>
        <v/>
      </c>
      <c r="AS22" s="93" t="str">
        <f>IF(AND(K22&lt;&gt;"",AM22=1),IF(AND(K22&gt;=DATE(Parameter!$C$7,1,1),K22&lt;=DATE(Parameter!$C$7,12,31)),K22+ROW()/100000,""),"")</f>
        <v/>
      </c>
    </row>
    <row r="23" spans="2:45" ht="18" customHeight="1" x14ac:dyDescent="0.25">
      <c r="B23" s="81">
        <f t="shared" si="0"/>
        <v>16</v>
      </c>
      <c r="C23" s="82" t="s">
        <v>271</v>
      </c>
      <c r="D23" s="83" t="s">
        <v>272</v>
      </c>
      <c r="E23" s="59" t="s">
        <v>136</v>
      </c>
      <c r="F23" s="59" t="s">
        <v>270</v>
      </c>
      <c r="G23" s="59" t="s">
        <v>112</v>
      </c>
      <c r="H23" s="59" t="s">
        <v>113</v>
      </c>
      <c r="I23" s="59" t="s">
        <v>188</v>
      </c>
      <c r="J23" s="84">
        <v>43983</v>
      </c>
      <c r="K23" s="84"/>
      <c r="L23" s="85">
        <v>40</v>
      </c>
      <c r="M23" s="38">
        <v>3700</v>
      </c>
      <c r="N23" s="86">
        <v>1</v>
      </c>
      <c r="O23" s="41"/>
      <c r="P23" s="59"/>
      <c r="Q23" s="82"/>
      <c r="R23" s="33">
        <f>IF(OR(D23="",L23=""),"",L23/Parameter!$C$13)</f>
        <v>1</v>
      </c>
      <c r="S23" s="87">
        <f t="shared" si="1"/>
        <v>3811</v>
      </c>
      <c r="T23" s="88">
        <f>IF(D23="","",AM23*MAX(0,MIN(IF(K23="",DATE(Parameter!$C$7,12,31),K23),DATE(Parameter!$C$7,12,31))-MAX(IF(J23="",DATE(Parameter!$C$7,1,1),J23),DATE(Parameter!$C$7,1,1))+1)/(DATE(Parameter!$C$7,12,31)-DATE(Parameter!$C$7,1,1)+1))</f>
        <v>1</v>
      </c>
      <c r="U23" s="89" t="str">
        <f>IF(OR(D23="",G23="Bestand",J23=""),"",EDATE(J23,-Parameter!$C$9))</f>
        <v/>
      </c>
      <c r="V23" s="37">
        <f>IF(D23="","",Personalkosten!$AD$48)</f>
        <v>60762.911999999997</v>
      </c>
      <c r="W23" s="90" t="str">
        <f ca="1">IF(D23="","",IF(AND(G23&lt;&gt;"Bestand",AM23=0),"nicht eingeplant",IF(AND(G23&lt;&gt;"Bestand",OR(P23="Offen",P23=""),U23&lt;&gt;"",U23&lt;=TODAY()),"Ausschreibung fällig",IF(AND(I23="Minijob",M23&gt;Parameter!$C$31),"Minijob-Grenze überschritten",IF(AND(N(M23)&gt;0,IFERROR(M23/(L23*13/3),999)&lt;Parameter!$C$30),"Unter Mindestlohn",IF(AND(K23&lt;&gt;"",K23&gt;=DATE(Parameter!$C$7,1,1),K23&lt;=DATE(Parameter!$C$7,12,31),H23="Befristet"),"Befristung endet",IF(AND(K23&lt;&gt;"",K23&gt;=DATE(Parameter!$C$7,1,1),K23&lt;=DATE(Parameter!$C$7,12,31)),"Austritt im Planjahr","")))))))</f>
        <v/>
      </c>
      <c r="Y23" s="91">
        <f t="shared" si="5"/>
        <v>1</v>
      </c>
      <c r="Z23" s="91">
        <f t="shared" si="5"/>
        <v>1</v>
      </c>
      <c r="AA23" s="91">
        <f t="shared" si="5"/>
        <v>1</v>
      </c>
      <c r="AB23" s="91">
        <f t="shared" si="5"/>
        <v>1</v>
      </c>
      <c r="AC23" s="91">
        <f t="shared" si="5"/>
        <v>1</v>
      </c>
      <c r="AD23" s="91">
        <f t="shared" si="5"/>
        <v>1</v>
      </c>
      <c r="AE23" s="91">
        <f t="shared" si="5"/>
        <v>1</v>
      </c>
      <c r="AF23" s="91">
        <f t="shared" si="5"/>
        <v>1</v>
      </c>
      <c r="AG23" s="91">
        <f t="shared" si="5"/>
        <v>1</v>
      </c>
      <c r="AH23" s="91">
        <f t="shared" si="5"/>
        <v>1</v>
      </c>
      <c r="AI23" s="91">
        <f t="shared" si="5"/>
        <v>1</v>
      </c>
      <c r="AJ23" s="91">
        <f t="shared" si="5"/>
        <v>1</v>
      </c>
      <c r="AK23" s="92">
        <f t="shared" si="3"/>
        <v>1</v>
      </c>
      <c r="AM23" s="93">
        <f>IF(D23="",0,IF(G23="Bestand",1,IF(AND(Parameter!$C$8="Ja",Q23&lt;&gt;"Nein",P23&lt;&gt;"Gestrichen"),1,0)))</f>
        <v>1</v>
      </c>
      <c r="AN23" s="94">
        <f>IF(O23="",Parameter!$C$27,O23)</f>
        <v>0.03</v>
      </c>
      <c r="AO23" s="95">
        <f>IFERROR(INDEX(Parameter!$H$25:$H$28,MATCH(I23,Parameter!$G$25:$G$28,0)),0)</f>
        <v>0.1225</v>
      </c>
      <c r="AP23" s="95">
        <f>IFERROR(INDEX(Parameter!$I$25:$I$28,MATCH(I23,Parameter!$G$25:$G$28,0)),0)</f>
        <v>0.1055</v>
      </c>
      <c r="AQ23" s="95">
        <f>IFERROR(INDEX(Parameter!$J$25:$J$28,MATCH(I23,Parameter!$G$25:$G$28,0)),0)</f>
        <v>1.2E-2</v>
      </c>
      <c r="AR23" s="93" t="str">
        <f t="shared" si="4"/>
        <v/>
      </c>
      <c r="AS23" s="93" t="str">
        <f>IF(AND(K23&lt;&gt;"",AM23=1),IF(AND(K23&gt;=DATE(Parameter!$C$7,1,1),K23&lt;=DATE(Parameter!$C$7,12,31)),K23+ROW()/100000,""),"")</f>
        <v/>
      </c>
    </row>
    <row r="24" spans="2:45" ht="18" customHeight="1" x14ac:dyDescent="0.25">
      <c r="B24" s="81">
        <f t="shared" si="0"/>
        <v>17</v>
      </c>
      <c r="C24" s="82" t="s">
        <v>273</v>
      </c>
      <c r="D24" s="83" t="s">
        <v>274</v>
      </c>
      <c r="E24" s="59" t="s">
        <v>136</v>
      </c>
      <c r="F24" s="59" t="s">
        <v>270</v>
      </c>
      <c r="G24" s="59" t="s">
        <v>112</v>
      </c>
      <c r="H24" s="59" t="s">
        <v>113</v>
      </c>
      <c r="I24" s="59" t="s">
        <v>188</v>
      </c>
      <c r="J24" s="84">
        <v>44805</v>
      </c>
      <c r="K24" s="84"/>
      <c r="L24" s="85">
        <v>40</v>
      </c>
      <c r="M24" s="38">
        <v>3600</v>
      </c>
      <c r="N24" s="86">
        <v>1</v>
      </c>
      <c r="O24" s="41"/>
      <c r="P24" s="59"/>
      <c r="Q24" s="82"/>
      <c r="R24" s="33">
        <f>IF(OR(D24="",L24=""),"",L24/Parameter!$C$13)</f>
        <v>1</v>
      </c>
      <c r="S24" s="87">
        <f t="shared" si="1"/>
        <v>3708</v>
      </c>
      <c r="T24" s="88">
        <f>IF(D24="","",AM24*MAX(0,MIN(IF(K24="",DATE(Parameter!$C$7,12,31),K24),DATE(Parameter!$C$7,12,31))-MAX(IF(J24="",DATE(Parameter!$C$7,1,1),J24),DATE(Parameter!$C$7,1,1))+1)/(DATE(Parameter!$C$7,12,31)-DATE(Parameter!$C$7,1,1)+1))</f>
        <v>1</v>
      </c>
      <c r="U24" s="89" t="str">
        <f>IF(OR(D24="",G24="Bestand",J24=""),"",EDATE(J24,-Parameter!$C$9))</f>
        <v/>
      </c>
      <c r="V24" s="37">
        <f>IF(D24="","",Personalkosten!$AD$49)</f>
        <v>59138.8485</v>
      </c>
      <c r="W24" s="90" t="str">
        <f ca="1">IF(D24="","",IF(AND(G24&lt;&gt;"Bestand",AM24=0),"nicht eingeplant",IF(AND(G24&lt;&gt;"Bestand",OR(P24="Offen",P24=""),U24&lt;&gt;"",U24&lt;=TODAY()),"Ausschreibung fällig",IF(AND(I24="Minijob",M24&gt;Parameter!$C$31),"Minijob-Grenze überschritten",IF(AND(N(M24)&gt;0,IFERROR(M24/(L24*13/3),999)&lt;Parameter!$C$30),"Unter Mindestlohn",IF(AND(K24&lt;&gt;"",K24&gt;=DATE(Parameter!$C$7,1,1),K24&lt;=DATE(Parameter!$C$7,12,31),H24="Befristet"),"Befristung endet",IF(AND(K24&lt;&gt;"",K24&gt;=DATE(Parameter!$C$7,1,1),K24&lt;=DATE(Parameter!$C$7,12,31)),"Austritt im Planjahr","")))))))</f>
        <v/>
      </c>
      <c r="Y24" s="91">
        <f t="shared" si="5"/>
        <v>1</v>
      </c>
      <c r="Z24" s="91">
        <f t="shared" si="5"/>
        <v>1</v>
      </c>
      <c r="AA24" s="91">
        <f t="shared" si="5"/>
        <v>1</v>
      </c>
      <c r="AB24" s="91">
        <f t="shared" si="5"/>
        <v>1</v>
      </c>
      <c r="AC24" s="91">
        <f t="shared" si="5"/>
        <v>1</v>
      </c>
      <c r="AD24" s="91">
        <f t="shared" si="5"/>
        <v>1</v>
      </c>
      <c r="AE24" s="91">
        <f t="shared" si="5"/>
        <v>1</v>
      </c>
      <c r="AF24" s="91">
        <f t="shared" si="5"/>
        <v>1</v>
      </c>
      <c r="AG24" s="91">
        <f t="shared" si="5"/>
        <v>1</v>
      </c>
      <c r="AH24" s="91">
        <f t="shared" si="5"/>
        <v>1</v>
      </c>
      <c r="AI24" s="91">
        <f t="shared" si="5"/>
        <v>1</v>
      </c>
      <c r="AJ24" s="91">
        <f t="shared" si="5"/>
        <v>1</v>
      </c>
      <c r="AK24" s="92">
        <f t="shared" si="3"/>
        <v>1</v>
      </c>
      <c r="AM24" s="93">
        <f>IF(D24="",0,IF(G24="Bestand",1,IF(AND(Parameter!$C$8="Ja",Q24&lt;&gt;"Nein",P24&lt;&gt;"Gestrichen"),1,0)))</f>
        <v>1</v>
      </c>
      <c r="AN24" s="94">
        <f>IF(O24="",Parameter!$C$27,O24)</f>
        <v>0.03</v>
      </c>
      <c r="AO24" s="95">
        <f>IFERROR(INDEX(Parameter!$H$25:$H$28,MATCH(I24,Parameter!$G$25:$G$28,0)),0)</f>
        <v>0.1225</v>
      </c>
      <c r="AP24" s="95">
        <f>IFERROR(INDEX(Parameter!$I$25:$I$28,MATCH(I24,Parameter!$G$25:$G$28,0)),0)</f>
        <v>0.1055</v>
      </c>
      <c r="AQ24" s="95">
        <f>IFERROR(INDEX(Parameter!$J$25:$J$28,MATCH(I24,Parameter!$G$25:$G$28,0)),0)</f>
        <v>1.2E-2</v>
      </c>
      <c r="AR24" s="93" t="str">
        <f t="shared" si="4"/>
        <v/>
      </c>
      <c r="AS24" s="93" t="str">
        <f>IF(AND(K24&lt;&gt;"",AM24=1),IF(AND(K24&gt;=DATE(Parameter!$C$7,1,1),K24&lt;=DATE(Parameter!$C$7,12,31)),K24+ROW()/100000,""),"")</f>
        <v/>
      </c>
    </row>
    <row r="25" spans="2:45" ht="18" customHeight="1" x14ac:dyDescent="0.25">
      <c r="B25" s="81">
        <f t="shared" si="0"/>
        <v>18</v>
      </c>
      <c r="C25" s="82" t="s">
        <v>275</v>
      </c>
      <c r="D25" s="83" t="s">
        <v>276</v>
      </c>
      <c r="E25" s="59" t="s">
        <v>136</v>
      </c>
      <c r="F25" s="59" t="s">
        <v>270</v>
      </c>
      <c r="G25" s="59" t="s">
        <v>112</v>
      </c>
      <c r="H25" s="59" t="s">
        <v>113</v>
      </c>
      <c r="I25" s="59" t="s">
        <v>188</v>
      </c>
      <c r="J25" s="84">
        <v>42795</v>
      </c>
      <c r="K25" s="84"/>
      <c r="L25" s="85">
        <v>30</v>
      </c>
      <c r="M25" s="38">
        <v>2900</v>
      </c>
      <c r="N25" s="86">
        <v>1</v>
      </c>
      <c r="O25" s="41"/>
      <c r="P25" s="59"/>
      <c r="Q25" s="82"/>
      <c r="R25" s="33">
        <f>IF(OR(D25="",L25=""),"",L25/Parameter!$C$13)</f>
        <v>0.75</v>
      </c>
      <c r="S25" s="87">
        <f t="shared" si="1"/>
        <v>2987</v>
      </c>
      <c r="T25" s="88">
        <f>IF(D25="","",AM25*MAX(0,MIN(IF(K25="",DATE(Parameter!$C$7,12,31),K25),DATE(Parameter!$C$7,12,31))-MAX(IF(J25="",DATE(Parameter!$C$7,1,1),J25),DATE(Parameter!$C$7,1,1))+1)/(DATE(Parameter!$C$7,12,31)-DATE(Parameter!$C$7,1,1)+1))</f>
        <v>1</v>
      </c>
      <c r="U25" s="89" t="str">
        <f>IF(OR(D25="",G25="Bestand",J25=""),"",EDATE(J25,-Parameter!$C$9))</f>
        <v/>
      </c>
      <c r="V25" s="37">
        <f>IF(D25="","",Personalkosten!$AD$50)</f>
        <v>47718.92</v>
      </c>
      <c r="W25" s="90" t="str">
        <f ca="1">IF(D25="","",IF(AND(G25&lt;&gt;"Bestand",AM25=0),"nicht eingeplant",IF(AND(G25&lt;&gt;"Bestand",OR(P25="Offen",P25=""),U25&lt;&gt;"",U25&lt;=TODAY()),"Ausschreibung fällig",IF(AND(I25="Minijob",M25&gt;Parameter!$C$31),"Minijob-Grenze überschritten",IF(AND(N(M25)&gt;0,IFERROR(M25/(L25*13/3),999)&lt;Parameter!$C$30),"Unter Mindestlohn",IF(AND(K25&lt;&gt;"",K25&gt;=DATE(Parameter!$C$7,1,1),K25&lt;=DATE(Parameter!$C$7,12,31),H25="Befristet"),"Befristung endet",IF(AND(K25&lt;&gt;"",K25&gt;=DATE(Parameter!$C$7,1,1),K25&lt;=DATE(Parameter!$C$7,12,31)),"Austritt im Planjahr","")))))))</f>
        <v/>
      </c>
      <c r="Y25" s="91">
        <f t="shared" si="5"/>
        <v>0.75</v>
      </c>
      <c r="Z25" s="91">
        <f t="shared" si="5"/>
        <v>0.75</v>
      </c>
      <c r="AA25" s="91">
        <f t="shared" si="5"/>
        <v>0.75</v>
      </c>
      <c r="AB25" s="91">
        <f t="shared" si="5"/>
        <v>0.75</v>
      </c>
      <c r="AC25" s="91">
        <f t="shared" si="5"/>
        <v>0.75</v>
      </c>
      <c r="AD25" s="91">
        <f t="shared" si="5"/>
        <v>0.75</v>
      </c>
      <c r="AE25" s="91">
        <f t="shared" si="5"/>
        <v>0.75</v>
      </c>
      <c r="AF25" s="91">
        <f t="shared" si="5"/>
        <v>0.75</v>
      </c>
      <c r="AG25" s="91">
        <f t="shared" si="5"/>
        <v>0.75</v>
      </c>
      <c r="AH25" s="91">
        <f t="shared" si="5"/>
        <v>0.75</v>
      </c>
      <c r="AI25" s="91">
        <f t="shared" si="5"/>
        <v>0.75</v>
      </c>
      <c r="AJ25" s="91">
        <f t="shared" si="5"/>
        <v>0.75</v>
      </c>
      <c r="AK25" s="92">
        <f t="shared" si="3"/>
        <v>0.75</v>
      </c>
      <c r="AM25" s="93">
        <f>IF(D25="",0,IF(G25="Bestand",1,IF(AND(Parameter!$C$8="Ja",Q25&lt;&gt;"Nein",P25&lt;&gt;"Gestrichen"),1,0)))</f>
        <v>1</v>
      </c>
      <c r="AN25" s="94">
        <f>IF(O25="",Parameter!$C$27,O25)</f>
        <v>0.03</v>
      </c>
      <c r="AO25" s="95">
        <f>IFERROR(INDEX(Parameter!$H$25:$H$28,MATCH(I25,Parameter!$G$25:$G$28,0)),0)</f>
        <v>0.1225</v>
      </c>
      <c r="AP25" s="95">
        <f>IFERROR(INDEX(Parameter!$I$25:$I$28,MATCH(I25,Parameter!$G$25:$G$28,0)),0)</f>
        <v>0.1055</v>
      </c>
      <c r="AQ25" s="95">
        <f>IFERROR(INDEX(Parameter!$J$25:$J$28,MATCH(I25,Parameter!$G$25:$G$28,0)),0)</f>
        <v>1.2E-2</v>
      </c>
      <c r="AR25" s="93" t="str">
        <f t="shared" si="4"/>
        <v/>
      </c>
      <c r="AS25" s="93" t="str">
        <f>IF(AND(K25&lt;&gt;"",AM25=1),IF(AND(K25&gt;=DATE(Parameter!$C$7,1,1),K25&lt;=DATE(Parameter!$C$7,12,31)),K25+ROW()/100000,""),"")</f>
        <v/>
      </c>
    </row>
    <row r="26" spans="2:45" ht="18" customHeight="1" x14ac:dyDescent="0.25">
      <c r="B26" s="81">
        <f t="shared" si="0"/>
        <v>19</v>
      </c>
      <c r="C26" s="82" t="s">
        <v>277</v>
      </c>
      <c r="D26" s="83" t="s">
        <v>278</v>
      </c>
      <c r="E26" s="59" t="s">
        <v>136</v>
      </c>
      <c r="F26" s="59" t="s">
        <v>279</v>
      </c>
      <c r="G26" s="59" t="s">
        <v>112</v>
      </c>
      <c r="H26" s="59" t="s">
        <v>113</v>
      </c>
      <c r="I26" s="59" t="s">
        <v>188</v>
      </c>
      <c r="J26" s="84">
        <v>39661</v>
      </c>
      <c r="K26" s="84">
        <v>46477</v>
      </c>
      <c r="L26" s="85">
        <v>40</v>
      </c>
      <c r="M26" s="38">
        <v>3500</v>
      </c>
      <c r="N26" s="86">
        <v>1</v>
      </c>
      <c r="O26" s="41"/>
      <c r="P26" s="59"/>
      <c r="Q26" s="82"/>
      <c r="R26" s="33">
        <f>IF(OR(D26="",L26=""),"",L26/Parameter!$C$13)</f>
        <v>1</v>
      </c>
      <c r="S26" s="87">
        <f t="shared" si="1"/>
        <v>3605</v>
      </c>
      <c r="T26" s="88">
        <f>IF(D26="","",AM26*MAX(0,MIN(IF(K26="",DATE(Parameter!$C$7,12,31),K26),DATE(Parameter!$C$7,12,31))-MAX(IF(J26="",DATE(Parameter!$C$7,1,1),J26),DATE(Parameter!$C$7,1,1))+1)/(DATE(Parameter!$C$7,12,31)-DATE(Parameter!$C$7,1,1)+1))</f>
        <v>0.24657534246575341</v>
      </c>
      <c r="U26" s="89" t="str">
        <f>IF(OR(D26="",G26="Bestand",J26=""),"",EDATE(J26,-Parameter!$C$9))</f>
        <v/>
      </c>
      <c r="V26" s="37">
        <f>IF(D26="","",Personalkosten!$AD$51)</f>
        <v>14090.13698630137</v>
      </c>
      <c r="W26" s="90" t="str">
        <f ca="1">IF(D26="","",IF(AND(G26&lt;&gt;"Bestand",AM26=0),"nicht eingeplant",IF(AND(G26&lt;&gt;"Bestand",OR(P26="Offen",P26=""),U26&lt;&gt;"",U26&lt;=TODAY()),"Ausschreibung fällig",IF(AND(I26="Minijob",M26&gt;Parameter!$C$31),"Minijob-Grenze überschritten",IF(AND(N(M26)&gt;0,IFERROR(M26/(L26*13/3),999)&lt;Parameter!$C$30),"Unter Mindestlohn",IF(AND(K26&lt;&gt;"",K26&gt;=DATE(Parameter!$C$7,1,1),K26&lt;=DATE(Parameter!$C$7,12,31),H26="Befristet"),"Befristung endet",IF(AND(K26&lt;&gt;"",K26&gt;=DATE(Parameter!$C$7,1,1),K26&lt;=DATE(Parameter!$C$7,12,31)),"Austritt im Planjahr","")))))))</f>
        <v>Austritt im Planjahr</v>
      </c>
      <c r="Y26" s="91">
        <f t="shared" si="5"/>
        <v>1</v>
      </c>
      <c r="Z26" s="91">
        <f t="shared" si="5"/>
        <v>1</v>
      </c>
      <c r="AA26" s="91">
        <f t="shared" si="5"/>
        <v>1</v>
      </c>
      <c r="AB26" s="91">
        <f t="shared" si="5"/>
        <v>0</v>
      </c>
      <c r="AC26" s="91">
        <f t="shared" si="5"/>
        <v>0</v>
      </c>
      <c r="AD26" s="91">
        <f t="shared" si="5"/>
        <v>0</v>
      </c>
      <c r="AE26" s="91">
        <f t="shared" si="5"/>
        <v>0</v>
      </c>
      <c r="AF26" s="91">
        <f t="shared" si="5"/>
        <v>0</v>
      </c>
      <c r="AG26" s="91">
        <f t="shared" si="5"/>
        <v>0</v>
      </c>
      <c r="AH26" s="91">
        <f t="shared" si="5"/>
        <v>0</v>
      </c>
      <c r="AI26" s="91">
        <f t="shared" si="5"/>
        <v>0</v>
      </c>
      <c r="AJ26" s="91">
        <f t="shared" si="5"/>
        <v>0</v>
      </c>
      <c r="AK26" s="92">
        <f t="shared" si="3"/>
        <v>0.25</v>
      </c>
      <c r="AM26" s="93">
        <f>IF(D26="",0,IF(G26="Bestand",1,IF(AND(Parameter!$C$8="Ja",Q26&lt;&gt;"Nein",P26&lt;&gt;"Gestrichen"),1,0)))</f>
        <v>1</v>
      </c>
      <c r="AN26" s="94">
        <f>IF(O26="",Parameter!$C$27,O26)</f>
        <v>0.03</v>
      </c>
      <c r="AO26" s="95">
        <f>IFERROR(INDEX(Parameter!$H$25:$H$28,MATCH(I26,Parameter!$G$25:$G$28,0)),0)</f>
        <v>0.1225</v>
      </c>
      <c r="AP26" s="95">
        <f>IFERROR(INDEX(Parameter!$I$25:$I$28,MATCH(I26,Parameter!$G$25:$G$28,0)),0)</f>
        <v>0.1055</v>
      </c>
      <c r="AQ26" s="95">
        <f>IFERROR(INDEX(Parameter!$J$25:$J$28,MATCH(I26,Parameter!$G$25:$G$28,0)),0)</f>
        <v>1.2E-2</v>
      </c>
      <c r="AR26" s="93" t="str">
        <f t="shared" si="4"/>
        <v/>
      </c>
      <c r="AS26" s="96">
        <f>IF(AND(K26&lt;&gt;"",AM26=1),IF(AND(K26&gt;=DATE(Parameter!$C$7,1,1),K26&lt;=DATE(Parameter!$C$7,12,31)),K26+ROW()/100000,""),"")</f>
        <v>46477.000260000001</v>
      </c>
    </row>
    <row r="27" spans="2:45" ht="18" customHeight="1" x14ac:dyDescent="0.25">
      <c r="B27" s="81">
        <f t="shared" si="0"/>
        <v>20</v>
      </c>
      <c r="C27" s="82" t="s">
        <v>280</v>
      </c>
      <c r="D27" s="83" t="s">
        <v>281</v>
      </c>
      <c r="E27" s="59" t="s">
        <v>136</v>
      </c>
      <c r="F27" s="59" t="s">
        <v>282</v>
      </c>
      <c r="G27" s="59" t="s">
        <v>112</v>
      </c>
      <c r="H27" s="59" t="s">
        <v>113</v>
      </c>
      <c r="I27" s="59" t="s">
        <v>190</v>
      </c>
      <c r="J27" s="84">
        <v>45292</v>
      </c>
      <c r="K27" s="84"/>
      <c r="L27" s="85">
        <v>9</v>
      </c>
      <c r="M27" s="38">
        <v>600</v>
      </c>
      <c r="N27" s="86">
        <v>0</v>
      </c>
      <c r="O27" s="41">
        <v>0</v>
      </c>
      <c r="P27" s="59"/>
      <c r="Q27" s="82"/>
      <c r="R27" s="33">
        <f>IF(OR(D27="",L27=""),"",L27/Parameter!$C$13)</f>
        <v>0.22500000000000001</v>
      </c>
      <c r="S27" s="87">
        <f t="shared" si="1"/>
        <v>600</v>
      </c>
      <c r="T27" s="88">
        <f>IF(D27="","",AM27*MAX(0,MIN(IF(K27="",DATE(Parameter!$C$7,12,31),K27),DATE(Parameter!$C$7,12,31))-MAX(IF(J27="",DATE(Parameter!$C$7,1,1),J27),DATE(Parameter!$C$7,1,1))+1)/(DATE(Parameter!$C$7,12,31)-DATE(Parameter!$C$7,1,1)+1))</f>
        <v>1</v>
      </c>
      <c r="U27" s="89" t="str">
        <f>IF(OR(D27="",G27="Bestand",J27=""),"",EDATE(J27,-Parameter!$C$9))</f>
        <v/>
      </c>
      <c r="V27" s="37">
        <f>IF(D27="","",Personalkosten!$AD$52)</f>
        <v>9565.2000000000007</v>
      </c>
      <c r="W27" s="90" t="str">
        <f ca="1">IF(D27="","",IF(AND(G27&lt;&gt;"Bestand",AM27=0),"nicht eingeplant",IF(AND(G27&lt;&gt;"Bestand",OR(P27="Offen",P27=""),U27&lt;&gt;"",U27&lt;=TODAY()),"Ausschreibung fällig",IF(AND(I27="Minijob",M27&gt;Parameter!$C$31),"Minijob-Grenze überschritten",IF(AND(N(M27)&gt;0,IFERROR(M27/(L27*13/3),999)&lt;Parameter!$C$30),"Unter Mindestlohn",IF(AND(K27&lt;&gt;"",K27&gt;=DATE(Parameter!$C$7,1,1),K27&lt;=DATE(Parameter!$C$7,12,31),H27="Befristet"),"Befristung endet",IF(AND(K27&lt;&gt;"",K27&gt;=DATE(Parameter!$C$7,1,1),K27&lt;=DATE(Parameter!$C$7,12,31)),"Austritt im Planjahr","")))))))</f>
        <v/>
      </c>
      <c r="Y27" s="91">
        <f t="shared" si="5"/>
        <v>0.22500000000000001</v>
      </c>
      <c r="Z27" s="91">
        <f t="shared" si="5"/>
        <v>0.22500000000000001</v>
      </c>
      <c r="AA27" s="91">
        <f t="shared" si="5"/>
        <v>0.22500000000000001</v>
      </c>
      <c r="AB27" s="91">
        <f t="shared" si="5"/>
        <v>0.22500000000000001</v>
      </c>
      <c r="AC27" s="91">
        <f t="shared" si="5"/>
        <v>0.22500000000000001</v>
      </c>
      <c r="AD27" s="91">
        <f t="shared" si="5"/>
        <v>0.22500000000000001</v>
      </c>
      <c r="AE27" s="91">
        <f t="shared" si="5"/>
        <v>0.22500000000000001</v>
      </c>
      <c r="AF27" s="91">
        <f t="shared" si="5"/>
        <v>0.22500000000000001</v>
      </c>
      <c r="AG27" s="91">
        <f t="shared" si="5"/>
        <v>0.22500000000000001</v>
      </c>
      <c r="AH27" s="91">
        <f t="shared" si="5"/>
        <v>0.22500000000000001</v>
      </c>
      <c r="AI27" s="91">
        <f t="shared" si="5"/>
        <v>0.22500000000000001</v>
      </c>
      <c r="AJ27" s="91">
        <f t="shared" si="5"/>
        <v>0.22500000000000001</v>
      </c>
      <c r="AK27" s="92">
        <f t="shared" si="3"/>
        <v>0.22500000000000006</v>
      </c>
      <c r="AM27" s="93">
        <f>IF(D27="",0,IF(G27="Bestand",1,IF(AND(Parameter!$C$8="Ja",Q27&lt;&gt;"Nein",P27&lt;&gt;"Gestrichen"),1,0)))</f>
        <v>1</v>
      </c>
      <c r="AN27" s="94">
        <f>IF(O27="",Parameter!$C$27,O27)</f>
        <v>0</v>
      </c>
      <c r="AO27" s="95">
        <f>IFERROR(INDEX(Parameter!$H$25:$H$28,MATCH(I27,Parameter!$G$25:$G$28,0)),0)</f>
        <v>0</v>
      </c>
      <c r="AP27" s="95">
        <f>IFERROR(INDEX(Parameter!$I$25:$I$28,MATCH(I27,Parameter!$G$25:$G$28,0)),0)</f>
        <v>0</v>
      </c>
      <c r="AQ27" s="95">
        <f>IFERROR(INDEX(Parameter!$J$25:$J$28,MATCH(I27,Parameter!$G$25:$G$28,0)),0)</f>
        <v>0.32850000000000007</v>
      </c>
      <c r="AR27" s="93" t="str">
        <f t="shared" si="4"/>
        <v/>
      </c>
      <c r="AS27" s="93" t="str">
        <f>IF(AND(K27&lt;&gt;"",AM27=1),IF(AND(K27&gt;=DATE(Parameter!$C$7,1,1),K27&lt;=DATE(Parameter!$C$7,12,31)),K27+ROW()/100000,""),"")</f>
        <v/>
      </c>
    </row>
    <row r="28" spans="2:45" ht="18" customHeight="1" x14ac:dyDescent="0.25">
      <c r="B28" s="81">
        <f t="shared" si="0"/>
        <v>21</v>
      </c>
      <c r="C28" s="82" t="s">
        <v>283</v>
      </c>
      <c r="D28" s="83" t="s">
        <v>284</v>
      </c>
      <c r="E28" s="59" t="s">
        <v>141</v>
      </c>
      <c r="F28" s="59" t="s">
        <v>285</v>
      </c>
      <c r="G28" s="59" t="s">
        <v>112</v>
      </c>
      <c r="H28" s="59" t="s">
        <v>113</v>
      </c>
      <c r="I28" s="59" t="s">
        <v>188</v>
      </c>
      <c r="J28" s="84">
        <v>43191</v>
      </c>
      <c r="K28" s="84"/>
      <c r="L28" s="85">
        <v>40</v>
      </c>
      <c r="M28" s="38">
        <v>4600</v>
      </c>
      <c r="N28" s="86">
        <v>1</v>
      </c>
      <c r="O28" s="41"/>
      <c r="P28" s="59"/>
      <c r="Q28" s="82"/>
      <c r="R28" s="33">
        <f>IF(OR(D28="",L28=""),"",L28/Parameter!$C$13)</f>
        <v>1</v>
      </c>
      <c r="S28" s="87">
        <f t="shared" si="1"/>
        <v>4738</v>
      </c>
      <c r="T28" s="88">
        <f>IF(D28="","",AM28*MAX(0,MIN(IF(K28="",DATE(Parameter!$C$7,12,31),K28),DATE(Parameter!$C$7,12,31))-MAX(IF(J28="",DATE(Parameter!$C$7,1,1),J28),DATE(Parameter!$C$7,1,1))+1)/(DATE(Parameter!$C$7,12,31)-DATE(Parameter!$C$7,1,1)+1))</f>
        <v>1</v>
      </c>
      <c r="U28" s="89" t="str">
        <f>IF(OR(D28="",G28="Bestand",J28=""),"",EDATE(J28,-Parameter!$C$9))</f>
        <v/>
      </c>
      <c r="V28" s="37">
        <f>IF(D28="","",Personalkosten!$AD$53)</f>
        <v>75319.703500000003</v>
      </c>
      <c r="W28" s="90" t="str">
        <f ca="1">IF(D28="","",IF(AND(G28&lt;&gt;"Bestand",AM28=0),"nicht eingeplant",IF(AND(G28&lt;&gt;"Bestand",OR(P28="Offen",P28=""),U28&lt;&gt;"",U28&lt;=TODAY()),"Ausschreibung fällig",IF(AND(I28="Minijob",M28&gt;Parameter!$C$31),"Minijob-Grenze überschritten",IF(AND(N(M28)&gt;0,IFERROR(M28/(L28*13/3),999)&lt;Parameter!$C$30),"Unter Mindestlohn",IF(AND(K28&lt;&gt;"",K28&gt;=DATE(Parameter!$C$7,1,1),K28&lt;=DATE(Parameter!$C$7,12,31),H28="Befristet"),"Befristung endet",IF(AND(K28&lt;&gt;"",K28&gt;=DATE(Parameter!$C$7,1,1),K28&lt;=DATE(Parameter!$C$7,12,31)),"Austritt im Planjahr","")))))))</f>
        <v/>
      </c>
      <c r="Y28" s="91">
        <f t="shared" ref="Y28:AJ37" si="6">IF($R28="","",$AM28*$R28*MAX(0,MIN(IF($K28="",DATE(9999,12,31),$K28),EOMONTH(Y$6,0))-MAX(IF($J28="",Y$6,$J28),Y$6)+1)/DAY(EOMONTH(Y$6,0)))</f>
        <v>1</v>
      </c>
      <c r="Z28" s="91">
        <f t="shared" si="6"/>
        <v>1</v>
      </c>
      <c r="AA28" s="91">
        <f t="shared" si="6"/>
        <v>1</v>
      </c>
      <c r="AB28" s="91">
        <f t="shared" si="6"/>
        <v>1</v>
      </c>
      <c r="AC28" s="91">
        <f t="shared" si="6"/>
        <v>1</v>
      </c>
      <c r="AD28" s="91">
        <f t="shared" si="6"/>
        <v>1</v>
      </c>
      <c r="AE28" s="91">
        <f t="shared" si="6"/>
        <v>1</v>
      </c>
      <c r="AF28" s="91">
        <f t="shared" si="6"/>
        <v>1</v>
      </c>
      <c r="AG28" s="91">
        <f t="shared" si="6"/>
        <v>1</v>
      </c>
      <c r="AH28" s="91">
        <f t="shared" si="6"/>
        <v>1</v>
      </c>
      <c r="AI28" s="91">
        <f t="shared" si="6"/>
        <v>1</v>
      </c>
      <c r="AJ28" s="91">
        <f t="shared" si="6"/>
        <v>1</v>
      </c>
      <c r="AK28" s="92">
        <f t="shared" si="3"/>
        <v>1</v>
      </c>
      <c r="AM28" s="93">
        <f>IF(D28="",0,IF(G28="Bestand",1,IF(AND(Parameter!$C$8="Ja",Q28&lt;&gt;"Nein",P28&lt;&gt;"Gestrichen"),1,0)))</f>
        <v>1</v>
      </c>
      <c r="AN28" s="94">
        <f>IF(O28="",Parameter!$C$27,O28)</f>
        <v>0.03</v>
      </c>
      <c r="AO28" s="95">
        <f>IFERROR(INDEX(Parameter!$H$25:$H$28,MATCH(I28,Parameter!$G$25:$G$28,0)),0)</f>
        <v>0.1225</v>
      </c>
      <c r="AP28" s="95">
        <f>IFERROR(INDEX(Parameter!$I$25:$I$28,MATCH(I28,Parameter!$G$25:$G$28,0)),0)</f>
        <v>0.1055</v>
      </c>
      <c r="AQ28" s="95">
        <f>IFERROR(INDEX(Parameter!$J$25:$J$28,MATCH(I28,Parameter!$G$25:$G$28,0)),0)</f>
        <v>1.2E-2</v>
      </c>
      <c r="AR28" s="93" t="str">
        <f t="shared" si="4"/>
        <v/>
      </c>
      <c r="AS28" s="93" t="str">
        <f>IF(AND(K28&lt;&gt;"",AM28=1),IF(AND(K28&gt;=DATE(Parameter!$C$7,1,1),K28&lt;=DATE(Parameter!$C$7,12,31)),K28+ROW()/100000,""),"")</f>
        <v/>
      </c>
    </row>
    <row r="29" spans="2:45" ht="18" customHeight="1" x14ac:dyDescent="0.25">
      <c r="B29" s="81">
        <f t="shared" si="0"/>
        <v>22</v>
      </c>
      <c r="C29" s="82" t="s">
        <v>286</v>
      </c>
      <c r="D29" s="83" t="s">
        <v>287</v>
      </c>
      <c r="E29" s="59" t="s">
        <v>141</v>
      </c>
      <c r="F29" s="59" t="s">
        <v>288</v>
      </c>
      <c r="G29" s="59" t="s">
        <v>112</v>
      </c>
      <c r="H29" s="59" t="s">
        <v>113</v>
      </c>
      <c r="I29" s="59" t="s">
        <v>188</v>
      </c>
      <c r="J29" s="84">
        <v>44197</v>
      </c>
      <c r="K29" s="84"/>
      <c r="L29" s="85">
        <v>40</v>
      </c>
      <c r="M29" s="38">
        <v>3400</v>
      </c>
      <c r="N29" s="86">
        <v>1</v>
      </c>
      <c r="O29" s="41"/>
      <c r="P29" s="59"/>
      <c r="Q29" s="82"/>
      <c r="R29" s="33">
        <f>IF(OR(D29="",L29=""),"",L29/Parameter!$C$13)</f>
        <v>1</v>
      </c>
      <c r="S29" s="87">
        <f t="shared" si="1"/>
        <v>3502</v>
      </c>
      <c r="T29" s="88">
        <f>IF(D29="","",AM29*MAX(0,MIN(IF(K29="",DATE(Parameter!$C$7,12,31),K29),DATE(Parameter!$C$7,12,31))-MAX(IF(J29="",DATE(Parameter!$C$7,1,1),J29),DATE(Parameter!$C$7,1,1))+1)/(DATE(Parameter!$C$7,12,31)-DATE(Parameter!$C$7,1,1)+1))</f>
        <v>1</v>
      </c>
      <c r="U29" s="89" t="str">
        <f>IF(OR(D29="",G29="Bestand",J29=""),"",EDATE(J29,-Parameter!$C$9))</f>
        <v/>
      </c>
      <c r="V29" s="37">
        <f>IF(D29="","",Personalkosten!$AD$54)</f>
        <v>55890.7215</v>
      </c>
      <c r="W29" s="90" t="str">
        <f ca="1">IF(D29="","",IF(AND(G29&lt;&gt;"Bestand",AM29=0),"nicht eingeplant",IF(AND(G29&lt;&gt;"Bestand",OR(P29="Offen",P29=""),U29&lt;&gt;"",U29&lt;=TODAY()),"Ausschreibung fällig",IF(AND(I29="Minijob",M29&gt;Parameter!$C$31),"Minijob-Grenze überschritten",IF(AND(N(M29)&gt;0,IFERROR(M29/(L29*13/3),999)&lt;Parameter!$C$30),"Unter Mindestlohn",IF(AND(K29&lt;&gt;"",K29&gt;=DATE(Parameter!$C$7,1,1),K29&lt;=DATE(Parameter!$C$7,12,31),H29="Befristet"),"Befristung endet",IF(AND(K29&lt;&gt;"",K29&gt;=DATE(Parameter!$C$7,1,1),K29&lt;=DATE(Parameter!$C$7,12,31)),"Austritt im Planjahr","")))))))</f>
        <v/>
      </c>
      <c r="Y29" s="91">
        <f t="shared" si="6"/>
        <v>1</v>
      </c>
      <c r="Z29" s="91">
        <f t="shared" si="6"/>
        <v>1</v>
      </c>
      <c r="AA29" s="91">
        <f t="shared" si="6"/>
        <v>1</v>
      </c>
      <c r="AB29" s="91">
        <f t="shared" si="6"/>
        <v>1</v>
      </c>
      <c r="AC29" s="91">
        <f t="shared" si="6"/>
        <v>1</v>
      </c>
      <c r="AD29" s="91">
        <f t="shared" si="6"/>
        <v>1</v>
      </c>
      <c r="AE29" s="91">
        <f t="shared" si="6"/>
        <v>1</v>
      </c>
      <c r="AF29" s="91">
        <f t="shared" si="6"/>
        <v>1</v>
      </c>
      <c r="AG29" s="91">
        <f t="shared" si="6"/>
        <v>1</v>
      </c>
      <c r="AH29" s="91">
        <f t="shared" si="6"/>
        <v>1</v>
      </c>
      <c r="AI29" s="91">
        <f t="shared" si="6"/>
        <v>1</v>
      </c>
      <c r="AJ29" s="91">
        <f t="shared" si="6"/>
        <v>1</v>
      </c>
      <c r="AK29" s="92">
        <f t="shared" si="3"/>
        <v>1</v>
      </c>
      <c r="AM29" s="93">
        <f>IF(D29="",0,IF(G29="Bestand",1,IF(AND(Parameter!$C$8="Ja",Q29&lt;&gt;"Nein",P29&lt;&gt;"Gestrichen"),1,0)))</f>
        <v>1</v>
      </c>
      <c r="AN29" s="94">
        <f>IF(O29="",Parameter!$C$27,O29)</f>
        <v>0.03</v>
      </c>
      <c r="AO29" s="95">
        <f>IFERROR(INDEX(Parameter!$H$25:$H$28,MATCH(I29,Parameter!$G$25:$G$28,0)),0)</f>
        <v>0.1225</v>
      </c>
      <c r="AP29" s="95">
        <f>IFERROR(INDEX(Parameter!$I$25:$I$28,MATCH(I29,Parameter!$G$25:$G$28,0)),0)</f>
        <v>0.1055</v>
      </c>
      <c r="AQ29" s="95">
        <f>IFERROR(INDEX(Parameter!$J$25:$J$28,MATCH(I29,Parameter!$G$25:$G$28,0)),0)</f>
        <v>1.2E-2</v>
      </c>
      <c r="AR29" s="93" t="str">
        <f t="shared" si="4"/>
        <v/>
      </c>
      <c r="AS29" s="93" t="str">
        <f>IF(AND(K29&lt;&gt;"",AM29=1),IF(AND(K29&gt;=DATE(Parameter!$C$7,1,1),K29&lt;=DATE(Parameter!$C$7,12,31)),K29+ROW()/100000,""),"")</f>
        <v/>
      </c>
    </row>
    <row r="30" spans="2:45" ht="18" customHeight="1" x14ac:dyDescent="0.25">
      <c r="B30" s="81">
        <f t="shared" si="0"/>
        <v>23</v>
      </c>
      <c r="C30" s="82" t="s">
        <v>289</v>
      </c>
      <c r="D30" s="83" t="s">
        <v>290</v>
      </c>
      <c r="E30" s="59" t="s">
        <v>141</v>
      </c>
      <c r="F30" s="59" t="s">
        <v>288</v>
      </c>
      <c r="G30" s="59" t="s">
        <v>112</v>
      </c>
      <c r="H30" s="59" t="s">
        <v>123</v>
      </c>
      <c r="I30" s="59" t="s">
        <v>188</v>
      </c>
      <c r="J30" s="84">
        <v>45901</v>
      </c>
      <c r="K30" s="84">
        <v>46630</v>
      </c>
      <c r="L30" s="85">
        <v>40</v>
      </c>
      <c r="M30" s="38">
        <v>3300</v>
      </c>
      <c r="N30" s="86">
        <v>1</v>
      </c>
      <c r="O30" s="41"/>
      <c r="P30" s="59"/>
      <c r="Q30" s="82"/>
      <c r="R30" s="33">
        <f>IF(OR(D30="",L30=""),"",L30/Parameter!$C$13)</f>
        <v>1</v>
      </c>
      <c r="S30" s="87">
        <f t="shared" si="1"/>
        <v>3399</v>
      </c>
      <c r="T30" s="88">
        <f>IF(D30="","",AM30*MAX(0,MIN(IF(K30="",DATE(Parameter!$C$7,12,31),K30),DATE(Parameter!$C$7,12,31))-MAX(IF(J30="",DATE(Parameter!$C$7,1,1),J30),DATE(Parameter!$C$7,1,1))+1)/(DATE(Parameter!$C$7,12,31)-DATE(Parameter!$C$7,1,1)+1))</f>
        <v>0.66575342465753429</v>
      </c>
      <c r="U30" s="89" t="str">
        <f>IF(OR(D30="",G30="Bestand",J30=""),"",EDATE(J30,-Parameter!$C$9))</f>
        <v/>
      </c>
      <c r="V30" s="37">
        <f>IF(D30="","",Personalkosten!$AD$55)</f>
        <v>36074.063013698629</v>
      </c>
      <c r="W30" s="90" t="str">
        <f ca="1">IF(D30="","",IF(AND(G30&lt;&gt;"Bestand",AM30=0),"nicht eingeplant",IF(AND(G30&lt;&gt;"Bestand",OR(P30="Offen",P30=""),U30&lt;&gt;"",U30&lt;=TODAY()),"Ausschreibung fällig",IF(AND(I30="Minijob",M30&gt;Parameter!$C$31),"Minijob-Grenze überschritten",IF(AND(N(M30)&gt;0,IFERROR(M30/(L30*13/3),999)&lt;Parameter!$C$30),"Unter Mindestlohn",IF(AND(K30&lt;&gt;"",K30&gt;=DATE(Parameter!$C$7,1,1),K30&lt;=DATE(Parameter!$C$7,12,31),H30="Befristet"),"Befristung endet",IF(AND(K30&lt;&gt;"",K30&gt;=DATE(Parameter!$C$7,1,1),K30&lt;=DATE(Parameter!$C$7,12,31)),"Austritt im Planjahr","")))))))</f>
        <v>Befristung endet</v>
      </c>
      <c r="Y30" s="91">
        <f t="shared" si="6"/>
        <v>1</v>
      </c>
      <c r="Z30" s="91">
        <f t="shared" si="6"/>
        <v>1</v>
      </c>
      <c r="AA30" s="91">
        <f t="shared" si="6"/>
        <v>1</v>
      </c>
      <c r="AB30" s="91">
        <f t="shared" si="6"/>
        <v>1</v>
      </c>
      <c r="AC30" s="91">
        <f t="shared" si="6"/>
        <v>1</v>
      </c>
      <c r="AD30" s="91">
        <f t="shared" si="6"/>
        <v>1</v>
      </c>
      <c r="AE30" s="91">
        <f t="shared" si="6"/>
        <v>1</v>
      </c>
      <c r="AF30" s="91">
        <f t="shared" si="6"/>
        <v>1</v>
      </c>
      <c r="AG30" s="91">
        <f t="shared" si="6"/>
        <v>0</v>
      </c>
      <c r="AH30" s="91">
        <f t="shared" si="6"/>
        <v>0</v>
      </c>
      <c r="AI30" s="91">
        <f t="shared" si="6"/>
        <v>0</v>
      </c>
      <c r="AJ30" s="91">
        <f t="shared" si="6"/>
        <v>0</v>
      </c>
      <c r="AK30" s="92">
        <f t="shared" si="3"/>
        <v>0.66666666666666663</v>
      </c>
      <c r="AM30" s="93">
        <f>IF(D30="",0,IF(G30="Bestand",1,IF(AND(Parameter!$C$8="Ja",Q30&lt;&gt;"Nein",P30&lt;&gt;"Gestrichen"),1,0)))</f>
        <v>1</v>
      </c>
      <c r="AN30" s="94">
        <f>IF(O30="",Parameter!$C$27,O30)</f>
        <v>0.03</v>
      </c>
      <c r="AO30" s="95">
        <f>IFERROR(INDEX(Parameter!$H$25:$H$28,MATCH(I30,Parameter!$G$25:$G$28,0)),0)</f>
        <v>0.1225</v>
      </c>
      <c r="AP30" s="95">
        <f>IFERROR(INDEX(Parameter!$I$25:$I$28,MATCH(I30,Parameter!$G$25:$G$28,0)),0)</f>
        <v>0.1055</v>
      </c>
      <c r="AQ30" s="95">
        <f>IFERROR(INDEX(Parameter!$J$25:$J$28,MATCH(I30,Parameter!$G$25:$G$28,0)),0)</f>
        <v>1.2E-2</v>
      </c>
      <c r="AR30" s="93" t="str">
        <f t="shared" si="4"/>
        <v/>
      </c>
      <c r="AS30" s="96">
        <f>IF(AND(K30&lt;&gt;"",AM30=1),IF(AND(K30&gt;=DATE(Parameter!$C$7,1,1),K30&lt;=DATE(Parameter!$C$7,12,31)),K30+ROW()/100000,""),"")</f>
        <v>46630.0003</v>
      </c>
    </row>
    <row r="31" spans="2:45" ht="18" customHeight="1" x14ac:dyDescent="0.25">
      <c r="B31" s="81">
        <f t="shared" si="0"/>
        <v>24</v>
      </c>
      <c r="C31" s="82" t="s">
        <v>291</v>
      </c>
      <c r="D31" s="83" t="s">
        <v>292</v>
      </c>
      <c r="E31" s="59" t="s">
        <v>141</v>
      </c>
      <c r="F31" s="59" t="s">
        <v>288</v>
      </c>
      <c r="G31" s="59" t="s">
        <v>112</v>
      </c>
      <c r="H31" s="59" t="s">
        <v>113</v>
      </c>
      <c r="I31" s="59" t="s">
        <v>188</v>
      </c>
      <c r="J31" s="84">
        <v>45108</v>
      </c>
      <c r="K31" s="84"/>
      <c r="L31" s="85">
        <v>40</v>
      </c>
      <c r="M31" s="38">
        <v>3400</v>
      </c>
      <c r="N31" s="86">
        <v>1</v>
      </c>
      <c r="O31" s="41"/>
      <c r="P31" s="59"/>
      <c r="Q31" s="82"/>
      <c r="R31" s="33">
        <f>IF(OR(D31="",L31=""),"",L31/Parameter!$C$13)</f>
        <v>1</v>
      </c>
      <c r="S31" s="87">
        <f t="shared" si="1"/>
        <v>3502</v>
      </c>
      <c r="T31" s="88">
        <f>IF(D31="","",AM31*MAX(0,MIN(IF(K31="",DATE(Parameter!$C$7,12,31),K31),DATE(Parameter!$C$7,12,31))-MAX(IF(J31="",DATE(Parameter!$C$7,1,1),J31),DATE(Parameter!$C$7,1,1))+1)/(DATE(Parameter!$C$7,12,31)-DATE(Parameter!$C$7,1,1)+1))</f>
        <v>1</v>
      </c>
      <c r="U31" s="89" t="str">
        <f>IF(OR(D31="",G31="Bestand",J31=""),"",EDATE(J31,-Parameter!$C$9))</f>
        <v/>
      </c>
      <c r="V31" s="37">
        <f>IF(D31="","",Personalkosten!$AD$56)</f>
        <v>55890.7215</v>
      </c>
      <c r="W31" s="90" t="str">
        <f ca="1">IF(D31="","",IF(AND(G31&lt;&gt;"Bestand",AM31=0),"nicht eingeplant",IF(AND(G31&lt;&gt;"Bestand",OR(P31="Offen",P31=""),U31&lt;&gt;"",U31&lt;=TODAY()),"Ausschreibung fällig",IF(AND(I31="Minijob",M31&gt;Parameter!$C$31),"Minijob-Grenze überschritten",IF(AND(N(M31)&gt;0,IFERROR(M31/(L31*13/3),999)&lt;Parameter!$C$30),"Unter Mindestlohn",IF(AND(K31&lt;&gt;"",K31&gt;=DATE(Parameter!$C$7,1,1),K31&lt;=DATE(Parameter!$C$7,12,31),H31="Befristet"),"Befristung endet",IF(AND(K31&lt;&gt;"",K31&gt;=DATE(Parameter!$C$7,1,1),K31&lt;=DATE(Parameter!$C$7,12,31)),"Austritt im Planjahr","")))))))</f>
        <v/>
      </c>
      <c r="Y31" s="91">
        <f t="shared" si="6"/>
        <v>1</v>
      </c>
      <c r="Z31" s="91">
        <f t="shared" si="6"/>
        <v>1</v>
      </c>
      <c r="AA31" s="91">
        <f t="shared" si="6"/>
        <v>1</v>
      </c>
      <c r="AB31" s="91">
        <f t="shared" si="6"/>
        <v>1</v>
      </c>
      <c r="AC31" s="91">
        <f t="shared" si="6"/>
        <v>1</v>
      </c>
      <c r="AD31" s="91">
        <f t="shared" si="6"/>
        <v>1</v>
      </c>
      <c r="AE31" s="91">
        <f t="shared" si="6"/>
        <v>1</v>
      </c>
      <c r="AF31" s="91">
        <f t="shared" si="6"/>
        <v>1</v>
      </c>
      <c r="AG31" s="91">
        <f t="shared" si="6"/>
        <v>1</v>
      </c>
      <c r="AH31" s="91">
        <f t="shared" si="6"/>
        <v>1</v>
      </c>
      <c r="AI31" s="91">
        <f t="shared" si="6"/>
        <v>1</v>
      </c>
      <c r="AJ31" s="91">
        <f t="shared" si="6"/>
        <v>1</v>
      </c>
      <c r="AK31" s="92">
        <f t="shared" si="3"/>
        <v>1</v>
      </c>
      <c r="AM31" s="93">
        <f>IF(D31="",0,IF(G31="Bestand",1,IF(AND(Parameter!$C$8="Ja",Q31&lt;&gt;"Nein",P31&lt;&gt;"Gestrichen"),1,0)))</f>
        <v>1</v>
      </c>
      <c r="AN31" s="94">
        <f>IF(O31="",Parameter!$C$27,O31)</f>
        <v>0.03</v>
      </c>
      <c r="AO31" s="95">
        <f>IFERROR(INDEX(Parameter!$H$25:$H$28,MATCH(I31,Parameter!$G$25:$G$28,0)),0)</f>
        <v>0.1225</v>
      </c>
      <c r="AP31" s="95">
        <f>IFERROR(INDEX(Parameter!$I$25:$I$28,MATCH(I31,Parameter!$G$25:$G$28,0)),0)</f>
        <v>0.1055</v>
      </c>
      <c r="AQ31" s="95">
        <f>IFERROR(INDEX(Parameter!$J$25:$J$28,MATCH(I31,Parameter!$G$25:$G$28,0)),0)</f>
        <v>1.2E-2</v>
      </c>
      <c r="AR31" s="93" t="str">
        <f t="shared" si="4"/>
        <v/>
      </c>
      <c r="AS31" s="93" t="str">
        <f>IF(AND(K31&lt;&gt;"",AM31=1),IF(AND(K31&gt;=DATE(Parameter!$C$7,1,1),K31&lt;=DATE(Parameter!$C$7,12,31)),K31+ROW()/100000,""),"")</f>
        <v/>
      </c>
    </row>
    <row r="32" spans="2:45" ht="18" customHeight="1" x14ac:dyDescent="0.25">
      <c r="B32" s="81">
        <f t="shared" si="0"/>
        <v>25</v>
      </c>
      <c r="C32" s="82" t="s">
        <v>293</v>
      </c>
      <c r="D32" s="83" t="s">
        <v>294</v>
      </c>
      <c r="E32" s="59" t="s">
        <v>141</v>
      </c>
      <c r="F32" s="59" t="s">
        <v>288</v>
      </c>
      <c r="G32" s="59" t="s">
        <v>112</v>
      </c>
      <c r="H32" s="59" t="s">
        <v>113</v>
      </c>
      <c r="I32" s="59" t="s">
        <v>188</v>
      </c>
      <c r="J32" s="84">
        <v>42491</v>
      </c>
      <c r="K32" s="84"/>
      <c r="L32" s="85">
        <v>25</v>
      </c>
      <c r="M32" s="38">
        <v>2200</v>
      </c>
      <c r="N32" s="86">
        <v>1</v>
      </c>
      <c r="O32" s="41"/>
      <c r="P32" s="59"/>
      <c r="Q32" s="82"/>
      <c r="R32" s="33">
        <f>IF(OR(D32="",L32=""),"",L32/Parameter!$C$13)</f>
        <v>0.625</v>
      </c>
      <c r="S32" s="87">
        <f t="shared" si="1"/>
        <v>2266</v>
      </c>
      <c r="T32" s="88">
        <f>IF(D32="","",AM32*MAX(0,MIN(IF(K32="",DATE(Parameter!$C$7,12,31),K32),DATE(Parameter!$C$7,12,31))-MAX(IF(J32="",DATE(Parameter!$C$7,1,1),J32),DATE(Parameter!$C$7,1,1))+1)/(DATE(Parameter!$C$7,12,31)-DATE(Parameter!$C$7,1,1)+1))</f>
        <v>1</v>
      </c>
      <c r="U32" s="89" t="str">
        <f>IF(OR(D32="",G32="Bestand",J32=""),"",EDATE(J32,-Parameter!$C$9))</f>
        <v/>
      </c>
      <c r="V32" s="37">
        <f>IF(D32="","",Personalkosten!$AD$57)</f>
        <v>36200.559999999998</v>
      </c>
      <c r="W32" s="90" t="str">
        <f ca="1">IF(D32="","",IF(AND(G32&lt;&gt;"Bestand",AM32=0),"nicht eingeplant",IF(AND(G32&lt;&gt;"Bestand",OR(P32="Offen",P32=""),U32&lt;&gt;"",U32&lt;=TODAY()),"Ausschreibung fällig",IF(AND(I32="Minijob",M32&gt;Parameter!$C$31),"Minijob-Grenze überschritten",IF(AND(N(M32)&gt;0,IFERROR(M32/(L32*13/3),999)&lt;Parameter!$C$30),"Unter Mindestlohn",IF(AND(K32&lt;&gt;"",K32&gt;=DATE(Parameter!$C$7,1,1),K32&lt;=DATE(Parameter!$C$7,12,31),H32="Befristet"),"Befristung endet",IF(AND(K32&lt;&gt;"",K32&gt;=DATE(Parameter!$C$7,1,1),K32&lt;=DATE(Parameter!$C$7,12,31)),"Austritt im Planjahr","")))))))</f>
        <v/>
      </c>
      <c r="Y32" s="91">
        <f t="shared" si="6"/>
        <v>0.625</v>
      </c>
      <c r="Z32" s="91">
        <f t="shared" si="6"/>
        <v>0.625</v>
      </c>
      <c r="AA32" s="91">
        <f t="shared" si="6"/>
        <v>0.625</v>
      </c>
      <c r="AB32" s="91">
        <f t="shared" si="6"/>
        <v>0.625</v>
      </c>
      <c r="AC32" s="91">
        <f t="shared" si="6"/>
        <v>0.625</v>
      </c>
      <c r="AD32" s="91">
        <f t="shared" si="6"/>
        <v>0.625</v>
      </c>
      <c r="AE32" s="91">
        <f t="shared" si="6"/>
        <v>0.625</v>
      </c>
      <c r="AF32" s="91">
        <f t="shared" si="6"/>
        <v>0.625</v>
      </c>
      <c r="AG32" s="91">
        <f t="shared" si="6"/>
        <v>0.625</v>
      </c>
      <c r="AH32" s="91">
        <f t="shared" si="6"/>
        <v>0.625</v>
      </c>
      <c r="AI32" s="91">
        <f t="shared" si="6"/>
        <v>0.625</v>
      </c>
      <c r="AJ32" s="91">
        <f t="shared" si="6"/>
        <v>0.625</v>
      </c>
      <c r="AK32" s="92">
        <f t="shared" si="3"/>
        <v>0.625</v>
      </c>
      <c r="AM32" s="93">
        <f>IF(D32="",0,IF(G32="Bestand",1,IF(AND(Parameter!$C$8="Ja",Q32&lt;&gt;"Nein",P32&lt;&gt;"Gestrichen"),1,0)))</f>
        <v>1</v>
      </c>
      <c r="AN32" s="94">
        <f>IF(O32="",Parameter!$C$27,O32)</f>
        <v>0.03</v>
      </c>
      <c r="AO32" s="95">
        <f>IFERROR(INDEX(Parameter!$H$25:$H$28,MATCH(I32,Parameter!$G$25:$G$28,0)),0)</f>
        <v>0.1225</v>
      </c>
      <c r="AP32" s="95">
        <f>IFERROR(INDEX(Parameter!$I$25:$I$28,MATCH(I32,Parameter!$G$25:$G$28,0)),0)</f>
        <v>0.1055</v>
      </c>
      <c r="AQ32" s="95">
        <f>IFERROR(INDEX(Parameter!$J$25:$J$28,MATCH(I32,Parameter!$G$25:$G$28,0)),0)</f>
        <v>1.2E-2</v>
      </c>
      <c r="AR32" s="93" t="str">
        <f t="shared" si="4"/>
        <v/>
      </c>
      <c r="AS32" s="93" t="str">
        <f>IF(AND(K32&lt;&gt;"",AM32=1),IF(AND(K32&gt;=DATE(Parameter!$C$7,1,1),K32&lt;=DATE(Parameter!$C$7,12,31)),K32+ROW()/100000,""),"")</f>
        <v/>
      </c>
    </row>
    <row r="33" spans="2:45" ht="18" customHeight="1" x14ac:dyDescent="0.25">
      <c r="B33" s="81">
        <f t="shared" si="0"/>
        <v>26</v>
      </c>
      <c r="C33" s="82" t="s">
        <v>295</v>
      </c>
      <c r="D33" s="83" t="s">
        <v>296</v>
      </c>
      <c r="E33" s="59" t="s">
        <v>145</v>
      </c>
      <c r="F33" s="59" t="s">
        <v>297</v>
      </c>
      <c r="G33" s="59" t="s">
        <v>112</v>
      </c>
      <c r="H33" s="59" t="s">
        <v>113</v>
      </c>
      <c r="I33" s="59" t="s">
        <v>188</v>
      </c>
      <c r="J33" s="84">
        <v>42767</v>
      </c>
      <c r="K33" s="84"/>
      <c r="L33" s="85">
        <v>40</v>
      </c>
      <c r="M33" s="38">
        <v>7400</v>
      </c>
      <c r="N33" s="86">
        <v>0.5</v>
      </c>
      <c r="O33" s="41"/>
      <c r="P33" s="59"/>
      <c r="Q33" s="82"/>
      <c r="R33" s="33">
        <f>IF(OR(D33="",L33=""),"",L33/Parameter!$C$13)</f>
        <v>1</v>
      </c>
      <c r="S33" s="87">
        <f t="shared" si="1"/>
        <v>7622</v>
      </c>
      <c r="T33" s="88">
        <f>IF(D33="","",AM33*MAX(0,MIN(IF(K33="",DATE(Parameter!$C$7,12,31),K33),DATE(Parameter!$C$7,12,31))-MAX(IF(J33="",DATE(Parameter!$C$7,1,1),J33),DATE(Parameter!$C$7,1,1))+1)/(DATE(Parameter!$C$7,12,31)-DATE(Parameter!$C$7,1,1)+1))</f>
        <v>1</v>
      </c>
      <c r="U33" s="89" t="str">
        <f>IF(OR(D33="",G33="Bestand",J33=""),"",EDATE(J33,-Parameter!$C$9))</f>
        <v/>
      </c>
      <c r="V33" s="37">
        <f>IF(D33="","",Personalkosten!$AD$58)</f>
        <v>114975.91099999999</v>
      </c>
      <c r="W33" s="90" t="str">
        <f ca="1">IF(D33="","",IF(AND(G33&lt;&gt;"Bestand",AM33=0),"nicht eingeplant",IF(AND(G33&lt;&gt;"Bestand",OR(P33="Offen",P33=""),U33&lt;&gt;"",U33&lt;=TODAY()),"Ausschreibung fällig",IF(AND(I33="Minijob",M33&gt;Parameter!$C$31),"Minijob-Grenze überschritten",IF(AND(N(M33)&gt;0,IFERROR(M33/(L33*13/3),999)&lt;Parameter!$C$30),"Unter Mindestlohn",IF(AND(K33&lt;&gt;"",K33&gt;=DATE(Parameter!$C$7,1,1),K33&lt;=DATE(Parameter!$C$7,12,31),H33="Befristet"),"Befristung endet",IF(AND(K33&lt;&gt;"",K33&gt;=DATE(Parameter!$C$7,1,1),K33&lt;=DATE(Parameter!$C$7,12,31)),"Austritt im Planjahr","")))))))</f>
        <v/>
      </c>
      <c r="Y33" s="91">
        <f t="shared" si="6"/>
        <v>1</v>
      </c>
      <c r="Z33" s="91">
        <f t="shared" si="6"/>
        <v>1</v>
      </c>
      <c r="AA33" s="91">
        <f t="shared" si="6"/>
        <v>1</v>
      </c>
      <c r="AB33" s="91">
        <f t="shared" si="6"/>
        <v>1</v>
      </c>
      <c r="AC33" s="91">
        <f t="shared" si="6"/>
        <v>1</v>
      </c>
      <c r="AD33" s="91">
        <f t="shared" si="6"/>
        <v>1</v>
      </c>
      <c r="AE33" s="91">
        <f t="shared" si="6"/>
        <v>1</v>
      </c>
      <c r="AF33" s="91">
        <f t="shared" si="6"/>
        <v>1</v>
      </c>
      <c r="AG33" s="91">
        <f t="shared" si="6"/>
        <v>1</v>
      </c>
      <c r="AH33" s="91">
        <f t="shared" si="6"/>
        <v>1</v>
      </c>
      <c r="AI33" s="91">
        <f t="shared" si="6"/>
        <v>1</v>
      </c>
      <c r="AJ33" s="91">
        <f t="shared" si="6"/>
        <v>1</v>
      </c>
      <c r="AK33" s="92">
        <f t="shared" si="3"/>
        <v>1</v>
      </c>
      <c r="AM33" s="93">
        <f>IF(D33="",0,IF(G33="Bestand",1,IF(AND(Parameter!$C$8="Ja",Q33&lt;&gt;"Nein",P33&lt;&gt;"Gestrichen"),1,0)))</f>
        <v>1</v>
      </c>
      <c r="AN33" s="94">
        <f>IF(O33="",Parameter!$C$27,O33)</f>
        <v>0.03</v>
      </c>
      <c r="AO33" s="95">
        <f>IFERROR(INDEX(Parameter!$H$25:$H$28,MATCH(I33,Parameter!$G$25:$G$28,0)),0)</f>
        <v>0.1225</v>
      </c>
      <c r="AP33" s="95">
        <f>IFERROR(INDEX(Parameter!$I$25:$I$28,MATCH(I33,Parameter!$G$25:$G$28,0)),0)</f>
        <v>0.1055</v>
      </c>
      <c r="AQ33" s="95">
        <f>IFERROR(INDEX(Parameter!$J$25:$J$28,MATCH(I33,Parameter!$G$25:$G$28,0)),0)</f>
        <v>1.2E-2</v>
      </c>
      <c r="AR33" s="93" t="str">
        <f t="shared" si="4"/>
        <v/>
      </c>
      <c r="AS33" s="93" t="str">
        <f>IF(AND(K33&lt;&gt;"",AM33=1),IF(AND(K33&gt;=DATE(Parameter!$C$7,1,1),K33&lt;=DATE(Parameter!$C$7,12,31)),K33+ROW()/100000,""),"")</f>
        <v/>
      </c>
    </row>
    <row r="34" spans="2:45" ht="18" customHeight="1" x14ac:dyDescent="0.25">
      <c r="B34" s="81">
        <f t="shared" si="0"/>
        <v>27</v>
      </c>
      <c r="C34" s="82" t="s">
        <v>298</v>
      </c>
      <c r="D34" s="83" t="s">
        <v>299</v>
      </c>
      <c r="E34" s="59" t="s">
        <v>145</v>
      </c>
      <c r="F34" s="59" t="s">
        <v>300</v>
      </c>
      <c r="G34" s="59" t="s">
        <v>112</v>
      </c>
      <c r="H34" s="59" t="s">
        <v>113</v>
      </c>
      <c r="I34" s="59" t="s">
        <v>188</v>
      </c>
      <c r="J34" s="84">
        <v>44105</v>
      </c>
      <c r="K34" s="84"/>
      <c r="L34" s="85">
        <v>40</v>
      </c>
      <c r="M34" s="38">
        <v>6100</v>
      </c>
      <c r="N34" s="86">
        <v>1</v>
      </c>
      <c r="O34" s="41"/>
      <c r="P34" s="59"/>
      <c r="Q34" s="82"/>
      <c r="R34" s="33">
        <f>IF(OR(D34="",L34=""),"",L34/Parameter!$C$13)</f>
        <v>1</v>
      </c>
      <c r="S34" s="87">
        <f t="shared" si="1"/>
        <v>6283</v>
      </c>
      <c r="T34" s="88">
        <f>IF(D34="","",AM34*MAX(0,MIN(IF(K34="",DATE(Parameter!$C$7,12,31),K34),DATE(Parameter!$C$7,12,31))-MAX(IF(J34="",DATE(Parameter!$C$7,1,1),J34),DATE(Parameter!$C$7,1,1))+1)/(DATE(Parameter!$C$7,12,31)-DATE(Parameter!$C$7,1,1)+1))</f>
        <v>1</v>
      </c>
      <c r="U34" s="89" t="str">
        <f>IF(OR(D34="",G34="Bestand",J34=""),"",EDATE(J34,-Parameter!$C$9))</f>
        <v/>
      </c>
      <c r="V34" s="37">
        <f>IF(D34="","",Personalkosten!$AD$59)</f>
        <v>99307.643500000006</v>
      </c>
      <c r="W34" s="90" t="str">
        <f ca="1">IF(D34="","",IF(AND(G34&lt;&gt;"Bestand",AM34=0),"nicht eingeplant",IF(AND(G34&lt;&gt;"Bestand",OR(P34="Offen",P34=""),U34&lt;&gt;"",U34&lt;=TODAY()),"Ausschreibung fällig",IF(AND(I34="Minijob",M34&gt;Parameter!$C$31),"Minijob-Grenze überschritten",IF(AND(N(M34)&gt;0,IFERROR(M34/(L34*13/3),999)&lt;Parameter!$C$30),"Unter Mindestlohn",IF(AND(K34&lt;&gt;"",K34&gt;=DATE(Parameter!$C$7,1,1),K34&lt;=DATE(Parameter!$C$7,12,31),H34="Befristet"),"Befristung endet",IF(AND(K34&lt;&gt;"",K34&gt;=DATE(Parameter!$C$7,1,1),K34&lt;=DATE(Parameter!$C$7,12,31)),"Austritt im Planjahr","")))))))</f>
        <v/>
      </c>
      <c r="Y34" s="91">
        <f t="shared" si="6"/>
        <v>1</v>
      </c>
      <c r="Z34" s="91">
        <f t="shared" si="6"/>
        <v>1</v>
      </c>
      <c r="AA34" s="91">
        <f t="shared" si="6"/>
        <v>1</v>
      </c>
      <c r="AB34" s="91">
        <f t="shared" si="6"/>
        <v>1</v>
      </c>
      <c r="AC34" s="91">
        <f t="shared" si="6"/>
        <v>1</v>
      </c>
      <c r="AD34" s="91">
        <f t="shared" si="6"/>
        <v>1</v>
      </c>
      <c r="AE34" s="91">
        <f t="shared" si="6"/>
        <v>1</v>
      </c>
      <c r="AF34" s="91">
        <f t="shared" si="6"/>
        <v>1</v>
      </c>
      <c r="AG34" s="91">
        <f t="shared" si="6"/>
        <v>1</v>
      </c>
      <c r="AH34" s="91">
        <f t="shared" si="6"/>
        <v>1</v>
      </c>
      <c r="AI34" s="91">
        <f t="shared" si="6"/>
        <v>1</v>
      </c>
      <c r="AJ34" s="91">
        <f t="shared" si="6"/>
        <v>1</v>
      </c>
      <c r="AK34" s="92">
        <f t="shared" si="3"/>
        <v>1</v>
      </c>
      <c r="AM34" s="93">
        <f>IF(D34="",0,IF(G34="Bestand",1,IF(AND(Parameter!$C$8="Ja",Q34&lt;&gt;"Nein",P34&lt;&gt;"Gestrichen"),1,0)))</f>
        <v>1</v>
      </c>
      <c r="AN34" s="94">
        <f>IF(O34="",Parameter!$C$27,O34)</f>
        <v>0.03</v>
      </c>
      <c r="AO34" s="95">
        <f>IFERROR(INDEX(Parameter!$H$25:$H$28,MATCH(I34,Parameter!$G$25:$G$28,0)),0)</f>
        <v>0.1225</v>
      </c>
      <c r="AP34" s="95">
        <f>IFERROR(INDEX(Parameter!$I$25:$I$28,MATCH(I34,Parameter!$G$25:$G$28,0)),0)</f>
        <v>0.1055</v>
      </c>
      <c r="AQ34" s="95">
        <f>IFERROR(INDEX(Parameter!$J$25:$J$28,MATCH(I34,Parameter!$G$25:$G$28,0)),0)</f>
        <v>1.2E-2</v>
      </c>
      <c r="AR34" s="93" t="str">
        <f t="shared" si="4"/>
        <v/>
      </c>
      <c r="AS34" s="93" t="str">
        <f>IF(AND(K34&lt;&gt;"",AM34=1),IF(AND(K34&gt;=DATE(Parameter!$C$7,1,1),K34&lt;=DATE(Parameter!$C$7,12,31)),K34+ROW()/100000,""),"")</f>
        <v/>
      </c>
    </row>
    <row r="35" spans="2:45" ht="18" customHeight="1" x14ac:dyDescent="0.25">
      <c r="B35" s="81">
        <f t="shared" si="0"/>
        <v>28</v>
      </c>
      <c r="C35" s="82" t="s">
        <v>301</v>
      </c>
      <c r="D35" s="83" t="s">
        <v>302</v>
      </c>
      <c r="E35" s="59" t="s">
        <v>145</v>
      </c>
      <c r="F35" s="59" t="s">
        <v>303</v>
      </c>
      <c r="G35" s="59" t="s">
        <v>112</v>
      </c>
      <c r="H35" s="59" t="s">
        <v>113</v>
      </c>
      <c r="I35" s="59" t="s">
        <v>188</v>
      </c>
      <c r="J35" s="84">
        <v>43556</v>
      </c>
      <c r="K35" s="84"/>
      <c r="L35" s="85">
        <v>40</v>
      </c>
      <c r="M35" s="38">
        <v>5200</v>
      </c>
      <c r="N35" s="86">
        <v>1</v>
      </c>
      <c r="O35" s="41"/>
      <c r="P35" s="59"/>
      <c r="Q35" s="82"/>
      <c r="R35" s="33">
        <f>IF(OR(D35="",L35=""),"",L35/Parameter!$C$13)</f>
        <v>1</v>
      </c>
      <c r="S35" s="87">
        <f t="shared" si="1"/>
        <v>5356</v>
      </c>
      <c r="T35" s="88">
        <f>IF(D35="","",AM35*MAX(0,MIN(IF(K35="",DATE(Parameter!$C$7,12,31),K35),DATE(Parameter!$C$7,12,31))-MAX(IF(J35="",DATE(Parameter!$C$7,1,1),J35),DATE(Parameter!$C$7,1,1))+1)/(DATE(Parameter!$C$7,12,31)-DATE(Parameter!$C$7,1,1)+1))</f>
        <v>1</v>
      </c>
      <c r="U35" s="89" t="str">
        <f>IF(OR(D35="",G35="Bestand",J35=""),"",EDATE(J35,-Parameter!$C$9))</f>
        <v/>
      </c>
      <c r="V35" s="37">
        <f>IF(D35="","",Personalkosten!$AD$60)</f>
        <v>84914.87950000001</v>
      </c>
      <c r="W35" s="90" t="str">
        <f ca="1">IF(D35="","",IF(AND(G35&lt;&gt;"Bestand",AM35=0),"nicht eingeplant",IF(AND(G35&lt;&gt;"Bestand",OR(P35="Offen",P35=""),U35&lt;&gt;"",U35&lt;=TODAY()),"Ausschreibung fällig",IF(AND(I35="Minijob",M35&gt;Parameter!$C$31),"Minijob-Grenze überschritten",IF(AND(N(M35)&gt;0,IFERROR(M35/(L35*13/3),999)&lt;Parameter!$C$30),"Unter Mindestlohn",IF(AND(K35&lt;&gt;"",K35&gt;=DATE(Parameter!$C$7,1,1),K35&lt;=DATE(Parameter!$C$7,12,31),H35="Befristet"),"Befristung endet",IF(AND(K35&lt;&gt;"",K35&gt;=DATE(Parameter!$C$7,1,1),K35&lt;=DATE(Parameter!$C$7,12,31)),"Austritt im Planjahr","")))))))</f>
        <v/>
      </c>
      <c r="Y35" s="91">
        <f t="shared" si="6"/>
        <v>1</v>
      </c>
      <c r="Z35" s="91">
        <f t="shared" si="6"/>
        <v>1</v>
      </c>
      <c r="AA35" s="91">
        <f t="shared" si="6"/>
        <v>1</v>
      </c>
      <c r="AB35" s="91">
        <f t="shared" si="6"/>
        <v>1</v>
      </c>
      <c r="AC35" s="91">
        <f t="shared" si="6"/>
        <v>1</v>
      </c>
      <c r="AD35" s="91">
        <f t="shared" si="6"/>
        <v>1</v>
      </c>
      <c r="AE35" s="91">
        <f t="shared" si="6"/>
        <v>1</v>
      </c>
      <c r="AF35" s="91">
        <f t="shared" si="6"/>
        <v>1</v>
      </c>
      <c r="AG35" s="91">
        <f t="shared" si="6"/>
        <v>1</v>
      </c>
      <c r="AH35" s="91">
        <f t="shared" si="6"/>
        <v>1</v>
      </c>
      <c r="AI35" s="91">
        <f t="shared" si="6"/>
        <v>1</v>
      </c>
      <c r="AJ35" s="91">
        <f t="shared" si="6"/>
        <v>1</v>
      </c>
      <c r="AK35" s="92">
        <f t="shared" si="3"/>
        <v>1</v>
      </c>
      <c r="AM35" s="93">
        <f>IF(D35="",0,IF(G35="Bestand",1,IF(AND(Parameter!$C$8="Ja",Q35&lt;&gt;"Nein",P35&lt;&gt;"Gestrichen"),1,0)))</f>
        <v>1</v>
      </c>
      <c r="AN35" s="94">
        <f>IF(O35="",Parameter!$C$27,O35)</f>
        <v>0.03</v>
      </c>
      <c r="AO35" s="95">
        <f>IFERROR(INDEX(Parameter!$H$25:$H$28,MATCH(I35,Parameter!$G$25:$G$28,0)),0)</f>
        <v>0.1225</v>
      </c>
      <c r="AP35" s="95">
        <f>IFERROR(INDEX(Parameter!$I$25:$I$28,MATCH(I35,Parameter!$G$25:$G$28,0)),0)</f>
        <v>0.1055</v>
      </c>
      <c r="AQ35" s="95">
        <f>IFERROR(INDEX(Parameter!$J$25:$J$28,MATCH(I35,Parameter!$G$25:$G$28,0)),0)</f>
        <v>1.2E-2</v>
      </c>
      <c r="AR35" s="93" t="str">
        <f t="shared" si="4"/>
        <v/>
      </c>
      <c r="AS35" s="93" t="str">
        <f>IF(AND(K35&lt;&gt;"",AM35=1),IF(AND(K35&gt;=DATE(Parameter!$C$7,1,1),K35&lt;=DATE(Parameter!$C$7,12,31)),K35+ROW()/100000,""),"")</f>
        <v/>
      </c>
    </row>
    <row r="36" spans="2:45" ht="18" customHeight="1" x14ac:dyDescent="0.25">
      <c r="B36" s="81">
        <f t="shared" si="0"/>
        <v>29</v>
      </c>
      <c r="C36" s="82" t="s">
        <v>304</v>
      </c>
      <c r="D36" s="83" t="s">
        <v>305</v>
      </c>
      <c r="E36" s="59" t="s">
        <v>145</v>
      </c>
      <c r="F36" s="59" t="s">
        <v>306</v>
      </c>
      <c r="G36" s="59" t="s">
        <v>112</v>
      </c>
      <c r="H36" s="59" t="s">
        <v>123</v>
      </c>
      <c r="I36" s="59" t="s">
        <v>193</v>
      </c>
      <c r="J36" s="84">
        <v>45748</v>
      </c>
      <c r="K36" s="84">
        <v>46660</v>
      </c>
      <c r="L36" s="85">
        <v>18</v>
      </c>
      <c r="M36" s="38">
        <v>1400</v>
      </c>
      <c r="N36" s="86">
        <v>0</v>
      </c>
      <c r="O36" s="41">
        <v>0</v>
      </c>
      <c r="P36" s="59"/>
      <c r="Q36" s="82"/>
      <c r="R36" s="33">
        <f>IF(OR(D36="",L36=""),"",L36/Parameter!$C$13)</f>
        <v>0.45</v>
      </c>
      <c r="S36" s="87">
        <f t="shared" si="1"/>
        <v>1400</v>
      </c>
      <c r="T36" s="88">
        <f>IF(D36="","",AM36*MAX(0,MIN(IF(K36="",DATE(Parameter!$C$7,12,31),K36),DATE(Parameter!$C$7,12,31))-MAX(IF(J36="",DATE(Parameter!$C$7,1,1),J36),DATE(Parameter!$C$7,1,1))+1)/(DATE(Parameter!$C$7,12,31)-DATE(Parameter!$C$7,1,1)+1))</f>
        <v>0.74794520547945209</v>
      </c>
      <c r="U36" s="89" t="str">
        <f>IF(OR(D36="",G36="Bestand",J36=""),"",EDATE(J36,-Parameter!$C$9))</f>
        <v/>
      </c>
      <c r="V36" s="37">
        <f>IF(D36="","",Personalkosten!$AD$61)</f>
        <v>14130.9</v>
      </c>
      <c r="W36" s="90" t="str">
        <f ca="1">IF(D36="","",IF(AND(G36&lt;&gt;"Bestand",AM36=0),"nicht eingeplant",IF(AND(G36&lt;&gt;"Bestand",OR(P36="Offen",P36=""),U36&lt;&gt;"",U36&lt;=TODAY()),"Ausschreibung fällig",IF(AND(I36="Minijob",M36&gt;Parameter!$C$31),"Minijob-Grenze überschritten",IF(AND(N(M36)&gt;0,IFERROR(M36/(L36*13/3),999)&lt;Parameter!$C$30),"Unter Mindestlohn",IF(AND(K36&lt;&gt;"",K36&gt;=DATE(Parameter!$C$7,1,1),K36&lt;=DATE(Parameter!$C$7,12,31),H36="Befristet"),"Befristung endet",IF(AND(K36&lt;&gt;"",K36&gt;=DATE(Parameter!$C$7,1,1),K36&lt;=DATE(Parameter!$C$7,12,31)),"Austritt im Planjahr","")))))))</f>
        <v>Befristung endet</v>
      </c>
      <c r="Y36" s="91">
        <f t="shared" si="6"/>
        <v>0.45</v>
      </c>
      <c r="Z36" s="91">
        <f t="shared" si="6"/>
        <v>0.45</v>
      </c>
      <c r="AA36" s="91">
        <f t="shared" si="6"/>
        <v>0.45</v>
      </c>
      <c r="AB36" s="91">
        <f t="shared" si="6"/>
        <v>0.45</v>
      </c>
      <c r="AC36" s="91">
        <f t="shared" si="6"/>
        <v>0.45</v>
      </c>
      <c r="AD36" s="91">
        <f t="shared" si="6"/>
        <v>0.45</v>
      </c>
      <c r="AE36" s="91">
        <f t="shared" si="6"/>
        <v>0.45</v>
      </c>
      <c r="AF36" s="91">
        <f t="shared" si="6"/>
        <v>0.45</v>
      </c>
      <c r="AG36" s="91">
        <f t="shared" si="6"/>
        <v>0.45</v>
      </c>
      <c r="AH36" s="91">
        <f t="shared" si="6"/>
        <v>0</v>
      </c>
      <c r="AI36" s="91">
        <f t="shared" si="6"/>
        <v>0</v>
      </c>
      <c r="AJ36" s="91">
        <f t="shared" si="6"/>
        <v>0</v>
      </c>
      <c r="AK36" s="92">
        <f t="shared" si="3"/>
        <v>0.33750000000000008</v>
      </c>
      <c r="AM36" s="93">
        <f>IF(D36="",0,IF(G36="Bestand",1,IF(AND(Parameter!$C$8="Ja",Q36&lt;&gt;"Nein",P36&lt;&gt;"Gestrichen"),1,0)))</f>
        <v>1</v>
      </c>
      <c r="AN36" s="94">
        <f>IF(O36="",Parameter!$C$27,O36)</f>
        <v>0</v>
      </c>
      <c r="AO36" s="95">
        <f>IFERROR(INDEX(Parameter!$H$25:$H$28,MATCH(I36,Parameter!$G$25:$G$28,0)),0)</f>
        <v>0.1095</v>
      </c>
      <c r="AP36" s="95">
        <f>IFERROR(INDEX(Parameter!$I$25:$I$28,MATCH(I36,Parameter!$G$25:$G$28,0)),0)</f>
        <v>0</v>
      </c>
      <c r="AQ36" s="95">
        <f>IFERROR(INDEX(Parameter!$J$25:$J$28,MATCH(I36,Parameter!$G$25:$G$28,0)),0)</f>
        <v>1.2E-2</v>
      </c>
      <c r="AR36" s="93" t="str">
        <f t="shared" si="4"/>
        <v/>
      </c>
      <c r="AS36" s="96">
        <f>IF(AND(K36&lt;&gt;"",AM36=1),IF(AND(K36&gt;=DATE(Parameter!$C$7,1,1),K36&lt;=DATE(Parameter!$C$7,12,31)),K36+ROW()/100000,""),"")</f>
        <v>46660.000359999998</v>
      </c>
    </row>
    <row r="37" spans="2:45" ht="18" customHeight="1" x14ac:dyDescent="0.25">
      <c r="B37" s="81">
        <f t="shared" si="0"/>
        <v>30</v>
      </c>
      <c r="C37" s="82" t="s">
        <v>307</v>
      </c>
      <c r="D37" s="83" t="s">
        <v>308</v>
      </c>
      <c r="E37" s="59" t="s">
        <v>152</v>
      </c>
      <c r="F37" s="59" t="s">
        <v>309</v>
      </c>
      <c r="G37" s="59" t="s">
        <v>112</v>
      </c>
      <c r="H37" s="59" t="s">
        <v>113</v>
      </c>
      <c r="I37" s="59" t="s">
        <v>188</v>
      </c>
      <c r="J37" s="84">
        <v>42248</v>
      </c>
      <c r="K37" s="84"/>
      <c r="L37" s="85">
        <v>40</v>
      </c>
      <c r="M37" s="38">
        <v>7000</v>
      </c>
      <c r="N37" s="86">
        <v>0.5</v>
      </c>
      <c r="O37" s="41"/>
      <c r="P37" s="59"/>
      <c r="Q37" s="82"/>
      <c r="R37" s="33">
        <f>IF(OR(D37="",L37=""),"",L37/Parameter!$C$13)</f>
        <v>1</v>
      </c>
      <c r="S37" s="87">
        <f t="shared" si="1"/>
        <v>7210</v>
      </c>
      <c r="T37" s="88">
        <f>IF(D37="","",AM37*MAX(0,MIN(IF(K37="",DATE(Parameter!$C$7,12,31),K37),DATE(Parameter!$C$7,12,31))-MAX(IF(J37="",DATE(Parameter!$C$7,1,1),J37),DATE(Parameter!$C$7,1,1))+1)/(DATE(Parameter!$C$7,12,31)-DATE(Parameter!$C$7,1,1)+1))</f>
        <v>1</v>
      </c>
      <c r="U37" s="89" t="str">
        <f>IF(OR(D37="",G37="Bestand",J37=""),"",EDATE(J37,-Parameter!$C$9))</f>
        <v/>
      </c>
      <c r="V37" s="37">
        <f>IF(D37="","",Personalkosten!$AD$62)</f>
        <v>109255.855</v>
      </c>
      <c r="W37" s="90" t="str">
        <f ca="1">IF(D37="","",IF(AND(G37&lt;&gt;"Bestand",AM37=0),"nicht eingeplant",IF(AND(G37&lt;&gt;"Bestand",OR(P37="Offen",P37=""),U37&lt;&gt;"",U37&lt;=TODAY()),"Ausschreibung fällig",IF(AND(I37="Minijob",M37&gt;Parameter!$C$31),"Minijob-Grenze überschritten",IF(AND(N(M37)&gt;0,IFERROR(M37/(L37*13/3),999)&lt;Parameter!$C$30),"Unter Mindestlohn",IF(AND(K37&lt;&gt;"",K37&gt;=DATE(Parameter!$C$7,1,1),K37&lt;=DATE(Parameter!$C$7,12,31),H37="Befristet"),"Befristung endet",IF(AND(K37&lt;&gt;"",K37&gt;=DATE(Parameter!$C$7,1,1),K37&lt;=DATE(Parameter!$C$7,12,31)),"Austritt im Planjahr","")))))))</f>
        <v/>
      </c>
      <c r="Y37" s="91">
        <f t="shared" si="6"/>
        <v>1</v>
      </c>
      <c r="Z37" s="91">
        <f t="shared" si="6"/>
        <v>1</v>
      </c>
      <c r="AA37" s="91">
        <f t="shared" si="6"/>
        <v>1</v>
      </c>
      <c r="AB37" s="91">
        <f t="shared" si="6"/>
        <v>1</v>
      </c>
      <c r="AC37" s="91">
        <f t="shared" si="6"/>
        <v>1</v>
      </c>
      <c r="AD37" s="91">
        <f t="shared" si="6"/>
        <v>1</v>
      </c>
      <c r="AE37" s="91">
        <f t="shared" si="6"/>
        <v>1</v>
      </c>
      <c r="AF37" s="91">
        <f t="shared" si="6"/>
        <v>1</v>
      </c>
      <c r="AG37" s="91">
        <f t="shared" si="6"/>
        <v>1</v>
      </c>
      <c r="AH37" s="91">
        <f t="shared" si="6"/>
        <v>1</v>
      </c>
      <c r="AI37" s="91">
        <f t="shared" si="6"/>
        <v>1</v>
      </c>
      <c r="AJ37" s="91">
        <f t="shared" si="6"/>
        <v>1</v>
      </c>
      <c r="AK37" s="92">
        <f t="shared" si="3"/>
        <v>1</v>
      </c>
      <c r="AM37" s="93">
        <f>IF(D37="",0,IF(G37="Bestand",1,IF(AND(Parameter!$C$8="Ja",Q37&lt;&gt;"Nein",P37&lt;&gt;"Gestrichen"),1,0)))</f>
        <v>1</v>
      </c>
      <c r="AN37" s="94">
        <f>IF(O37="",Parameter!$C$27,O37)</f>
        <v>0.03</v>
      </c>
      <c r="AO37" s="95">
        <f>IFERROR(INDEX(Parameter!$H$25:$H$28,MATCH(I37,Parameter!$G$25:$G$28,0)),0)</f>
        <v>0.1225</v>
      </c>
      <c r="AP37" s="95">
        <f>IFERROR(INDEX(Parameter!$I$25:$I$28,MATCH(I37,Parameter!$G$25:$G$28,0)),0)</f>
        <v>0.1055</v>
      </c>
      <c r="AQ37" s="95">
        <f>IFERROR(INDEX(Parameter!$J$25:$J$28,MATCH(I37,Parameter!$G$25:$G$28,0)),0)</f>
        <v>1.2E-2</v>
      </c>
      <c r="AR37" s="93" t="str">
        <f t="shared" si="4"/>
        <v/>
      </c>
      <c r="AS37" s="93" t="str">
        <f>IF(AND(K37&lt;&gt;"",AM37=1),IF(AND(K37&gt;=DATE(Parameter!$C$7,1,1),K37&lt;=DATE(Parameter!$C$7,12,31)),K37+ROW()/100000,""),"")</f>
        <v/>
      </c>
    </row>
    <row r="38" spans="2:45" ht="18" customHeight="1" x14ac:dyDescent="0.25">
      <c r="B38" s="81">
        <f t="shared" si="0"/>
        <v>31</v>
      </c>
      <c r="C38" s="82" t="s">
        <v>310</v>
      </c>
      <c r="D38" s="83" t="s">
        <v>311</v>
      </c>
      <c r="E38" s="59" t="s">
        <v>152</v>
      </c>
      <c r="F38" s="59" t="s">
        <v>312</v>
      </c>
      <c r="G38" s="59" t="s">
        <v>112</v>
      </c>
      <c r="H38" s="59" t="s">
        <v>113</v>
      </c>
      <c r="I38" s="59" t="s">
        <v>188</v>
      </c>
      <c r="J38" s="84">
        <v>43101</v>
      </c>
      <c r="K38" s="84"/>
      <c r="L38" s="85">
        <v>40</v>
      </c>
      <c r="M38" s="38">
        <v>4100</v>
      </c>
      <c r="N38" s="86">
        <v>1</v>
      </c>
      <c r="O38" s="41"/>
      <c r="P38" s="59"/>
      <c r="Q38" s="82"/>
      <c r="R38" s="33">
        <f>IF(OR(D38="",L38=""),"",L38/Parameter!$C$13)</f>
        <v>1</v>
      </c>
      <c r="S38" s="87">
        <f t="shared" si="1"/>
        <v>4223</v>
      </c>
      <c r="T38" s="88">
        <f>IF(D38="","",AM38*MAX(0,MIN(IF(K38="",DATE(Parameter!$C$7,12,31),K38),DATE(Parameter!$C$7,12,31))-MAX(IF(J38="",DATE(Parameter!$C$7,1,1),J38),DATE(Parameter!$C$7,1,1))+1)/(DATE(Parameter!$C$7,12,31)-DATE(Parameter!$C$7,1,1)+1))</f>
        <v>1</v>
      </c>
      <c r="U38" s="89" t="str">
        <f>IF(OR(D38="",G38="Bestand",J38=""),"",EDATE(J38,-Parameter!$C$9))</f>
        <v/>
      </c>
      <c r="V38" s="37">
        <f>IF(D38="","",Personalkosten!$AD$63)</f>
        <v>67259.165999999997</v>
      </c>
      <c r="W38" s="90" t="str">
        <f ca="1">IF(D38="","",IF(AND(G38&lt;&gt;"Bestand",AM38=0),"nicht eingeplant",IF(AND(G38&lt;&gt;"Bestand",OR(P38="Offen",P38=""),U38&lt;&gt;"",U38&lt;=TODAY()),"Ausschreibung fällig",IF(AND(I38="Minijob",M38&gt;Parameter!$C$31),"Minijob-Grenze überschritten",IF(AND(N(M38)&gt;0,IFERROR(M38/(L38*13/3),999)&lt;Parameter!$C$30),"Unter Mindestlohn",IF(AND(K38&lt;&gt;"",K38&gt;=DATE(Parameter!$C$7,1,1),K38&lt;=DATE(Parameter!$C$7,12,31),H38="Befristet"),"Befristung endet",IF(AND(K38&lt;&gt;"",K38&gt;=DATE(Parameter!$C$7,1,1),K38&lt;=DATE(Parameter!$C$7,12,31)),"Austritt im Planjahr","")))))))</f>
        <v/>
      </c>
      <c r="Y38" s="91">
        <f t="shared" ref="Y38:AJ47" si="7">IF($R38="","",$AM38*$R38*MAX(0,MIN(IF($K38="",DATE(9999,12,31),$K38),EOMONTH(Y$6,0))-MAX(IF($J38="",Y$6,$J38),Y$6)+1)/DAY(EOMONTH(Y$6,0)))</f>
        <v>1</v>
      </c>
      <c r="Z38" s="91">
        <f t="shared" si="7"/>
        <v>1</v>
      </c>
      <c r="AA38" s="91">
        <f t="shared" si="7"/>
        <v>1</v>
      </c>
      <c r="AB38" s="91">
        <f t="shared" si="7"/>
        <v>1</v>
      </c>
      <c r="AC38" s="91">
        <f t="shared" si="7"/>
        <v>1</v>
      </c>
      <c r="AD38" s="91">
        <f t="shared" si="7"/>
        <v>1</v>
      </c>
      <c r="AE38" s="91">
        <f t="shared" si="7"/>
        <v>1</v>
      </c>
      <c r="AF38" s="91">
        <f t="shared" si="7"/>
        <v>1</v>
      </c>
      <c r="AG38" s="91">
        <f t="shared" si="7"/>
        <v>1</v>
      </c>
      <c r="AH38" s="91">
        <f t="shared" si="7"/>
        <v>1</v>
      </c>
      <c r="AI38" s="91">
        <f t="shared" si="7"/>
        <v>1</v>
      </c>
      <c r="AJ38" s="91">
        <f t="shared" si="7"/>
        <v>1</v>
      </c>
      <c r="AK38" s="92">
        <f t="shared" si="3"/>
        <v>1</v>
      </c>
      <c r="AM38" s="93">
        <f>IF(D38="",0,IF(G38="Bestand",1,IF(AND(Parameter!$C$8="Ja",Q38&lt;&gt;"Nein",P38&lt;&gt;"Gestrichen"),1,0)))</f>
        <v>1</v>
      </c>
      <c r="AN38" s="94">
        <f>IF(O38="",Parameter!$C$27,O38)</f>
        <v>0.03</v>
      </c>
      <c r="AO38" s="95">
        <f>IFERROR(INDEX(Parameter!$H$25:$H$28,MATCH(I38,Parameter!$G$25:$G$28,0)),0)</f>
        <v>0.1225</v>
      </c>
      <c r="AP38" s="95">
        <f>IFERROR(INDEX(Parameter!$I$25:$I$28,MATCH(I38,Parameter!$G$25:$G$28,0)),0)</f>
        <v>0.1055</v>
      </c>
      <c r="AQ38" s="95">
        <f>IFERROR(INDEX(Parameter!$J$25:$J$28,MATCH(I38,Parameter!$G$25:$G$28,0)),0)</f>
        <v>1.2E-2</v>
      </c>
      <c r="AR38" s="93" t="str">
        <f t="shared" si="4"/>
        <v/>
      </c>
      <c r="AS38" s="93" t="str">
        <f>IF(AND(K38&lt;&gt;"",AM38=1),IF(AND(K38&gt;=DATE(Parameter!$C$7,1,1),K38&lt;=DATE(Parameter!$C$7,12,31)),K38+ROW()/100000,""),"")</f>
        <v/>
      </c>
    </row>
    <row r="39" spans="2:45" ht="18" customHeight="1" x14ac:dyDescent="0.25">
      <c r="B39" s="81">
        <f t="shared" si="0"/>
        <v>32</v>
      </c>
      <c r="C39" s="82" t="s">
        <v>313</v>
      </c>
      <c r="D39" s="83" t="s">
        <v>314</v>
      </c>
      <c r="E39" s="59" t="s">
        <v>152</v>
      </c>
      <c r="F39" s="59" t="s">
        <v>315</v>
      </c>
      <c r="G39" s="59" t="s">
        <v>112</v>
      </c>
      <c r="H39" s="59" t="s">
        <v>113</v>
      </c>
      <c r="I39" s="59" t="s">
        <v>188</v>
      </c>
      <c r="J39" s="84">
        <v>44682</v>
      </c>
      <c r="K39" s="84"/>
      <c r="L39" s="85">
        <v>32</v>
      </c>
      <c r="M39" s="38">
        <v>3900</v>
      </c>
      <c r="N39" s="86">
        <v>1</v>
      </c>
      <c r="O39" s="41"/>
      <c r="P39" s="59"/>
      <c r="Q39" s="82"/>
      <c r="R39" s="33">
        <f>IF(OR(D39="",L39=""),"",L39/Parameter!$C$13)</f>
        <v>0.8</v>
      </c>
      <c r="S39" s="87">
        <f t="shared" si="1"/>
        <v>4017</v>
      </c>
      <c r="T39" s="88">
        <f>IF(D39="","",AM39*MAX(0,MIN(IF(K39="",DATE(Parameter!$C$7,12,31),K39),DATE(Parameter!$C$7,12,31))-MAX(IF(J39="",DATE(Parameter!$C$7,1,1),J39),DATE(Parameter!$C$7,1,1))+1)/(DATE(Parameter!$C$7,12,31)-DATE(Parameter!$C$7,1,1)+1))</f>
        <v>1</v>
      </c>
      <c r="U39" s="89" t="str">
        <f>IF(OR(D39="",G39="Bestand",J39=""),"",EDATE(J39,-Parameter!$C$9))</f>
        <v/>
      </c>
      <c r="V39" s="37">
        <f>IF(D39="","",Personalkosten!$AD$64)</f>
        <v>64011.038999999997</v>
      </c>
      <c r="W39" s="90" t="str">
        <f ca="1">IF(D39="","",IF(AND(G39&lt;&gt;"Bestand",AM39=0),"nicht eingeplant",IF(AND(G39&lt;&gt;"Bestand",OR(P39="Offen",P39=""),U39&lt;&gt;"",U39&lt;=TODAY()),"Ausschreibung fällig",IF(AND(I39="Minijob",M39&gt;Parameter!$C$31),"Minijob-Grenze überschritten",IF(AND(N(M39)&gt;0,IFERROR(M39/(L39*13/3),999)&lt;Parameter!$C$30),"Unter Mindestlohn",IF(AND(K39&lt;&gt;"",K39&gt;=DATE(Parameter!$C$7,1,1),K39&lt;=DATE(Parameter!$C$7,12,31),H39="Befristet"),"Befristung endet",IF(AND(K39&lt;&gt;"",K39&gt;=DATE(Parameter!$C$7,1,1),K39&lt;=DATE(Parameter!$C$7,12,31)),"Austritt im Planjahr","")))))))</f>
        <v/>
      </c>
      <c r="Y39" s="91">
        <f t="shared" si="7"/>
        <v>0.8</v>
      </c>
      <c r="Z39" s="91">
        <f t="shared" si="7"/>
        <v>0.8</v>
      </c>
      <c r="AA39" s="91">
        <f t="shared" si="7"/>
        <v>0.8</v>
      </c>
      <c r="AB39" s="91">
        <f t="shared" si="7"/>
        <v>0.8</v>
      </c>
      <c r="AC39" s="91">
        <f t="shared" si="7"/>
        <v>0.8</v>
      </c>
      <c r="AD39" s="91">
        <f t="shared" si="7"/>
        <v>0.8</v>
      </c>
      <c r="AE39" s="91">
        <f t="shared" si="7"/>
        <v>0.8</v>
      </c>
      <c r="AF39" s="91">
        <f t="shared" si="7"/>
        <v>0.8</v>
      </c>
      <c r="AG39" s="91">
        <f t="shared" si="7"/>
        <v>0.8</v>
      </c>
      <c r="AH39" s="91">
        <f t="shared" si="7"/>
        <v>0.8</v>
      </c>
      <c r="AI39" s="91">
        <f t="shared" si="7"/>
        <v>0.8</v>
      </c>
      <c r="AJ39" s="91">
        <f t="shared" si="7"/>
        <v>0.8</v>
      </c>
      <c r="AK39" s="92">
        <f t="shared" si="3"/>
        <v>0.79999999999999993</v>
      </c>
      <c r="AM39" s="93">
        <f>IF(D39="",0,IF(G39="Bestand",1,IF(AND(Parameter!$C$8="Ja",Q39&lt;&gt;"Nein",P39&lt;&gt;"Gestrichen"),1,0)))</f>
        <v>1</v>
      </c>
      <c r="AN39" s="94">
        <f>IF(O39="",Parameter!$C$27,O39)</f>
        <v>0.03</v>
      </c>
      <c r="AO39" s="95">
        <f>IFERROR(INDEX(Parameter!$H$25:$H$28,MATCH(I39,Parameter!$G$25:$G$28,0)),0)</f>
        <v>0.1225</v>
      </c>
      <c r="AP39" s="95">
        <f>IFERROR(INDEX(Parameter!$I$25:$I$28,MATCH(I39,Parameter!$G$25:$G$28,0)),0)</f>
        <v>0.1055</v>
      </c>
      <c r="AQ39" s="95">
        <f>IFERROR(INDEX(Parameter!$J$25:$J$28,MATCH(I39,Parameter!$G$25:$G$28,0)),0)</f>
        <v>1.2E-2</v>
      </c>
      <c r="AR39" s="93" t="str">
        <f t="shared" si="4"/>
        <v/>
      </c>
      <c r="AS39" s="93" t="str">
        <f>IF(AND(K39&lt;&gt;"",AM39=1),IF(AND(K39&gt;=DATE(Parameter!$C$7,1,1),K39&lt;=DATE(Parameter!$C$7,12,31)),K39+ROW()/100000,""),"")</f>
        <v/>
      </c>
    </row>
    <row r="40" spans="2:45" ht="18" customHeight="1" x14ac:dyDescent="0.25">
      <c r="B40" s="81">
        <f t="shared" ref="B40:B67" si="8">IF(D40="","",ROW()-7)</f>
        <v>33</v>
      </c>
      <c r="C40" s="82" t="s">
        <v>316</v>
      </c>
      <c r="D40" s="83" t="s">
        <v>317</v>
      </c>
      <c r="E40" s="59" t="s">
        <v>6</v>
      </c>
      <c r="F40" s="59" t="s">
        <v>318</v>
      </c>
      <c r="G40" s="59" t="s">
        <v>112</v>
      </c>
      <c r="H40" s="59" t="s">
        <v>113</v>
      </c>
      <c r="I40" s="59" t="s">
        <v>188</v>
      </c>
      <c r="J40" s="84">
        <v>42583</v>
      </c>
      <c r="K40" s="84"/>
      <c r="L40" s="85">
        <v>40</v>
      </c>
      <c r="M40" s="38">
        <v>5900</v>
      </c>
      <c r="N40" s="86">
        <v>0.5</v>
      </c>
      <c r="O40" s="41"/>
      <c r="P40" s="59"/>
      <c r="Q40" s="82"/>
      <c r="R40" s="33">
        <f>IF(OR(D40="",L40=""),"",L40/Parameter!$C$13)</f>
        <v>1</v>
      </c>
      <c r="S40" s="87">
        <f t="shared" ref="S40:S67" si="9">IF(M40="","",M40*(1+AN40))</f>
        <v>6077</v>
      </c>
      <c r="T40" s="88">
        <f>IF(D40="","",AM40*MAX(0,MIN(IF(K40="",DATE(Parameter!$C$7,12,31),K40),DATE(Parameter!$C$7,12,31))-MAX(IF(J40="",DATE(Parameter!$C$7,1,1),J40),DATE(Parameter!$C$7,1,1))+1)/(DATE(Parameter!$C$7,12,31)-DATE(Parameter!$C$7,1,1)+1))</f>
        <v>1</v>
      </c>
      <c r="U40" s="89" t="str">
        <f>IF(OR(D40="",G40="Bestand",J40=""),"",EDATE(J40,-Parameter!$C$9))</f>
        <v/>
      </c>
      <c r="V40" s="37">
        <f>IF(D40="","",Personalkosten!$AD$65)</f>
        <v>93123.85149999999</v>
      </c>
      <c r="W40" s="90" t="str">
        <f ca="1">IF(D40="","",IF(AND(G40&lt;&gt;"Bestand",AM40=0),"nicht eingeplant",IF(AND(G40&lt;&gt;"Bestand",OR(P40="Offen",P40=""),U40&lt;&gt;"",U40&lt;=TODAY()),"Ausschreibung fällig",IF(AND(I40="Minijob",M40&gt;Parameter!$C$31),"Minijob-Grenze überschritten",IF(AND(N(M40)&gt;0,IFERROR(M40/(L40*13/3),999)&lt;Parameter!$C$30),"Unter Mindestlohn",IF(AND(K40&lt;&gt;"",K40&gt;=DATE(Parameter!$C$7,1,1),K40&lt;=DATE(Parameter!$C$7,12,31),H40="Befristet"),"Befristung endet",IF(AND(K40&lt;&gt;"",K40&gt;=DATE(Parameter!$C$7,1,1),K40&lt;=DATE(Parameter!$C$7,12,31)),"Austritt im Planjahr","")))))))</f>
        <v/>
      </c>
      <c r="Y40" s="91">
        <f t="shared" si="7"/>
        <v>1</v>
      </c>
      <c r="Z40" s="91">
        <f t="shared" si="7"/>
        <v>1</v>
      </c>
      <c r="AA40" s="91">
        <f t="shared" si="7"/>
        <v>1</v>
      </c>
      <c r="AB40" s="91">
        <f t="shared" si="7"/>
        <v>1</v>
      </c>
      <c r="AC40" s="91">
        <f t="shared" si="7"/>
        <v>1</v>
      </c>
      <c r="AD40" s="91">
        <f t="shared" si="7"/>
        <v>1</v>
      </c>
      <c r="AE40" s="91">
        <f t="shared" si="7"/>
        <v>1</v>
      </c>
      <c r="AF40" s="91">
        <f t="shared" si="7"/>
        <v>1</v>
      </c>
      <c r="AG40" s="91">
        <f t="shared" si="7"/>
        <v>1</v>
      </c>
      <c r="AH40" s="91">
        <f t="shared" si="7"/>
        <v>1</v>
      </c>
      <c r="AI40" s="91">
        <f t="shared" si="7"/>
        <v>1</v>
      </c>
      <c r="AJ40" s="91">
        <f t="shared" si="7"/>
        <v>1</v>
      </c>
      <c r="AK40" s="92">
        <f t="shared" ref="AK40:AK71" si="10">IF(R40="","",AVERAGE(Y40:AJ40))</f>
        <v>1</v>
      </c>
      <c r="AM40" s="93">
        <f>IF(D40="",0,IF(G40="Bestand",1,IF(AND(Parameter!$C$8="Ja",Q40&lt;&gt;"Nein",P40&lt;&gt;"Gestrichen"),1,0)))</f>
        <v>1</v>
      </c>
      <c r="AN40" s="94">
        <f>IF(O40="",Parameter!$C$27,O40)</f>
        <v>0.03</v>
      </c>
      <c r="AO40" s="95">
        <f>IFERROR(INDEX(Parameter!$H$25:$H$28,MATCH(I40,Parameter!$G$25:$G$28,0)),0)</f>
        <v>0.1225</v>
      </c>
      <c r="AP40" s="95">
        <f>IFERROR(INDEX(Parameter!$I$25:$I$28,MATCH(I40,Parameter!$G$25:$G$28,0)),0)</f>
        <v>0.1055</v>
      </c>
      <c r="AQ40" s="95">
        <f>IFERROR(INDEX(Parameter!$J$25:$J$28,MATCH(I40,Parameter!$G$25:$G$28,0)),0)</f>
        <v>1.2E-2</v>
      </c>
      <c r="AR40" s="93" t="str">
        <f t="shared" ref="AR40:AR67" si="11">IF(AND(G40&lt;&gt;"Bestand",G40&lt;&gt;"",AM40=1,P40&lt;&gt;"Besetzt",U40&lt;&gt;""),U40+ROW()/100000,"")</f>
        <v/>
      </c>
      <c r="AS40" s="93" t="str">
        <f>IF(AND(K40&lt;&gt;"",AM40=1),IF(AND(K40&gt;=DATE(Parameter!$C$7,1,1),K40&lt;=DATE(Parameter!$C$7,12,31)),K40+ROW()/100000,""),"")</f>
        <v/>
      </c>
    </row>
    <row r="41" spans="2:45" ht="18" customHeight="1" x14ac:dyDescent="0.25">
      <c r="B41" s="81">
        <f t="shared" si="8"/>
        <v>34</v>
      </c>
      <c r="C41" s="82" t="s">
        <v>319</v>
      </c>
      <c r="D41" s="83" t="s">
        <v>320</v>
      </c>
      <c r="E41" s="59" t="s">
        <v>6</v>
      </c>
      <c r="F41" s="59" t="s">
        <v>321</v>
      </c>
      <c r="G41" s="59" t="s">
        <v>112</v>
      </c>
      <c r="H41" s="59" t="s">
        <v>113</v>
      </c>
      <c r="I41" s="59" t="s">
        <v>188</v>
      </c>
      <c r="J41" s="84">
        <v>44501</v>
      </c>
      <c r="K41" s="84"/>
      <c r="L41" s="85">
        <v>30</v>
      </c>
      <c r="M41" s="38">
        <v>3300</v>
      </c>
      <c r="N41" s="86">
        <v>1</v>
      </c>
      <c r="O41" s="41"/>
      <c r="P41" s="59"/>
      <c r="Q41" s="82"/>
      <c r="R41" s="33">
        <f>IF(OR(D41="",L41=""),"",L41/Parameter!$C$13)</f>
        <v>0.75</v>
      </c>
      <c r="S41" s="87">
        <f t="shared" si="9"/>
        <v>3399</v>
      </c>
      <c r="T41" s="88">
        <f>IF(D41="","",AM41*MAX(0,MIN(IF(K41="",DATE(Parameter!$C$7,12,31),K41),DATE(Parameter!$C$7,12,31))-MAX(IF(J41="",DATE(Parameter!$C$7,1,1),J41),DATE(Parameter!$C$7,1,1))+1)/(DATE(Parameter!$C$7,12,31)-DATE(Parameter!$C$7,1,1)+1))</f>
        <v>1</v>
      </c>
      <c r="U41" s="89" t="str">
        <f>IF(OR(D41="",G41="Bestand",J41=""),"",EDATE(J41,-Parameter!$C$9))</f>
        <v/>
      </c>
      <c r="V41" s="37">
        <f>IF(D41="","",Personalkosten!$AD$66)</f>
        <v>54266.658000000003</v>
      </c>
      <c r="W41" s="90" t="str">
        <f ca="1">IF(D41="","",IF(AND(G41&lt;&gt;"Bestand",AM41=0),"nicht eingeplant",IF(AND(G41&lt;&gt;"Bestand",OR(P41="Offen",P41=""),U41&lt;&gt;"",U41&lt;=TODAY()),"Ausschreibung fällig",IF(AND(I41="Minijob",M41&gt;Parameter!$C$31),"Minijob-Grenze überschritten",IF(AND(N(M41)&gt;0,IFERROR(M41/(L41*13/3),999)&lt;Parameter!$C$30),"Unter Mindestlohn",IF(AND(K41&lt;&gt;"",K41&gt;=DATE(Parameter!$C$7,1,1),K41&lt;=DATE(Parameter!$C$7,12,31),H41="Befristet"),"Befristung endet",IF(AND(K41&lt;&gt;"",K41&gt;=DATE(Parameter!$C$7,1,1),K41&lt;=DATE(Parameter!$C$7,12,31)),"Austritt im Planjahr","")))))))</f>
        <v/>
      </c>
      <c r="Y41" s="91">
        <f t="shared" si="7"/>
        <v>0.75</v>
      </c>
      <c r="Z41" s="91">
        <f t="shared" si="7"/>
        <v>0.75</v>
      </c>
      <c r="AA41" s="91">
        <f t="shared" si="7"/>
        <v>0.75</v>
      </c>
      <c r="AB41" s="91">
        <f t="shared" si="7"/>
        <v>0.75</v>
      </c>
      <c r="AC41" s="91">
        <f t="shared" si="7"/>
        <v>0.75</v>
      </c>
      <c r="AD41" s="91">
        <f t="shared" si="7"/>
        <v>0.75</v>
      </c>
      <c r="AE41" s="91">
        <f t="shared" si="7"/>
        <v>0.75</v>
      </c>
      <c r="AF41" s="91">
        <f t="shared" si="7"/>
        <v>0.75</v>
      </c>
      <c r="AG41" s="91">
        <f t="shared" si="7"/>
        <v>0.75</v>
      </c>
      <c r="AH41" s="91">
        <f t="shared" si="7"/>
        <v>0.75</v>
      </c>
      <c r="AI41" s="91">
        <f t="shared" si="7"/>
        <v>0.75</v>
      </c>
      <c r="AJ41" s="91">
        <f t="shared" si="7"/>
        <v>0.75</v>
      </c>
      <c r="AK41" s="92">
        <f t="shared" si="10"/>
        <v>0.75</v>
      </c>
      <c r="AM41" s="93">
        <f>IF(D41="",0,IF(G41="Bestand",1,IF(AND(Parameter!$C$8="Ja",Q41&lt;&gt;"Nein",P41&lt;&gt;"Gestrichen"),1,0)))</f>
        <v>1</v>
      </c>
      <c r="AN41" s="94">
        <f>IF(O41="",Parameter!$C$27,O41)</f>
        <v>0.03</v>
      </c>
      <c r="AO41" s="95">
        <f>IFERROR(INDEX(Parameter!$H$25:$H$28,MATCH(I41,Parameter!$G$25:$G$28,0)),0)</f>
        <v>0.1225</v>
      </c>
      <c r="AP41" s="95">
        <f>IFERROR(INDEX(Parameter!$I$25:$I$28,MATCH(I41,Parameter!$G$25:$G$28,0)),0)</f>
        <v>0.1055</v>
      </c>
      <c r="AQ41" s="95">
        <f>IFERROR(INDEX(Parameter!$J$25:$J$28,MATCH(I41,Parameter!$G$25:$G$28,0)),0)</f>
        <v>1.2E-2</v>
      </c>
      <c r="AR41" s="93" t="str">
        <f t="shared" si="11"/>
        <v/>
      </c>
      <c r="AS41" s="93" t="str">
        <f>IF(AND(K41&lt;&gt;"",AM41=1),IF(AND(K41&gt;=DATE(Parameter!$C$7,1,1),K41&lt;=DATE(Parameter!$C$7,12,31)),K41+ROW()/100000,""),"")</f>
        <v/>
      </c>
    </row>
    <row r="42" spans="2:45" ht="18" customHeight="1" x14ac:dyDescent="0.25">
      <c r="B42" s="81">
        <f t="shared" si="8"/>
        <v>35</v>
      </c>
      <c r="C42" s="82" t="s">
        <v>322</v>
      </c>
      <c r="D42" s="83" t="s">
        <v>323</v>
      </c>
      <c r="E42" s="59" t="s">
        <v>121</v>
      </c>
      <c r="F42" s="59" t="s">
        <v>239</v>
      </c>
      <c r="G42" s="59" t="s">
        <v>122</v>
      </c>
      <c r="H42" s="59" t="s">
        <v>113</v>
      </c>
      <c r="I42" s="59" t="s">
        <v>188</v>
      </c>
      <c r="J42" s="84">
        <v>46388</v>
      </c>
      <c r="K42" s="84"/>
      <c r="L42" s="85">
        <v>40</v>
      </c>
      <c r="M42" s="38">
        <v>5400</v>
      </c>
      <c r="N42" s="86">
        <v>1</v>
      </c>
      <c r="O42" s="41">
        <v>0</v>
      </c>
      <c r="P42" s="59" t="s">
        <v>114</v>
      </c>
      <c r="Q42" s="82" t="s">
        <v>117</v>
      </c>
      <c r="R42" s="33">
        <f>IF(OR(D42="",L42=""),"",L42/Parameter!$C$13)</f>
        <v>1</v>
      </c>
      <c r="S42" s="87">
        <f t="shared" si="9"/>
        <v>5400</v>
      </c>
      <c r="T42" s="88">
        <f>IF(D42="","",AM42*MAX(0,MIN(IF(K42="",DATE(Parameter!$C$7,12,31),K42),DATE(Parameter!$C$7,12,31))-MAX(IF(J42="",DATE(Parameter!$C$7,1,1),J42),DATE(Parameter!$C$7,1,1))+1)/(DATE(Parameter!$C$7,12,31)-DATE(Parameter!$C$7,1,1)+1))</f>
        <v>1</v>
      </c>
      <c r="U42" s="89">
        <f>IF(OR(D42="",G42="Bestand",J42=""),"",EDATE(J42,-Parameter!$C$9))</f>
        <v>46296</v>
      </c>
      <c r="V42" s="37">
        <f>IF(D42="","",Personalkosten!$AD$67)</f>
        <v>86342.287500000006</v>
      </c>
      <c r="W42" s="90" t="str">
        <f ca="1">IF(D42="","",IF(AND(G42&lt;&gt;"Bestand",AM42=0),"nicht eingeplant",IF(AND(G42&lt;&gt;"Bestand",OR(P42="Offen",P42=""),U42&lt;&gt;"",U42&lt;=TODAY()),"Ausschreibung fällig",IF(AND(I42="Minijob",M42&gt;Parameter!$C$31),"Minijob-Grenze überschritten",IF(AND(N(M42)&gt;0,IFERROR(M42/(L42*13/3),999)&lt;Parameter!$C$30),"Unter Mindestlohn",IF(AND(K42&lt;&gt;"",K42&gt;=DATE(Parameter!$C$7,1,1),K42&lt;=DATE(Parameter!$C$7,12,31),H42="Befristet"),"Befristung endet",IF(AND(K42&lt;&gt;"",K42&gt;=DATE(Parameter!$C$7,1,1),K42&lt;=DATE(Parameter!$C$7,12,31)),"Austritt im Planjahr","")))))))</f>
        <v>Ausschreibung fällig</v>
      </c>
      <c r="Y42" s="91">
        <f t="shared" si="7"/>
        <v>1</v>
      </c>
      <c r="Z42" s="91">
        <f t="shared" si="7"/>
        <v>1</v>
      </c>
      <c r="AA42" s="91">
        <f t="shared" si="7"/>
        <v>1</v>
      </c>
      <c r="AB42" s="91">
        <f t="shared" si="7"/>
        <v>1</v>
      </c>
      <c r="AC42" s="91">
        <f t="shared" si="7"/>
        <v>1</v>
      </c>
      <c r="AD42" s="91">
        <f t="shared" si="7"/>
        <v>1</v>
      </c>
      <c r="AE42" s="91">
        <f t="shared" si="7"/>
        <v>1</v>
      </c>
      <c r="AF42" s="91">
        <f t="shared" si="7"/>
        <v>1</v>
      </c>
      <c r="AG42" s="91">
        <f t="shared" si="7"/>
        <v>1</v>
      </c>
      <c r="AH42" s="91">
        <f t="shared" si="7"/>
        <v>1</v>
      </c>
      <c r="AI42" s="91">
        <f t="shared" si="7"/>
        <v>1</v>
      </c>
      <c r="AJ42" s="91">
        <f t="shared" si="7"/>
        <v>1</v>
      </c>
      <c r="AK42" s="92">
        <f t="shared" si="10"/>
        <v>1</v>
      </c>
      <c r="AM42" s="93">
        <f>IF(D42="",0,IF(G42="Bestand",1,IF(AND(Parameter!$C$8="Ja",Q42&lt;&gt;"Nein",P42&lt;&gt;"Gestrichen"),1,0)))</f>
        <v>1</v>
      </c>
      <c r="AN42" s="94">
        <f>IF(O42="",Parameter!$C$27,O42)</f>
        <v>0</v>
      </c>
      <c r="AO42" s="95">
        <f>IFERROR(INDEX(Parameter!$H$25:$H$28,MATCH(I42,Parameter!$G$25:$G$28,0)),0)</f>
        <v>0.1225</v>
      </c>
      <c r="AP42" s="95">
        <f>IFERROR(INDEX(Parameter!$I$25:$I$28,MATCH(I42,Parameter!$G$25:$G$28,0)),0)</f>
        <v>0.1055</v>
      </c>
      <c r="AQ42" s="95">
        <f>IFERROR(INDEX(Parameter!$J$25:$J$28,MATCH(I42,Parameter!$G$25:$G$28,0)),0)</f>
        <v>1.2E-2</v>
      </c>
      <c r="AR42" s="96">
        <f t="shared" si="11"/>
        <v>46296.000419999997</v>
      </c>
      <c r="AS42" s="93" t="str">
        <f>IF(AND(K42&lt;&gt;"",AM42=1),IF(AND(K42&gt;=DATE(Parameter!$C$7,1,1),K42&lt;=DATE(Parameter!$C$7,12,31)),K42+ROW()/100000,""),"")</f>
        <v/>
      </c>
    </row>
    <row r="43" spans="2:45" ht="18" customHeight="1" x14ac:dyDescent="0.25">
      <c r="B43" s="81">
        <f t="shared" si="8"/>
        <v>36</v>
      </c>
      <c r="C43" s="82" t="s">
        <v>324</v>
      </c>
      <c r="D43" s="83" t="s">
        <v>325</v>
      </c>
      <c r="E43" s="59" t="s">
        <v>145</v>
      </c>
      <c r="F43" s="59" t="s">
        <v>300</v>
      </c>
      <c r="G43" s="59" t="s">
        <v>122</v>
      </c>
      <c r="H43" s="59" t="s">
        <v>113</v>
      </c>
      <c r="I43" s="59" t="s">
        <v>188</v>
      </c>
      <c r="J43" s="84">
        <v>46419</v>
      </c>
      <c r="K43" s="84"/>
      <c r="L43" s="85">
        <v>40</v>
      </c>
      <c r="M43" s="38">
        <v>6000</v>
      </c>
      <c r="N43" s="86">
        <v>1</v>
      </c>
      <c r="O43" s="41">
        <v>0</v>
      </c>
      <c r="P43" s="59" t="s">
        <v>137</v>
      </c>
      <c r="Q43" s="82" t="s">
        <v>117</v>
      </c>
      <c r="R43" s="33">
        <f>IF(OR(D43="",L43=""),"",L43/Parameter!$C$13)</f>
        <v>1</v>
      </c>
      <c r="S43" s="87">
        <f t="shared" si="9"/>
        <v>6000</v>
      </c>
      <c r="T43" s="88">
        <f>IF(D43="","",AM43*MAX(0,MIN(IF(K43="",DATE(Parameter!$C$7,12,31),K43),DATE(Parameter!$C$7,12,31))-MAX(IF(J43="",DATE(Parameter!$C$7,1,1),J43),DATE(Parameter!$C$7,1,1))+1)/(DATE(Parameter!$C$7,12,31)-DATE(Parameter!$C$7,1,1)+1))</f>
        <v>0.91506849315068495</v>
      </c>
      <c r="U43" s="89">
        <f>IF(OR(D43="",G43="Bestand",J43=""),"",EDATE(J43,-Parameter!$C$9))</f>
        <v>46327</v>
      </c>
      <c r="V43" s="37">
        <f>IF(D43="","",Personalkosten!$AD$68)</f>
        <v>87784.983390410955</v>
      </c>
      <c r="W43" s="90" t="str">
        <f ca="1">IF(D43="","",IF(AND(G43&lt;&gt;"Bestand",AM43=0),"nicht eingeplant",IF(AND(G43&lt;&gt;"Bestand",OR(P43="Offen",P43=""),U43&lt;&gt;"",U43&lt;=TODAY()),"Ausschreibung fällig",IF(AND(I43="Minijob",M43&gt;Parameter!$C$31),"Minijob-Grenze überschritten",IF(AND(N(M43)&gt;0,IFERROR(M43/(L43*13/3),999)&lt;Parameter!$C$30),"Unter Mindestlohn",IF(AND(K43&lt;&gt;"",K43&gt;=DATE(Parameter!$C$7,1,1),K43&lt;=DATE(Parameter!$C$7,12,31),H43="Befristet"),"Befristung endet",IF(AND(K43&lt;&gt;"",K43&gt;=DATE(Parameter!$C$7,1,1),K43&lt;=DATE(Parameter!$C$7,12,31)),"Austritt im Planjahr","")))))))</f>
        <v/>
      </c>
      <c r="Y43" s="91">
        <f t="shared" si="7"/>
        <v>0</v>
      </c>
      <c r="Z43" s="91">
        <f t="shared" si="7"/>
        <v>1</v>
      </c>
      <c r="AA43" s="91">
        <f t="shared" si="7"/>
        <v>1</v>
      </c>
      <c r="AB43" s="91">
        <f t="shared" si="7"/>
        <v>1</v>
      </c>
      <c r="AC43" s="91">
        <f t="shared" si="7"/>
        <v>1</v>
      </c>
      <c r="AD43" s="91">
        <f t="shared" si="7"/>
        <v>1</v>
      </c>
      <c r="AE43" s="91">
        <f t="shared" si="7"/>
        <v>1</v>
      </c>
      <c r="AF43" s="91">
        <f t="shared" si="7"/>
        <v>1</v>
      </c>
      <c r="AG43" s="91">
        <f t="shared" si="7"/>
        <v>1</v>
      </c>
      <c r="AH43" s="91">
        <f t="shared" si="7"/>
        <v>1</v>
      </c>
      <c r="AI43" s="91">
        <f t="shared" si="7"/>
        <v>1</v>
      </c>
      <c r="AJ43" s="91">
        <f t="shared" si="7"/>
        <v>1</v>
      </c>
      <c r="AK43" s="92">
        <f t="shared" si="10"/>
        <v>0.91666666666666663</v>
      </c>
      <c r="AM43" s="93">
        <f>IF(D43="",0,IF(G43="Bestand",1,IF(AND(Parameter!$C$8="Ja",Q43&lt;&gt;"Nein",P43&lt;&gt;"Gestrichen"),1,0)))</f>
        <v>1</v>
      </c>
      <c r="AN43" s="94">
        <f>IF(O43="",Parameter!$C$27,O43)</f>
        <v>0</v>
      </c>
      <c r="AO43" s="95">
        <f>IFERROR(INDEX(Parameter!$H$25:$H$28,MATCH(I43,Parameter!$G$25:$G$28,0)),0)</f>
        <v>0.1225</v>
      </c>
      <c r="AP43" s="95">
        <f>IFERROR(INDEX(Parameter!$I$25:$I$28,MATCH(I43,Parameter!$G$25:$G$28,0)),0)</f>
        <v>0.1055</v>
      </c>
      <c r="AQ43" s="95">
        <f>IFERROR(INDEX(Parameter!$J$25:$J$28,MATCH(I43,Parameter!$G$25:$G$28,0)),0)</f>
        <v>1.2E-2</v>
      </c>
      <c r="AR43" s="96">
        <f t="shared" si="11"/>
        <v>46327.00043</v>
      </c>
      <c r="AS43" s="93" t="str">
        <f>IF(AND(K43&lt;&gt;"",AM43=1),IF(AND(K43&gt;=DATE(Parameter!$C$7,1,1),K43&lt;=DATE(Parameter!$C$7,12,31)),K43+ROW()/100000,""),"")</f>
        <v/>
      </c>
    </row>
    <row r="44" spans="2:45" ht="18" customHeight="1" x14ac:dyDescent="0.25">
      <c r="B44" s="81">
        <f t="shared" si="8"/>
        <v>37</v>
      </c>
      <c r="C44" s="82" t="s">
        <v>326</v>
      </c>
      <c r="D44" s="83" t="s">
        <v>327</v>
      </c>
      <c r="E44" s="59" t="s">
        <v>129</v>
      </c>
      <c r="F44" s="59" t="s">
        <v>258</v>
      </c>
      <c r="G44" s="59" t="s">
        <v>122</v>
      </c>
      <c r="H44" s="59" t="s">
        <v>113</v>
      </c>
      <c r="I44" s="59" t="s">
        <v>188</v>
      </c>
      <c r="J44" s="84">
        <v>46447</v>
      </c>
      <c r="K44" s="84"/>
      <c r="L44" s="85">
        <v>40</v>
      </c>
      <c r="M44" s="38">
        <v>4600</v>
      </c>
      <c r="N44" s="86">
        <v>1</v>
      </c>
      <c r="O44" s="41">
        <v>0</v>
      </c>
      <c r="P44" s="59" t="s">
        <v>131</v>
      </c>
      <c r="Q44" s="82" t="s">
        <v>117</v>
      </c>
      <c r="R44" s="33">
        <f>IF(OR(D44="",L44=""),"",L44/Parameter!$C$13)</f>
        <v>1</v>
      </c>
      <c r="S44" s="87">
        <f t="shared" si="9"/>
        <v>4600</v>
      </c>
      <c r="T44" s="88">
        <f>IF(D44="","",AM44*MAX(0,MIN(IF(K44="",DATE(Parameter!$C$7,12,31),K44),DATE(Parameter!$C$7,12,31))-MAX(IF(J44="",DATE(Parameter!$C$7,1,1),J44),DATE(Parameter!$C$7,1,1))+1)/(DATE(Parameter!$C$7,12,31)-DATE(Parameter!$C$7,1,1)+1))</f>
        <v>0.83835616438356164</v>
      </c>
      <c r="U44" s="89">
        <f>IF(OR(D44="",G44="Bestand",J44=""),"",EDATE(J44,-Parameter!$C$9))</f>
        <v>46357</v>
      </c>
      <c r="V44" s="37">
        <f>IF(D44="","",Personalkosten!$AD$69)</f>
        <v>61602.391815068491</v>
      </c>
      <c r="W44" s="90" t="str">
        <f ca="1">IF(D44="","",IF(AND(G44&lt;&gt;"Bestand",AM44=0),"nicht eingeplant",IF(AND(G44&lt;&gt;"Bestand",OR(P44="Offen",P44=""),U44&lt;&gt;"",U44&lt;=TODAY()),"Ausschreibung fällig",IF(AND(I44="Minijob",M44&gt;Parameter!$C$31),"Minijob-Grenze überschritten",IF(AND(N(M44)&gt;0,IFERROR(M44/(L44*13/3),999)&lt;Parameter!$C$30),"Unter Mindestlohn",IF(AND(K44&lt;&gt;"",K44&gt;=DATE(Parameter!$C$7,1,1),K44&lt;=DATE(Parameter!$C$7,12,31),H44="Befristet"),"Befristung endet",IF(AND(K44&lt;&gt;"",K44&gt;=DATE(Parameter!$C$7,1,1),K44&lt;=DATE(Parameter!$C$7,12,31)),"Austritt im Planjahr","")))))))</f>
        <v/>
      </c>
      <c r="Y44" s="91">
        <f t="shared" si="7"/>
        <v>0</v>
      </c>
      <c r="Z44" s="91">
        <f t="shared" si="7"/>
        <v>0</v>
      </c>
      <c r="AA44" s="91">
        <f t="shared" si="7"/>
        <v>1</v>
      </c>
      <c r="AB44" s="91">
        <f t="shared" si="7"/>
        <v>1</v>
      </c>
      <c r="AC44" s="91">
        <f t="shared" si="7"/>
        <v>1</v>
      </c>
      <c r="AD44" s="91">
        <f t="shared" si="7"/>
        <v>1</v>
      </c>
      <c r="AE44" s="91">
        <f t="shared" si="7"/>
        <v>1</v>
      </c>
      <c r="AF44" s="91">
        <f t="shared" si="7"/>
        <v>1</v>
      </c>
      <c r="AG44" s="91">
        <f t="shared" si="7"/>
        <v>1</v>
      </c>
      <c r="AH44" s="91">
        <f t="shared" si="7"/>
        <v>1</v>
      </c>
      <c r="AI44" s="91">
        <f t="shared" si="7"/>
        <v>1</v>
      </c>
      <c r="AJ44" s="91">
        <f t="shared" si="7"/>
        <v>1</v>
      </c>
      <c r="AK44" s="92">
        <f t="shared" si="10"/>
        <v>0.83333333333333337</v>
      </c>
      <c r="AM44" s="93">
        <f>IF(D44="",0,IF(G44="Bestand",1,IF(AND(Parameter!$C$8="Ja",Q44&lt;&gt;"Nein",P44&lt;&gt;"Gestrichen"),1,0)))</f>
        <v>1</v>
      </c>
      <c r="AN44" s="94">
        <f>IF(O44="",Parameter!$C$27,O44)</f>
        <v>0</v>
      </c>
      <c r="AO44" s="95">
        <f>IFERROR(INDEX(Parameter!$H$25:$H$28,MATCH(I44,Parameter!$G$25:$G$28,0)),0)</f>
        <v>0.1225</v>
      </c>
      <c r="AP44" s="95">
        <f>IFERROR(INDEX(Parameter!$I$25:$I$28,MATCH(I44,Parameter!$G$25:$G$28,0)),0)</f>
        <v>0.1055</v>
      </c>
      <c r="AQ44" s="95">
        <f>IFERROR(INDEX(Parameter!$J$25:$J$28,MATCH(I44,Parameter!$G$25:$G$28,0)),0)</f>
        <v>1.2E-2</v>
      </c>
      <c r="AR44" s="96">
        <f t="shared" si="11"/>
        <v>46357.000440000003</v>
      </c>
      <c r="AS44" s="93" t="str">
        <f>IF(AND(K44&lt;&gt;"",AM44=1),IF(AND(K44&gt;=DATE(Parameter!$C$7,1,1),K44&lt;=DATE(Parameter!$C$7,12,31)),K44+ROW()/100000,""),"")</f>
        <v/>
      </c>
    </row>
    <row r="45" spans="2:45" ht="18" customHeight="1" x14ac:dyDescent="0.25">
      <c r="B45" s="81">
        <f t="shared" si="8"/>
        <v>38</v>
      </c>
      <c r="C45" s="82" t="s">
        <v>328</v>
      </c>
      <c r="D45" s="83" t="s">
        <v>329</v>
      </c>
      <c r="E45" s="59" t="s">
        <v>136</v>
      </c>
      <c r="F45" s="59" t="s">
        <v>270</v>
      </c>
      <c r="G45" s="59" t="s">
        <v>122</v>
      </c>
      <c r="H45" s="59" t="s">
        <v>113</v>
      </c>
      <c r="I45" s="59" t="s">
        <v>188</v>
      </c>
      <c r="J45" s="84">
        <v>46539</v>
      </c>
      <c r="K45" s="84"/>
      <c r="L45" s="85">
        <v>40</v>
      </c>
      <c r="M45" s="38">
        <v>3700</v>
      </c>
      <c r="N45" s="86">
        <v>1</v>
      </c>
      <c r="O45" s="41">
        <v>0</v>
      </c>
      <c r="P45" s="59" t="s">
        <v>114</v>
      </c>
      <c r="Q45" s="82" t="s">
        <v>169</v>
      </c>
      <c r="R45" s="33">
        <f>IF(OR(D45="",L45=""),"",L45/Parameter!$C$13)</f>
        <v>1</v>
      </c>
      <c r="S45" s="87">
        <f t="shared" si="9"/>
        <v>3700</v>
      </c>
      <c r="T45" s="88">
        <f>IF(D45="","",AM45*MAX(0,MIN(IF(K45="",DATE(Parameter!$C$7,12,31),K45),DATE(Parameter!$C$7,12,31))-MAX(IF(J45="",DATE(Parameter!$C$7,1,1),J45),DATE(Parameter!$C$7,1,1))+1)/(DATE(Parameter!$C$7,12,31)-DATE(Parameter!$C$7,1,1)+1))</f>
        <v>0</v>
      </c>
      <c r="U45" s="89">
        <f>IF(OR(D45="",G45="Bestand",J45=""),"",EDATE(J45,-Parameter!$C$9))</f>
        <v>46447</v>
      </c>
      <c r="V45" s="37">
        <f>IF(D45="","",Personalkosten!$AD$70)</f>
        <v>0</v>
      </c>
      <c r="W45" s="90" t="str">
        <f ca="1">IF(D45="","",IF(AND(G45&lt;&gt;"Bestand",AM45=0),"nicht eingeplant",IF(AND(G45&lt;&gt;"Bestand",OR(P45="Offen",P45=""),U45&lt;&gt;"",U45&lt;=TODAY()),"Ausschreibung fällig",IF(AND(I45="Minijob",M45&gt;Parameter!$C$31),"Minijob-Grenze überschritten",IF(AND(N(M45)&gt;0,IFERROR(M45/(L45*13/3),999)&lt;Parameter!$C$30),"Unter Mindestlohn",IF(AND(K45&lt;&gt;"",K45&gt;=DATE(Parameter!$C$7,1,1),K45&lt;=DATE(Parameter!$C$7,12,31),H45="Befristet"),"Befristung endet",IF(AND(K45&lt;&gt;"",K45&gt;=DATE(Parameter!$C$7,1,1),K45&lt;=DATE(Parameter!$C$7,12,31)),"Austritt im Planjahr","")))))))</f>
        <v>nicht eingeplant</v>
      </c>
      <c r="Y45" s="91">
        <f t="shared" si="7"/>
        <v>0</v>
      </c>
      <c r="Z45" s="91">
        <f t="shared" si="7"/>
        <v>0</v>
      </c>
      <c r="AA45" s="91">
        <f t="shared" si="7"/>
        <v>0</v>
      </c>
      <c r="AB45" s="91">
        <f t="shared" si="7"/>
        <v>0</v>
      </c>
      <c r="AC45" s="91">
        <f t="shared" si="7"/>
        <v>0</v>
      </c>
      <c r="AD45" s="91">
        <f t="shared" si="7"/>
        <v>0</v>
      </c>
      <c r="AE45" s="91">
        <f t="shared" si="7"/>
        <v>0</v>
      </c>
      <c r="AF45" s="91">
        <f t="shared" si="7"/>
        <v>0</v>
      </c>
      <c r="AG45" s="91">
        <f t="shared" si="7"/>
        <v>0</v>
      </c>
      <c r="AH45" s="91">
        <f t="shared" si="7"/>
        <v>0</v>
      </c>
      <c r="AI45" s="91">
        <f t="shared" si="7"/>
        <v>0</v>
      </c>
      <c r="AJ45" s="91">
        <f t="shared" si="7"/>
        <v>0</v>
      </c>
      <c r="AK45" s="92">
        <f t="shared" si="10"/>
        <v>0</v>
      </c>
      <c r="AM45" s="93">
        <f>IF(D45="",0,IF(G45="Bestand",1,IF(AND(Parameter!$C$8="Ja",Q45&lt;&gt;"Nein",P45&lt;&gt;"Gestrichen"),1,0)))</f>
        <v>0</v>
      </c>
      <c r="AN45" s="94">
        <f>IF(O45="",Parameter!$C$27,O45)</f>
        <v>0</v>
      </c>
      <c r="AO45" s="95">
        <f>IFERROR(INDEX(Parameter!$H$25:$H$28,MATCH(I45,Parameter!$G$25:$G$28,0)),0)</f>
        <v>0.1225</v>
      </c>
      <c r="AP45" s="95">
        <f>IFERROR(INDEX(Parameter!$I$25:$I$28,MATCH(I45,Parameter!$G$25:$G$28,0)),0)</f>
        <v>0.1055</v>
      </c>
      <c r="AQ45" s="95">
        <f>IFERROR(INDEX(Parameter!$J$25:$J$28,MATCH(I45,Parameter!$G$25:$G$28,0)),0)</f>
        <v>1.2E-2</v>
      </c>
      <c r="AR45" s="93" t="str">
        <f t="shared" si="11"/>
        <v/>
      </c>
      <c r="AS45" s="93" t="str">
        <f>IF(AND(K45&lt;&gt;"",AM45=1),IF(AND(K45&gt;=DATE(Parameter!$C$7,1,1),K45&lt;=DATE(Parameter!$C$7,12,31)),K45+ROW()/100000,""),"")</f>
        <v/>
      </c>
    </row>
    <row r="46" spans="2:45" ht="18" customHeight="1" x14ac:dyDescent="0.25">
      <c r="B46" s="81">
        <f t="shared" si="8"/>
        <v>39</v>
      </c>
      <c r="C46" s="82" t="s">
        <v>330</v>
      </c>
      <c r="D46" s="83" t="s">
        <v>331</v>
      </c>
      <c r="E46" s="59" t="s">
        <v>121</v>
      </c>
      <c r="F46" s="59" t="s">
        <v>242</v>
      </c>
      <c r="G46" s="59" t="s">
        <v>130</v>
      </c>
      <c r="H46" s="59" t="s">
        <v>113</v>
      </c>
      <c r="I46" s="59" t="s">
        <v>188</v>
      </c>
      <c r="J46" s="84">
        <v>46569</v>
      </c>
      <c r="K46" s="84"/>
      <c r="L46" s="85">
        <v>40</v>
      </c>
      <c r="M46" s="38">
        <v>4800</v>
      </c>
      <c r="N46" s="86">
        <v>1</v>
      </c>
      <c r="O46" s="41">
        <v>0</v>
      </c>
      <c r="P46" s="59" t="s">
        <v>124</v>
      </c>
      <c r="Q46" s="82" t="s">
        <v>117</v>
      </c>
      <c r="R46" s="33">
        <f>IF(OR(D46="",L46=""),"",L46/Parameter!$C$13)</f>
        <v>1</v>
      </c>
      <c r="S46" s="87">
        <f t="shared" si="9"/>
        <v>4800</v>
      </c>
      <c r="T46" s="88">
        <f>IF(D46="","",AM46*MAX(0,MIN(IF(K46="",DATE(Parameter!$C$7,12,31),K46),DATE(Parameter!$C$7,12,31))-MAX(IF(J46="",DATE(Parameter!$C$7,1,1),J46),DATE(Parameter!$C$7,1,1))+1)/(DATE(Parameter!$C$7,12,31)-DATE(Parameter!$C$7,1,1)+1))</f>
        <v>0.50410958904109593</v>
      </c>
      <c r="U46" s="89">
        <f>IF(OR(D46="",G46="Bestand",J46=""),"",EDATE(J46,-Parameter!$C$9))</f>
        <v>46478</v>
      </c>
      <c r="V46" s="37">
        <f>IF(D46="","",Personalkosten!$AD$71)</f>
        <v>38623.341678082194</v>
      </c>
      <c r="W46" s="90" t="str">
        <f ca="1">IF(D46="","",IF(AND(G46&lt;&gt;"Bestand",AM46=0),"nicht eingeplant",IF(AND(G46&lt;&gt;"Bestand",OR(P46="Offen",P46=""),U46&lt;&gt;"",U46&lt;=TODAY()),"Ausschreibung fällig",IF(AND(I46="Minijob",M46&gt;Parameter!$C$31),"Minijob-Grenze überschritten",IF(AND(N(M46)&gt;0,IFERROR(M46/(L46*13/3),999)&lt;Parameter!$C$30),"Unter Mindestlohn",IF(AND(K46&lt;&gt;"",K46&gt;=DATE(Parameter!$C$7,1,1),K46&lt;=DATE(Parameter!$C$7,12,31),H46="Befristet"),"Befristung endet",IF(AND(K46&lt;&gt;"",K46&gt;=DATE(Parameter!$C$7,1,1),K46&lt;=DATE(Parameter!$C$7,12,31)),"Austritt im Planjahr","")))))))</f>
        <v/>
      </c>
      <c r="Y46" s="91">
        <f t="shared" si="7"/>
        <v>0</v>
      </c>
      <c r="Z46" s="91">
        <f t="shared" si="7"/>
        <v>0</v>
      </c>
      <c r="AA46" s="91">
        <f t="shared" si="7"/>
        <v>0</v>
      </c>
      <c r="AB46" s="91">
        <f t="shared" si="7"/>
        <v>0</v>
      </c>
      <c r="AC46" s="91">
        <f t="shared" si="7"/>
        <v>0</v>
      </c>
      <c r="AD46" s="91">
        <f t="shared" si="7"/>
        <v>0</v>
      </c>
      <c r="AE46" s="91">
        <f t="shared" si="7"/>
        <v>1</v>
      </c>
      <c r="AF46" s="91">
        <f t="shared" si="7"/>
        <v>1</v>
      </c>
      <c r="AG46" s="91">
        <f t="shared" si="7"/>
        <v>1</v>
      </c>
      <c r="AH46" s="91">
        <f t="shared" si="7"/>
        <v>1</v>
      </c>
      <c r="AI46" s="91">
        <f t="shared" si="7"/>
        <v>1</v>
      </c>
      <c r="AJ46" s="91">
        <f t="shared" si="7"/>
        <v>1</v>
      </c>
      <c r="AK46" s="92">
        <f t="shared" si="10"/>
        <v>0.5</v>
      </c>
      <c r="AM46" s="93">
        <f>IF(D46="",0,IF(G46="Bestand",1,IF(AND(Parameter!$C$8="Ja",Q46&lt;&gt;"Nein",P46&lt;&gt;"Gestrichen"),1,0)))</f>
        <v>1</v>
      </c>
      <c r="AN46" s="94">
        <f>IF(O46="",Parameter!$C$27,O46)</f>
        <v>0</v>
      </c>
      <c r="AO46" s="95">
        <f>IFERROR(INDEX(Parameter!$H$25:$H$28,MATCH(I46,Parameter!$G$25:$G$28,0)),0)</f>
        <v>0.1225</v>
      </c>
      <c r="AP46" s="95">
        <f>IFERROR(INDEX(Parameter!$I$25:$I$28,MATCH(I46,Parameter!$G$25:$G$28,0)),0)</f>
        <v>0.1055</v>
      </c>
      <c r="AQ46" s="95">
        <f>IFERROR(INDEX(Parameter!$J$25:$J$28,MATCH(I46,Parameter!$G$25:$G$28,0)),0)</f>
        <v>1.2E-2</v>
      </c>
      <c r="AR46" s="96">
        <f t="shared" si="11"/>
        <v>46478.000460000003</v>
      </c>
      <c r="AS46" s="93" t="str">
        <f>IF(AND(K46&lt;&gt;"",AM46=1),IF(AND(K46&gt;=DATE(Parameter!$C$7,1,1),K46&lt;=DATE(Parameter!$C$7,12,31)),K46+ROW()/100000,""),"")</f>
        <v/>
      </c>
    </row>
    <row r="47" spans="2:45" ht="18" customHeight="1" x14ac:dyDescent="0.25">
      <c r="B47" s="81">
        <f t="shared" si="8"/>
        <v>40</v>
      </c>
      <c r="C47" s="82" t="s">
        <v>332</v>
      </c>
      <c r="D47" s="83" t="s">
        <v>333</v>
      </c>
      <c r="E47" s="59" t="s">
        <v>141</v>
      </c>
      <c r="F47" s="59" t="s">
        <v>288</v>
      </c>
      <c r="G47" s="59" t="s">
        <v>130</v>
      </c>
      <c r="H47" s="59" t="s">
        <v>123</v>
      </c>
      <c r="I47" s="59" t="s">
        <v>188</v>
      </c>
      <c r="J47" s="84">
        <v>46631</v>
      </c>
      <c r="K47" s="84">
        <v>46996</v>
      </c>
      <c r="L47" s="85">
        <v>40</v>
      </c>
      <c r="M47" s="38">
        <v>3350</v>
      </c>
      <c r="N47" s="86">
        <v>1</v>
      </c>
      <c r="O47" s="41">
        <v>0</v>
      </c>
      <c r="P47" s="59" t="s">
        <v>114</v>
      </c>
      <c r="Q47" s="82" t="s">
        <v>117</v>
      </c>
      <c r="R47" s="33">
        <f>IF(OR(D47="",L47=""),"",L47/Parameter!$C$13)</f>
        <v>1</v>
      </c>
      <c r="S47" s="87">
        <f t="shared" si="9"/>
        <v>3350</v>
      </c>
      <c r="T47" s="88">
        <f>IF(D47="","",AM47*MAX(0,MIN(IF(K47="",DATE(Parameter!$C$7,12,31),K47),DATE(Parameter!$C$7,12,31))-MAX(IF(J47="",DATE(Parameter!$C$7,1,1),J47),DATE(Parameter!$C$7,1,1))+1)/(DATE(Parameter!$C$7,12,31)-DATE(Parameter!$C$7,1,1)+1))</f>
        <v>0.33424657534246577</v>
      </c>
      <c r="U47" s="89">
        <f>IF(OR(D47="",G47="Bestand",J47=""),"",EDATE(J47,-Parameter!$C$9))</f>
        <v>46539</v>
      </c>
      <c r="V47" s="37">
        <f>IF(D47="","",Personalkosten!$AD$72)</f>
        <v>18004.460273972603</v>
      </c>
      <c r="W47" s="90" t="str">
        <f ca="1">IF(D47="","",IF(AND(G47&lt;&gt;"Bestand",AM47=0),"nicht eingeplant",IF(AND(G47&lt;&gt;"Bestand",OR(P47="Offen",P47=""),U47&lt;&gt;"",U47&lt;=TODAY()),"Ausschreibung fällig",IF(AND(I47="Minijob",M47&gt;Parameter!$C$31),"Minijob-Grenze überschritten",IF(AND(N(M47)&gt;0,IFERROR(M47/(L47*13/3),999)&lt;Parameter!$C$30),"Unter Mindestlohn",IF(AND(K47&lt;&gt;"",K47&gt;=DATE(Parameter!$C$7,1,1),K47&lt;=DATE(Parameter!$C$7,12,31),H47="Befristet"),"Befristung endet",IF(AND(K47&lt;&gt;"",K47&gt;=DATE(Parameter!$C$7,1,1),K47&lt;=DATE(Parameter!$C$7,12,31)),"Austritt im Planjahr","")))))))</f>
        <v/>
      </c>
      <c r="Y47" s="91">
        <f t="shared" si="7"/>
        <v>0</v>
      </c>
      <c r="Z47" s="91">
        <f t="shared" si="7"/>
        <v>0</v>
      </c>
      <c r="AA47" s="91">
        <f t="shared" si="7"/>
        <v>0</v>
      </c>
      <c r="AB47" s="91">
        <f t="shared" si="7"/>
        <v>0</v>
      </c>
      <c r="AC47" s="91">
        <f t="shared" si="7"/>
        <v>0</v>
      </c>
      <c r="AD47" s="91">
        <f t="shared" si="7"/>
        <v>0</v>
      </c>
      <c r="AE47" s="91">
        <f t="shared" si="7"/>
        <v>0</v>
      </c>
      <c r="AF47" s="91">
        <f t="shared" si="7"/>
        <v>0</v>
      </c>
      <c r="AG47" s="91">
        <f t="shared" si="7"/>
        <v>1</v>
      </c>
      <c r="AH47" s="91">
        <f t="shared" si="7"/>
        <v>1</v>
      </c>
      <c r="AI47" s="91">
        <f t="shared" si="7"/>
        <v>1</v>
      </c>
      <c r="AJ47" s="91">
        <f t="shared" si="7"/>
        <v>1</v>
      </c>
      <c r="AK47" s="92">
        <f t="shared" si="10"/>
        <v>0.33333333333333331</v>
      </c>
      <c r="AM47" s="93">
        <f>IF(D47="",0,IF(G47="Bestand",1,IF(AND(Parameter!$C$8="Ja",Q47&lt;&gt;"Nein",P47&lt;&gt;"Gestrichen"),1,0)))</f>
        <v>1</v>
      </c>
      <c r="AN47" s="94">
        <f>IF(O47="",Parameter!$C$27,O47)</f>
        <v>0</v>
      </c>
      <c r="AO47" s="95">
        <f>IFERROR(INDEX(Parameter!$H$25:$H$28,MATCH(I47,Parameter!$G$25:$G$28,0)),0)</f>
        <v>0.1225</v>
      </c>
      <c r="AP47" s="95">
        <f>IFERROR(INDEX(Parameter!$I$25:$I$28,MATCH(I47,Parameter!$G$25:$G$28,0)),0)</f>
        <v>0.1055</v>
      </c>
      <c r="AQ47" s="95">
        <f>IFERROR(INDEX(Parameter!$J$25:$J$28,MATCH(I47,Parameter!$G$25:$G$28,0)),0)</f>
        <v>1.2E-2</v>
      </c>
      <c r="AR47" s="96">
        <f t="shared" si="11"/>
        <v>46539.000469999999</v>
      </c>
      <c r="AS47" s="93" t="str">
        <f>IF(AND(K47&lt;&gt;"",AM47=1),IF(AND(K47&gt;=DATE(Parameter!$C$7,1,1),K47&lt;=DATE(Parameter!$C$7,12,31)),K47+ROW()/100000,""),"")</f>
        <v/>
      </c>
    </row>
    <row r="48" spans="2:45" ht="18" customHeight="1" x14ac:dyDescent="0.25">
      <c r="B48" s="81">
        <f t="shared" si="8"/>
        <v>41</v>
      </c>
      <c r="C48" s="82" t="s">
        <v>334</v>
      </c>
      <c r="D48" s="83" t="s">
        <v>335</v>
      </c>
      <c r="E48" s="59" t="s">
        <v>6</v>
      </c>
      <c r="F48" s="59" t="s">
        <v>336</v>
      </c>
      <c r="G48" s="59" t="s">
        <v>122</v>
      </c>
      <c r="H48" s="59" t="s">
        <v>113</v>
      </c>
      <c r="I48" s="59" t="s">
        <v>188</v>
      </c>
      <c r="J48" s="84">
        <v>46661</v>
      </c>
      <c r="K48" s="84"/>
      <c r="L48" s="85">
        <v>20</v>
      </c>
      <c r="M48" s="38">
        <v>2300</v>
      </c>
      <c r="N48" s="86">
        <v>1</v>
      </c>
      <c r="O48" s="41">
        <v>0</v>
      </c>
      <c r="P48" s="59" t="s">
        <v>114</v>
      </c>
      <c r="Q48" s="82" t="s">
        <v>117</v>
      </c>
      <c r="R48" s="33">
        <f>IF(OR(D48="",L48=""),"",L48/Parameter!$C$13)</f>
        <v>0.5</v>
      </c>
      <c r="S48" s="87">
        <f t="shared" si="9"/>
        <v>2300</v>
      </c>
      <c r="T48" s="88">
        <f>IF(D48="","",AM48*MAX(0,MIN(IF(K48="",DATE(Parameter!$C$7,12,31),K48),DATE(Parameter!$C$7,12,31))-MAX(IF(J48="",DATE(Parameter!$C$7,1,1),J48),DATE(Parameter!$C$7,1,1))+1)/(DATE(Parameter!$C$7,12,31)-DATE(Parameter!$C$7,1,1)+1))</f>
        <v>0.25205479452054796</v>
      </c>
      <c r="U48" s="89">
        <f>IF(OR(D48="",G48="Bestand",J48=""),"",EDATE(J48,-Parameter!$C$9))</f>
        <v>46569</v>
      </c>
      <c r="V48" s="37">
        <f>IF(D48="","",Personalkosten!$AD$73)</f>
        <v>9274.860273972603</v>
      </c>
      <c r="W48" s="90" t="str">
        <f ca="1">IF(D48="","",IF(AND(G48&lt;&gt;"Bestand",AM48=0),"nicht eingeplant",IF(AND(G48&lt;&gt;"Bestand",OR(P48="Offen",P48=""),U48&lt;&gt;"",U48&lt;=TODAY()),"Ausschreibung fällig",IF(AND(I48="Minijob",M48&gt;Parameter!$C$31),"Minijob-Grenze überschritten",IF(AND(N(M48)&gt;0,IFERROR(M48/(L48*13/3),999)&lt;Parameter!$C$30),"Unter Mindestlohn",IF(AND(K48&lt;&gt;"",K48&gt;=DATE(Parameter!$C$7,1,1),K48&lt;=DATE(Parameter!$C$7,12,31),H48="Befristet"),"Befristung endet",IF(AND(K48&lt;&gt;"",K48&gt;=DATE(Parameter!$C$7,1,1),K48&lt;=DATE(Parameter!$C$7,12,31)),"Austritt im Planjahr","")))))))</f>
        <v/>
      </c>
      <c r="Y48" s="91">
        <f t="shared" ref="Y48:AJ57" si="12">IF($R48="","",$AM48*$R48*MAX(0,MIN(IF($K48="",DATE(9999,12,31),$K48),EOMONTH(Y$6,0))-MAX(IF($J48="",Y$6,$J48),Y$6)+1)/DAY(EOMONTH(Y$6,0)))</f>
        <v>0</v>
      </c>
      <c r="Z48" s="91">
        <f t="shared" si="12"/>
        <v>0</v>
      </c>
      <c r="AA48" s="91">
        <f t="shared" si="12"/>
        <v>0</v>
      </c>
      <c r="AB48" s="91">
        <f t="shared" si="12"/>
        <v>0</v>
      </c>
      <c r="AC48" s="91">
        <f t="shared" si="12"/>
        <v>0</v>
      </c>
      <c r="AD48" s="91">
        <f t="shared" si="12"/>
        <v>0</v>
      </c>
      <c r="AE48" s="91">
        <f t="shared" si="12"/>
        <v>0</v>
      </c>
      <c r="AF48" s="91">
        <f t="shared" si="12"/>
        <v>0</v>
      </c>
      <c r="AG48" s="91">
        <f t="shared" si="12"/>
        <v>0</v>
      </c>
      <c r="AH48" s="91">
        <f t="shared" si="12"/>
        <v>0.5</v>
      </c>
      <c r="AI48" s="91">
        <f t="shared" si="12"/>
        <v>0.5</v>
      </c>
      <c r="AJ48" s="91">
        <f t="shared" si="12"/>
        <v>0.5</v>
      </c>
      <c r="AK48" s="92">
        <f t="shared" si="10"/>
        <v>0.125</v>
      </c>
      <c r="AM48" s="93">
        <f>IF(D48="",0,IF(G48="Bestand",1,IF(AND(Parameter!$C$8="Ja",Q48&lt;&gt;"Nein",P48&lt;&gt;"Gestrichen"),1,0)))</f>
        <v>1</v>
      </c>
      <c r="AN48" s="94">
        <f>IF(O48="",Parameter!$C$27,O48)</f>
        <v>0</v>
      </c>
      <c r="AO48" s="95">
        <f>IFERROR(INDEX(Parameter!$H$25:$H$28,MATCH(I48,Parameter!$G$25:$G$28,0)),0)</f>
        <v>0.1225</v>
      </c>
      <c r="AP48" s="95">
        <f>IFERROR(INDEX(Parameter!$I$25:$I$28,MATCH(I48,Parameter!$G$25:$G$28,0)),0)</f>
        <v>0.1055</v>
      </c>
      <c r="AQ48" s="95">
        <f>IFERROR(INDEX(Parameter!$J$25:$J$28,MATCH(I48,Parameter!$G$25:$G$28,0)),0)</f>
        <v>1.2E-2</v>
      </c>
      <c r="AR48" s="96">
        <f t="shared" si="11"/>
        <v>46569.000480000002</v>
      </c>
      <c r="AS48" s="93" t="str">
        <f>IF(AND(K48&lt;&gt;"",AM48=1),IF(AND(K48&gt;=DATE(Parameter!$C$7,1,1),K48&lt;=DATE(Parameter!$C$7,12,31)),K48+ROW()/100000,""),"")</f>
        <v/>
      </c>
    </row>
    <row r="49" spans="2:45" ht="18" customHeight="1" x14ac:dyDescent="0.25">
      <c r="B49" s="81" t="str">
        <f t="shared" si="8"/>
        <v/>
      </c>
      <c r="C49" s="82"/>
      <c r="D49" s="83"/>
      <c r="E49" s="59"/>
      <c r="F49" s="59"/>
      <c r="G49" s="59"/>
      <c r="H49" s="59"/>
      <c r="I49" s="59"/>
      <c r="J49" s="84"/>
      <c r="K49" s="84"/>
      <c r="L49" s="85"/>
      <c r="M49" s="38"/>
      <c r="N49" s="86"/>
      <c r="O49" s="41"/>
      <c r="P49" s="59"/>
      <c r="Q49" s="82"/>
      <c r="R49" s="33" t="str">
        <f>IF(OR(D49="",L49=""),"",L49/Parameter!$C$13)</f>
        <v/>
      </c>
      <c r="S49" s="87" t="str">
        <f t="shared" si="9"/>
        <v/>
      </c>
      <c r="T49" s="88" t="str">
        <f>IF(D49="","",AM49*MAX(0,MIN(IF(K49="",DATE(Parameter!$C$7,12,31),K49),DATE(Parameter!$C$7,12,31))-MAX(IF(J49="",DATE(Parameter!$C$7,1,1),J49),DATE(Parameter!$C$7,1,1))+1)/(DATE(Parameter!$C$7,12,31)-DATE(Parameter!$C$7,1,1)+1))</f>
        <v/>
      </c>
      <c r="U49" s="89" t="str">
        <f>IF(OR(D49="",G49="Bestand",J49=""),"",EDATE(J49,-Parameter!$C$9))</f>
        <v/>
      </c>
      <c r="V49" s="37" t="str">
        <f>IF(D49="","",Personalkosten!$AD$74)</f>
        <v/>
      </c>
      <c r="W49" s="90" t="str">
        <f ca="1">IF(D49="","",IF(AND(G49&lt;&gt;"Bestand",AM49=0),"nicht eingeplant",IF(AND(G49&lt;&gt;"Bestand",OR(P49="Offen",P49=""),U49&lt;&gt;"",U49&lt;=TODAY()),"Ausschreibung fällig",IF(AND(I49="Minijob",M49&gt;Parameter!$C$31),"Minijob-Grenze überschritten",IF(AND(N(M49)&gt;0,IFERROR(M49/(L49*13/3),999)&lt;Parameter!$C$30),"Unter Mindestlohn",IF(AND(K49&lt;&gt;"",K49&gt;=DATE(Parameter!$C$7,1,1),K49&lt;=DATE(Parameter!$C$7,12,31),H49="Befristet"),"Befristung endet",IF(AND(K49&lt;&gt;"",K49&gt;=DATE(Parameter!$C$7,1,1),K49&lt;=DATE(Parameter!$C$7,12,31)),"Austritt im Planjahr","")))))))</f>
        <v/>
      </c>
      <c r="Y49" s="91" t="str">
        <f t="shared" si="12"/>
        <v/>
      </c>
      <c r="Z49" s="91" t="str">
        <f t="shared" si="12"/>
        <v/>
      </c>
      <c r="AA49" s="91" t="str">
        <f t="shared" si="12"/>
        <v/>
      </c>
      <c r="AB49" s="91" t="str">
        <f t="shared" si="12"/>
        <v/>
      </c>
      <c r="AC49" s="91" t="str">
        <f t="shared" si="12"/>
        <v/>
      </c>
      <c r="AD49" s="91" t="str">
        <f t="shared" si="12"/>
        <v/>
      </c>
      <c r="AE49" s="91" t="str">
        <f t="shared" si="12"/>
        <v/>
      </c>
      <c r="AF49" s="91" t="str">
        <f t="shared" si="12"/>
        <v/>
      </c>
      <c r="AG49" s="91" t="str">
        <f t="shared" si="12"/>
        <v/>
      </c>
      <c r="AH49" s="91" t="str">
        <f t="shared" si="12"/>
        <v/>
      </c>
      <c r="AI49" s="91" t="str">
        <f t="shared" si="12"/>
        <v/>
      </c>
      <c r="AJ49" s="91" t="str">
        <f t="shared" si="12"/>
        <v/>
      </c>
      <c r="AK49" s="92" t="str">
        <f t="shared" si="10"/>
        <v/>
      </c>
      <c r="AM49" s="93">
        <f>IF(D49="",0,IF(G49="Bestand",1,IF(AND(Parameter!$C$8="Ja",Q49&lt;&gt;"Nein",P49&lt;&gt;"Gestrichen"),1,0)))</f>
        <v>0</v>
      </c>
      <c r="AN49" s="94">
        <f>IF(O49="",Parameter!$C$27,O49)</f>
        <v>0.03</v>
      </c>
      <c r="AO49" s="93">
        <f>IFERROR(INDEX(Parameter!$H$25:$H$28,MATCH(I49,Parameter!$G$25:$G$28,0)),0)</f>
        <v>0</v>
      </c>
      <c r="AP49" s="93">
        <f>IFERROR(INDEX(Parameter!$I$25:$I$28,MATCH(I49,Parameter!$G$25:$G$28,0)),0)</f>
        <v>0</v>
      </c>
      <c r="AQ49" s="93">
        <f>IFERROR(INDEX(Parameter!$J$25:$J$28,MATCH(I49,Parameter!$G$25:$G$28,0)),0)</f>
        <v>0</v>
      </c>
      <c r="AR49" s="93" t="str">
        <f t="shared" si="11"/>
        <v/>
      </c>
      <c r="AS49" s="93" t="str">
        <f>IF(AND(K49&lt;&gt;"",AM49=1),IF(AND(K49&gt;=DATE(Parameter!$C$7,1,1),K49&lt;=DATE(Parameter!$C$7,12,31)),K49+ROW()/100000,""),"")</f>
        <v/>
      </c>
    </row>
    <row r="50" spans="2:45" ht="18" customHeight="1" x14ac:dyDescent="0.25">
      <c r="B50" s="81" t="str">
        <f t="shared" si="8"/>
        <v/>
      </c>
      <c r="C50" s="82"/>
      <c r="D50" s="83"/>
      <c r="E50" s="59"/>
      <c r="F50" s="59"/>
      <c r="G50" s="59"/>
      <c r="H50" s="59"/>
      <c r="I50" s="59"/>
      <c r="J50" s="84"/>
      <c r="K50" s="84"/>
      <c r="L50" s="85"/>
      <c r="M50" s="38"/>
      <c r="N50" s="86"/>
      <c r="O50" s="41"/>
      <c r="P50" s="59"/>
      <c r="Q50" s="82"/>
      <c r="R50" s="33" t="str">
        <f>IF(OR(D50="",L50=""),"",L50/Parameter!$C$13)</f>
        <v/>
      </c>
      <c r="S50" s="87" t="str">
        <f t="shared" si="9"/>
        <v/>
      </c>
      <c r="T50" s="88" t="str">
        <f>IF(D50="","",AM50*MAX(0,MIN(IF(K50="",DATE(Parameter!$C$7,12,31),K50),DATE(Parameter!$C$7,12,31))-MAX(IF(J50="",DATE(Parameter!$C$7,1,1),J50),DATE(Parameter!$C$7,1,1))+1)/(DATE(Parameter!$C$7,12,31)-DATE(Parameter!$C$7,1,1)+1))</f>
        <v/>
      </c>
      <c r="U50" s="89" t="str">
        <f>IF(OR(D50="",G50="Bestand",J50=""),"",EDATE(J50,-Parameter!$C$9))</f>
        <v/>
      </c>
      <c r="V50" s="37" t="str">
        <f>IF(D50="","",Personalkosten!$AD$75)</f>
        <v/>
      </c>
      <c r="W50" s="90" t="str">
        <f ca="1">IF(D50="","",IF(AND(G50&lt;&gt;"Bestand",AM50=0),"nicht eingeplant",IF(AND(G50&lt;&gt;"Bestand",OR(P50="Offen",P50=""),U50&lt;&gt;"",U50&lt;=TODAY()),"Ausschreibung fällig",IF(AND(I50="Minijob",M50&gt;Parameter!$C$31),"Minijob-Grenze überschritten",IF(AND(N(M50)&gt;0,IFERROR(M50/(L50*13/3),999)&lt;Parameter!$C$30),"Unter Mindestlohn",IF(AND(K50&lt;&gt;"",K50&gt;=DATE(Parameter!$C$7,1,1),K50&lt;=DATE(Parameter!$C$7,12,31),H50="Befristet"),"Befristung endet",IF(AND(K50&lt;&gt;"",K50&gt;=DATE(Parameter!$C$7,1,1),K50&lt;=DATE(Parameter!$C$7,12,31)),"Austritt im Planjahr","")))))))</f>
        <v/>
      </c>
      <c r="Y50" s="91" t="str">
        <f t="shared" si="12"/>
        <v/>
      </c>
      <c r="Z50" s="91" t="str">
        <f t="shared" si="12"/>
        <v/>
      </c>
      <c r="AA50" s="91" t="str">
        <f t="shared" si="12"/>
        <v/>
      </c>
      <c r="AB50" s="91" t="str">
        <f t="shared" si="12"/>
        <v/>
      </c>
      <c r="AC50" s="91" t="str">
        <f t="shared" si="12"/>
        <v/>
      </c>
      <c r="AD50" s="91" t="str">
        <f t="shared" si="12"/>
        <v/>
      </c>
      <c r="AE50" s="91" t="str">
        <f t="shared" si="12"/>
        <v/>
      </c>
      <c r="AF50" s="91" t="str">
        <f t="shared" si="12"/>
        <v/>
      </c>
      <c r="AG50" s="91" t="str">
        <f t="shared" si="12"/>
        <v/>
      </c>
      <c r="AH50" s="91" t="str">
        <f t="shared" si="12"/>
        <v/>
      </c>
      <c r="AI50" s="91" t="str">
        <f t="shared" si="12"/>
        <v/>
      </c>
      <c r="AJ50" s="91" t="str">
        <f t="shared" si="12"/>
        <v/>
      </c>
      <c r="AK50" s="92" t="str">
        <f t="shared" si="10"/>
        <v/>
      </c>
      <c r="AM50" s="93">
        <f>IF(D50="",0,IF(G50="Bestand",1,IF(AND(Parameter!$C$8="Ja",Q50&lt;&gt;"Nein",P50&lt;&gt;"Gestrichen"),1,0)))</f>
        <v>0</v>
      </c>
      <c r="AN50" s="94">
        <f>IF(O50="",Parameter!$C$27,O50)</f>
        <v>0.03</v>
      </c>
      <c r="AO50" s="93">
        <f>IFERROR(INDEX(Parameter!$H$25:$H$28,MATCH(I50,Parameter!$G$25:$G$28,0)),0)</f>
        <v>0</v>
      </c>
      <c r="AP50" s="93">
        <f>IFERROR(INDEX(Parameter!$I$25:$I$28,MATCH(I50,Parameter!$G$25:$G$28,0)),0)</f>
        <v>0</v>
      </c>
      <c r="AQ50" s="93">
        <f>IFERROR(INDEX(Parameter!$J$25:$J$28,MATCH(I50,Parameter!$G$25:$G$28,0)),0)</f>
        <v>0</v>
      </c>
      <c r="AR50" s="93" t="str">
        <f t="shared" si="11"/>
        <v/>
      </c>
      <c r="AS50" s="93" t="str">
        <f>IF(AND(K50&lt;&gt;"",AM50=1),IF(AND(K50&gt;=DATE(Parameter!$C$7,1,1),K50&lt;=DATE(Parameter!$C$7,12,31)),K50+ROW()/100000,""),"")</f>
        <v/>
      </c>
    </row>
    <row r="51" spans="2:45" ht="18" customHeight="1" x14ac:dyDescent="0.25">
      <c r="B51" s="81" t="str">
        <f t="shared" si="8"/>
        <v/>
      </c>
      <c r="C51" s="82"/>
      <c r="D51" s="83"/>
      <c r="E51" s="59"/>
      <c r="F51" s="59"/>
      <c r="G51" s="59"/>
      <c r="H51" s="59"/>
      <c r="I51" s="59"/>
      <c r="J51" s="84"/>
      <c r="K51" s="84"/>
      <c r="L51" s="85"/>
      <c r="M51" s="38"/>
      <c r="N51" s="86"/>
      <c r="O51" s="41"/>
      <c r="P51" s="59"/>
      <c r="Q51" s="82"/>
      <c r="R51" s="33" t="str">
        <f>IF(OR(D51="",L51=""),"",L51/Parameter!$C$13)</f>
        <v/>
      </c>
      <c r="S51" s="87" t="str">
        <f t="shared" si="9"/>
        <v/>
      </c>
      <c r="T51" s="88" t="str">
        <f>IF(D51="","",AM51*MAX(0,MIN(IF(K51="",DATE(Parameter!$C$7,12,31),K51),DATE(Parameter!$C$7,12,31))-MAX(IF(J51="",DATE(Parameter!$C$7,1,1),J51),DATE(Parameter!$C$7,1,1))+1)/(DATE(Parameter!$C$7,12,31)-DATE(Parameter!$C$7,1,1)+1))</f>
        <v/>
      </c>
      <c r="U51" s="89" t="str">
        <f>IF(OR(D51="",G51="Bestand",J51=""),"",EDATE(J51,-Parameter!$C$9))</f>
        <v/>
      </c>
      <c r="V51" s="37" t="str">
        <f>IF(D51="","",Personalkosten!$AD$76)</f>
        <v/>
      </c>
      <c r="W51" s="90" t="str">
        <f ca="1">IF(D51="","",IF(AND(G51&lt;&gt;"Bestand",AM51=0),"nicht eingeplant",IF(AND(G51&lt;&gt;"Bestand",OR(P51="Offen",P51=""),U51&lt;&gt;"",U51&lt;=TODAY()),"Ausschreibung fällig",IF(AND(I51="Minijob",M51&gt;Parameter!$C$31),"Minijob-Grenze überschritten",IF(AND(N(M51)&gt;0,IFERROR(M51/(L51*13/3),999)&lt;Parameter!$C$30),"Unter Mindestlohn",IF(AND(K51&lt;&gt;"",K51&gt;=DATE(Parameter!$C$7,1,1),K51&lt;=DATE(Parameter!$C$7,12,31),H51="Befristet"),"Befristung endet",IF(AND(K51&lt;&gt;"",K51&gt;=DATE(Parameter!$C$7,1,1),K51&lt;=DATE(Parameter!$C$7,12,31)),"Austritt im Planjahr","")))))))</f>
        <v/>
      </c>
      <c r="Y51" s="91" t="str">
        <f t="shared" si="12"/>
        <v/>
      </c>
      <c r="Z51" s="91" t="str">
        <f t="shared" si="12"/>
        <v/>
      </c>
      <c r="AA51" s="91" t="str">
        <f t="shared" si="12"/>
        <v/>
      </c>
      <c r="AB51" s="91" t="str">
        <f t="shared" si="12"/>
        <v/>
      </c>
      <c r="AC51" s="91" t="str">
        <f t="shared" si="12"/>
        <v/>
      </c>
      <c r="AD51" s="91" t="str">
        <f t="shared" si="12"/>
        <v/>
      </c>
      <c r="AE51" s="91" t="str">
        <f t="shared" si="12"/>
        <v/>
      </c>
      <c r="AF51" s="91" t="str">
        <f t="shared" si="12"/>
        <v/>
      </c>
      <c r="AG51" s="91" t="str">
        <f t="shared" si="12"/>
        <v/>
      </c>
      <c r="AH51" s="91" t="str">
        <f t="shared" si="12"/>
        <v/>
      </c>
      <c r="AI51" s="91" t="str">
        <f t="shared" si="12"/>
        <v/>
      </c>
      <c r="AJ51" s="91" t="str">
        <f t="shared" si="12"/>
        <v/>
      </c>
      <c r="AK51" s="92" t="str">
        <f t="shared" si="10"/>
        <v/>
      </c>
      <c r="AM51" s="93">
        <f>IF(D51="",0,IF(G51="Bestand",1,IF(AND(Parameter!$C$8="Ja",Q51&lt;&gt;"Nein",P51&lt;&gt;"Gestrichen"),1,0)))</f>
        <v>0</v>
      </c>
      <c r="AN51" s="94">
        <f>IF(O51="",Parameter!$C$27,O51)</f>
        <v>0.03</v>
      </c>
      <c r="AO51" s="93">
        <f>IFERROR(INDEX(Parameter!$H$25:$H$28,MATCH(I51,Parameter!$G$25:$G$28,0)),0)</f>
        <v>0</v>
      </c>
      <c r="AP51" s="93">
        <f>IFERROR(INDEX(Parameter!$I$25:$I$28,MATCH(I51,Parameter!$G$25:$G$28,0)),0)</f>
        <v>0</v>
      </c>
      <c r="AQ51" s="93">
        <f>IFERROR(INDEX(Parameter!$J$25:$J$28,MATCH(I51,Parameter!$G$25:$G$28,0)),0)</f>
        <v>0</v>
      </c>
      <c r="AR51" s="93" t="str">
        <f t="shared" si="11"/>
        <v/>
      </c>
      <c r="AS51" s="93" t="str">
        <f>IF(AND(K51&lt;&gt;"",AM51=1),IF(AND(K51&gt;=DATE(Parameter!$C$7,1,1),K51&lt;=DATE(Parameter!$C$7,12,31)),K51+ROW()/100000,""),"")</f>
        <v/>
      </c>
    </row>
    <row r="52" spans="2:45" ht="18" customHeight="1" x14ac:dyDescent="0.25">
      <c r="B52" s="81" t="str">
        <f t="shared" si="8"/>
        <v/>
      </c>
      <c r="C52" s="82"/>
      <c r="D52" s="83"/>
      <c r="E52" s="59"/>
      <c r="F52" s="59"/>
      <c r="G52" s="59"/>
      <c r="H52" s="59"/>
      <c r="I52" s="59"/>
      <c r="J52" s="84"/>
      <c r="K52" s="84"/>
      <c r="L52" s="85"/>
      <c r="M52" s="38"/>
      <c r="N52" s="86"/>
      <c r="O52" s="41"/>
      <c r="P52" s="59"/>
      <c r="Q52" s="82"/>
      <c r="R52" s="33" t="str">
        <f>IF(OR(D52="",L52=""),"",L52/Parameter!$C$13)</f>
        <v/>
      </c>
      <c r="S52" s="87" t="str">
        <f t="shared" si="9"/>
        <v/>
      </c>
      <c r="T52" s="88" t="str">
        <f>IF(D52="","",AM52*MAX(0,MIN(IF(K52="",DATE(Parameter!$C$7,12,31),K52),DATE(Parameter!$C$7,12,31))-MAX(IF(J52="",DATE(Parameter!$C$7,1,1),J52),DATE(Parameter!$C$7,1,1))+1)/(DATE(Parameter!$C$7,12,31)-DATE(Parameter!$C$7,1,1)+1))</f>
        <v/>
      </c>
      <c r="U52" s="89" t="str">
        <f>IF(OR(D52="",G52="Bestand",J52=""),"",EDATE(J52,-Parameter!$C$9))</f>
        <v/>
      </c>
      <c r="V52" s="37" t="str">
        <f>IF(D52="","",Personalkosten!$AD$77)</f>
        <v/>
      </c>
      <c r="W52" s="90" t="str">
        <f ca="1">IF(D52="","",IF(AND(G52&lt;&gt;"Bestand",AM52=0),"nicht eingeplant",IF(AND(G52&lt;&gt;"Bestand",OR(P52="Offen",P52=""),U52&lt;&gt;"",U52&lt;=TODAY()),"Ausschreibung fällig",IF(AND(I52="Minijob",M52&gt;Parameter!$C$31),"Minijob-Grenze überschritten",IF(AND(N(M52)&gt;0,IFERROR(M52/(L52*13/3),999)&lt;Parameter!$C$30),"Unter Mindestlohn",IF(AND(K52&lt;&gt;"",K52&gt;=DATE(Parameter!$C$7,1,1),K52&lt;=DATE(Parameter!$C$7,12,31),H52="Befristet"),"Befristung endet",IF(AND(K52&lt;&gt;"",K52&gt;=DATE(Parameter!$C$7,1,1),K52&lt;=DATE(Parameter!$C$7,12,31)),"Austritt im Planjahr","")))))))</f>
        <v/>
      </c>
      <c r="Y52" s="91" t="str">
        <f t="shared" si="12"/>
        <v/>
      </c>
      <c r="Z52" s="91" t="str">
        <f t="shared" si="12"/>
        <v/>
      </c>
      <c r="AA52" s="91" t="str">
        <f t="shared" si="12"/>
        <v/>
      </c>
      <c r="AB52" s="91" t="str">
        <f t="shared" si="12"/>
        <v/>
      </c>
      <c r="AC52" s="91" t="str">
        <f t="shared" si="12"/>
        <v/>
      </c>
      <c r="AD52" s="91" t="str">
        <f t="shared" si="12"/>
        <v/>
      </c>
      <c r="AE52" s="91" t="str">
        <f t="shared" si="12"/>
        <v/>
      </c>
      <c r="AF52" s="91" t="str">
        <f t="shared" si="12"/>
        <v/>
      </c>
      <c r="AG52" s="91" t="str">
        <f t="shared" si="12"/>
        <v/>
      </c>
      <c r="AH52" s="91" t="str">
        <f t="shared" si="12"/>
        <v/>
      </c>
      <c r="AI52" s="91" t="str">
        <f t="shared" si="12"/>
        <v/>
      </c>
      <c r="AJ52" s="91" t="str">
        <f t="shared" si="12"/>
        <v/>
      </c>
      <c r="AK52" s="92" t="str">
        <f t="shared" si="10"/>
        <v/>
      </c>
      <c r="AM52" s="93">
        <f>IF(D52="",0,IF(G52="Bestand",1,IF(AND(Parameter!$C$8="Ja",Q52&lt;&gt;"Nein",P52&lt;&gt;"Gestrichen"),1,0)))</f>
        <v>0</v>
      </c>
      <c r="AN52" s="94">
        <f>IF(O52="",Parameter!$C$27,O52)</f>
        <v>0.03</v>
      </c>
      <c r="AO52" s="93">
        <f>IFERROR(INDEX(Parameter!$H$25:$H$28,MATCH(I52,Parameter!$G$25:$G$28,0)),0)</f>
        <v>0</v>
      </c>
      <c r="AP52" s="93">
        <f>IFERROR(INDEX(Parameter!$I$25:$I$28,MATCH(I52,Parameter!$G$25:$G$28,0)),0)</f>
        <v>0</v>
      </c>
      <c r="AQ52" s="93">
        <f>IFERROR(INDEX(Parameter!$J$25:$J$28,MATCH(I52,Parameter!$G$25:$G$28,0)),0)</f>
        <v>0</v>
      </c>
      <c r="AR52" s="93" t="str">
        <f t="shared" si="11"/>
        <v/>
      </c>
      <c r="AS52" s="93" t="str">
        <f>IF(AND(K52&lt;&gt;"",AM52=1),IF(AND(K52&gt;=DATE(Parameter!$C$7,1,1),K52&lt;=DATE(Parameter!$C$7,12,31)),K52+ROW()/100000,""),"")</f>
        <v/>
      </c>
    </row>
    <row r="53" spans="2:45" ht="18" customHeight="1" x14ac:dyDescent="0.25">
      <c r="B53" s="81" t="str">
        <f t="shared" si="8"/>
        <v/>
      </c>
      <c r="C53" s="82"/>
      <c r="D53" s="83"/>
      <c r="E53" s="59"/>
      <c r="F53" s="59"/>
      <c r="G53" s="59"/>
      <c r="H53" s="59"/>
      <c r="I53" s="59"/>
      <c r="J53" s="84"/>
      <c r="K53" s="84"/>
      <c r="L53" s="85"/>
      <c r="M53" s="38"/>
      <c r="N53" s="86"/>
      <c r="O53" s="41"/>
      <c r="P53" s="59"/>
      <c r="Q53" s="82"/>
      <c r="R53" s="33" t="str">
        <f>IF(OR(D53="",L53=""),"",L53/Parameter!$C$13)</f>
        <v/>
      </c>
      <c r="S53" s="87" t="str">
        <f t="shared" si="9"/>
        <v/>
      </c>
      <c r="T53" s="88" t="str">
        <f>IF(D53="","",AM53*MAX(0,MIN(IF(K53="",DATE(Parameter!$C$7,12,31),K53),DATE(Parameter!$C$7,12,31))-MAX(IF(J53="",DATE(Parameter!$C$7,1,1),J53),DATE(Parameter!$C$7,1,1))+1)/(DATE(Parameter!$C$7,12,31)-DATE(Parameter!$C$7,1,1)+1))</f>
        <v/>
      </c>
      <c r="U53" s="89" t="str">
        <f>IF(OR(D53="",G53="Bestand",J53=""),"",EDATE(J53,-Parameter!$C$9))</f>
        <v/>
      </c>
      <c r="V53" s="37" t="str">
        <f>IF(D53="","",Personalkosten!$AD$78)</f>
        <v/>
      </c>
      <c r="W53" s="90" t="str">
        <f ca="1">IF(D53="","",IF(AND(G53&lt;&gt;"Bestand",AM53=0),"nicht eingeplant",IF(AND(G53&lt;&gt;"Bestand",OR(P53="Offen",P53=""),U53&lt;&gt;"",U53&lt;=TODAY()),"Ausschreibung fällig",IF(AND(I53="Minijob",M53&gt;Parameter!$C$31),"Minijob-Grenze überschritten",IF(AND(N(M53)&gt;0,IFERROR(M53/(L53*13/3),999)&lt;Parameter!$C$30),"Unter Mindestlohn",IF(AND(K53&lt;&gt;"",K53&gt;=DATE(Parameter!$C$7,1,1),K53&lt;=DATE(Parameter!$C$7,12,31),H53="Befristet"),"Befristung endet",IF(AND(K53&lt;&gt;"",K53&gt;=DATE(Parameter!$C$7,1,1),K53&lt;=DATE(Parameter!$C$7,12,31)),"Austritt im Planjahr","")))))))</f>
        <v/>
      </c>
      <c r="Y53" s="91" t="str">
        <f t="shared" si="12"/>
        <v/>
      </c>
      <c r="Z53" s="91" t="str">
        <f t="shared" si="12"/>
        <v/>
      </c>
      <c r="AA53" s="91" t="str">
        <f t="shared" si="12"/>
        <v/>
      </c>
      <c r="AB53" s="91" t="str">
        <f t="shared" si="12"/>
        <v/>
      </c>
      <c r="AC53" s="91" t="str">
        <f t="shared" si="12"/>
        <v/>
      </c>
      <c r="AD53" s="91" t="str">
        <f t="shared" si="12"/>
        <v/>
      </c>
      <c r="AE53" s="91" t="str">
        <f t="shared" si="12"/>
        <v/>
      </c>
      <c r="AF53" s="91" t="str">
        <f t="shared" si="12"/>
        <v/>
      </c>
      <c r="AG53" s="91" t="str">
        <f t="shared" si="12"/>
        <v/>
      </c>
      <c r="AH53" s="91" t="str">
        <f t="shared" si="12"/>
        <v/>
      </c>
      <c r="AI53" s="91" t="str">
        <f t="shared" si="12"/>
        <v/>
      </c>
      <c r="AJ53" s="91" t="str">
        <f t="shared" si="12"/>
        <v/>
      </c>
      <c r="AK53" s="92" t="str">
        <f t="shared" si="10"/>
        <v/>
      </c>
      <c r="AM53" s="93">
        <f>IF(D53="",0,IF(G53="Bestand",1,IF(AND(Parameter!$C$8="Ja",Q53&lt;&gt;"Nein",P53&lt;&gt;"Gestrichen"),1,0)))</f>
        <v>0</v>
      </c>
      <c r="AN53" s="94">
        <f>IF(O53="",Parameter!$C$27,O53)</f>
        <v>0.03</v>
      </c>
      <c r="AO53" s="93">
        <f>IFERROR(INDEX(Parameter!$H$25:$H$28,MATCH(I53,Parameter!$G$25:$G$28,0)),0)</f>
        <v>0</v>
      </c>
      <c r="AP53" s="93">
        <f>IFERROR(INDEX(Parameter!$I$25:$I$28,MATCH(I53,Parameter!$G$25:$G$28,0)),0)</f>
        <v>0</v>
      </c>
      <c r="AQ53" s="93">
        <f>IFERROR(INDEX(Parameter!$J$25:$J$28,MATCH(I53,Parameter!$G$25:$G$28,0)),0)</f>
        <v>0</v>
      </c>
      <c r="AR53" s="93" t="str">
        <f t="shared" si="11"/>
        <v/>
      </c>
      <c r="AS53" s="93" t="str">
        <f>IF(AND(K53&lt;&gt;"",AM53=1),IF(AND(K53&gt;=DATE(Parameter!$C$7,1,1),K53&lt;=DATE(Parameter!$C$7,12,31)),K53+ROW()/100000,""),"")</f>
        <v/>
      </c>
    </row>
    <row r="54" spans="2:45" ht="18" customHeight="1" x14ac:dyDescent="0.25">
      <c r="B54" s="81" t="str">
        <f t="shared" si="8"/>
        <v/>
      </c>
      <c r="C54" s="82"/>
      <c r="D54" s="83"/>
      <c r="E54" s="59"/>
      <c r="F54" s="59"/>
      <c r="G54" s="59"/>
      <c r="H54" s="59"/>
      <c r="I54" s="59"/>
      <c r="J54" s="84"/>
      <c r="K54" s="84"/>
      <c r="L54" s="85"/>
      <c r="M54" s="38"/>
      <c r="N54" s="86"/>
      <c r="O54" s="41"/>
      <c r="P54" s="59"/>
      <c r="Q54" s="82"/>
      <c r="R54" s="33" t="str">
        <f>IF(OR(D54="",L54=""),"",L54/Parameter!$C$13)</f>
        <v/>
      </c>
      <c r="S54" s="87" t="str">
        <f t="shared" si="9"/>
        <v/>
      </c>
      <c r="T54" s="88" t="str">
        <f>IF(D54="","",AM54*MAX(0,MIN(IF(K54="",DATE(Parameter!$C$7,12,31),K54),DATE(Parameter!$C$7,12,31))-MAX(IF(J54="",DATE(Parameter!$C$7,1,1),J54),DATE(Parameter!$C$7,1,1))+1)/(DATE(Parameter!$C$7,12,31)-DATE(Parameter!$C$7,1,1)+1))</f>
        <v/>
      </c>
      <c r="U54" s="89" t="str">
        <f>IF(OR(D54="",G54="Bestand",J54=""),"",EDATE(J54,-Parameter!$C$9))</f>
        <v/>
      </c>
      <c r="V54" s="37" t="str">
        <f>IF(D54="","",Personalkosten!$AD$79)</f>
        <v/>
      </c>
      <c r="W54" s="90" t="str">
        <f ca="1">IF(D54="","",IF(AND(G54&lt;&gt;"Bestand",AM54=0),"nicht eingeplant",IF(AND(G54&lt;&gt;"Bestand",OR(P54="Offen",P54=""),U54&lt;&gt;"",U54&lt;=TODAY()),"Ausschreibung fällig",IF(AND(I54="Minijob",M54&gt;Parameter!$C$31),"Minijob-Grenze überschritten",IF(AND(N(M54)&gt;0,IFERROR(M54/(L54*13/3),999)&lt;Parameter!$C$30),"Unter Mindestlohn",IF(AND(K54&lt;&gt;"",K54&gt;=DATE(Parameter!$C$7,1,1),K54&lt;=DATE(Parameter!$C$7,12,31),H54="Befristet"),"Befristung endet",IF(AND(K54&lt;&gt;"",K54&gt;=DATE(Parameter!$C$7,1,1),K54&lt;=DATE(Parameter!$C$7,12,31)),"Austritt im Planjahr","")))))))</f>
        <v/>
      </c>
      <c r="Y54" s="91" t="str">
        <f t="shared" si="12"/>
        <v/>
      </c>
      <c r="Z54" s="91" t="str">
        <f t="shared" si="12"/>
        <v/>
      </c>
      <c r="AA54" s="91" t="str">
        <f t="shared" si="12"/>
        <v/>
      </c>
      <c r="AB54" s="91" t="str">
        <f t="shared" si="12"/>
        <v/>
      </c>
      <c r="AC54" s="91" t="str">
        <f t="shared" si="12"/>
        <v/>
      </c>
      <c r="AD54" s="91" t="str">
        <f t="shared" si="12"/>
        <v/>
      </c>
      <c r="AE54" s="91" t="str">
        <f t="shared" si="12"/>
        <v/>
      </c>
      <c r="AF54" s="91" t="str">
        <f t="shared" si="12"/>
        <v/>
      </c>
      <c r="AG54" s="91" t="str">
        <f t="shared" si="12"/>
        <v/>
      </c>
      <c r="AH54" s="91" t="str">
        <f t="shared" si="12"/>
        <v/>
      </c>
      <c r="AI54" s="91" t="str">
        <f t="shared" si="12"/>
        <v/>
      </c>
      <c r="AJ54" s="91" t="str">
        <f t="shared" si="12"/>
        <v/>
      </c>
      <c r="AK54" s="92" t="str">
        <f t="shared" si="10"/>
        <v/>
      </c>
      <c r="AM54" s="93">
        <f>IF(D54="",0,IF(G54="Bestand",1,IF(AND(Parameter!$C$8="Ja",Q54&lt;&gt;"Nein",P54&lt;&gt;"Gestrichen"),1,0)))</f>
        <v>0</v>
      </c>
      <c r="AN54" s="94">
        <f>IF(O54="",Parameter!$C$27,O54)</f>
        <v>0.03</v>
      </c>
      <c r="AO54" s="93">
        <f>IFERROR(INDEX(Parameter!$H$25:$H$28,MATCH(I54,Parameter!$G$25:$G$28,0)),0)</f>
        <v>0</v>
      </c>
      <c r="AP54" s="93">
        <f>IFERROR(INDEX(Parameter!$I$25:$I$28,MATCH(I54,Parameter!$G$25:$G$28,0)),0)</f>
        <v>0</v>
      </c>
      <c r="AQ54" s="93">
        <f>IFERROR(INDEX(Parameter!$J$25:$J$28,MATCH(I54,Parameter!$G$25:$G$28,0)),0)</f>
        <v>0</v>
      </c>
      <c r="AR54" s="93" t="str">
        <f t="shared" si="11"/>
        <v/>
      </c>
      <c r="AS54" s="93" t="str">
        <f>IF(AND(K54&lt;&gt;"",AM54=1),IF(AND(K54&gt;=DATE(Parameter!$C$7,1,1),K54&lt;=DATE(Parameter!$C$7,12,31)),K54+ROW()/100000,""),"")</f>
        <v/>
      </c>
    </row>
    <row r="55" spans="2:45" ht="18" customHeight="1" x14ac:dyDescent="0.25">
      <c r="B55" s="81" t="str">
        <f t="shared" si="8"/>
        <v/>
      </c>
      <c r="C55" s="82"/>
      <c r="D55" s="83"/>
      <c r="E55" s="59"/>
      <c r="F55" s="59"/>
      <c r="G55" s="59"/>
      <c r="H55" s="59"/>
      <c r="I55" s="59"/>
      <c r="J55" s="84"/>
      <c r="K55" s="84"/>
      <c r="L55" s="85"/>
      <c r="M55" s="38"/>
      <c r="N55" s="86"/>
      <c r="O55" s="41"/>
      <c r="P55" s="59"/>
      <c r="Q55" s="82"/>
      <c r="R55" s="33" t="str">
        <f>IF(OR(D55="",L55=""),"",L55/Parameter!$C$13)</f>
        <v/>
      </c>
      <c r="S55" s="87" t="str">
        <f t="shared" si="9"/>
        <v/>
      </c>
      <c r="T55" s="88" t="str">
        <f>IF(D55="","",AM55*MAX(0,MIN(IF(K55="",DATE(Parameter!$C$7,12,31),K55),DATE(Parameter!$C$7,12,31))-MAX(IF(J55="",DATE(Parameter!$C$7,1,1),J55),DATE(Parameter!$C$7,1,1))+1)/(DATE(Parameter!$C$7,12,31)-DATE(Parameter!$C$7,1,1)+1))</f>
        <v/>
      </c>
      <c r="U55" s="89" t="str">
        <f>IF(OR(D55="",G55="Bestand",J55=""),"",EDATE(J55,-Parameter!$C$9))</f>
        <v/>
      </c>
      <c r="V55" s="37" t="str">
        <f>IF(D55="","",Personalkosten!$AD$80)</f>
        <v/>
      </c>
      <c r="W55" s="90" t="str">
        <f ca="1">IF(D55="","",IF(AND(G55&lt;&gt;"Bestand",AM55=0),"nicht eingeplant",IF(AND(G55&lt;&gt;"Bestand",OR(P55="Offen",P55=""),U55&lt;&gt;"",U55&lt;=TODAY()),"Ausschreibung fällig",IF(AND(I55="Minijob",M55&gt;Parameter!$C$31),"Minijob-Grenze überschritten",IF(AND(N(M55)&gt;0,IFERROR(M55/(L55*13/3),999)&lt;Parameter!$C$30),"Unter Mindestlohn",IF(AND(K55&lt;&gt;"",K55&gt;=DATE(Parameter!$C$7,1,1),K55&lt;=DATE(Parameter!$C$7,12,31),H55="Befristet"),"Befristung endet",IF(AND(K55&lt;&gt;"",K55&gt;=DATE(Parameter!$C$7,1,1),K55&lt;=DATE(Parameter!$C$7,12,31)),"Austritt im Planjahr","")))))))</f>
        <v/>
      </c>
      <c r="Y55" s="91" t="str">
        <f t="shared" si="12"/>
        <v/>
      </c>
      <c r="Z55" s="91" t="str">
        <f t="shared" si="12"/>
        <v/>
      </c>
      <c r="AA55" s="91" t="str">
        <f t="shared" si="12"/>
        <v/>
      </c>
      <c r="AB55" s="91" t="str">
        <f t="shared" si="12"/>
        <v/>
      </c>
      <c r="AC55" s="91" t="str">
        <f t="shared" si="12"/>
        <v/>
      </c>
      <c r="AD55" s="91" t="str">
        <f t="shared" si="12"/>
        <v/>
      </c>
      <c r="AE55" s="91" t="str">
        <f t="shared" si="12"/>
        <v/>
      </c>
      <c r="AF55" s="91" t="str">
        <f t="shared" si="12"/>
        <v/>
      </c>
      <c r="AG55" s="91" t="str">
        <f t="shared" si="12"/>
        <v/>
      </c>
      <c r="AH55" s="91" t="str">
        <f t="shared" si="12"/>
        <v/>
      </c>
      <c r="AI55" s="91" t="str">
        <f t="shared" si="12"/>
        <v/>
      </c>
      <c r="AJ55" s="91" t="str">
        <f t="shared" si="12"/>
        <v/>
      </c>
      <c r="AK55" s="92" t="str">
        <f t="shared" si="10"/>
        <v/>
      </c>
      <c r="AM55" s="93">
        <f>IF(D55="",0,IF(G55="Bestand",1,IF(AND(Parameter!$C$8="Ja",Q55&lt;&gt;"Nein",P55&lt;&gt;"Gestrichen"),1,0)))</f>
        <v>0</v>
      </c>
      <c r="AN55" s="94">
        <f>IF(O55="",Parameter!$C$27,O55)</f>
        <v>0.03</v>
      </c>
      <c r="AO55" s="93">
        <f>IFERROR(INDEX(Parameter!$H$25:$H$28,MATCH(I55,Parameter!$G$25:$G$28,0)),0)</f>
        <v>0</v>
      </c>
      <c r="AP55" s="93">
        <f>IFERROR(INDEX(Parameter!$I$25:$I$28,MATCH(I55,Parameter!$G$25:$G$28,0)),0)</f>
        <v>0</v>
      </c>
      <c r="AQ55" s="93">
        <f>IFERROR(INDEX(Parameter!$J$25:$J$28,MATCH(I55,Parameter!$G$25:$G$28,0)),0)</f>
        <v>0</v>
      </c>
      <c r="AR55" s="93" t="str">
        <f t="shared" si="11"/>
        <v/>
      </c>
      <c r="AS55" s="93" t="str">
        <f>IF(AND(K55&lt;&gt;"",AM55=1),IF(AND(K55&gt;=DATE(Parameter!$C$7,1,1),K55&lt;=DATE(Parameter!$C$7,12,31)),K55+ROW()/100000,""),"")</f>
        <v/>
      </c>
    </row>
    <row r="56" spans="2:45" ht="18" customHeight="1" x14ac:dyDescent="0.25">
      <c r="B56" s="81" t="str">
        <f t="shared" si="8"/>
        <v/>
      </c>
      <c r="C56" s="82"/>
      <c r="D56" s="83"/>
      <c r="E56" s="59"/>
      <c r="F56" s="59"/>
      <c r="G56" s="59"/>
      <c r="H56" s="59"/>
      <c r="I56" s="59"/>
      <c r="J56" s="84"/>
      <c r="K56" s="84"/>
      <c r="L56" s="85"/>
      <c r="M56" s="38"/>
      <c r="N56" s="86"/>
      <c r="O56" s="41"/>
      <c r="P56" s="59"/>
      <c r="Q56" s="82"/>
      <c r="R56" s="33" t="str">
        <f>IF(OR(D56="",L56=""),"",L56/Parameter!$C$13)</f>
        <v/>
      </c>
      <c r="S56" s="87" t="str">
        <f t="shared" si="9"/>
        <v/>
      </c>
      <c r="T56" s="88" t="str">
        <f>IF(D56="","",AM56*MAX(0,MIN(IF(K56="",DATE(Parameter!$C$7,12,31),K56),DATE(Parameter!$C$7,12,31))-MAX(IF(J56="",DATE(Parameter!$C$7,1,1),J56),DATE(Parameter!$C$7,1,1))+1)/(DATE(Parameter!$C$7,12,31)-DATE(Parameter!$C$7,1,1)+1))</f>
        <v/>
      </c>
      <c r="U56" s="89" t="str">
        <f>IF(OR(D56="",G56="Bestand",J56=""),"",EDATE(J56,-Parameter!$C$9))</f>
        <v/>
      </c>
      <c r="V56" s="37" t="str">
        <f>IF(D56="","",Personalkosten!$AD$81)</f>
        <v/>
      </c>
      <c r="W56" s="90" t="str">
        <f ca="1">IF(D56="","",IF(AND(G56&lt;&gt;"Bestand",AM56=0),"nicht eingeplant",IF(AND(G56&lt;&gt;"Bestand",OR(P56="Offen",P56=""),U56&lt;&gt;"",U56&lt;=TODAY()),"Ausschreibung fällig",IF(AND(I56="Minijob",M56&gt;Parameter!$C$31),"Minijob-Grenze überschritten",IF(AND(N(M56)&gt;0,IFERROR(M56/(L56*13/3),999)&lt;Parameter!$C$30),"Unter Mindestlohn",IF(AND(K56&lt;&gt;"",K56&gt;=DATE(Parameter!$C$7,1,1),K56&lt;=DATE(Parameter!$C$7,12,31),H56="Befristet"),"Befristung endet",IF(AND(K56&lt;&gt;"",K56&gt;=DATE(Parameter!$C$7,1,1),K56&lt;=DATE(Parameter!$C$7,12,31)),"Austritt im Planjahr","")))))))</f>
        <v/>
      </c>
      <c r="Y56" s="91" t="str">
        <f t="shared" si="12"/>
        <v/>
      </c>
      <c r="Z56" s="91" t="str">
        <f t="shared" si="12"/>
        <v/>
      </c>
      <c r="AA56" s="91" t="str">
        <f t="shared" si="12"/>
        <v/>
      </c>
      <c r="AB56" s="91" t="str">
        <f t="shared" si="12"/>
        <v/>
      </c>
      <c r="AC56" s="91" t="str">
        <f t="shared" si="12"/>
        <v/>
      </c>
      <c r="AD56" s="91" t="str">
        <f t="shared" si="12"/>
        <v/>
      </c>
      <c r="AE56" s="91" t="str">
        <f t="shared" si="12"/>
        <v/>
      </c>
      <c r="AF56" s="91" t="str">
        <f t="shared" si="12"/>
        <v/>
      </c>
      <c r="AG56" s="91" t="str">
        <f t="shared" si="12"/>
        <v/>
      </c>
      <c r="AH56" s="91" t="str">
        <f t="shared" si="12"/>
        <v/>
      </c>
      <c r="AI56" s="91" t="str">
        <f t="shared" si="12"/>
        <v/>
      </c>
      <c r="AJ56" s="91" t="str">
        <f t="shared" si="12"/>
        <v/>
      </c>
      <c r="AK56" s="92" t="str">
        <f t="shared" si="10"/>
        <v/>
      </c>
      <c r="AM56" s="93">
        <f>IF(D56="",0,IF(G56="Bestand",1,IF(AND(Parameter!$C$8="Ja",Q56&lt;&gt;"Nein",P56&lt;&gt;"Gestrichen"),1,0)))</f>
        <v>0</v>
      </c>
      <c r="AN56" s="94">
        <f>IF(O56="",Parameter!$C$27,O56)</f>
        <v>0.03</v>
      </c>
      <c r="AO56" s="93">
        <f>IFERROR(INDEX(Parameter!$H$25:$H$28,MATCH(I56,Parameter!$G$25:$G$28,0)),0)</f>
        <v>0</v>
      </c>
      <c r="AP56" s="93">
        <f>IFERROR(INDEX(Parameter!$I$25:$I$28,MATCH(I56,Parameter!$G$25:$G$28,0)),0)</f>
        <v>0</v>
      </c>
      <c r="AQ56" s="93">
        <f>IFERROR(INDEX(Parameter!$J$25:$J$28,MATCH(I56,Parameter!$G$25:$G$28,0)),0)</f>
        <v>0</v>
      </c>
      <c r="AR56" s="93" t="str">
        <f t="shared" si="11"/>
        <v/>
      </c>
      <c r="AS56" s="93" t="str">
        <f>IF(AND(K56&lt;&gt;"",AM56=1),IF(AND(K56&gt;=DATE(Parameter!$C$7,1,1),K56&lt;=DATE(Parameter!$C$7,12,31)),K56+ROW()/100000,""),"")</f>
        <v/>
      </c>
    </row>
    <row r="57" spans="2:45" ht="18" customHeight="1" x14ac:dyDescent="0.25">
      <c r="B57" s="81" t="str">
        <f t="shared" si="8"/>
        <v/>
      </c>
      <c r="C57" s="82"/>
      <c r="D57" s="83"/>
      <c r="E57" s="59"/>
      <c r="F57" s="59"/>
      <c r="G57" s="59"/>
      <c r="H57" s="59"/>
      <c r="I57" s="59"/>
      <c r="J57" s="84"/>
      <c r="K57" s="84"/>
      <c r="L57" s="85"/>
      <c r="M57" s="38"/>
      <c r="N57" s="86"/>
      <c r="O57" s="41"/>
      <c r="P57" s="59"/>
      <c r="Q57" s="82"/>
      <c r="R57" s="33" t="str">
        <f>IF(OR(D57="",L57=""),"",L57/Parameter!$C$13)</f>
        <v/>
      </c>
      <c r="S57" s="87" t="str">
        <f t="shared" si="9"/>
        <v/>
      </c>
      <c r="T57" s="88" t="str">
        <f>IF(D57="","",AM57*MAX(0,MIN(IF(K57="",DATE(Parameter!$C$7,12,31),K57),DATE(Parameter!$C$7,12,31))-MAX(IF(J57="",DATE(Parameter!$C$7,1,1),J57),DATE(Parameter!$C$7,1,1))+1)/(DATE(Parameter!$C$7,12,31)-DATE(Parameter!$C$7,1,1)+1))</f>
        <v/>
      </c>
      <c r="U57" s="89" t="str">
        <f>IF(OR(D57="",G57="Bestand",J57=""),"",EDATE(J57,-Parameter!$C$9))</f>
        <v/>
      </c>
      <c r="V57" s="37" t="str">
        <f>IF(D57="","",Personalkosten!$AD$82)</f>
        <v/>
      </c>
      <c r="W57" s="90" t="str">
        <f ca="1">IF(D57="","",IF(AND(G57&lt;&gt;"Bestand",AM57=0),"nicht eingeplant",IF(AND(G57&lt;&gt;"Bestand",OR(P57="Offen",P57=""),U57&lt;&gt;"",U57&lt;=TODAY()),"Ausschreibung fällig",IF(AND(I57="Minijob",M57&gt;Parameter!$C$31),"Minijob-Grenze überschritten",IF(AND(N(M57)&gt;0,IFERROR(M57/(L57*13/3),999)&lt;Parameter!$C$30),"Unter Mindestlohn",IF(AND(K57&lt;&gt;"",K57&gt;=DATE(Parameter!$C$7,1,1),K57&lt;=DATE(Parameter!$C$7,12,31),H57="Befristet"),"Befristung endet",IF(AND(K57&lt;&gt;"",K57&gt;=DATE(Parameter!$C$7,1,1),K57&lt;=DATE(Parameter!$C$7,12,31)),"Austritt im Planjahr","")))))))</f>
        <v/>
      </c>
      <c r="Y57" s="91" t="str">
        <f t="shared" si="12"/>
        <v/>
      </c>
      <c r="Z57" s="91" t="str">
        <f t="shared" si="12"/>
        <v/>
      </c>
      <c r="AA57" s="91" t="str">
        <f t="shared" si="12"/>
        <v/>
      </c>
      <c r="AB57" s="91" t="str">
        <f t="shared" si="12"/>
        <v/>
      </c>
      <c r="AC57" s="91" t="str">
        <f t="shared" si="12"/>
        <v/>
      </c>
      <c r="AD57" s="91" t="str">
        <f t="shared" si="12"/>
        <v/>
      </c>
      <c r="AE57" s="91" t="str">
        <f t="shared" si="12"/>
        <v/>
      </c>
      <c r="AF57" s="91" t="str">
        <f t="shared" si="12"/>
        <v/>
      </c>
      <c r="AG57" s="91" t="str">
        <f t="shared" si="12"/>
        <v/>
      </c>
      <c r="AH57" s="91" t="str">
        <f t="shared" si="12"/>
        <v/>
      </c>
      <c r="AI57" s="91" t="str">
        <f t="shared" si="12"/>
        <v/>
      </c>
      <c r="AJ57" s="91" t="str">
        <f t="shared" si="12"/>
        <v/>
      </c>
      <c r="AK57" s="92" t="str">
        <f t="shared" si="10"/>
        <v/>
      </c>
      <c r="AM57" s="93">
        <f>IF(D57="",0,IF(G57="Bestand",1,IF(AND(Parameter!$C$8="Ja",Q57&lt;&gt;"Nein",P57&lt;&gt;"Gestrichen"),1,0)))</f>
        <v>0</v>
      </c>
      <c r="AN57" s="94">
        <f>IF(O57="",Parameter!$C$27,O57)</f>
        <v>0.03</v>
      </c>
      <c r="AO57" s="93">
        <f>IFERROR(INDEX(Parameter!$H$25:$H$28,MATCH(I57,Parameter!$G$25:$G$28,0)),0)</f>
        <v>0</v>
      </c>
      <c r="AP57" s="93">
        <f>IFERROR(INDEX(Parameter!$I$25:$I$28,MATCH(I57,Parameter!$G$25:$G$28,0)),0)</f>
        <v>0</v>
      </c>
      <c r="AQ57" s="93">
        <f>IFERROR(INDEX(Parameter!$J$25:$J$28,MATCH(I57,Parameter!$G$25:$G$28,0)),0)</f>
        <v>0</v>
      </c>
      <c r="AR57" s="93" t="str">
        <f t="shared" si="11"/>
        <v/>
      </c>
      <c r="AS57" s="93" t="str">
        <f>IF(AND(K57&lt;&gt;"",AM57=1),IF(AND(K57&gt;=DATE(Parameter!$C$7,1,1),K57&lt;=DATE(Parameter!$C$7,12,31)),K57+ROW()/100000,""),"")</f>
        <v/>
      </c>
    </row>
    <row r="58" spans="2:45" ht="18" customHeight="1" x14ac:dyDescent="0.25">
      <c r="B58" s="81" t="str">
        <f t="shared" si="8"/>
        <v/>
      </c>
      <c r="C58" s="82"/>
      <c r="D58" s="83"/>
      <c r="E58" s="59"/>
      <c r="F58" s="59"/>
      <c r="G58" s="59"/>
      <c r="H58" s="59"/>
      <c r="I58" s="59"/>
      <c r="J58" s="84"/>
      <c r="K58" s="84"/>
      <c r="L58" s="85"/>
      <c r="M58" s="38"/>
      <c r="N58" s="86"/>
      <c r="O58" s="41"/>
      <c r="P58" s="59"/>
      <c r="Q58" s="82"/>
      <c r="R58" s="33" t="str">
        <f>IF(OR(D58="",L58=""),"",L58/Parameter!$C$13)</f>
        <v/>
      </c>
      <c r="S58" s="87" t="str">
        <f t="shared" si="9"/>
        <v/>
      </c>
      <c r="T58" s="88" t="str">
        <f>IF(D58="","",AM58*MAX(0,MIN(IF(K58="",DATE(Parameter!$C$7,12,31),K58),DATE(Parameter!$C$7,12,31))-MAX(IF(J58="",DATE(Parameter!$C$7,1,1),J58),DATE(Parameter!$C$7,1,1))+1)/(DATE(Parameter!$C$7,12,31)-DATE(Parameter!$C$7,1,1)+1))</f>
        <v/>
      </c>
      <c r="U58" s="89" t="str">
        <f>IF(OR(D58="",G58="Bestand",J58=""),"",EDATE(J58,-Parameter!$C$9))</f>
        <v/>
      </c>
      <c r="V58" s="37" t="str">
        <f>IF(D58="","",Personalkosten!$AD$83)</f>
        <v/>
      </c>
      <c r="W58" s="90" t="str">
        <f ca="1">IF(D58="","",IF(AND(G58&lt;&gt;"Bestand",AM58=0),"nicht eingeplant",IF(AND(G58&lt;&gt;"Bestand",OR(P58="Offen",P58=""),U58&lt;&gt;"",U58&lt;=TODAY()),"Ausschreibung fällig",IF(AND(I58="Minijob",M58&gt;Parameter!$C$31),"Minijob-Grenze überschritten",IF(AND(N(M58)&gt;0,IFERROR(M58/(L58*13/3),999)&lt;Parameter!$C$30),"Unter Mindestlohn",IF(AND(K58&lt;&gt;"",K58&gt;=DATE(Parameter!$C$7,1,1),K58&lt;=DATE(Parameter!$C$7,12,31),H58="Befristet"),"Befristung endet",IF(AND(K58&lt;&gt;"",K58&gt;=DATE(Parameter!$C$7,1,1),K58&lt;=DATE(Parameter!$C$7,12,31)),"Austritt im Planjahr","")))))))</f>
        <v/>
      </c>
      <c r="Y58" s="91" t="str">
        <f t="shared" ref="Y58:AJ67" si="13">IF($R58="","",$AM58*$R58*MAX(0,MIN(IF($K58="",DATE(9999,12,31),$K58),EOMONTH(Y$6,0))-MAX(IF($J58="",Y$6,$J58),Y$6)+1)/DAY(EOMONTH(Y$6,0)))</f>
        <v/>
      </c>
      <c r="Z58" s="91" t="str">
        <f t="shared" si="13"/>
        <v/>
      </c>
      <c r="AA58" s="91" t="str">
        <f t="shared" si="13"/>
        <v/>
      </c>
      <c r="AB58" s="91" t="str">
        <f t="shared" si="13"/>
        <v/>
      </c>
      <c r="AC58" s="91" t="str">
        <f t="shared" si="13"/>
        <v/>
      </c>
      <c r="AD58" s="91" t="str">
        <f t="shared" si="13"/>
        <v/>
      </c>
      <c r="AE58" s="91" t="str">
        <f t="shared" si="13"/>
        <v/>
      </c>
      <c r="AF58" s="91" t="str">
        <f t="shared" si="13"/>
        <v/>
      </c>
      <c r="AG58" s="91" t="str">
        <f t="shared" si="13"/>
        <v/>
      </c>
      <c r="AH58" s="91" t="str">
        <f t="shared" si="13"/>
        <v/>
      </c>
      <c r="AI58" s="91" t="str">
        <f t="shared" si="13"/>
        <v/>
      </c>
      <c r="AJ58" s="91" t="str">
        <f t="shared" si="13"/>
        <v/>
      </c>
      <c r="AK58" s="92" t="str">
        <f t="shared" si="10"/>
        <v/>
      </c>
      <c r="AM58" s="93">
        <f>IF(D58="",0,IF(G58="Bestand",1,IF(AND(Parameter!$C$8="Ja",Q58&lt;&gt;"Nein",P58&lt;&gt;"Gestrichen"),1,0)))</f>
        <v>0</v>
      </c>
      <c r="AN58" s="94">
        <f>IF(O58="",Parameter!$C$27,O58)</f>
        <v>0.03</v>
      </c>
      <c r="AO58" s="93">
        <f>IFERROR(INDEX(Parameter!$H$25:$H$28,MATCH(I58,Parameter!$G$25:$G$28,0)),0)</f>
        <v>0</v>
      </c>
      <c r="AP58" s="93">
        <f>IFERROR(INDEX(Parameter!$I$25:$I$28,MATCH(I58,Parameter!$G$25:$G$28,0)),0)</f>
        <v>0</v>
      </c>
      <c r="AQ58" s="93">
        <f>IFERROR(INDEX(Parameter!$J$25:$J$28,MATCH(I58,Parameter!$G$25:$G$28,0)),0)</f>
        <v>0</v>
      </c>
      <c r="AR58" s="93" t="str">
        <f t="shared" si="11"/>
        <v/>
      </c>
      <c r="AS58" s="93" t="str">
        <f>IF(AND(K58&lt;&gt;"",AM58=1),IF(AND(K58&gt;=DATE(Parameter!$C$7,1,1),K58&lt;=DATE(Parameter!$C$7,12,31)),K58+ROW()/100000,""),"")</f>
        <v/>
      </c>
    </row>
    <row r="59" spans="2:45" ht="18" customHeight="1" x14ac:dyDescent="0.25">
      <c r="B59" s="81" t="str">
        <f t="shared" si="8"/>
        <v/>
      </c>
      <c r="C59" s="82"/>
      <c r="D59" s="83"/>
      <c r="E59" s="59"/>
      <c r="F59" s="59"/>
      <c r="G59" s="59"/>
      <c r="H59" s="59"/>
      <c r="I59" s="59"/>
      <c r="J59" s="84"/>
      <c r="K59" s="84"/>
      <c r="L59" s="85"/>
      <c r="M59" s="38"/>
      <c r="N59" s="86"/>
      <c r="O59" s="41"/>
      <c r="P59" s="59"/>
      <c r="Q59" s="82"/>
      <c r="R59" s="33" t="str">
        <f>IF(OR(D59="",L59=""),"",L59/Parameter!$C$13)</f>
        <v/>
      </c>
      <c r="S59" s="87" t="str">
        <f t="shared" si="9"/>
        <v/>
      </c>
      <c r="T59" s="88" t="str">
        <f>IF(D59="","",AM59*MAX(0,MIN(IF(K59="",DATE(Parameter!$C$7,12,31),K59),DATE(Parameter!$C$7,12,31))-MAX(IF(J59="",DATE(Parameter!$C$7,1,1),J59),DATE(Parameter!$C$7,1,1))+1)/(DATE(Parameter!$C$7,12,31)-DATE(Parameter!$C$7,1,1)+1))</f>
        <v/>
      </c>
      <c r="U59" s="89" t="str">
        <f>IF(OR(D59="",G59="Bestand",J59=""),"",EDATE(J59,-Parameter!$C$9))</f>
        <v/>
      </c>
      <c r="V59" s="37" t="str">
        <f>IF(D59="","",Personalkosten!$AD$84)</f>
        <v/>
      </c>
      <c r="W59" s="90" t="str">
        <f ca="1">IF(D59="","",IF(AND(G59&lt;&gt;"Bestand",AM59=0),"nicht eingeplant",IF(AND(G59&lt;&gt;"Bestand",OR(P59="Offen",P59=""),U59&lt;&gt;"",U59&lt;=TODAY()),"Ausschreibung fällig",IF(AND(I59="Minijob",M59&gt;Parameter!$C$31),"Minijob-Grenze überschritten",IF(AND(N(M59)&gt;0,IFERROR(M59/(L59*13/3),999)&lt;Parameter!$C$30),"Unter Mindestlohn",IF(AND(K59&lt;&gt;"",K59&gt;=DATE(Parameter!$C$7,1,1),K59&lt;=DATE(Parameter!$C$7,12,31),H59="Befristet"),"Befristung endet",IF(AND(K59&lt;&gt;"",K59&gt;=DATE(Parameter!$C$7,1,1),K59&lt;=DATE(Parameter!$C$7,12,31)),"Austritt im Planjahr","")))))))</f>
        <v/>
      </c>
      <c r="Y59" s="91" t="str">
        <f t="shared" si="13"/>
        <v/>
      </c>
      <c r="Z59" s="91" t="str">
        <f t="shared" si="13"/>
        <v/>
      </c>
      <c r="AA59" s="91" t="str">
        <f t="shared" si="13"/>
        <v/>
      </c>
      <c r="AB59" s="91" t="str">
        <f t="shared" si="13"/>
        <v/>
      </c>
      <c r="AC59" s="91" t="str">
        <f t="shared" si="13"/>
        <v/>
      </c>
      <c r="AD59" s="91" t="str">
        <f t="shared" si="13"/>
        <v/>
      </c>
      <c r="AE59" s="91" t="str">
        <f t="shared" si="13"/>
        <v/>
      </c>
      <c r="AF59" s="91" t="str">
        <f t="shared" si="13"/>
        <v/>
      </c>
      <c r="AG59" s="91" t="str">
        <f t="shared" si="13"/>
        <v/>
      </c>
      <c r="AH59" s="91" t="str">
        <f t="shared" si="13"/>
        <v/>
      </c>
      <c r="AI59" s="91" t="str">
        <f t="shared" si="13"/>
        <v/>
      </c>
      <c r="AJ59" s="91" t="str">
        <f t="shared" si="13"/>
        <v/>
      </c>
      <c r="AK59" s="92" t="str">
        <f t="shared" si="10"/>
        <v/>
      </c>
      <c r="AM59" s="93">
        <f>IF(D59="",0,IF(G59="Bestand",1,IF(AND(Parameter!$C$8="Ja",Q59&lt;&gt;"Nein",P59&lt;&gt;"Gestrichen"),1,0)))</f>
        <v>0</v>
      </c>
      <c r="AN59" s="94">
        <f>IF(O59="",Parameter!$C$27,O59)</f>
        <v>0.03</v>
      </c>
      <c r="AO59" s="93">
        <f>IFERROR(INDEX(Parameter!$H$25:$H$28,MATCH(I59,Parameter!$G$25:$G$28,0)),0)</f>
        <v>0</v>
      </c>
      <c r="AP59" s="93">
        <f>IFERROR(INDEX(Parameter!$I$25:$I$28,MATCH(I59,Parameter!$G$25:$G$28,0)),0)</f>
        <v>0</v>
      </c>
      <c r="AQ59" s="93">
        <f>IFERROR(INDEX(Parameter!$J$25:$J$28,MATCH(I59,Parameter!$G$25:$G$28,0)),0)</f>
        <v>0</v>
      </c>
      <c r="AR59" s="93" t="str">
        <f t="shared" si="11"/>
        <v/>
      </c>
      <c r="AS59" s="93" t="str">
        <f>IF(AND(K59&lt;&gt;"",AM59=1),IF(AND(K59&gt;=DATE(Parameter!$C$7,1,1),K59&lt;=DATE(Parameter!$C$7,12,31)),K59+ROW()/100000,""),"")</f>
        <v/>
      </c>
    </row>
    <row r="60" spans="2:45" ht="18" customHeight="1" x14ac:dyDescent="0.25">
      <c r="B60" s="81" t="str">
        <f t="shared" si="8"/>
        <v/>
      </c>
      <c r="C60" s="82"/>
      <c r="D60" s="83"/>
      <c r="E60" s="59"/>
      <c r="F60" s="59"/>
      <c r="G60" s="59"/>
      <c r="H60" s="59"/>
      <c r="I60" s="59"/>
      <c r="J60" s="84"/>
      <c r="K60" s="84"/>
      <c r="L60" s="85"/>
      <c r="M60" s="38"/>
      <c r="N60" s="86"/>
      <c r="O60" s="41"/>
      <c r="P60" s="59"/>
      <c r="Q60" s="82"/>
      <c r="R60" s="33" t="str">
        <f>IF(OR(D60="",L60=""),"",L60/Parameter!$C$13)</f>
        <v/>
      </c>
      <c r="S60" s="87" t="str">
        <f t="shared" si="9"/>
        <v/>
      </c>
      <c r="T60" s="88" t="str">
        <f>IF(D60="","",AM60*MAX(0,MIN(IF(K60="",DATE(Parameter!$C$7,12,31),K60),DATE(Parameter!$C$7,12,31))-MAX(IF(J60="",DATE(Parameter!$C$7,1,1),J60),DATE(Parameter!$C$7,1,1))+1)/(DATE(Parameter!$C$7,12,31)-DATE(Parameter!$C$7,1,1)+1))</f>
        <v/>
      </c>
      <c r="U60" s="89" t="str">
        <f>IF(OR(D60="",G60="Bestand",J60=""),"",EDATE(J60,-Parameter!$C$9))</f>
        <v/>
      </c>
      <c r="V60" s="37" t="str">
        <f>IF(D60="","",Personalkosten!$AD$85)</f>
        <v/>
      </c>
      <c r="W60" s="90" t="str">
        <f ca="1">IF(D60="","",IF(AND(G60&lt;&gt;"Bestand",AM60=0),"nicht eingeplant",IF(AND(G60&lt;&gt;"Bestand",OR(P60="Offen",P60=""),U60&lt;&gt;"",U60&lt;=TODAY()),"Ausschreibung fällig",IF(AND(I60="Minijob",M60&gt;Parameter!$C$31),"Minijob-Grenze überschritten",IF(AND(N(M60)&gt;0,IFERROR(M60/(L60*13/3),999)&lt;Parameter!$C$30),"Unter Mindestlohn",IF(AND(K60&lt;&gt;"",K60&gt;=DATE(Parameter!$C$7,1,1),K60&lt;=DATE(Parameter!$C$7,12,31),H60="Befristet"),"Befristung endet",IF(AND(K60&lt;&gt;"",K60&gt;=DATE(Parameter!$C$7,1,1),K60&lt;=DATE(Parameter!$C$7,12,31)),"Austritt im Planjahr","")))))))</f>
        <v/>
      </c>
      <c r="Y60" s="91" t="str">
        <f t="shared" si="13"/>
        <v/>
      </c>
      <c r="Z60" s="91" t="str">
        <f t="shared" si="13"/>
        <v/>
      </c>
      <c r="AA60" s="91" t="str">
        <f t="shared" si="13"/>
        <v/>
      </c>
      <c r="AB60" s="91" t="str">
        <f t="shared" si="13"/>
        <v/>
      </c>
      <c r="AC60" s="91" t="str">
        <f t="shared" si="13"/>
        <v/>
      </c>
      <c r="AD60" s="91" t="str">
        <f t="shared" si="13"/>
        <v/>
      </c>
      <c r="AE60" s="91" t="str">
        <f t="shared" si="13"/>
        <v/>
      </c>
      <c r="AF60" s="91" t="str">
        <f t="shared" si="13"/>
        <v/>
      </c>
      <c r="AG60" s="91" t="str">
        <f t="shared" si="13"/>
        <v/>
      </c>
      <c r="AH60" s="91" t="str">
        <f t="shared" si="13"/>
        <v/>
      </c>
      <c r="AI60" s="91" t="str">
        <f t="shared" si="13"/>
        <v/>
      </c>
      <c r="AJ60" s="91" t="str">
        <f t="shared" si="13"/>
        <v/>
      </c>
      <c r="AK60" s="92" t="str">
        <f t="shared" si="10"/>
        <v/>
      </c>
      <c r="AM60" s="93">
        <f>IF(D60="",0,IF(G60="Bestand",1,IF(AND(Parameter!$C$8="Ja",Q60&lt;&gt;"Nein",P60&lt;&gt;"Gestrichen"),1,0)))</f>
        <v>0</v>
      </c>
      <c r="AN60" s="94">
        <f>IF(O60="",Parameter!$C$27,O60)</f>
        <v>0.03</v>
      </c>
      <c r="AO60" s="93">
        <f>IFERROR(INDEX(Parameter!$H$25:$H$28,MATCH(I60,Parameter!$G$25:$G$28,0)),0)</f>
        <v>0</v>
      </c>
      <c r="AP60" s="93">
        <f>IFERROR(INDEX(Parameter!$I$25:$I$28,MATCH(I60,Parameter!$G$25:$G$28,0)),0)</f>
        <v>0</v>
      </c>
      <c r="AQ60" s="93">
        <f>IFERROR(INDEX(Parameter!$J$25:$J$28,MATCH(I60,Parameter!$G$25:$G$28,0)),0)</f>
        <v>0</v>
      </c>
      <c r="AR60" s="93" t="str">
        <f t="shared" si="11"/>
        <v/>
      </c>
      <c r="AS60" s="93" t="str">
        <f>IF(AND(K60&lt;&gt;"",AM60=1),IF(AND(K60&gt;=DATE(Parameter!$C$7,1,1),K60&lt;=DATE(Parameter!$C$7,12,31)),K60+ROW()/100000,""),"")</f>
        <v/>
      </c>
    </row>
    <row r="61" spans="2:45" ht="18" customHeight="1" x14ac:dyDescent="0.25">
      <c r="B61" s="81" t="str">
        <f t="shared" si="8"/>
        <v/>
      </c>
      <c r="C61" s="82"/>
      <c r="D61" s="83"/>
      <c r="E61" s="59"/>
      <c r="F61" s="59"/>
      <c r="G61" s="59"/>
      <c r="H61" s="59"/>
      <c r="I61" s="59"/>
      <c r="J61" s="84"/>
      <c r="K61" s="84"/>
      <c r="L61" s="85"/>
      <c r="M61" s="38"/>
      <c r="N61" s="86"/>
      <c r="O61" s="41"/>
      <c r="P61" s="59"/>
      <c r="Q61" s="82"/>
      <c r="R61" s="33" t="str">
        <f>IF(OR(D61="",L61=""),"",L61/Parameter!$C$13)</f>
        <v/>
      </c>
      <c r="S61" s="87" t="str">
        <f t="shared" si="9"/>
        <v/>
      </c>
      <c r="T61" s="88" t="str">
        <f>IF(D61="","",AM61*MAX(0,MIN(IF(K61="",DATE(Parameter!$C$7,12,31),K61),DATE(Parameter!$C$7,12,31))-MAX(IF(J61="",DATE(Parameter!$C$7,1,1),J61),DATE(Parameter!$C$7,1,1))+1)/(DATE(Parameter!$C$7,12,31)-DATE(Parameter!$C$7,1,1)+1))</f>
        <v/>
      </c>
      <c r="U61" s="89" t="str">
        <f>IF(OR(D61="",G61="Bestand",J61=""),"",EDATE(J61,-Parameter!$C$9))</f>
        <v/>
      </c>
      <c r="V61" s="37" t="str">
        <f>IF(D61="","",Personalkosten!$AD$86)</f>
        <v/>
      </c>
      <c r="W61" s="90" t="str">
        <f ca="1">IF(D61="","",IF(AND(G61&lt;&gt;"Bestand",AM61=0),"nicht eingeplant",IF(AND(G61&lt;&gt;"Bestand",OR(P61="Offen",P61=""),U61&lt;&gt;"",U61&lt;=TODAY()),"Ausschreibung fällig",IF(AND(I61="Minijob",M61&gt;Parameter!$C$31),"Minijob-Grenze überschritten",IF(AND(N(M61)&gt;0,IFERROR(M61/(L61*13/3),999)&lt;Parameter!$C$30),"Unter Mindestlohn",IF(AND(K61&lt;&gt;"",K61&gt;=DATE(Parameter!$C$7,1,1),K61&lt;=DATE(Parameter!$C$7,12,31),H61="Befristet"),"Befristung endet",IF(AND(K61&lt;&gt;"",K61&gt;=DATE(Parameter!$C$7,1,1),K61&lt;=DATE(Parameter!$C$7,12,31)),"Austritt im Planjahr","")))))))</f>
        <v/>
      </c>
      <c r="Y61" s="91" t="str">
        <f t="shared" si="13"/>
        <v/>
      </c>
      <c r="Z61" s="91" t="str">
        <f t="shared" si="13"/>
        <v/>
      </c>
      <c r="AA61" s="91" t="str">
        <f t="shared" si="13"/>
        <v/>
      </c>
      <c r="AB61" s="91" t="str">
        <f t="shared" si="13"/>
        <v/>
      </c>
      <c r="AC61" s="91" t="str">
        <f t="shared" si="13"/>
        <v/>
      </c>
      <c r="AD61" s="91" t="str">
        <f t="shared" si="13"/>
        <v/>
      </c>
      <c r="AE61" s="91" t="str">
        <f t="shared" si="13"/>
        <v/>
      </c>
      <c r="AF61" s="91" t="str">
        <f t="shared" si="13"/>
        <v/>
      </c>
      <c r="AG61" s="91" t="str">
        <f t="shared" si="13"/>
        <v/>
      </c>
      <c r="AH61" s="91" t="str">
        <f t="shared" si="13"/>
        <v/>
      </c>
      <c r="AI61" s="91" t="str">
        <f t="shared" si="13"/>
        <v/>
      </c>
      <c r="AJ61" s="91" t="str">
        <f t="shared" si="13"/>
        <v/>
      </c>
      <c r="AK61" s="92" t="str">
        <f t="shared" si="10"/>
        <v/>
      </c>
      <c r="AM61" s="93">
        <f>IF(D61="",0,IF(G61="Bestand",1,IF(AND(Parameter!$C$8="Ja",Q61&lt;&gt;"Nein",P61&lt;&gt;"Gestrichen"),1,0)))</f>
        <v>0</v>
      </c>
      <c r="AN61" s="94">
        <f>IF(O61="",Parameter!$C$27,O61)</f>
        <v>0.03</v>
      </c>
      <c r="AO61" s="93">
        <f>IFERROR(INDEX(Parameter!$H$25:$H$28,MATCH(I61,Parameter!$G$25:$G$28,0)),0)</f>
        <v>0</v>
      </c>
      <c r="AP61" s="93">
        <f>IFERROR(INDEX(Parameter!$I$25:$I$28,MATCH(I61,Parameter!$G$25:$G$28,0)),0)</f>
        <v>0</v>
      </c>
      <c r="AQ61" s="93">
        <f>IFERROR(INDEX(Parameter!$J$25:$J$28,MATCH(I61,Parameter!$G$25:$G$28,0)),0)</f>
        <v>0</v>
      </c>
      <c r="AR61" s="93" t="str">
        <f t="shared" si="11"/>
        <v/>
      </c>
      <c r="AS61" s="93" t="str">
        <f>IF(AND(K61&lt;&gt;"",AM61=1),IF(AND(K61&gt;=DATE(Parameter!$C$7,1,1),K61&lt;=DATE(Parameter!$C$7,12,31)),K61+ROW()/100000,""),"")</f>
        <v/>
      </c>
    </row>
    <row r="62" spans="2:45" ht="18" customHeight="1" x14ac:dyDescent="0.25">
      <c r="B62" s="81" t="str">
        <f t="shared" si="8"/>
        <v/>
      </c>
      <c r="C62" s="82"/>
      <c r="D62" s="83"/>
      <c r="E62" s="59"/>
      <c r="F62" s="59"/>
      <c r="G62" s="59"/>
      <c r="H62" s="59"/>
      <c r="I62" s="59"/>
      <c r="J62" s="84"/>
      <c r="K62" s="84"/>
      <c r="L62" s="85"/>
      <c r="M62" s="38"/>
      <c r="N62" s="86"/>
      <c r="O62" s="41"/>
      <c r="P62" s="59"/>
      <c r="Q62" s="82"/>
      <c r="R62" s="33" t="str">
        <f>IF(OR(D62="",L62=""),"",L62/Parameter!$C$13)</f>
        <v/>
      </c>
      <c r="S62" s="87" t="str">
        <f t="shared" si="9"/>
        <v/>
      </c>
      <c r="T62" s="88" t="str">
        <f>IF(D62="","",AM62*MAX(0,MIN(IF(K62="",DATE(Parameter!$C$7,12,31),K62),DATE(Parameter!$C$7,12,31))-MAX(IF(J62="",DATE(Parameter!$C$7,1,1),J62),DATE(Parameter!$C$7,1,1))+1)/(DATE(Parameter!$C$7,12,31)-DATE(Parameter!$C$7,1,1)+1))</f>
        <v/>
      </c>
      <c r="U62" s="89" t="str">
        <f>IF(OR(D62="",G62="Bestand",J62=""),"",EDATE(J62,-Parameter!$C$9))</f>
        <v/>
      </c>
      <c r="V62" s="37" t="str">
        <f>IF(D62="","",Personalkosten!$AD$87)</f>
        <v/>
      </c>
      <c r="W62" s="90" t="str">
        <f ca="1">IF(D62="","",IF(AND(G62&lt;&gt;"Bestand",AM62=0),"nicht eingeplant",IF(AND(G62&lt;&gt;"Bestand",OR(P62="Offen",P62=""),U62&lt;&gt;"",U62&lt;=TODAY()),"Ausschreibung fällig",IF(AND(I62="Minijob",M62&gt;Parameter!$C$31),"Minijob-Grenze überschritten",IF(AND(N(M62)&gt;0,IFERROR(M62/(L62*13/3),999)&lt;Parameter!$C$30),"Unter Mindestlohn",IF(AND(K62&lt;&gt;"",K62&gt;=DATE(Parameter!$C$7,1,1),K62&lt;=DATE(Parameter!$C$7,12,31),H62="Befristet"),"Befristung endet",IF(AND(K62&lt;&gt;"",K62&gt;=DATE(Parameter!$C$7,1,1),K62&lt;=DATE(Parameter!$C$7,12,31)),"Austritt im Planjahr","")))))))</f>
        <v/>
      </c>
      <c r="Y62" s="91" t="str">
        <f t="shared" si="13"/>
        <v/>
      </c>
      <c r="Z62" s="91" t="str">
        <f t="shared" si="13"/>
        <v/>
      </c>
      <c r="AA62" s="91" t="str">
        <f t="shared" si="13"/>
        <v/>
      </c>
      <c r="AB62" s="91" t="str">
        <f t="shared" si="13"/>
        <v/>
      </c>
      <c r="AC62" s="91" t="str">
        <f t="shared" si="13"/>
        <v/>
      </c>
      <c r="AD62" s="91" t="str">
        <f t="shared" si="13"/>
        <v/>
      </c>
      <c r="AE62" s="91" t="str">
        <f t="shared" si="13"/>
        <v/>
      </c>
      <c r="AF62" s="91" t="str">
        <f t="shared" si="13"/>
        <v/>
      </c>
      <c r="AG62" s="91" t="str">
        <f t="shared" si="13"/>
        <v/>
      </c>
      <c r="AH62" s="91" t="str">
        <f t="shared" si="13"/>
        <v/>
      </c>
      <c r="AI62" s="91" t="str">
        <f t="shared" si="13"/>
        <v/>
      </c>
      <c r="AJ62" s="91" t="str">
        <f t="shared" si="13"/>
        <v/>
      </c>
      <c r="AK62" s="92" t="str">
        <f t="shared" si="10"/>
        <v/>
      </c>
      <c r="AM62" s="93">
        <f>IF(D62="",0,IF(G62="Bestand",1,IF(AND(Parameter!$C$8="Ja",Q62&lt;&gt;"Nein",P62&lt;&gt;"Gestrichen"),1,0)))</f>
        <v>0</v>
      </c>
      <c r="AN62" s="94">
        <f>IF(O62="",Parameter!$C$27,O62)</f>
        <v>0.03</v>
      </c>
      <c r="AO62" s="93">
        <f>IFERROR(INDEX(Parameter!$H$25:$H$28,MATCH(I62,Parameter!$G$25:$G$28,0)),0)</f>
        <v>0</v>
      </c>
      <c r="AP62" s="93">
        <f>IFERROR(INDEX(Parameter!$I$25:$I$28,MATCH(I62,Parameter!$G$25:$G$28,0)),0)</f>
        <v>0</v>
      </c>
      <c r="AQ62" s="93">
        <f>IFERROR(INDEX(Parameter!$J$25:$J$28,MATCH(I62,Parameter!$G$25:$G$28,0)),0)</f>
        <v>0</v>
      </c>
      <c r="AR62" s="93" t="str">
        <f t="shared" si="11"/>
        <v/>
      </c>
      <c r="AS62" s="93" t="str">
        <f>IF(AND(K62&lt;&gt;"",AM62=1),IF(AND(K62&gt;=DATE(Parameter!$C$7,1,1),K62&lt;=DATE(Parameter!$C$7,12,31)),K62+ROW()/100000,""),"")</f>
        <v/>
      </c>
    </row>
    <row r="63" spans="2:45" ht="18" customHeight="1" x14ac:dyDescent="0.25">
      <c r="B63" s="81" t="str">
        <f t="shared" si="8"/>
        <v/>
      </c>
      <c r="C63" s="82"/>
      <c r="D63" s="83"/>
      <c r="E63" s="59"/>
      <c r="F63" s="59"/>
      <c r="G63" s="59"/>
      <c r="H63" s="59"/>
      <c r="I63" s="59"/>
      <c r="J63" s="84"/>
      <c r="K63" s="84"/>
      <c r="L63" s="85"/>
      <c r="M63" s="38"/>
      <c r="N63" s="86"/>
      <c r="O63" s="41"/>
      <c r="P63" s="59"/>
      <c r="Q63" s="82"/>
      <c r="R63" s="33" t="str">
        <f>IF(OR(D63="",L63=""),"",L63/Parameter!$C$13)</f>
        <v/>
      </c>
      <c r="S63" s="87" t="str">
        <f t="shared" si="9"/>
        <v/>
      </c>
      <c r="T63" s="88" t="str">
        <f>IF(D63="","",AM63*MAX(0,MIN(IF(K63="",DATE(Parameter!$C$7,12,31),K63),DATE(Parameter!$C$7,12,31))-MAX(IF(J63="",DATE(Parameter!$C$7,1,1),J63),DATE(Parameter!$C$7,1,1))+1)/(DATE(Parameter!$C$7,12,31)-DATE(Parameter!$C$7,1,1)+1))</f>
        <v/>
      </c>
      <c r="U63" s="89" t="str">
        <f>IF(OR(D63="",G63="Bestand",J63=""),"",EDATE(J63,-Parameter!$C$9))</f>
        <v/>
      </c>
      <c r="V63" s="37" t="str">
        <f>IF(D63="","",Personalkosten!$AD$88)</f>
        <v/>
      </c>
      <c r="W63" s="90" t="str">
        <f ca="1">IF(D63="","",IF(AND(G63&lt;&gt;"Bestand",AM63=0),"nicht eingeplant",IF(AND(G63&lt;&gt;"Bestand",OR(P63="Offen",P63=""),U63&lt;&gt;"",U63&lt;=TODAY()),"Ausschreibung fällig",IF(AND(I63="Minijob",M63&gt;Parameter!$C$31),"Minijob-Grenze überschritten",IF(AND(N(M63)&gt;0,IFERROR(M63/(L63*13/3),999)&lt;Parameter!$C$30),"Unter Mindestlohn",IF(AND(K63&lt;&gt;"",K63&gt;=DATE(Parameter!$C$7,1,1),K63&lt;=DATE(Parameter!$C$7,12,31),H63="Befristet"),"Befristung endet",IF(AND(K63&lt;&gt;"",K63&gt;=DATE(Parameter!$C$7,1,1),K63&lt;=DATE(Parameter!$C$7,12,31)),"Austritt im Planjahr","")))))))</f>
        <v/>
      </c>
      <c r="Y63" s="91" t="str">
        <f t="shared" si="13"/>
        <v/>
      </c>
      <c r="Z63" s="91" t="str">
        <f t="shared" si="13"/>
        <v/>
      </c>
      <c r="AA63" s="91" t="str">
        <f t="shared" si="13"/>
        <v/>
      </c>
      <c r="AB63" s="91" t="str">
        <f t="shared" si="13"/>
        <v/>
      </c>
      <c r="AC63" s="91" t="str">
        <f t="shared" si="13"/>
        <v/>
      </c>
      <c r="AD63" s="91" t="str">
        <f t="shared" si="13"/>
        <v/>
      </c>
      <c r="AE63" s="91" t="str">
        <f t="shared" si="13"/>
        <v/>
      </c>
      <c r="AF63" s="91" t="str">
        <f t="shared" si="13"/>
        <v/>
      </c>
      <c r="AG63" s="91" t="str">
        <f t="shared" si="13"/>
        <v/>
      </c>
      <c r="AH63" s="91" t="str">
        <f t="shared" si="13"/>
        <v/>
      </c>
      <c r="AI63" s="91" t="str">
        <f t="shared" si="13"/>
        <v/>
      </c>
      <c r="AJ63" s="91" t="str">
        <f t="shared" si="13"/>
        <v/>
      </c>
      <c r="AK63" s="92" t="str">
        <f t="shared" si="10"/>
        <v/>
      </c>
      <c r="AM63" s="93">
        <f>IF(D63="",0,IF(G63="Bestand",1,IF(AND(Parameter!$C$8="Ja",Q63&lt;&gt;"Nein",P63&lt;&gt;"Gestrichen"),1,0)))</f>
        <v>0</v>
      </c>
      <c r="AN63" s="94">
        <f>IF(O63="",Parameter!$C$27,O63)</f>
        <v>0.03</v>
      </c>
      <c r="AO63" s="93">
        <f>IFERROR(INDEX(Parameter!$H$25:$H$28,MATCH(I63,Parameter!$G$25:$G$28,0)),0)</f>
        <v>0</v>
      </c>
      <c r="AP63" s="93">
        <f>IFERROR(INDEX(Parameter!$I$25:$I$28,MATCH(I63,Parameter!$G$25:$G$28,0)),0)</f>
        <v>0</v>
      </c>
      <c r="AQ63" s="93">
        <f>IFERROR(INDEX(Parameter!$J$25:$J$28,MATCH(I63,Parameter!$G$25:$G$28,0)),0)</f>
        <v>0</v>
      </c>
      <c r="AR63" s="93" t="str">
        <f t="shared" si="11"/>
        <v/>
      </c>
      <c r="AS63" s="93" t="str">
        <f>IF(AND(K63&lt;&gt;"",AM63=1),IF(AND(K63&gt;=DATE(Parameter!$C$7,1,1),K63&lt;=DATE(Parameter!$C$7,12,31)),K63+ROW()/100000,""),"")</f>
        <v/>
      </c>
    </row>
    <row r="64" spans="2:45" ht="18" customHeight="1" x14ac:dyDescent="0.25">
      <c r="B64" s="81" t="str">
        <f t="shared" si="8"/>
        <v/>
      </c>
      <c r="C64" s="82"/>
      <c r="D64" s="83"/>
      <c r="E64" s="59"/>
      <c r="F64" s="59"/>
      <c r="G64" s="59"/>
      <c r="H64" s="59"/>
      <c r="I64" s="59"/>
      <c r="J64" s="84"/>
      <c r="K64" s="84"/>
      <c r="L64" s="85"/>
      <c r="M64" s="38"/>
      <c r="N64" s="86"/>
      <c r="O64" s="41"/>
      <c r="P64" s="59"/>
      <c r="Q64" s="82"/>
      <c r="R64" s="33" t="str">
        <f>IF(OR(D64="",L64=""),"",L64/Parameter!$C$13)</f>
        <v/>
      </c>
      <c r="S64" s="87" t="str">
        <f t="shared" si="9"/>
        <v/>
      </c>
      <c r="T64" s="88" t="str">
        <f>IF(D64="","",AM64*MAX(0,MIN(IF(K64="",DATE(Parameter!$C$7,12,31),K64),DATE(Parameter!$C$7,12,31))-MAX(IF(J64="",DATE(Parameter!$C$7,1,1),J64),DATE(Parameter!$C$7,1,1))+1)/(DATE(Parameter!$C$7,12,31)-DATE(Parameter!$C$7,1,1)+1))</f>
        <v/>
      </c>
      <c r="U64" s="89" t="str">
        <f>IF(OR(D64="",G64="Bestand",J64=""),"",EDATE(J64,-Parameter!$C$9))</f>
        <v/>
      </c>
      <c r="V64" s="37" t="str">
        <f>IF(D64="","",Personalkosten!$AD$89)</f>
        <v/>
      </c>
      <c r="W64" s="90" t="str">
        <f ca="1">IF(D64="","",IF(AND(G64&lt;&gt;"Bestand",AM64=0),"nicht eingeplant",IF(AND(G64&lt;&gt;"Bestand",OR(P64="Offen",P64=""),U64&lt;&gt;"",U64&lt;=TODAY()),"Ausschreibung fällig",IF(AND(I64="Minijob",M64&gt;Parameter!$C$31),"Minijob-Grenze überschritten",IF(AND(N(M64)&gt;0,IFERROR(M64/(L64*13/3),999)&lt;Parameter!$C$30),"Unter Mindestlohn",IF(AND(K64&lt;&gt;"",K64&gt;=DATE(Parameter!$C$7,1,1),K64&lt;=DATE(Parameter!$C$7,12,31),H64="Befristet"),"Befristung endet",IF(AND(K64&lt;&gt;"",K64&gt;=DATE(Parameter!$C$7,1,1),K64&lt;=DATE(Parameter!$C$7,12,31)),"Austritt im Planjahr","")))))))</f>
        <v/>
      </c>
      <c r="Y64" s="91" t="str">
        <f t="shared" si="13"/>
        <v/>
      </c>
      <c r="Z64" s="91" t="str">
        <f t="shared" si="13"/>
        <v/>
      </c>
      <c r="AA64" s="91" t="str">
        <f t="shared" si="13"/>
        <v/>
      </c>
      <c r="AB64" s="91" t="str">
        <f t="shared" si="13"/>
        <v/>
      </c>
      <c r="AC64" s="91" t="str">
        <f t="shared" si="13"/>
        <v/>
      </c>
      <c r="AD64" s="91" t="str">
        <f t="shared" si="13"/>
        <v/>
      </c>
      <c r="AE64" s="91" t="str">
        <f t="shared" si="13"/>
        <v/>
      </c>
      <c r="AF64" s="91" t="str">
        <f t="shared" si="13"/>
        <v/>
      </c>
      <c r="AG64" s="91" t="str">
        <f t="shared" si="13"/>
        <v/>
      </c>
      <c r="AH64" s="91" t="str">
        <f t="shared" si="13"/>
        <v/>
      </c>
      <c r="AI64" s="91" t="str">
        <f t="shared" si="13"/>
        <v/>
      </c>
      <c r="AJ64" s="91" t="str">
        <f t="shared" si="13"/>
        <v/>
      </c>
      <c r="AK64" s="92" t="str">
        <f t="shared" si="10"/>
        <v/>
      </c>
      <c r="AM64" s="93">
        <f>IF(D64="",0,IF(G64="Bestand",1,IF(AND(Parameter!$C$8="Ja",Q64&lt;&gt;"Nein",P64&lt;&gt;"Gestrichen"),1,0)))</f>
        <v>0</v>
      </c>
      <c r="AN64" s="94">
        <f>IF(O64="",Parameter!$C$27,O64)</f>
        <v>0.03</v>
      </c>
      <c r="AO64" s="93">
        <f>IFERROR(INDEX(Parameter!$H$25:$H$28,MATCH(I64,Parameter!$G$25:$G$28,0)),0)</f>
        <v>0</v>
      </c>
      <c r="AP64" s="93">
        <f>IFERROR(INDEX(Parameter!$I$25:$I$28,MATCH(I64,Parameter!$G$25:$G$28,0)),0)</f>
        <v>0</v>
      </c>
      <c r="AQ64" s="93">
        <f>IFERROR(INDEX(Parameter!$J$25:$J$28,MATCH(I64,Parameter!$G$25:$G$28,0)),0)</f>
        <v>0</v>
      </c>
      <c r="AR64" s="93" t="str">
        <f t="shared" si="11"/>
        <v/>
      </c>
      <c r="AS64" s="93" t="str">
        <f>IF(AND(K64&lt;&gt;"",AM64=1),IF(AND(K64&gt;=DATE(Parameter!$C$7,1,1),K64&lt;=DATE(Parameter!$C$7,12,31)),K64+ROW()/100000,""),"")</f>
        <v/>
      </c>
    </row>
    <row r="65" spans="2:45" ht="18" customHeight="1" x14ac:dyDescent="0.25">
      <c r="B65" s="81" t="str">
        <f t="shared" si="8"/>
        <v/>
      </c>
      <c r="C65" s="82"/>
      <c r="D65" s="83"/>
      <c r="E65" s="59"/>
      <c r="F65" s="59"/>
      <c r="G65" s="59"/>
      <c r="H65" s="59"/>
      <c r="I65" s="59"/>
      <c r="J65" s="84"/>
      <c r="K65" s="84"/>
      <c r="L65" s="85"/>
      <c r="M65" s="38"/>
      <c r="N65" s="86"/>
      <c r="O65" s="41"/>
      <c r="P65" s="59"/>
      <c r="Q65" s="82"/>
      <c r="R65" s="33" t="str">
        <f>IF(OR(D65="",L65=""),"",L65/Parameter!$C$13)</f>
        <v/>
      </c>
      <c r="S65" s="87" t="str">
        <f t="shared" si="9"/>
        <v/>
      </c>
      <c r="T65" s="88" t="str">
        <f>IF(D65="","",AM65*MAX(0,MIN(IF(K65="",DATE(Parameter!$C$7,12,31),K65),DATE(Parameter!$C$7,12,31))-MAX(IF(J65="",DATE(Parameter!$C$7,1,1),J65),DATE(Parameter!$C$7,1,1))+1)/(DATE(Parameter!$C$7,12,31)-DATE(Parameter!$C$7,1,1)+1))</f>
        <v/>
      </c>
      <c r="U65" s="89" t="str">
        <f>IF(OR(D65="",G65="Bestand",J65=""),"",EDATE(J65,-Parameter!$C$9))</f>
        <v/>
      </c>
      <c r="V65" s="37" t="str">
        <f>IF(D65="","",Personalkosten!$AD$90)</f>
        <v/>
      </c>
      <c r="W65" s="90" t="str">
        <f ca="1">IF(D65="","",IF(AND(G65&lt;&gt;"Bestand",AM65=0),"nicht eingeplant",IF(AND(G65&lt;&gt;"Bestand",OR(P65="Offen",P65=""),U65&lt;&gt;"",U65&lt;=TODAY()),"Ausschreibung fällig",IF(AND(I65="Minijob",M65&gt;Parameter!$C$31),"Minijob-Grenze überschritten",IF(AND(N(M65)&gt;0,IFERROR(M65/(L65*13/3),999)&lt;Parameter!$C$30),"Unter Mindestlohn",IF(AND(K65&lt;&gt;"",K65&gt;=DATE(Parameter!$C$7,1,1),K65&lt;=DATE(Parameter!$C$7,12,31),H65="Befristet"),"Befristung endet",IF(AND(K65&lt;&gt;"",K65&gt;=DATE(Parameter!$C$7,1,1),K65&lt;=DATE(Parameter!$C$7,12,31)),"Austritt im Planjahr","")))))))</f>
        <v/>
      </c>
      <c r="Y65" s="91" t="str">
        <f t="shared" si="13"/>
        <v/>
      </c>
      <c r="Z65" s="91" t="str">
        <f t="shared" si="13"/>
        <v/>
      </c>
      <c r="AA65" s="91" t="str">
        <f t="shared" si="13"/>
        <v/>
      </c>
      <c r="AB65" s="91" t="str">
        <f t="shared" si="13"/>
        <v/>
      </c>
      <c r="AC65" s="91" t="str">
        <f t="shared" si="13"/>
        <v/>
      </c>
      <c r="AD65" s="91" t="str">
        <f t="shared" si="13"/>
        <v/>
      </c>
      <c r="AE65" s="91" t="str">
        <f t="shared" si="13"/>
        <v/>
      </c>
      <c r="AF65" s="91" t="str">
        <f t="shared" si="13"/>
        <v/>
      </c>
      <c r="AG65" s="91" t="str">
        <f t="shared" si="13"/>
        <v/>
      </c>
      <c r="AH65" s="91" t="str">
        <f t="shared" si="13"/>
        <v/>
      </c>
      <c r="AI65" s="91" t="str">
        <f t="shared" si="13"/>
        <v/>
      </c>
      <c r="AJ65" s="91" t="str">
        <f t="shared" si="13"/>
        <v/>
      </c>
      <c r="AK65" s="92" t="str">
        <f t="shared" si="10"/>
        <v/>
      </c>
      <c r="AM65" s="93">
        <f>IF(D65="",0,IF(G65="Bestand",1,IF(AND(Parameter!$C$8="Ja",Q65&lt;&gt;"Nein",P65&lt;&gt;"Gestrichen"),1,0)))</f>
        <v>0</v>
      </c>
      <c r="AN65" s="94">
        <f>IF(O65="",Parameter!$C$27,O65)</f>
        <v>0.03</v>
      </c>
      <c r="AO65" s="93">
        <f>IFERROR(INDEX(Parameter!$H$25:$H$28,MATCH(I65,Parameter!$G$25:$G$28,0)),0)</f>
        <v>0</v>
      </c>
      <c r="AP65" s="93">
        <f>IFERROR(INDEX(Parameter!$I$25:$I$28,MATCH(I65,Parameter!$G$25:$G$28,0)),0)</f>
        <v>0</v>
      </c>
      <c r="AQ65" s="93">
        <f>IFERROR(INDEX(Parameter!$J$25:$J$28,MATCH(I65,Parameter!$G$25:$G$28,0)),0)</f>
        <v>0</v>
      </c>
      <c r="AR65" s="93" t="str">
        <f t="shared" si="11"/>
        <v/>
      </c>
      <c r="AS65" s="93" t="str">
        <f>IF(AND(K65&lt;&gt;"",AM65=1),IF(AND(K65&gt;=DATE(Parameter!$C$7,1,1),K65&lt;=DATE(Parameter!$C$7,12,31)),K65+ROW()/100000,""),"")</f>
        <v/>
      </c>
    </row>
    <row r="66" spans="2:45" ht="18" customHeight="1" x14ac:dyDescent="0.25">
      <c r="B66" s="81" t="str">
        <f t="shared" si="8"/>
        <v/>
      </c>
      <c r="C66" s="82"/>
      <c r="D66" s="83"/>
      <c r="E66" s="59"/>
      <c r="F66" s="59"/>
      <c r="G66" s="59"/>
      <c r="H66" s="59"/>
      <c r="I66" s="59"/>
      <c r="J66" s="84"/>
      <c r="K66" s="84"/>
      <c r="L66" s="85"/>
      <c r="M66" s="38"/>
      <c r="N66" s="86"/>
      <c r="O66" s="41"/>
      <c r="P66" s="59"/>
      <c r="Q66" s="82"/>
      <c r="R66" s="33" t="str">
        <f>IF(OR(D66="",L66=""),"",L66/Parameter!$C$13)</f>
        <v/>
      </c>
      <c r="S66" s="87" t="str">
        <f t="shared" si="9"/>
        <v/>
      </c>
      <c r="T66" s="88" t="str">
        <f>IF(D66="","",AM66*MAX(0,MIN(IF(K66="",DATE(Parameter!$C$7,12,31),K66),DATE(Parameter!$C$7,12,31))-MAX(IF(J66="",DATE(Parameter!$C$7,1,1),J66),DATE(Parameter!$C$7,1,1))+1)/(DATE(Parameter!$C$7,12,31)-DATE(Parameter!$C$7,1,1)+1))</f>
        <v/>
      </c>
      <c r="U66" s="89" t="str">
        <f>IF(OR(D66="",G66="Bestand",J66=""),"",EDATE(J66,-Parameter!$C$9))</f>
        <v/>
      </c>
      <c r="V66" s="37" t="str">
        <f>IF(D66="","",Personalkosten!$AD$91)</f>
        <v/>
      </c>
      <c r="W66" s="90" t="str">
        <f ca="1">IF(D66="","",IF(AND(G66&lt;&gt;"Bestand",AM66=0),"nicht eingeplant",IF(AND(G66&lt;&gt;"Bestand",OR(P66="Offen",P66=""),U66&lt;&gt;"",U66&lt;=TODAY()),"Ausschreibung fällig",IF(AND(I66="Minijob",M66&gt;Parameter!$C$31),"Minijob-Grenze überschritten",IF(AND(N(M66)&gt;0,IFERROR(M66/(L66*13/3),999)&lt;Parameter!$C$30),"Unter Mindestlohn",IF(AND(K66&lt;&gt;"",K66&gt;=DATE(Parameter!$C$7,1,1),K66&lt;=DATE(Parameter!$C$7,12,31),H66="Befristet"),"Befristung endet",IF(AND(K66&lt;&gt;"",K66&gt;=DATE(Parameter!$C$7,1,1),K66&lt;=DATE(Parameter!$C$7,12,31)),"Austritt im Planjahr","")))))))</f>
        <v/>
      </c>
      <c r="Y66" s="91" t="str">
        <f t="shared" si="13"/>
        <v/>
      </c>
      <c r="Z66" s="91" t="str">
        <f t="shared" si="13"/>
        <v/>
      </c>
      <c r="AA66" s="91" t="str">
        <f t="shared" si="13"/>
        <v/>
      </c>
      <c r="AB66" s="91" t="str">
        <f t="shared" si="13"/>
        <v/>
      </c>
      <c r="AC66" s="91" t="str">
        <f t="shared" si="13"/>
        <v/>
      </c>
      <c r="AD66" s="91" t="str">
        <f t="shared" si="13"/>
        <v/>
      </c>
      <c r="AE66" s="91" t="str">
        <f t="shared" si="13"/>
        <v/>
      </c>
      <c r="AF66" s="91" t="str">
        <f t="shared" si="13"/>
        <v/>
      </c>
      <c r="AG66" s="91" t="str">
        <f t="shared" si="13"/>
        <v/>
      </c>
      <c r="AH66" s="91" t="str">
        <f t="shared" si="13"/>
        <v/>
      </c>
      <c r="AI66" s="91" t="str">
        <f t="shared" si="13"/>
        <v/>
      </c>
      <c r="AJ66" s="91" t="str">
        <f t="shared" si="13"/>
        <v/>
      </c>
      <c r="AK66" s="92" t="str">
        <f t="shared" si="10"/>
        <v/>
      </c>
      <c r="AM66" s="93">
        <f>IF(D66="",0,IF(G66="Bestand",1,IF(AND(Parameter!$C$8="Ja",Q66&lt;&gt;"Nein",P66&lt;&gt;"Gestrichen"),1,0)))</f>
        <v>0</v>
      </c>
      <c r="AN66" s="94">
        <f>IF(O66="",Parameter!$C$27,O66)</f>
        <v>0.03</v>
      </c>
      <c r="AO66" s="93">
        <f>IFERROR(INDEX(Parameter!$H$25:$H$28,MATCH(I66,Parameter!$G$25:$G$28,0)),0)</f>
        <v>0</v>
      </c>
      <c r="AP66" s="93">
        <f>IFERROR(INDEX(Parameter!$I$25:$I$28,MATCH(I66,Parameter!$G$25:$G$28,0)),0)</f>
        <v>0</v>
      </c>
      <c r="AQ66" s="93">
        <f>IFERROR(INDEX(Parameter!$J$25:$J$28,MATCH(I66,Parameter!$G$25:$G$28,0)),0)</f>
        <v>0</v>
      </c>
      <c r="AR66" s="93" t="str">
        <f t="shared" si="11"/>
        <v/>
      </c>
      <c r="AS66" s="93" t="str">
        <f>IF(AND(K66&lt;&gt;"",AM66=1),IF(AND(K66&gt;=DATE(Parameter!$C$7,1,1),K66&lt;=DATE(Parameter!$C$7,12,31)),K66+ROW()/100000,""),"")</f>
        <v/>
      </c>
    </row>
    <row r="67" spans="2:45" ht="18" customHeight="1" x14ac:dyDescent="0.25">
      <c r="B67" s="81" t="str">
        <f t="shared" si="8"/>
        <v/>
      </c>
      <c r="C67" s="82"/>
      <c r="D67" s="83"/>
      <c r="E67" s="59"/>
      <c r="F67" s="59"/>
      <c r="G67" s="59"/>
      <c r="H67" s="59"/>
      <c r="I67" s="59"/>
      <c r="J67" s="84"/>
      <c r="K67" s="84"/>
      <c r="L67" s="85"/>
      <c r="M67" s="38"/>
      <c r="N67" s="86"/>
      <c r="O67" s="41"/>
      <c r="P67" s="59"/>
      <c r="Q67" s="82"/>
      <c r="R67" s="33" t="str">
        <f>IF(OR(D67="",L67=""),"",L67/Parameter!$C$13)</f>
        <v/>
      </c>
      <c r="S67" s="87" t="str">
        <f t="shared" si="9"/>
        <v/>
      </c>
      <c r="T67" s="88" t="str">
        <f>IF(D67="","",AM67*MAX(0,MIN(IF(K67="",DATE(Parameter!$C$7,12,31),K67),DATE(Parameter!$C$7,12,31))-MAX(IF(J67="",DATE(Parameter!$C$7,1,1),J67),DATE(Parameter!$C$7,1,1))+1)/(DATE(Parameter!$C$7,12,31)-DATE(Parameter!$C$7,1,1)+1))</f>
        <v/>
      </c>
      <c r="U67" s="89" t="str">
        <f>IF(OR(D67="",G67="Bestand",J67=""),"",EDATE(J67,-Parameter!$C$9))</f>
        <v/>
      </c>
      <c r="V67" s="37" t="str">
        <f>IF(D67="","",Personalkosten!$AD$92)</f>
        <v/>
      </c>
      <c r="W67" s="90" t="str">
        <f ca="1">IF(D67="","",IF(AND(G67&lt;&gt;"Bestand",AM67=0),"nicht eingeplant",IF(AND(G67&lt;&gt;"Bestand",OR(P67="Offen",P67=""),U67&lt;&gt;"",U67&lt;=TODAY()),"Ausschreibung fällig",IF(AND(I67="Minijob",M67&gt;Parameter!$C$31),"Minijob-Grenze überschritten",IF(AND(N(M67)&gt;0,IFERROR(M67/(L67*13/3),999)&lt;Parameter!$C$30),"Unter Mindestlohn",IF(AND(K67&lt;&gt;"",K67&gt;=DATE(Parameter!$C$7,1,1),K67&lt;=DATE(Parameter!$C$7,12,31),H67="Befristet"),"Befristung endet",IF(AND(K67&lt;&gt;"",K67&gt;=DATE(Parameter!$C$7,1,1),K67&lt;=DATE(Parameter!$C$7,12,31)),"Austritt im Planjahr","")))))))</f>
        <v/>
      </c>
      <c r="Y67" s="91" t="str">
        <f t="shared" si="13"/>
        <v/>
      </c>
      <c r="Z67" s="91" t="str">
        <f t="shared" si="13"/>
        <v/>
      </c>
      <c r="AA67" s="91" t="str">
        <f t="shared" si="13"/>
        <v/>
      </c>
      <c r="AB67" s="91" t="str">
        <f t="shared" si="13"/>
        <v/>
      </c>
      <c r="AC67" s="91" t="str">
        <f t="shared" si="13"/>
        <v/>
      </c>
      <c r="AD67" s="91" t="str">
        <f t="shared" si="13"/>
        <v/>
      </c>
      <c r="AE67" s="91" t="str">
        <f t="shared" si="13"/>
        <v/>
      </c>
      <c r="AF67" s="91" t="str">
        <f t="shared" si="13"/>
        <v/>
      </c>
      <c r="AG67" s="91" t="str">
        <f t="shared" si="13"/>
        <v/>
      </c>
      <c r="AH67" s="91" t="str">
        <f t="shared" si="13"/>
        <v/>
      </c>
      <c r="AI67" s="91" t="str">
        <f t="shared" si="13"/>
        <v/>
      </c>
      <c r="AJ67" s="91" t="str">
        <f t="shared" si="13"/>
        <v/>
      </c>
      <c r="AK67" s="92" t="str">
        <f t="shared" si="10"/>
        <v/>
      </c>
      <c r="AM67" s="93">
        <f>IF(D67="",0,IF(G67="Bestand",1,IF(AND(Parameter!$C$8="Ja",Q67&lt;&gt;"Nein",P67&lt;&gt;"Gestrichen"),1,0)))</f>
        <v>0</v>
      </c>
      <c r="AN67" s="94">
        <f>IF(O67="",Parameter!$C$27,O67)</f>
        <v>0.03</v>
      </c>
      <c r="AO67" s="93">
        <f>IFERROR(INDEX(Parameter!$H$25:$H$28,MATCH(I67,Parameter!$G$25:$G$28,0)),0)</f>
        <v>0</v>
      </c>
      <c r="AP67" s="93">
        <f>IFERROR(INDEX(Parameter!$I$25:$I$28,MATCH(I67,Parameter!$G$25:$G$28,0)),0)</f>
        <v>0</v>
      </c>
      <c r="AQ67" s="93">
        <f>IFERROR(INDEX(Parameter!$J$25:$J$28,MATCH(I67,Parameter!$G$25:$G$28,0)),0)</f>
        <v>0</v>
      </c>
      <c r="AR67" s="93" t="str">
        <f t="shared" si="11"/>
        <v/>
      </c>
      <c r="AS67" s="93" t="str">
        <f>IF(AND(K67&lt;&gt;"",AM67=1),IF(AND(K67&gt;=DATE(Parameter!$C$7,1,1),K67&lt;=DATE(Parameter!$C$7,12,31)),K67+ROW()/100000,""),"")</f>
        <v/>
      </c>
    </row>
    <row r="68" spans="2:45" ht="21.75" customHeight="1" x14ac:dyDescent="0.25">
      <c r="B68" s="97"/>
      <c r="C68" s="98">
        <f>COUNTIF(D8:D67,"?*")</f>
        <v>41</v>
      </c>
      <c r="D68" s="97" t="s">
        <v>337</v>
      </c>
      <c r="E68" s="97"/>
      <c r="F68" s="97"/>
      <c r="G68" s="97"/>
      <c r="H68" s="97"/>
      <c r="I68" s="97"/>
      <c r="J68" s="97"/>
      <c r="K68" s="97"/>
      <c r="L68" s="97"/>
      <c r="M68" s="99">
        <f>SUM(M8:M67)</f>
        <v>180600</v>
      </c>
      <c r="N68" s="97"/>
      <c r="O68" s="97"/>
      <c r="P68" s="97"/>
      <c r="Q68" s="97"/>
      <c r="R68" s="100">
        <f>SUM(R8:R67)</f>
        <v>37.35</v>
      </c>
      <c r="S68" s="97"/>
      <c r="T68" s="97"/>
      <c r="U68" s="97"/>
      <c r="V68" s="99">
        <f>SUM(V8:V67)</f>
        <v>2603242.0350684929</v>
      </c>
      <c r="W68" s="97"/>
      <c r="Y68" s="100">
        <f t="shared" ref="Y68:AK68" si="14">SUM(Y8:Y67)</f>
        <v>31.85</v>
      </c>
      <c r="Z68" s="100">
        <f t="shared" si="14"/>
        <v>32.85</v>
      </c>
      <c r="AA68" s="100">
        <f t="shared" si="14"/>
        <v>33.85</v>
      </c>
      <c r="AB68" s="100">
        <f t="shared" si="14"/>
        <v>32.85</v>
      </c>
      <c r="AC68" s="100">
        <f t="shared" si="14"/>
        <v>32.85</v>
      </c>
      <c r="AD68" s="100">
        <f t="shared" si="14"/>
        <v>32.85</v>
      </c>
      <c r="AE68" s="100">
        <f t="shared" si="14"/>
        <v>32.85</v>
      </c>
      <c r="AF68" s="100">
        <f t="shared" si="14"/>
        <v>32.85</v>
      </c>
      <c r="AG68" s="100">
        <f t="shared" si="14"/>
        <v>32.85</v>
      </c>
      <c r="AH68" s="100">
        <f t="shared" si="14"/>
        <v>32.900000000000006</v>
      </c>
      <c r="AI68" s="100">
        <f t="shared" si="14"/>
        <v>32.900000000000006</v>
      </c>
      <c r="AJ68" s="100">
        <f t="shared" si="14"/>
        <v>32.900000000000006</v>
      </c>
      <c r="AK68" s="100">
        <f t="shared" si="14"/>
        <v>32.862500000000004</v>
      </c>
    </row>
  </sheetData>
  <autoFilter ref="B7:W67" xr:uid="{00000000-0009-0000-0000-000003000000}"/>
  <mergeCells count="6">
    <mergeCell ref="Y5:AK5"/>
    <mergeCell ref="B5:F5"/>
    <mergeCell ref="G5:I5"/>
    <mergeCell ref="J5:O5"/>
    <mergeCell ref="P5:Q5"/>
    <mergeCell ref="R5:W5"/>
  </mergeCells>
  <conditionalFormatting sqref="C8:D67">
    <cfRule type="expression" dxfId="21" priority="10">
      <formula>AND($G8&lt;&gt;"",$G8&lt;&gt;"Bestand",$AM8=0)</formula>
    </cfRule>
    <cfRule type="expression" dxfId="20" priority="11">
      <formula>AND($G8&lt;&gt;"",$G8&lt;&gt;"Bestand")</formula>
    </cfRule>
  </conditionalFormatting>
  <conditionalFormatting sqref="P8:P67">
    <cfRule type="expression" dxfId="18" priority="6">
      <formula>OR($P8="Besetzt",$P8="Zusage")</formula>
    </cfRule>
    <cfRule type="expression" dxfId="17" priority="7">
      <formula>$P8="Offen"</formula>
    </cfRule>
    <cfRule type="expression" dxfId="16" priority="8">
      <formula>OR($P8="Ausgeschrieben",$P8="Auswahlverfahren")</formula>
    </cfRule>
    <cfRule type="expression" dxfId="15" priority="9">
      <formula>$P8="Gestrichen"</formula>
    </cfRule>
  </conditionalFormatting>
  <conditionalFormatting sqref="W8:W67">
    <cfRule type="expression" dxfId="14" priority="2">
      <formula>OR($W8="Unter Mindestlohn",$W8="Minijob-Grenze überschritten",$W8="Ausschreibung fällig")</formula>
    </cfRule>
    <cfRule type="expression" dxfId="13" priority="3">
      <formula>$W8="Befristung endet"</formula>
    </cfRule>
    <cfRule type="expression" dxfId="12" priority="4">
      <formula>$W8="Austritt im Planjahr"</formula>
    </cfRule>
    <cfRule type="expression" dxfId="11" priority="5">
      <formula>$W8="nicht eingeplant"</formula>
    </cfRule>
  </conditionalFormatting>
  <conditionalFormatting sqref="Y8:AJ67">
    <cfRule type="expression" dxfId="10" priority="12">
      <formula>AND(ISNUMBER(Y8),Y8&gt;0,$G8&lt;&gt;"Bestand")</formula>
    </cfRule>
    <cfRule type="expression" dxfId="9" priority="13">
      <formula>AND(ISNUMBER(Y8),Y8&gt;0)</formula>
    </cfRule>
  </conditionalFormatting>
  <dataValidations count="2">
    <dataValidation type="date" allowBlank="1" showErrorMessage="1" error="Bitte ein gültiges Datum eingeben (TT.MM.JJJJ)." sqref="J8:K67" xr:uid="{00000000-0002-0000-0300-000006000000}">
      <formula1>DATE(1950,1,1)</formula1>
      <formula2>DATE(2099,12,31)</formula2>
    </dataValidation>
    <dataValidation type="decimal" allowBlank="1" showErrorMessage="1" error="Wochenstunden zwischen 0 und 60." sqref="L8:L67" xr:uid="{00000000-0002-0000-0300-000007000000}">
      <formula1>0</formula1>
      <formula2>60</formula2>
    </dataValidation>
  </dataValidations>
  <pageMargins left="0.4" right="0.4" top="1" bottom="1" header="0.511811023622047" footer="0.511811023622047"/>
  <pageSetup paperSize="9"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expression" priority="14" id="{00000000-000E-0000-0300-00000E000000}">
            <xm:f>AND($K8&lt;&gt;"",$K8&gt;=DATE(Parameter!$C$7,1,1),$K8&lt;=DATE(Parameter!$C$7,12,31))</xm:f>
            <x14:dxf>
              <font>
                <b/>
                <color rgb="FF8C2F39"/>
                <name val="Calibri"/>
                <charset val="1"/>
              </font>
            </x14:dxf>
          </x14:cfRule>
          <xm:sqref>K8:K67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ErrorMessage="1" errorTitle="Ungültiger Wert" error="Bitte einen Wert aus der Liste wählen." xr:uid="{00000000-0002-0000-0300-000000000000}">
          <x14:formula1>
            <xm:f>Parameter!$M$7:$M$14</xm:f>
          </x14:formula1>
          <x14:formula2>
            <xm:f>0</xm:f>
          </x14:formula2>
          <xm:sqref>E8:E67</xm:sqref>
        </x14:dataValidation>
        <x14:dataValidation type="list" allowBlank="1" showErrorMessage="1" errorTitle="Ungültiger Wert" error="Bitte einen Wert aus der Liste wählen." xr:uid="{00000000-0002-0000-0300-000001000000}">
          <x14:formula1>
            <xm:f>Parameter!$P$7:$P$9</xm:f>
          </x14:formula1>
          <x14:formula2>
            <xm:f>0</xm:f>
          </x14:formula2>
          <xm:sqref>G8:G67</xm:sqref>
        </x14:dataValidation>
        <x14:dataValidation type="list" allowBlank="1" showErrorMessage="1" errorTitle="Ungültiger Wert" error="Bitte einen Wert aus der Liste wählen." xr:uid="{00000000-0002-0000-0300-000002000000}">
          <x14:formula1>
            <xm:f>Parameter!$Q$7:$Q$8</xm:f>
          </x14:formula1>
          <x14:formula2>
            <xm:f>0</xm:f>
          </x14:formula2>
          <xm:sqref>H8:H67</xm:sqref>
        </x14:dataValidation>
        <x14:dataValidation type="list" allowBlank="1" showErrorMessage="1" errorTitle="Ungültiger Wert" error="Bitte einen Wert aus der Liste wählen." xr:uid="{00000000-0002-0000-0300-000003000000}">
          <x14:formula1>
            <xm:f>Parameter!$G$25:$G$28</xm:f>
          </x14:formula1>
          <x14:formula2>
            <xm:f>0</xm:f>
          </x14:formula2>
          <xm:sqref>I8:I67</xm:sqref>
        </x14:dataValidation>
        <x14:dataValidation type="list" allowBlank="1" showErrorMessage="1" errorTitle="Ungültiger Wert" error="Bitte einen Wert aus der Liste wählen." xr:uid="{00000000-0002-0000-0300-000004000000}">
          <x14:formula1>
            <xm:f>Parameter!$R$7:$R$12</xm:f>
          </x14:formula1>
          <x14:formula2>
            <xm:f>0</xm:f>
          </x14:formula2>
          <xm:sqref>P8:P67</xm:sqref>
        </x14:dataValidation>
        <x14:dataValidation type="list" allowBlank="1" showErrorMessage="1" errorTitle="Ungültiger Wert" error="Bitte einen Wert aus der Liste wählen." xr:uid="{00000000-0002-0000-0300-000005000000}">
          <x14:formula1>
            <xm:f>Parameter!$M$16:$M$17</xm:f>
          </x14:formula1>
          <x14:formula2>
            <xm:f>0</xm:f>
          </x14:formula2>
          <xm:sqref>Q8:Q67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A4250"/>
    <pageSetUpPr fitToPage="1"/>
  </sheetPr>
  <dimension ref="A1:S47"/>
  <sheetViews>
    <sheetView showGridLines="0" zoomScale="90" zoomScaleNormal="90" workbookViewId="0">
      <pane xSplit="2" ySplit="4" topLeftCell="C5" activePane="bottomRight" state="frozen"/>
      <selection pane="topRight" activeCell="C1" sqref="C1"/>
      <selection pane="bottomLeft" activeCell="A5" sqref="A5"/>
      <selection pane="bottomRight"/>
    </sheetView>
  </sheetViews>
  <sheetFormatPr baseColWidth="10" defaultColWidth="8.7109375" defaultRowHeight="15" x14ac:dyDescent="0.25"/>
  <cols>
    <col min="1" max="1" width="1.5703125" customWidth="1"/>
    <col min="2" max="2" width="24" customWidth="1"/>
    <col min="3" max="14" width="7.42578125" customWidth="1"/>
    <col min="15" max="15" width="8" customWidth="1"/>
    <col min="16" max="17" width="9" customWidth="1"/>
    <col min="18" max="18" width="18" customWidth="1"/>
    <col min="19" max="19" width="14" customWidth="1"/>
  </cols>
  <sheetData>
    <row r="1" spans="1:19" ht="7.5" customHeight="1" x14ac:dyDescent="0.25"/>
    <row r="2" spans="1:19" ht="37.5" customHeight="1" x14ac:dyDescent="0.45">
      <c r="A2" s="15"/>
      <c r="B2" s="16" t="s">
        <v>338</v>
      </c>
      <c r="S2" s="17" t="str">
        <f>"PERSONALPLANUNG "&amp;Parameter!$C$7</f>
        <v>PERSONALPLANUNG 2027</v>
      </c>
    </row>
    <row r="3" spans="1:19" ht="18" customHeight="1" x14ac:dyDescent="0.25">
      <c r="A3" s="15"/>
      <c r="B3" s="18" t="str">
        <f>Parameter!$C$6&amp;"  |  Planjahr "&amp;Parameter!$C$7</f>
        <v>Beispielfirma GmbH  |  Planjahr 2027</v>
      </c>
      <c r="C3" s="19"/>
      <c r="D3" s="19"/>
      <c r="E3" s="19"/>
      <c r="F3" s="19"/>
      <c r="G3" s="19"/>
      <c r="H3" s="19"/>
      <c r="I3" s="19"/>
      <c r="J3" s="19"/>
      <c r="K3" s="19"/>
      <c r="L3" s="19"/>
      <c r="M3" s="19"/>
      <c r="N3" s="19"/>
      <c r="O3" s="19"/>
      <c r="P3" s="19"/>
      <c r="Q3" s="19"/>
      <c r="R3" s="19"/>
      <c r="S3" s="19"/>
    </row>
    <row r="4" spans="1:19" ht="13.5" customHeight="1" x14ac:dyDescent="0.25"/>
    <row r="5" spans="1:19" ht="24" customHeight="1" x14ac:dyDescent="0.25">
      <c r="B5" s="20" t="s">
        <v>339</v>
      </c>
      <c r="C5" s="21"/>
      <c r="D5" s="21"/>
      <c r="E5" s="21"/>
      <c r="F5" s="21"/>
      <c r="G5" s="21"/>
      <c r="H5" s="21"/>
      <c r="I5" s="21"/>
      <c r="J5" s="21"/>
      <c r="K5" s="21"/>
      <c r="L5" s="21"/>
      <c r="M5" s="21"/>
      <c r="N5" s="21"/>
      <c r="O5" s="21"/>
      <c r="P5" s="21"/>
      <c r="Q5" s="21"/>
      <c r="R5" s="21"/>
      <c r="S5" s="21"/>
    </row>
    <row r="6" spans="1:19" ht="21" customHeight="1" x14ac:dyDescent="0.25">
      <c r="B6" s="149" t="s">
        <v>340</v>
      </c>
      <c r="C6" s="149"/>
      <c r="D6" s="149"/>
      <c r="E6" s="149"/>
      <c r="F6" s="101">
        <v>1200</v>
      </c>
      <c r="I6" s="2" t="s">
        <v>341</v>
      </c>
      <c r="J6" s="2"/>
      <c r="K6" s="2"/>
      <c r="L6" s="2"/>
      <c r="M6" s="2"/>
      <c r="N6" s="2"/>
      <c r="O6" s="2"/>
      <c r="P6" s="2"/>
      <c r="Q6" s="2"/>
      <c r="R6" s="2"/>
      <c r="S6" s="2"/>
    </row>
    <row r="7" spans="1:19" ht="21" customHeight="1" x14ac:dyDescent="0.25">
      <c r="B7" s="149" t="s">
        <v>342</v>
      </c>
      <c r="C7" s="149"/>
      <c r="D7" s="149"/>
      <c r="E7" s="149"/>
      <c r="F7" s="70">
        <f>Parameter!$C$24</f>
        <v>138.66666666666666</v>
      </c>
      <c r="I7" s="2"/>
      <c r="J7" s="2"/>
      <c r="K7" s="2"/>
      <c r="L7" s="2"/>
      <c r="M7" s="2"/>
      <c r="N7" s="2"/>
      <c r="O7" s="2"/>
      <c r="P7" s="2"/>
      <c r="Q7" s="2"/>
      <c r="R7" s="2"/>
      <c r="S7" s="2"/>
    </row>
    <row r="8" spans="1:19" ht="21" customHeight="1" x14ac:dyDescent="0.25">
      <c r="B8" s="150" t="s">
        <v>343</v>
      </c>
      <c r="C8" s="150"/>
      <c r="D8" s="150"/>
      <c r="E8" s="150"/>
      <c r="F8" s="102">
        <f>IFERROR(F6/F7,0)</f>
        <v>8.6538461538461551</v>
      </c>
      <c r="I8" s="2"/>
      <c r="J8" s="2"/>
      <c r="K8" s="2"/>
      <c r="L8" s="2"/>
      <c r="M8" s="2"/>
      <c r="N8" s="2"/>
      <c r="O8" s="2"/>
      <c r="P8" s="2"/>
      <c r="Q8" s="2"/>
      <c r="R8" s="2"/>
      <c r="S8" s="2"/>
    </row>
    <row r="9" spans="1:19" ht="21" customHeight="1" x14ac:dyDescent="0.25">
      <c r="B9" s="149" t="s">
        <v>344</v>
      </c>
      <c r="C9" s="149"/>
      <c r="D9" s="149"/>
      <c r="E9" s="149"/>
      <c r="F9" s="103">
        <f>IFERROR(F6/(Parameter!$C$13*52/12),0)</f>
        <v>6.9230769230769225</v>
      </c>
      <c r="I9" s="2"/>
      <c r="J9" s="2"/>
      <c r="K9" s="2"/>
      <c r="L9" s="2"/>
      <c r="M9" s="2"/>
      <c r="N9" s="2"/>
      <c r="O9" s="2"/>
      <c r="P9" s="2"/>
      <c r="Q9" s="2"/>
      <c r="R9" s="2"/>
      <c r="S9" s="2"/>
    </row>
    <row r="11" spans="1:19" ht="24" customHeight="1" x14ac:dyDescent="0.25">
      <c r="B11" s="20" t="s">
        <v>345</v>
      </c>
      <c r="C11" s="21"/>
      <c r="D11" s="21"/>
      <c r="E11" s="21"/>
      <c r="F11" s="21"/>
      <c r="G11" s="21"/>
      <c r="H11" s="21"/>
      <c r="I11" s="21"/>
      <c r="J11" s="21"/>
      <c r="K11" s="21"/>
      <c r="L11" s="21"/>
      <c r="M11" s="21"/>
      <c r="N11" s="21"/>
      <c r="O11" s="21"/>
    </row>
    <row r="12" spans="1:19" ht="30" customHeight="1" x14ac:dyDescent="0.25">
      <c r="B12" s="28" t="s">
        <v>73</v>
      </c>
      <c r="C12" s="28" t="s">
        <v>53</v>
      </c>
      <c r="D12" s="28" t="s">
        <v>54</v>
      </c>
      <c r="E12" s="28" t="s">
        <v>55</v>
      </c>
      <c r="F12" s="28" t="s">
        <v>56</v>
      </c>
      <c r="G12" s="28" t="s">
        <v>57</v>
      </c>
      <c r="H12" s="28" t="s">
        <v>58</v>
      </c>
      <c r="I12" s="28" t="s">
        <v>59</v>
      </c>
      <c r="J12" s="28" t="s">
        <v>60</v>
      </c>
      <c r="K12" s="28" t="s">
        <v>61</v>
      </c>
      <c r="L12" s="28" t="s">
        <v>62</v>
      </c>
      <c r="M12" s="28" t="s">
        <v>63</v>
      </c>
      <c r="N12" s="28" t="s">
        <v>64</v>
      </c>
      <c r="O12" s="28" t="s">
        <v>346</v>
      </c>
    </row>
    <row r="13" spans="1:19" ht="18.75" customHeight="1" x14ac:dyDescent="0.25">
      <c r="B13" s="71" t="str">
        <f>IF(Parameter!$M$7="","",Parameter!$M$7)</f>
        <v>Geschäftsleitung</v>
      </c>
      <c r="C13" s="32">
        <v>2</v>
      </c>
      <c r="D13" s="32">
        <v>2</v>
      </c>
      <c r="E13" s="32">
        <v>2</v>
      </c>
      <c r="F13" s="32">
        <v>2</v>
      </c>
      <c r="G13" s="32">
        <v>2</v>
      </c>
      <c r="H13" s="32">
        <v>2</v>
      </c>
      <c r="I13" s="32">
        <v>2</v>
      </c>
      <c r="J13" s="32">
        <v>2</v>
      </c>
      <c r="K13" s="32">
        <v>2</v>
      </c>
      <c r="L13" s="32">
        <v>2</v>
      </c>
      <c r="M13" s="32">
        <v>2</v>
      </c>
      <c r="N13" s="32">
        <v>2</v>
      </c>
      <c r="O13" s="33">
        <f t="shared" ref="O13:O20" si="0">IF($B13="","",AVERAGE(C13:N13))</f>
        <v>2</v>
      </c>
    </row>
    <row r="14" spans="1:19" ht="18.75" customHeight="1" x14ac:dyDescent="0.25">
      <c r="B14" s="71" t="str">
        <f>IF(Parameter!$M$8="","",Parameter!$M$8)</f>
        <v>Vertrieb</v>
      </c>
      <c r="C14" s="32">
        <v>6.75</v>
      </c>
      <c r="D14" s="32">
        <v>6.75</v>
      </c>
      <c r="E14" s="32">
        <v>6.75</v>
      </c>
      <c r="F14" s="32">
        <v>6.75</v>
      </c>
      <c r="G14" s="32">
        <v>6.75</v>
      </c>
      <c r="H14" s="32">
        <v>6.75</v>
      </c>
      <c r="I14" s="32">
        <v>6.75</v>
      </c>
      <c r="J14" s="32">
        <v>6.75</v>
      </c>
      <c r="K14" s="32">
        <v>7.75</v>
      </c>
      <c r="L14" s="32">
        <v>7.75</v>
      </c>
      <c r="M14" s="32">
        <v>7.75</v>
      </c>
      <c r="N14" s="32">
        <v>7.75</v>
      </c>
      <c r="O14" s="33">
        <f t="shared" si="0"/>
        <v>7.083333333333333</v>
      </c>
    </row>
    <row r="15" spans="1:19" ht="18.75" customHeight="1" x14ac:dyDescent="0.25">
      <c r="B15" s="71" t="str">
        <f>IF(Parameter!$M$9="","",Parameter!$M$9)</f>
        <v>Marketing</v>
      </c>
      <c r="C15" s="32">
        <v>4.5</v>
      </c>
      <c r="D15" s="32">
        <v>4.5</v>
      </c>
      <c r="E15" s="32">
        <v>4.5</v>
      </c>
      <c r="F15" s="32">
        <v>4.5</v>
      </c>
      <c r="G15" s="32">
        <v>4.5</v>
      </c>
      <c r="H15" s="32">
        <v>4.5</v>
      </c>
      <c r="I15" s="32">
        <v>4.5</v>
      </c>
      <c r="J15" s="32">
        <v>4.5</v>
      </c>
      <c r="K15" s="32">
        <v>4.5</v>
      </c>
      <c r="L15" s="32">
        <v>4.5</v>
      </c>
      <c r="M15" s="32">
        <v>4.5</v>
      </c>
      <c r="N15" s="32">
        <v>4.5</v>
      </c>
      <c r="O15" s="33">
        <f t="shared" si="0"/>
        <v>4.5</v>
      </c>
    </row>
    <row r="16" spans="1:19" ht="18.75" customHeight="1" x14ac:dyDescent="0.25">
      <c r="B16" s="71" t="str">
        <f>IF(Parameter!$M$10="","",Parameter!$M$10)</f>
        <v>Operations</v>
      </c>
      <c r="C16" s="32">
        <v>7</v>
      </c>
      <c r="D16" s="32">
        <v>7</v>
      </c>
      <c r="E16" s="32">
        <v>7</v>
      </c>
      <c r="F16" s="32">
        <v>7</v>
      </c>
      <c r="G16" s="32">
        <v>7</v>
      </c>
      <c r="H16" s="32">
        <v>7</v>
      </c>
      <c r="I16" s="32">
        <v>7</v>
      </c>
      <c r="J16" s="32">
        <v>7</v>
      </c>
      <c r="K16" s="32">
        <v>7</v>
      </c>
      <c r="L16" s="32">
        <v>7</v>
      </c>
      <c r="M16" s="32">
        <v>7</v>
      </c>
      <c r="N16" s="32">
        <v>7</v>
      </c>
      <c r="O16" s="33">
        <f t="shared" si="0"/>
        <v>7</v>
      </c>
    </row>
    <row r="17" spans="2:15" ht="18.75" customHeight="1" x14ac:dyDescent="0.25">
      <c r="B17" s="71" t="str">
        <f>IF(Parameter!$M$11="","",Parameter!$M$11)</f>
        <v>Kundenservice</v>
      </c>
      <c r="C17" s="32">
        <v>4.5</v>
      </c>
      <c r="D17" s="32">
        <v>4.5</v>
      </c>
      <c r="E17" s="32">
        <v>4.5</v>
      </c>
      <c r="F17" s="32">
        <v>4.5</v>
      </c>
      <c r="G17" s="32">
        <v>4.5</v>
      </c>
      <c r="H17" s="32">
        <v>4.5</v>
      </c>
      <c r="I17" s="32">
        <v>4.5</v>
      </c>
      <c r="J17" s="32">
        <v>4.5</v>
      </c>
      <c r="K17" s="32">
        <v>4.5</v>
      </c>
      <c r="L17" s="32">
        <v>4.5</v>
      </c>
      <c r="M17" s="32">
        <v>4.5</v>
      </c>
      <c r="N17" s="32">
        <v>4.5</v>
      </c>
      <c r="O17" s="33">
        <f t="shared" si="0"/>
        <v>4.5</v>
      </c>
    </row>
    <row r="18" spans="2:15" ht="18.75" customHeight="1" x14ac:dyDescent="0.25">
      <c r="B18" s="71" t="str">
        <f>IF(Parameter!$M$12="","",Parameter!$M$12)</f>
        <v>IT</v>
      </c>
      <c r="C18" s="32">
        <v>3.5</v>
      </c>
      <c r="D18" s="32">
        <v>4.5</v>
      </c>
      <c r="E18" s="32">
        <v>4.5</v>
      </c>
      <c r="F18" s="32">
        <v>4.5</v>
      </c>
      <c r="G18" s="32">
        <v>4.5</v>
      </c>
      <c r="H18" s="32">
        <v>4.5</v>
      </c>
      <c r="I18" s="32">
        <v>4.5</v>
      </c>
      <c r="J18" s="32">
        <v>4.5</v>
      </c>
      <c r="K18" s="32">
        <v>4.5</v>
      </c>
      <c r="L18" s="32">
        <v>4.5</v>
      </c>
      <c r="M18" s="32">
        <v>4.5</v>
      </c>
      <c r="N18" s="32">
        <v>4.5</v>
      </c>
      <c r="O18" s="33">
        <f t="shared" si="0"/>
        <v>4.416666666666667</v>
      </c>
    </row>
    <row r="19" spans="2:15" ht="18.75" customHeight="1" x14ac:dyDescent="0.25">
      <c r="B19" s="71" t="str">
        <f>IF(Parameter!$M$13="","",Parameter!$M$13)</f>
        <v>Finanzen &amp; Controlling</v>
      </c>
      <c r="C19" s="32">
        <v>2.75</v>
      </c>
      <c r="D19" s="32">
        <v>2.75</v>
      </c>
      <c r="E19" s="32">
        <v>2.75</v>
      </c>
      <c r="F19" s="32">
        <v>2.75</v>
      </c>
      <c r="G19" s="32">
        <v>2.75</v>
      </c>
      <c r="H19" s="32">
        <v>2.75</v>
      </c>
      <c r="I19" s="32">
        <v>2.75</v>
      </c>
      <c r="J19" s="32">
        <v>2.75</v>
      </c>
      <c r="K19" s="32">
        <v>2.75</v>
      </c>
      <c r="L19" s="32">
        <v>2.75</v>
      </c>
      <c r="M19" s="32">
        <v>2.75</v>
      </c>
      <c r="N19" s="32">
        <v>2.75</v>
      </c>
      <c r="O19" s="33">
        <f t="shared" si="0"/>
        <v>2.75</v>
      </c>
    </row>
    <row r="20" spans="2:15" ht="18.75" customHeight="1" x14ac:dyDescent="0.25">
      <c r="B20" s="71" t="str">
        <f>IF(Parameter!$M$14="","",Parameter!$M$14)</f>
        <v>Personal</v>
      </c>
      <c r="C20" s="32">
        <v>1.75</v>
      </c>
      <c r="D20" s="32">
        <v>1.75</v>
      </c>
      <c r="E20" s="32">
        <v>1.75</v>
      </c>
      <c r="F20" s="32">
        <v>1.75</v>
      </c>
      <c r="G20" s="32">
        <v>1.75</v>
      </c>
      <c r="H20" s="32">
        <v>1.75</v>
      </c>
      <c r="I20" s="32">
        <v>2.25</v>
      </c>
      <c r="J20" s="32">
        <v>2.25</v>
      </c>
      <c r="K20" s="32">
        <v>2.25</v>
      </c>
      <c r="L20" s="32">
        <v>2.25</v>
      </c>
      <c r="M20" s="32">
        <v>2.25</v>
      </c>
      <c r="N20" s="32">
        <v>2.25</v>
      </c>
      <c r="O20" s="33">
        <f t="shared" si="0"/>
        <v>2</v>
      </c>
    </row>
    <row r="21" spans="2:15" ht="19.5" customHeight="1" x14ac:dyDescent="0.25">
      <c r="B21" s="42" t="s">
        <v>83</v>
      </c>
      <c r="C21" s="44">
        <f t="shared" ref="C21:N21" si="1">SUM(C13:C20)</f>
        <v>32.75</v>
      </c>
      <c r="D21" s="44">
        <f t="shared" si="1"/>
        <v>33.75</v>
      </c>
      <c r="E21" s="44">
        <f t="shared" si="1"/>
        <v>33.75</v>
      </c>
      <c r="F21" s="44">
        <f t="shared" si="1"/>
        <v>33.75</v>
      </c>
      <c r="G21" s="44">
        <f t="shared" si="1"/>
        <v>33.75</v>
      </c>
      <c r="H21" s="44">
        <f t="shared" si="1"/>
        <v>33.75</v>
      </c>
      <c r="I21" s="44">
        <f t="shared" si="1"/>
        <v>34.25</v>
      </c>
      <c r="J21" s="44">
        <f t="shared" si="1"/>
        <v>34.25</v>
      </c>
      <c r="K21" s="44">
        <f t="shared" si="1"/>
        <v>35.25</v>
      </c>
      <c r="L21" s="44">
        <f t="shared" si="1"/>
        <v>35.25</v>
      </c>
      <c r="M21" s="44">
        <f t="shared" si="1"/>
        <v>35.25</v>
      </c>
      <c r="N21" s="44">
        <f t="shared" si="1"/>
        <v>35.25</v>
      </c>
      <c r="O21" s="44">
        <f>AVERAGE(C21:N21)</f>
        <v>34.25</v>
      </c>
    </row>
    <row r="23" spans="2:15" ht="24" customHeight="1" x14ac:dyDescent="0.25">
      <c r="B23" s="20" t="s">
        <v>347</v>
      </c>
      <c r="C23" s="21"/>
      <c r="D23" s="21"/>
      <c r="E23" s="21"/>
      <c r="F23" s="21"/>
      <c r="G23" s="21"/>
      <c r="H23" s="21"/>
      <c r="I23" s="21"/>
      <c r="J23" s="21"/>
      <c r="K23" s="21"/>
      <c r="L23" s="21"/>
      <c r="M23" s="21"/>
      <c r="N23" s="21"/>
      <c r="O23" s="21"/>
    </row>
    <row r="24" spans="2:15" ht="30" customHeight="1" x14ac:dyDescent="0.25">
      <c r="B24" s="28" t="s">
        <v>73</v>
      </c>
      <c r="C24" s="28" t="s">
        <v>53</v>
      </c>
      <c r="D24" s="28" t="s">
        <v>54</v>
      </c>
      <c r="E24" s="28" t="s">
        <v>55</v>
      </c>
      <c r="F24" s="28" t="s">
        <v>56</v>
      </c>
      <c r="G24" s="28" t="s">
        <v>57</v>
      </c>
      <c r="H24" s="28" t="s">
        <v>58</v>
      </c>
      <c r="I24" s="28" t="s">
        <v>59</v>
      </c>
      <c r="J24" s="28" t="s">
        <v>60</v>
      </c>
      <c r="K24" s="28" t="s">
        <v>61</v>
      </c>
      <c r="L24" s="28" t="s">
        <v>62</v>
      </c>
      <c r="M24" s="28" t="s">
        <v>63</v>
      </c>
      <c r="N24" s="28" t="s">
        <v>64</v>
      </c>
      <c r="O24" s="28" t="s">
        <v>346</v>
      </c>
    </row>
    <row r="25" spans="2:15" ht="18.75" customHeight="1" x14ac:dyDescent="0.25">
      <c r="B25" s="71" t="str">
        <f>IF(Parameter!$M$7="","",Parameter!$M$7)</f>
        <v>Geschäftsleitung</v>
      </c>
      <c r="C25" s="104">
        <f>IF($B25="","",SUMIF(Personal!$E$8:$E$67,$B25,Personal!Y$8:Y$67))</f>
        <v>2</v>
      </c>
      <c r="D25" s="104">
        <f>IF($B25="","",SUMIF(Personal!$E$8:$E$67,$B25,Personal!Z$8:Z$67))</f>
        <v>2</v>
      </c>
      <c r="E25" s="104">
        <f>IF($B25="","",SUMIF(Personal!$E$8:$E$67,$B25,Personal!AA$8:AA$67))</f>
        <v>2</v>
      </c>
      <c r="F25" s="104">
        <f>IF($B25="","",SUMIF(Personal!$E$8:$E$67,$B25,Personal!AB$8:AB$67))</f>
        <v>2</v>
      </c>
      <c r="G25" s="104">
        <f>IF($B25="","",SUMIF(Personal!$E$8:$E$67,$B25,Personal!AC$8:AC$67))</f>
        <v>2</v>
      </c>
      <c r="H25" s="104">
        <f>IF($B25="","",SUMIF(Personal!$E$8:$E$67,$B25,Personal!AD$8:AD$67))</f>
        <v>2</v>
      </c>
      <c r="I25" s="104">
        <f>IF($B25="","",SUMIF(Personal!$E$8:$E$67,$B25,Personal!AE$8:AE$67))</f>
        <v>2</v>
      </c>
      <c r="J25" s="104">
        <f>IF($B25="","",SUMIF(Personal!$E$8:$E$67,$B25,Personal!AF$8:AF$67))</f>
        <v>2</v>
      </c>
      <c r="K25" s="104">
        <f>IF($B25="","",SUMIF(Personal!$E$8:$E$67,$B25,Personal!AG$8:AG$67))</f>
        <v>2</v>
      </c>
      <c r="L25" s="104">
        <f>IF($B25="","",SUMIF(Personal!$E$8:$E$67,$B25,Personal!AH$8:AH$67))</f>
        <v>2</v>
      </c>
      <c r="M25" s="104">
        <f>IF($B25="","",SUMIF(Personal!$E$8:$E$67,$B25,Personal!AI$8:AI$67))</f>
        <v>2</v>
      </c>
      <c r="N25" s="104">
        <f>IF($B25="","",SUMIF(Personal!$E$8:$E$67,$B25,Personal!AJ$8:AJ$67))</f>
        <v>2</v>
      </c>
      <c r="O25" s="33">
        <f t="shared" ref="O25:O32" si="2">IF($B25="","",AVERAGE(C25:N25))</f>
        <v>2</v>
      </c>
    </row>
    <row r="26" spans="2:15" ht="18.75" customHeight="1" x14ac:dyDescent="0.25">
      <c r="B26" s="71" t="str">
        <f>IF(Parameter!$M$8="","",Parameter!$M$8)</f>
        <v>Vertrieb</v>
      </c>
      <c r="C26" s="104">
        <f>IF($B26="","",SUMIF(Personal!$E$8:$E$67,$B26,Personal!Y$8:Y$67))</f>
        <v>6.75</v>
      </c>
      <c r="D26" s="104">
        <f>IF($B26="","",SUMIF(Personal!$E$8:$E$67,$B26,Personal!Z$8:Z$67))</f>
        <v>6.75</v>
      </c>
      <c r="E26" s="104">
        <f>IF($B26="","",SUMIF(Personal!$E$8:$E$67,$B26,Personal!AA$8:AA$67))</f>
        <v>6.75</v>
      </c>
      <c r="F26" s="104">
        <f>IF($B26="","",SUMIF(Personal!$E$8:$E$67,$B26,Personal!AB$8:AB$67))</f>
        <v>6.75</v>
      </c>
      <c r="G26" s="104">
        <f>IF($B26="","",SUMIF(Personal!$E$8:$E$67,$B26,Personal!AC$8:AC$67))</f>
        <v>6.75</v>
      </c>
      <c r="H26" s="104">
        <f>IF($B26="","",SUMIF(Personal!$E$8:$E$67,$B26,Personal!AD$8:AD$67))</f>
        <v>6.75</v>
      </c>
      <c r="I26" s="104">
        <f>IF($B26="","",SUMIF(Personal!$E$8:$E$67,$B26,Personal!AE$8:AE$67))</f>
        <v>6.75</v>
      </c>
      <c r="J26" s="104">
        <f>IF($B26="","",SUMIF(Personal!$E$8:$E$67,$B26,Personal!AF$8:AF$67))</f>
        <v>6.75</v>
      </c>
      <c r="K26" s="104">
        <f>IF($B26="","",SUMIF(Personal!$E$8:$E$67,$B26,Personal!AG$8:AG$67))</f>
        <v>6.75</v>
      </c>
      <c r="L26" s="104">
        <f>IF($B26="","",SUMIF(Personal!$E$8:$E$67,$B26,Personal!AH$8:AH$67))</f>
        <v>6.75</v>
      </c>
      <c r="M26" s="104">
        <f>IF($B26="","",SUMIF(Personal!$E$8:$E$67,$B26,Personal!AI$8:AI$67))</f>
        <v>6.75</v>
      </c>
      <c r="N26" s="104">
        <f>IF($B26="","",SUMIF(Personal!$E$8:$E$67,$B26,Personal!AJ$8:AJ$67))</f>
        <v>6.75</v>
      </c>
      <c r="O26" s="33">
        <f t="shared" si="2"/>
        <v>6.75</v>
      </c>
    </row>
    <row r="27" spans="2:15" ht="18.75" customHeight="1" x14ac:dyDescent="0.25">
      <c r="B27" s="71" t="str">
        <f>IF(Parameter!$M$9="","",Parameter!$M$9)</f>
        <v>Marketing</v>
      </c>
      <c r="C27" s="104">
        <f>IF($B27="","",SUMIF(Personal!$E$8:$E$67,$B27,Personal!Y$8:Y$67))</f>
        <v>3.5</v>
      </c>
      <c r="D27" s="104">
        <f>IF($B27="","",SUMIF(Personal!$E$8:$E$67,$B27,Personal!Z$8:Z$67))</f>
        <v>3.5</v>
      </c>
      <c r="E27" s="104">
        <f>IF($B27="","",SUMIF(Personal!$E$8:$E$67,$B27,Personal!AA$8:AA$67))</f>
        <v>4.5</v>
      </c>
      <c r="F27" s="104">
        <f>IF($B27="","",SUMIF(Personal!$E$8:$E$67,$B27,Personal!AB$8:AB$67))</f>
        <v>4.5</v>
      </c>
      <c r="G27" s="104">
        <f>IF($B27="","",SUMIF(Personal!$E$8:$E$67,$B27,Personal!AC$8:AC$67))</f>
        <v>4.5</v>
      </c>
      <c r="H27" s="104">
        <f>IF($B27="","",SUMIF(Personal!$E$8:$E$67,$B27,Personal!AD$8:AD$67))</f>
        <v>4.5</v>
      </c>
      <c r="I27" s="104">
        <f>IF($B27="","",SUMIF(Personal!$E$8:$E$67,$B27,Personal!AE$8:AE$67))</f>
        <v>4.5</v>
      </c>
      <c r="J27" s="104">
        <f>IF($B27="","",SUMIF(Personal!$E$8:$E$67,$B27,Personal!AF$8:AF$67))</f>
        <v>4.5</v>
      </c>
      <c r="K27" s="104">
        <f>IF($B27="","",SUMIF(Personal!$E$8:$E$67,$B27,Personal!AG$8:AG$67))</f>
        <v>4.5</v>
      </c>
      <c r="L27" s="104">
        <f>IF($B27="","",SUMIF(Personal!$E$8:$E$67,$B27,Personal!AH$8:AH$67))</f>
        <v>4.5</v>
      </c>
      <c r="M27" s="104">
        <f>IF($B27="","",SUMIF(Personal!$E$8:$E$67,$B27,Personal!AI$8:AI$67))</f>
        <v>4.5</v>
      </c>
      <c r="N27" s="104">
        <f>IF($B27="","",SUMIF(Personal!$E$8:$E$67,$B27,Personal!AJ$8:AJ$67))</f>
        <v>4.5</v>
      </c>
      <c r="O27" s="33">
        <f t="shared" si="2"/>
        <v>4.333333333333333</v>
      </c>
    </row>
    <row r="28" spans="2:15" ht="18.75" customHeight="1" x14ac:dyDescent="0.25">
      <c r="B28" s="71" t="str">
        <f>IF(Parameter!$M$10="","",Parameter!$M$10)</f>
        <v>Operations</v>
      </c>
      <c r="C28" s="104">
        <f>IF($B28="","",SUMIF(Personal!$E$8:$E$67,$B28,Personal!Y$8:Y$67))</f>
        <v>6.9749999999999996</v>
      </c>
      <c r="D28" s="104">
        <f>IF($B28="","",SUMIF(Personal!$E$8:$E$67,$B28,Personal!Z$8:Z$67))</f>
        <v>6.9749999999999996</v>
      </c>
      <c r="E28" s="104">
        <f>IF($B28="","",SUMIF(Personal!$E$8:$E$67,$B28,Personal!AA$8:AA$67))</f>
        <v>6.9749999999999996</v>
      </c>
      <c r="F28" s="104">
        <f>IF($B28="","",SUMIF(Personal!$E$8:$E$67,$B28,Personal!AB$8:AB$67))</f>
        <v>5.9749999999999996</v>
      </c>
      <c r="G28" s="104">
        <f>IF($B28="","",SUMIF(Personal!$E$8:$E$67,$B28,Personal!AC$8:AC$67))</f>
        <v>5.9749999999999996</v>
      </c>
      <c r="H28" s="104">
        <f>IF($B28="","",SUMIF(Personal!$E$8:$E$67,$B28,Personal!AD$8:AD$67))</f>
        <v>5.9749999999999996</v>
      </c>
      <c r="I28" s="104">
        <f>IF($B28="","",SUMIF(Personal!$E$8:$E$67,$B28,Personal!AE$8:AE$67))</f>
        <v>5.9749999999999996</v>
      </c>
      <c r="J28" s="104">
        <f>IF($B28="","",SUMIF(Personal!$E$8:$E$67,$B28,Personal!AF$8:AF$67))</f>
        <v>5.9749999999999996</v>
      </c>
      <c r="K28" s="104">
        <f>IF($B28="","",SUMIF(Personal!$E$8:$E$67,$B28,Personal!AG$8:AG$67))</f>
        <v>5.9749999999999996</v>
      </c>
      <c r="L28" s="104">
        <f>IF($B28="","",SUMIF(Personal!$E$8:$E$67,$B28,Personal!AH$8:AH$67))</f>
        <v>5.9749999999999996</v>
      </c>
      <c r="M28" s="104">
        <f>IF($B28="","",SUMIF(Personal!$E$8:$E$67,$B28,Personal!AI$8:AI$67))</f>
        <v>5.9749999999999996</v>
      </c>
      <c r="N28" s="104">
        <f>IF($B28="","",SUMIF(Personal!$E$8:$E$67,$B28,Personal!AJ$8:AJ$67))</f>
        <v>5.9749999999999996</v>
      </c>
      <c r="O28" s="33">
        <f t="shared" si="2"/>
        <v>6.2250000000000005</v>
      </c>
    </row>
    <row r="29" spans="2:15" ht="18.75" customHeight="1" x14ac:dyDescent="0.25">
      <c r="B29" s="71" t="str">
        <f>IF(Parameter!$M$11="","",Parameter!$M$11)</f>
        <v>Kundenservice</v>
      </c>
      <c r="C29" s="104">
        <f>IF($B29="","",SUMIF(Personal!$E$8:$E$67,$B29,Personal!Y$8:Y$67))</f>
        <v>4.625</v>
      </c>
      <c r="D29" s="104">
        <f>IF($B29="","",SUMIF(Personal!$E$8:$E$67,$B29,Personal!Z$8:Z$67))</f>
        <v>4.625</v>
      </c>
      <c r="E29" s="104">
        <f>IF($B29="","",SUMIF(Personal!$E$8:$E$67,$B29,Personal!AA$8:AA$67))</f>
        <v>4.625</v>
      </c>
      <c r="F29" s="104">
        <f>IF($B29="","",SUMIF(Personal!$E$8:$E$67,$B29,Personal!AB$8:AB$67))</f>
        <v>4.625</v>
      </c>
      <c r="G29" s="104">
        <f>IF($B29="","",SUMIF(Personal!$E$8:$E$67,$B29,Personal!AC$8:AC$67))</f>
        <v>4.625</v>
      </c>
      <c r="H29" s="104">
        <f>IF($B29="","",SUMIF(Personal!$E$8:$E$67,$B29,Personal!AD$8:AD$67))</f>
        <v>4.625</v>
      </c>
      <c r="I29" s="104">
        <f>IF($B29="","",SUMIF(Personal!$E$8:$E$67,$B29,Personal!AE$8:AE$67))</f>
        <v>4.625</v>
      </c>
      <c r="J29" s="104">
        <f>IF($B29="","",SUMIF(Personal!$E$8:$E$67,$B29,Personal!AF$8:AF$67))</f>
        <v>4.625</v>
      </c>
      <c r="K29" s="104">
        <f>IF($B29="","",SUMIF(Personal!$E$8:$E$67,$B29,Personal!AG$8:AG$67))</f>
        <v>4.625</v>
      </c>
      <c r="L29" s="104">
        <f>IF($B29="","",SUMIF(Personal!$E$8:$E$67,$B29,Personal!AH$8:AH$67))</f>
        <v>4.625</v>
      </c>
      <c r="M29" s="104">
        <f>IF($B29="","",SUMIF(Personal!$E$8:$E$67,$B29,Personal!AI$8:AI$67))</f>
        <v>4.625</v>
      </c>
      <c r="N29" s="104">
        <f>IF($B29="","",SUMIF(Personal!$E$8:$E$67,$B29,Personal!AJ$8:AJ$67))</f>
        <v>4.625</v>
      </c>
      <c r="O29" s="33">
        <f t="shared" si="2"/>
        <v>4.625</v>
      </c>
    </row>
    <row r="30" spans="2:15" ht="18.75" customHeight="1" x14ac:dyDescent="0.25">
      <c r="B30" s="71" t="str">
        <f>IF(Parameter!$M$12="","",Parameter!$M$12)</f>
        <v>IT</v>
      </c>
      <c r="C30" s="104">
        <f>IF($B30="","",SUMIF(Personal!$E$8:$E$67,$B30,Personal!Y$8:Y$67))</f>
        <v>3.45</v>
      </c>
      <c r="D30" s="104">
        <f>IF($B30="","",SUMIF(Personal!$E$8:$E$67,$B30,Personal!Z$8:Z$67))</f>
        <v>4.45</v>
      </c>
      <c r="E30" s="104">
        <f>IF($B30="","",SUMIF(Personal!$E$8:$E$67,$B30,Personal!AA$8:AA$67))</f>
        <v>4.45</v>
      </c>
      <c r="F30" s="104">
        <f>IF($B30="","",SUMIF(Personal!$E$8:$E$67,$B30,Personal!AB$8:AB$67))</f>
        <v>4.45</v>
      </c>
      <c r="G30" s="104">
        <f>IF($B30="","",SUMIF(Personal!$E$8:$E$67,$B30,Personal!AC$8:AC$67))</f>
        <v>4.45</v>
      </c>
      <c r="H30" s="104">
        <f>IF($B30="","",SUMIF(Personal!$E$8:$E$67,$B30,Personal!AD$8:AD$67))</f>
        <v>4.45</v>
      </c>
      <c r="I30" s="104">
        <f>IF($B30="","",SUMIF(Personal!$E$8:$E$67,$B30,Personal!AE$8:AE$67))</f>
        <v>4.45</v>
      </c>
      <c r="J30" s="104">
        <f>IF($B30="","",SUMIF(Personal!$E$8:$E$67,$B30,Personal!AF$8:AF$67))</f>
        <v>4.45</v>
      </c>
      <c r="K30" s="104">
        <f>IF($B30="","",SUMIF(Personal!$E$8:$E$67,$B30,Personal!AG$8:AG$67))</f>
        <v>4.45</v>
      </c>
      <c r="L30" s="104">
        <f>IF($B30="","",SUMIF(Personal!$E$8:$E$67,$B30,Personal!AH$8:AH$67))</f>
        <v>4</v>
      </c>
      <c r="M30" s="104">
        <f>IF($B30="","",SUMIF(Personal!$E$8:$E$67,$B30,Personal!AI$8:AI$67))</f>
        <v>4</v>
      </c>
      <c r="N30" s="104">
        <f>IF($B30="","",SUMIF(Personal!$E$8:$E$67,$B30,Personal!AJ$8:AJ$67))</f>
        <v>4</v>
      </c>
      <c r="O30" s="33">
        <f t="shared" si="2"/>
        <v>4.2541666666666673</v>
      </c>
    </row>
    <row r="31" spans="2:15" ht="18.75" customHeight="1" x14ac:dyDescent="0.25">
      <c r="B31" s="71" t="str">
        <f>IF(Parameter!$M$13="","",Parameter!$M$13)</f>
        <v>Finanzen &amp; Controlling</v>
      </c>
      <c r="C31" s="104">
        <f>IF($B31="","",SUMIF(Personal!$E$8:$E$67,$B31,Personal!Y$8:Y$67))</f>
        <v>2.8</v>
      </c>
      <c r="D31" s="104">
        <f>IF($B31="","",SUMIF(Personal!$E$8:$E$67,$B31,Personal!Z$8:Z$67))</f>
        <v>2.8</v>
      </c>
      <c r="E31" s="104">
        <f>IF($B31="","",SUMIF(Personal!$E$8:$E$67,$B31,Personal!AA$8:AA$67))</f>
        <v>2.8</v>
      </c>
      <c r="F31" s="104">
        <f>IF($B31="","",SUMIF(Personal!$E$8:$E$67,$B31,Personal!AB$8:AB$67))</f>
        <v>2.8</v>
      </c>
      <c r="G31" s="104">
        <f>IF($B31="","",SUMIF(Personal!$E$8:$E$67,$B31,Personal!AC$8:AC$67))</f>
        <v>2.8</v>
      </c>
      <c r="H31" s="104">
        <f>IF($B31="","",SUMIF(Personal!$E$8:$E$67,$B31,Personal!AD$8:AD$67))</f>
        <v>2.8</v>
      </c>
      <c r="I31" s="104">
        <f>IF($B31="","",SUMIF(Personal!$E$8:$E$67,$B31,Personal!AE$8:AE$67))</f>
        <v>2.8</v>
      </c>
      <c r="J31" s="104">
        <f>IF($B31="","",SUMIF(Personal!$E$8:$E$67,$B31,Personal!AF$8:AF$67))</f>
        <v>2.8</v>
      </c>
      <c r="K31" s="104">
        <f>IF($B31="","",SUMIF(Personal!$E$8:$E$67,$B31,Personal!AG$8:AG$67))</f>
        <v>2.8</v>
      </c>
      <c r="L31" s="104">
        <f>IF($B31="","",SUMIF(Personal!$E$8:$E$67,$B31,Personal!AH$8:AH$67))</f>
        <v>2.8</v>
      </c>
      <c r="M31" s="104">
        <f>IF($B31="","",SUMIF(Personal!$E$8:$E$67,$B31,Personal!AI$8:AI$67))</f>
        <v>2.8</v>
      </c>
      <c r="N31" s="104">
        <f>IF($B31="","",SUMIF(Personal!$E$8:$E$67,$B31,Personal!AJ$8:AJ$67))</f>
        <v>2.8</v>
      </c>
      <c r="O31" s="33">
        <f t="shared" si="2"/>
        <v>2.8000000000000003</v>
      </c>
    </row>
    <row r="32" spans="2:15" ht="18.75" customHeight="1" x14ac:dyDescent="0.25">
      <c r="B32" s="71" t="str">
        <f>IF(Parameter!$M$14="","",Parameter!$M$14)</f>
        <v>Personal</v>
      </c>
      <c r="C32" s="104">
        <f>IF($B32="","",SUMIF(Personal!$E$8:$E$67,$B32,Personal!Y$8:Y$67))</f>
        <v>1.75</v>
      </c>
      <c r="D32" s="104">
        <f>IF($B32="","",SUMIF(Personal!$E$8:$E$67,$B32,Personal!Z$8:Z$67))</f>
        <v>1.75</v>
      </c>
      <c r="E32" s="104">
        <f>IF($B32="","",SUMIF(Personal!$E$8:$E$67,$B32,Personal!AA$8:AA$67))</f>
        <v>1.75</v>
      </c>
      <c r="F32" s="104">
        <f>IF($B32="","",SUMIF(Personal!$E$8:$E$67,$B32,Personal!AB$8:AB$67))</f>
        <v>1.75</v>
      </c>
      <c r="G32" s="104">
        <f>IF($B32="","",SUMIF(Personal!$E$8:$E$67,$B32,Personal!AC$8:AC$67))</f>
        <v>1.75</v>
      </c>
      <c r="H32" s="104">
        <f>IF($B32="","",SUMIF(Personal!$E$8:$E$67,$B32,Personal!AD$8:AD$67))</f>
        <v>1.75</v>
      </c>
      <c r="I32" s="104">
        <f>IF($B32="","",SUMIF(Personal!$E$8:$E$67,$B32,Personal!AE$8:AE$67))</f>
        <v>1.75</v>
      </c>
      <c r="J32" s="104">
        <f>IF($B32="","",SUMIF(Personal!$E$8:$E$67,$B32,Personal!AF$8:AF$67))</f>
        <v>1.75</v>
      </c>
      <c r="K32" s="104">
        <f>IF($B32="","",SUMIF(Personal!$E$8:$E$67,$B32,Personal!AG$8:AG$67))</f>
        <v>1.75</v>
      </c>
      <c r="L32" s="104">
        <f>IF($B32="","",SUMIF(Personal!$E$8:$E$67,$B32,Personal!AH$8:AH$67))</f>
        <v>2.25</v>
      </c>
      <c r="M32" s="104">
        <f>IF($B32="","",SUMIF(Personal!$E$8:$E$67,$B32,Personal!AI$8:AI$67))</f>
        <v>2.25</v>
      </c>
      <c r="N32" s="104">
        <f>IF($B32="","",SUMIF(Personal!$E$8:$E$67,$B32,Personal!AJ$8:AJ$67))</f>
        <v>2.25</v>
      </c>
      <c r="O32" s="33">
        <f t="shared" si="2"/>
        <v>1.875</v>
      </c>
    </row>
    <row r="33" spans="2:19" ht="19.5" customHeight="1" x14ac:dyDescent="0.25">
      <c r="B33" s="42" t="s">
        <v>83</v>
      </c>
      <c r="C33" s="44">
        <f t="shared" ref="C33:N33" si="3">SUM(C25:C32)</f>
        <v>31.85</v>
      </c>
      <c r="D33" s="44">
        <f t="shared" si="3"/>
        <v>32.85</v>
      </c>
      <c r="E33" s="44">
        <f t="shared" si="3"/>
        <v>33.85</v>
      </c>
      <c r="F33" s="44">
        <f t="shared" si="3"/>
        <v>32.85</v>
      </c>
      <c r="G33" s="44">
        <f t="shared" si="3"/>
        <v>32.85</v>
      </c>
      <c r="H33" s="44">
        <f t="shared" si="3"/>
        <v>32.85</v>
      </c>
      <c r="I33" s="44">
        <f t="shared" si="3"/>
        <v>32.85</v>
      </c>
      <c r="J33" s="44">
        <f t="shared" si="3"/>
        <v>32.85</v>
      </c>
      <c r="K33" s="44">
        <f t="shared" si="3"/>
        <v>32.85</v>
      </c>
      <c r="L33" s="44">
        <f t="shared" si="3"/>
        <v>32.900000000000006</v>
      </c>
      <c r="M33" s="44">
        <f t="shared" si="3"/>
        <v>32.900000000000006</v>
      </c>
      <c r="N33" s="44">
        <f t="shared" si="3"/>
        <v>32.900000000000006</v>
      </c>
      <c r="O33" s="44">
        <f>AVERAGE(C33:N33)</f>
        <v>32.862500000000004</v>
      </c>
    </row>
    <row r="35" spans="2:19" ht="24" customHeight="1" x14ac:dyDescent="0.25">
      <c r="B35" s="20" t="s">
        <v>348</v>
      </c>
      <c r="C35" s="21"/>
      <c r="D35" s="21"/>
      <c r="E35" s="21"/>
      <c r="F35" s="21"/>
      <c r="G35" s="21"/>
      <c r="H35" s="21"/>
      <c r="I35" s="21"/>
      <c r="J35" s="21"/>
      <c r="K35" s="21"/>
      <c r="L35" s="21"/>
      <c r="M35" s="21"/>
      <c r="N35" s="21"/>
      <c r="O35" s="21"/>
      <c r="P35" s="21"/>
      <c r="Q35" s="21"/>
      <c r="R35" s="21"/>
      <c r="S35" s="21"/>
    </row>
    <row r="36" spans="2:19" ht="30" customHeight="1" x14ac:dyDescent="0.25">
      <c r="B36" s="28" t="s">
        <v>73</v>
      </c>
      <c r="C36" s="28" t="s">
        <v>53</v>
      </c>
      <c r="D36" s="28" t="s">
        <v>54</v>
      </c>
      <c r="E36" s="28" t="s">
        <v>55</v>
      </c>
      <c r="F36" s="28" t="s">
        <v>56</v>
      </c>
      <c r="G36" s="28" t="s">
        <v>57</v>
      </c>
      <c r="H36" s="28" t="s">
        <v>58</v>
      </c>
      <c r="I36" s="28" t="s">
        <v>59</v>
      </c>
      <c r="J36" s="28" t="s">
        <v>60</v>
      </c>
      <c r="K36" s="28" t="s">
        <v>61</v>
      </c>
      <c r="L36" s="28" t="s">
        <v>62</v>
      </c>
      <c r="M36" s="28" t="s">
        <v>63</v>
      </c>
      <c r="N36" s="28" t="s">
        <v>64</v>
      </c>
      <c r="O36" s="28" t="s">
        <v>346</v>
      </c>
      <c r="P36" s="28" t="s">
        <v>349</v>
      </c>
      <c r="Q36" s="28" t="s">
        <v>350</v>
      </c>
      <c r="R36" s="1" t="s">
        <v>21</v>
      </c>
      <c r="S36" s="1"/>
    </row>
    <row r="37" spans="2:19" ht="18.75" customHeight="1" x14ac:dyDescent="0.25">
      <c r="B37" s="71" t="str">
        <f>IF(Parameter!$M$7="","",Parameter!$M$7)</f>
        <v>Geschäftsleitung</v>
      </c>
      <c r="C37" s="105">
        <f t="shared" ref="C37:N37" si="4">IF($B37="","",C25-C13)</f>
        <v>0</v>
      </c>
      <c r="D37" s="105">
        <f t="shared" si="4"/>
        <v>0</v>
      </c>
      <c r="E37" s="105">
        <f t="shared" si="4"/>
        <v>0</v>
      </c>
      <c r="F37" s="105">
        <f t="shared" si="4"/>
        <v>0</v>
      </c>
      <c r="G37" s="105">
        <f t="shared" si="4"/>
        <v>0</v>
      </c>
      <c r="H37" s="105">
        <f t="shared" si="4"/>
        <v>0</v>
      </c>
      <c r="I37" s="105">
        <f t="shared" si="4"/>
        <v>0</v>
      </c>
      <c r="J37" s="105">
        <f t="shared" si="4"/>
        <v>0</v>
      </c>
      <c r="K37" s="105">
        <f t="shared" si="4"/>
        <v>0</v>
      </c>
      <c r="L37" s="105">
        <f t="shared" si="4"/>
        <v>0</v>
      </c>
      <c r="M37" s="105">
        <f t="shared" si="4"/>
        <v>0</v>
      </c>
      <c r="N37" s="105">
        <f t="shared" si="4"/>
        <v>0</v>
      </c>
      <c r="O37" s="35">
        <f t="shared" ref="O37:O44" si="5">IF($B37="","",AVERAGE(C37:N37))</f>
        <v>0</v>
      </c>
      <c r="P37" s="106">
        <f t="shared" ref="P37:P44" si="6">IF($B37="","",MIN(0,MIN(C37:N37)))</f>
        <v>0</v>
      </c>
      <c r="Q37" s="107">
        <f>IF($B37="","",COUNTIF(C37:N37,"&lt;"&amp;-Parameter!$C$10))</f>
        <v>0</v>
      </c>
      <c r="R37" s="151" t="str">
        <f>IF($B37="","",IF(Q37&gt;0,"Unterdeckung – Recruiting prüfen",IF(COUNTIF(C37:N37,"&gt;"&amp;Parameter!$C$10)&gt;0,"Überdeckung – Einsatz prüfen","im Plan")))</f>
        <v>im Plan</v>
      </c>
      <c r="S37" s="151"/>
    </row>
    <row r="38" spans="2:19" ht="18.75" customHeight="1" x14ac:dyDescent="0.25">
      <c r="B38" s="71" t="str">
        <f>IF(Parameter!$M$8="","",Parameter!$M$8)</f>
        <v>Vertrieb</v>
      </c>
      <c r="C38" s="105">
        <f t="shared" ref="C38:N38" si="7">IF($B38="","",C26-C14)</f>
        <v>0</v>
      </c>
      <c r="D38" s="105">
        <f t="shared" si="7"/>
        <v>0</v>
      </c>
      <c r="E38" s="105">
        <f t="shared" si="7"/>
        <v>0</v>
      </c>
      <c r="F38" s="105">
        <f t="shared" si="7"/>
        <v>0</v>
      </c>
      <c r="G38" s="105">
        <f t="shared" si="7"/>
        <v>0</v>
      </c>
      <c r="H38" s="105">
        <f t="shared" si="7"/>
        <v>0</v>
      </c>
      <c r="I38" s="105">
        <f t="shared" si="7"/>
        <v>0</v>
      </c>
      <c r="J38" s="105">
        <f t="shared" si="7"/>
        <v>0</v>
      </c>
      <c r="K38" s="105">
        <f t="shared" si="7"/>
        <v>-1</v>
      </c>
      <c r="L38" s="105">
        <f t="shared" si="7"/>
        <v>-1</v>
      </c>
      <c r="M38" s="105">
        <f t="shared" si="7"/>
        <v>-1</v>
      </c>
      <c r="N38" s="105">
        <f t="shared" si="7"/>
        <v>-1</v>
      </c>
      <c r="O38" s="35">
        <f t="shared" si="5"/>
        <v>-0.33333333333333331</v>
      </c>
      <c r="P38" s="106">
        <f t="shared" si="6"/>
        <v>-1</v>
      </c>
      <c r="Q38" s="107">
        <f>IF($B38="","",COUNTIF(C38:N38,"&lt;"&amp;-Parameter!$C$10))</f>
        <v>4</v>
      </c>
      <c r="R38" s="151" t="str">
        <f>IF($B38="","",IF(Q38&gt;0,"Unterdeckung – Recruiting prüfen",IF(COUNTIF(C38:N38,"&gt;"&amp;Parameter!$C$10)&gt;0,"Überdeckung – Einsatz prüfen","im Plan")))</f>
        <v>Unterdeckung – Recruiting prüfen</v>
      </c>
      <c r="S38" s="151"/>
    </row>
    <row r="39" spans="2:19" ht="18.75" customHeight="1" x14ac:dyDescent="0.25">
      <c r="B39" s="71" t="str">
        <f>IF(Parameter!$M$9="","",Parameter!$M$9)</f>
        <v>Marketing</v>
      </c>
      <c r="C39" s="105">
        <f t="shared" ref="C39:N39" si="8">IF($B39="","",C27-C15)</f>
        <v>-1</v>
      </c>
      <c r="D39" s="105">
        <f t="shared" si="8"/>
        <v>-1</v>
      </c>
      <c r="E39" s="105">
        <f t="shared" si="8"/>
        <v>0</v>
      </c>
      <c r="F39" s="105">
        <f t="shared" si="8"/>
        <v>0</v>
      </c>
      <c r="G39" s="105">
        <f t="shared" si="8"/>
        <v>0</v>
      </c>
      <c r="H39" s="105">
        <f t="shared" si="8"/>
        <v>0</v>
      </c>
      <c r="I39" s="105">
        <f t="shared" si="8"/>
        <v>0</v>
      </c>
      <c r="J39" s="105">
        <f t="shared" si="8"/>
        <v>0</v>
      </c>
      <c r="K39" s="105">
        <f t="shared" si="8"/>
        <v>0</v>
      </c>
      <c r="L39" s="105">
        <f t="shared" si="8"/>
        <v>0</v>
      </c>
      <c r="M39" s="105">
        <f t="shared" si="8"/>
        <v>0</v>
      </c>
      <c r="N39" s="105">
        <f t="shared" si="8"/>
        <v>0</v>
      </c>
      <c r="O39" s="35">
        <f t="shared" si="5"/>
        <v>-0.16666666666666666</v>
      </c>
      <c r="P39" s="106">
        <f t="shared" si="6"/>
        <v>-1</v>
      </c>
      <c r="Q39" s="107">
        <f>IF($B39="","",COUNTIF(C39:N39,"&lt;"&amp;-Parameter!$C$10))</f>
        <v>2</v>
      </c>
      <c r="R39" s="151" t="str">
        <f>IF($B39="","",IF(Q39&gt;0,"Unterdeckung – Recruiting prüfen",IF(COUNTIF(C39:N39,"&gt;"&amp;Parameter!$C$10)&gt;0,"Überdeckung – Einsatz prüfen","im Plan")))</f>
        <v>Unterdeckung – Recruiting prüfen</v>
      </c>
      <c r="S39" s="151"/>
    </row>
    <row r="40" spans="2:19" ht="18.75" customHeight="1" x14ac:dyDescent="0.25">
      <c r="B40" s="71" t="str">
        <f>IF(Parameter!$M$10="","",Parameter!$M$10)</f>
        <v>Operations</v>
      </c>
      <c r="C40" s="105">
        <f t="shared" ref="C40:N40" si="9">IF($B40="","",C28-C16)</f>
        <v>-2.5000000000000355E-2</v>
      </c>
      <c r="D40" s="105">
        <f t="shared" si="9"/>
        <v>-2.5000000000000355E-2</v>
      </c>
      <c r="E40" s="105">
        <f t="shared" si="9"/>
        <v>-2.5000000000000355E-2</v>
      </c>
      <c r="F40" s="105">
        <f t="shared" si="9"/>
        <v>-1.0250000000000004</v>
      </c>
      <c r="G40" s="105">
        <f t="shared" si="9"/>
        <v>-1.0250000000000004</v>
      </c>
      <c r="H40" s="105">
        <f t="shared" si="9"/>
        <v>-1.0250000000000004</v>
      </c>
      <c r="I40" s="105">
        <f t="shared" si="9"/>
        <v>-1.0250000000000004</v>
      </c>
      <c r="J40" s="105">
        <f t="shared" si="9"/>
        <v>-1.0250000000000004</v>
      </c>
      <c r="K40" s="105">
        <f t="shared" si="9"/>
        <v>-1.0250000000000004</v>
      </c>
      <c r="L40" s="105">
        <f t="shared" si="9"/>
        <v>-1.0250000000000004</v>
      </c>
      <c r="M40" s="105">
        <f t="shared" si="9"/>
        <v>-1.0250000000000004</v>
      </c>
      <c r="N40" s="105">
        <f t="shared" si="9"/>
        <v>-1.0250000000000004</v>
      </c>
      <c r="O40" s="35">
        <f t="shared" si="5"/>
        <v>-0.77500000000000036</v>
      </c>
      <c r="P40" s="106">
        <f t="shared" si="6"/>
        <v>-1.0250000000000004</v>
      </c>
      <c r="Q40" s="107">
        <f>IF($B40="","",COUNTIF(C40:N40,"&lt;"&amp;-Parameter!$C$10))</f>
        <v>9</v>
      </c>
      <c r="R40" s="151" t="str">
        <f>IF($B40="","",IF(Q40&gt;0,"Unterdeckung – Recruiting prüfen",IF(COUNTIF(C40:N40,"&gt;"&amp;Parameter!$C$10)&gt;0,"Überdeckung – Einsatz prüfen","im Plan")))</f>
        <v>Unterdeckung – Recruiting prüfen</v>
      </c>
      <c r="S40" s="151"/>
    </row>
    <row r="41" spans="2:19" ht="18.75" customHeight="1" x14ac:dyDescent="0.25">
      <c r="B41" s="71" t="str">
        <f>IF(Parameter!$M$11="","",Parameter!$M$11)</f>
        <v>Kundenservice</v>
      </c>
      <c r="C41" s="105">
        <f t="shared" ref="C41:N41" si="10">IF($B41="","",C29-C17)</f>
        <v>0.125</v>
      </c>
      <c r="D41" s="105">
        <f t="shared" si="10"/>
        <v>0.125</v>
      </c>
      <c r="E41" s="105">
        <f t="shared" si="10"/>
        <v>0.125</v>
      </c>
      <c r="F41" s="105">
        <f t="shared" si="10"/>
        <v>0.125</v>
      </c>
      <c r="G41" s="105">
        <f t="shared" si="10"/>
        <v>0.125</v>
      </c>
      <c r="H41" s="105">
        <f t="shared" si="10"/>
        <v>0.125</v>
      </c>
      <c r="I41" s="105">
        <f t="shared" si="10"/>
        <v>0.125</v>
      </c>
      <c r="J41" s="105">
        <f t="shared" si="10"/>
        <v>0.125</v>
      </c>
      <c r="K41" s="105">
        <f t="shared" si="10"/>
        <v>0.125</v>
      </c>
      <c r="L41" s="105">
        <f t="shared" si="10"/>
        <v>0.125</v>
      </c>
      <c r="M41" s="105">
        <f t="shared" si="10"/>
        <v>0.125</v>
      </c>
      <c r="N41" s="105">
        <f t="shared" si="10"/>
        <v>0.125</v>
      </c>
      <c r="O41" s="35">
        <f t="shared" si="5"/>
        <v>0.125</v>
      </c>
      <c r="P41" s="106">
        <f t="shared" si="6"/>
        <v>0</v>
      </c>
      <c r="Q41" s="107">
        <f>IF($B41="","",COUNTIF(C41:N41,"&lt;"&amp;-Parameter!$C$10))</f>
        <v>0</v>
      </c>
      <c r="R41" s="151" t="str">
        <f>IF($B41="","",IF(Q41&gt;0,"Unterdeckung – Recruiting prüfen",IF(COUNTIF(C41:N41,"&gt;"&amp;Parameter!$C$10)&gt;0,"Überdeckung – Einsatz prüfen","im Plan")))</f>
        <v>im Plan</v>
      </c>
      <c r="S41" s="151"/>
    </row>
    <row r="42" spans="2:19" ht="18.75" customHeight="1" x14ac:dyDescent="0.25">
      <c r="B42" s="71" t="str">
        <f>IF(Parameter!$M$12="","",Parameter!$M$12)</f>
        <v>IT</v>
      </c>
      <c r="C42" s="105">
        <f t="shared" ref="C42:N42" si="11">IF($B42="","",C30-C18)</f>
        <v>-4.9999999999999822E-2</v>
      </c>
      <c r="D42" s="105">
        <f t="shared" si="11"/>
        <v>-4.9999999999999822E-2</v>
      </c>
      <c r="E42" s="105">
        <f t="shared" si="11"/>
        <v>-4.9999999999999822E-2</v>
      </c>
      <c r="F42" s="105">
        <f t="shared" si="11"/>
        <v>-4.9999999999999822E-2</v>
      </c>
      <c r="G42" s="105">
        <f t="shared" si="11"/>
        <v>-4.9999999999999822E-2</v>
      </c>
      <c r="H42" s="105">
        <f t="shared" si="11"/>
        <v>-4.9999999999999822E-2</v>
      </c>
      <c r="I42" s="105">
        <f t="shared" si="11"/>
        <v>-4.9999999999999822E-2</v>
      </c>
      <c r="J42" s="105">
        <f t="shared" si="11"/>
        <v>-4.9999999999999822E-2</v>
      </c>
      <c r="K42" s="105">
        <f t="shared" si="11"/>
        <v>-4.9999999999999822E-2</v>
      </c>
      <c r="L42" s="105">
        <f t="shared" si="11"/>
        <v>-0.5</v>
      </c>
      <c r="M42" s="105">
        <f t="shared" si="11"/>
        <v>-0.5</v>
      </c>
      <c r="N42" s="105">
        <f t="shared" si="11"/>
        <v>-0.5</v>
      </c>
      <c r="O42" s="35">
        <f t="shared" si="5"/>
        <v>-0.16249999999999987</v>
      </c>
      <c r="P42" s="106">
        <f t="shared" si="6"/>
        <v>-0.5</v>
      </c>
      <c r="Q42" s="107">
        <f>IF($B42="","",COUNTIF(C42:N42,"&lt;"&amp;-Parameter!$C$10))</f>
        <v>3</v>
      </c>
      <c r="R42" s="151" t="str">
        <f>IF($B42="","",IF(Q42&gt;0,"Unterdeckung – Recruiting prüfen",IF(COUNTIF(C42:N42,"&gt;"&amp;Parameter!$C$10)&gt;0,"Überdeckung – Einsatz prüfen","im Plan")))</f>
        <v>Unterdeckung – Recruiting prüfen</v>
      </c>
      <c r="S42" s="151"/>
    </row>
    <row r="43" spans="2:19" ht="18.75" customHeight="1" x14ac:dyDescent="0.25">
      <c r="B43" s="71" t="str">
        <f>IF(Parameter!$M$13="","",Parameter!$M$13)</f>
        <v>Finanzen &amp; Controlling</v>
      </c>
      <c r="C43" s="105">
        <f t="shared" ref="C43:N43" si="12">IF($B43="","",C31-C19)</f>
        <v>4.9999999999999822E-2</v>
      </c>
      <c r="D43" s="105">
        <f t="shared" si="12"/>
        <v>4.9999999999999822E-2</v>
      </c>
      <c r="E43" s="105">
        <f t="shared" si="12"/>
        <v>4.9999999999999822E-2</v>
      </c>
      <c r="F43" s="105">
        <f t="shared" si="12"/>
        <v>4.9999999999999822E-2</v>
      </c>
      <c r="G43" s="105">
        <f t="shared" si="12"/>
        <v>4.9999999999999822E-2</v>
      </c>
      <c r="H43" s="105">
        <f t="shared" si="12"/>
        <v>4.9999999999999822E-2</v>
      </c>
      <c r="I43" s="105">
        <f t="shared" si="12"/>
        <v>4.9999999999999822E-2</v>
      </c>
      <c r="J43" s="105">
        <f t="shared" si="12"/>
        <v>4.9999999999999822E-2</v>
      </c>
      <c r="K43" s="105">
        <f t="shared" si="12"/>
        <v>4.9999999999999822E-2</v>
      </c>
      <c r="L43" s="105">
        <f t="shared" si="12"/>
        <v>4.9999999999999822E-2</v>
      </c>
      <c r="M43" s="105">
        <f t="shared" si="12"/>
        <v>4.9999999999999822E-2</v>
      </c>
      <c r="N43" s="105">
        <f t="shared" si="12"/>
        <v>4.9999999999999822E-2</v>
      </c>
      <c r="O43" s="35">
        <f t="shared" si="5"/>
        <v>4.9999999999999822E-2</v>
      </c>
      <c r="P43" s="106">
        <f t="shared" si="6"/>
        <v>0</v>
      </c>
      <c r="Q43" s="107">
        <f>IF($B43="","",COUNTIF(C43:N43,"&lt;"&amp;-Parameter!$C$10))</f>
        <v>0</v>
      </c>
      <c r="R43" s="151" t="str">
        <f>IF($B43="","",IF(Q43&gt;0,"Unterdeckung – Recruiting prüfen",IF(COUNTIF(C43:N43,"&gt;"&amp;Parameter!$C$10)&gt;0,"Überdeckung – Einsatz prüfen","im Plan")))</f>
        <v>im Plan</v>
      </c>
      <c r="S43" s="151"/>
    </row>
    <row r="44" spans="2:19" ht="18.75" customHeight="1" x14ac:dyDescent="0.25">
      <c r="B44" s="71" t="str">
        <f>IF(Parameter!$M$14="","",Parameter!$M$14)</f>
        <v>Personal</v>
      </c>
      <c r="C44" s="105">
        <f t="shared" ref="C44:N44" si="13">IF($B44="","",C32-C20)</f>
        <v>0</v>
      </c>
      <c r="D44" s="105">
        <f t="shared" si="13"/>
        <v>0</v>
      </c>
      <c r="E44" s="105">
        <f t="shared" si="13"/>
        <v>0</v>
      </c>
      <c r="F44" s="105">
        <f t="shared" si="13"/>
        <v>0</v>
      </c>
      <c r="G44" s="105">
        <f t="shared" si="13"/>
        <v>0</v>
      </c>
      <c r="H44" s="105">
        <f t="shared" si="13"/>
        <v>0</v>
      </c>
      <c r="I44" s="105">
        <f t="shared" si="13"/>
        <v>-0.5</v>
      </c>
      <c r="J44" s="105">
        <f t="shared" si="13"/>
        <v>-0.5</v>
      </c>
      <c r="K44" s="105">
        <f t="shared" si="13"/>
        <v>-0.5</v>
      </c>
      <c r="L44" s="105">
        <f t="shared" si="13"/>
        <v>0</v>
      </c>
      <c r="M44" s="105">
        <f t="shared" si="13"/>
        <v>0</v>
      </c>
      <c r="N44" s="105">
        <f t="shared" si="13"/>
        <v>0</v>
      </c>
      <c r="O44" s="35">
        <f t="shared" si="5"/>
        <v>-0.125</v>
      </c>
      <c r="P44" s="106">
        <f t="shared" si="6"/>
        <v>-0.5</v>
      </c>
      <c r="Q44" s="107">
        <f>IF($B44="","",COUNTIF(C44:N44,"&lt;"&amp;-Parameter!$C$10))</f>
        <v>3</v>
      </c>
      <c r="R44" s="151" t="str">
        <f>IF($B44="","",IF(Q44&gt;0,"Unterdeckung – Recruiting prüfen",IF(COUNTIF(C44:N44,"&gt;"&amp;Parameter!$C$10)&gt;0,"Überdeckung – Einsatz prüfen","im Plan")))</f>
        <v>Unterdeckung – Recruiting prüfen</v>
      </c>
      <c r="S44" s="151"/>
    </row>
    <row r="45" spans="2:19" ht="19.5" customHeight="1" x14ac:dyDescent="0.25">
      <c r="B45" s="42" t="s">
        <v>83</v>
      </c>
      <c r="C45" s="45">
        <f t="shared" ref="C45:N45" si="14">SUM(C37:C44)</f>
        <v>-0.90000000000000036</v>
      </c>
      <c r="D45" s="45">
        <f t="shared" si="14"/>
        <v>-0.90000000000000036</v>
      </c>
      <c r="E45" s="45">
        <f t="shared" si="14"/>
        <v>9.9999999999999645E-2</v>
      </c>
      <c r="F45" s="45">
        <f t="shared" si="14"/>
        <v>-0.90000000000000036</v>
      </c>
      <c r="G45" s="45">
        <f t="shared" si="14"/>
        <v>-0.90000000000000036</v>
      </c>
      <c r="H45" s="45">
        <f t="shared" si="14"/>
        <v>-0.90000000000000036</v>
      </c>
      <c r="I45" s="45">
        <f t="shared" si="14"/>
        <v>-1.4000000000000004</v>
      </c>
      <c r="J45" s="45">
        <f t="shared" si="14"/>
        <v>-1.4000000000000004</v>
      </c>
      <c r="K45" s="45">
        <f t="shared" si="14"/>
        <v>-2.4000000000000004</v>
      </c>
      <c r="L45" s="45">
        <f t="shared" si="14"/>
        <v>-2.3500000000000005</v>
      </c>
      <c r="M45" s="45">
        <f t="shared" si="14"/>
        <v>-2.3500000000000005</v>
      </c>
      <c r="N45" s="45">
        <f t="shared" si="14"/>
        <v>-2.3500000000000005</v>
      </c>
      <c r="O45" s="45">
        <f>AVERAGE(C45:N45)</f>
        <v>-1.3875000000000004</v>
      </c>
      <c r="P45" s="108">
        <f>MIN(P37:P44)</f>
        <v>-1.0250000000000004</v>
      </c>
      <c r="Q45" s="48">
        <f>SUM(Q37:Q44)</f>
        <v>21</v>
      </c>
      <c r="R45" s="152"/>
      <c r="S45" s="152"/>
    </row>
    <row r="47" spans="2:19" x14ac:dyDescent="0.25">
      <c r="B47" s="77" t="s">
        <v>351</v>
      </c>
    </row>
  </sheetData>
  <mergeCells count="15">
    <mergeCell ref="R41:S41"/>
    <mergeCell ref="R42:S42"/>
    <mergeCell ref="R43:S43"/>
    <mergeCell ref="R44:S44"/>
    <mergeCell ref="R45:S45"/>
    <mergeCell ref="R36:S36"/>
    <mergeCell ref="R37:S37"/>
    <mergeCell ref="R38:S38"/>
    <mergeCell ref="R39:S39"/>
    <mergeCell ref="R40:S40"/>
    <mergeCell ref="B6:E6"/>
    <mergeCell ref="I6:S9"/>
    <mergeCell ref="B7:E7"/>
    <mergeCell ref="B8:E8"/>
    <mergeCell ref="B9:E9"/>
  </mergeCells>
  <conditionalFormatting sqref="C37:O44">
    <cfRule type="expression" dxfId="6" priority="4">
      <formula>ISNUMBER(C37)</formula>
    </cfRule>
  </conditionalFormatting>
  <conditionalFormatting sqref="R37:R44">
    <cfRule type="expression" dxfId="5" priority="5">
      <formula>LEFT($R37,5)="Unter"</formula>
    </cfRule>
    <cfRule type="expression" dxfId="4" priority="6">
      <formula>LEFT($R37,5)="Über"</formula>
    </cfRule>
    <cfRule type="expression" dxfId="3" priority="7">
      <formula>$R37="im Plan"</formula>
    </cfRule>
  </conditionalFormatting>
  <dataValidations count="1">
    <dataValidation type="decimal" allowBlank="1" showErrorMessage="1" error="Bitte eine FTE-Zahl eingeben." sqref="C13:N20" xr:uid="{00000000-0002-0000-0400-000000000000}">
      <formula1>0</formula1>
      <formula2>999</formula2>
    </dataValidation>
  </dataValidations>
  <pageMargins left="0.4" right="0.4" top="1" bottom="1" header="0.511811023622047" footer="0.511811023622047"/>
  <pageSetup paperSize="9"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expression" priority="2" id="{00000000-000E-0000-0400-000002000000}">
            <xm:f>AND(ISNUMBER(C37),C37&lt;-Parameter!$C$10)</xm:f>
            <x14:dxf>
              <font>
                <b/>
                <color rgb="FF8C2F39"/>
                <name val="Calibri"/>
                <charset val="1"/>
              </font>
              <fill>
                <patternFill>
                  <bgColor rgb="FFF7DADD"/>
                </patternFill>
              </fill>
            </x14:dxf>
          </x14:cfRule>
          <x14:cfRule type="expression" priority="3" id="{00000000-000E-0000-0400-000003000000}">
            <xm:f>AND(ISNUMBER(C37),C37&gt;Parameter!$C$10)</xm:f>
            <x14:dxf>
              <font>
                <b/>
                <color rgb="FF34506B"/>
                <name val="Calibri"/>
                <charset val="1"/>
              </font>
              <fill>
                <patternFill>
                  <bgColor rgb="FFE1E8F0"/>
                </patternFill>
              </fill>
            </x14:dxf>
          </x14:cfRule>
          <xm:sqref>C37:O44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A4250"/>
    <pageSetUpPr fitToPage="1"/>
  </sheetPr>
  <dimension ref="A1:AE92"/>
  <sheetViews>
    <sheetView showGridLines="0"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ColWidth="8.7109375" defaultRowHeight="15" x14ac:dyDescent="0.25"/>
  <cols>
    <col min="1" max="1" width="1.5703125" customWidth="1"/>
    <col min="2" max="2" width="34" customWidth="1"/>
    <col min="3" max="14" width="10.5703125" customWidth="1"/>
    <col min="15" max="15" width="13" customWidth="1"/>
    <col min="16" max="16" width="2" customWidth="1"/>
    <col min="17" max="28" width="9.5703125" customWidth="1"/>
    <col min="29" max="30" width="13" customWidth="1"/>
    <col min="31" max="31" width="22" customWidth="1"/>
  </cols>
  <sheetData>
    <row r="1" spans="1:31" ht="7.5" customHeight="1" x14ac:dyDescent="0.25"/>
    <row r="2" spans="1:31" ht="37.5" customHeight="1" x14ac:dyDescent="0.45">
      <c r="A2" s="15"/>
      <c r="B2" s="16" t="s">
        <v>10</v>
      </c>
      <c r="AE2" s="17" t="str">
        <f>"PERSONALPLANUNG "&amp;Parameter!$C$7</f>
        <v>PERSONALPLANUNG 2027</v>
      </c>
    </row>
    <row r="3" spans="1:31" ht="18" customHeight="1" x14ac:dyDescent="0.25">
      <c r="A3" s="15"/>
      <c r="B3" s="18" t="str">
        <f>Parameter!$C$6&amp;"  |  Planjahr "&amp;Parameter!$C$7</f>
        <v>Beispielfirma GmbH  |  Planjahr 2027</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row>
    <row r="4" spans="1:31" ht="19.5" customHeight="1" x14ac:dyDescent="0.25">
      <c r="B4" s="77" t="s">
        <v>352</v>
      </c>
    </row>
    <row r="5" spans="1:31" ht="24" customHeight="1" x14ac:dyDescent="0.25">
      <c r="B5" s="20" t="str">
        <f>"Monatsübersicht "&amp;Parameter!$C$7</f>
        <v>Monatsübersicht 2027</v>
      </c>
      <c r="C5" s="21"/>
      <c r="D5" s="21"/>
      <c r="E5" s="21"/>
      <c r="F5" s="21"/>
      <c r="G5" s="21"/>
      <c r="H5" s="21"/>
      <c r="I5" s="21"/>
      <c r="J5" s="21"/>
      <c r="K5" s="21"/>
      <c r="L5" s="21"/>
      <c r="M5" s="21"/>
      <c r="N5" s="21"/>
      <c r="O5" s="21"/>
    </row>
    <row r="6" spans="1:31" ht="21.75" customHeight="1" x14ac:dyDescent="0.25">
      <c r="B6" s="28" t="s">
        <v>353</v>
      </c>
      <c r="C6" s="28" t="s">
        <v>53</v>
      </c>
      <c r="D6" s="28" t="s">
        <v>54</v>
      </c>
      <c r="E6" s="28" t="s">
        <v>55</v>
      </c>
      <c r="F6" s="28" t="s">
        <v>56</v>
      </c>
      <c r="G6" s="28" t="s">
        <v>57</v>
      </c>
      <c r="H6" s="28" t="s">
        <v>58</v>
      </c>
      <c r="I6" s="28" t="s">
        <v>59</v>
      </c>
      <c r="J6" s="28" t="s">
        <v>60</v>
      </c>
      <c r="K6" s="28" t="s">
        <v>61</v>
      </c>
      <c r="L6" s="28" t="s">
        <v>62</v>
      </c>
      <c r="M6" s="28" t="s">
        <v>63</v>
      </c>
      <c r="N6" s="28" t="s">
        <v>64</v>
      </c>
      <c r="O6" s="28" t="s">
        <v>65</v>
      </c>
    </row>
    <row r="7" spans="1:31" ht="12.75" customHeight="1" x14ac:dyDescent="0.25">
      <c r="C7" s="78">
        <f>DATE(Parameter!$C$7,1,1)</f>
        <v>46388</v>
      </c>
      <c r="D7" s="78">
        <f>DATE(Parameter!$C$7,2,1)</f>
        <v>46419</v>
      </c>
      <c r="E7" s="78">
        <f>DATE(Parameter!$C$7,3,1)</f>
        <v>46447</v>
      </c>
      <c r="F7" s="78">
        <f>DATE(Parameter!$C$7,4,1)</f>
        <v>46478</v>
      </c>
      <c r="G7" s="78">
        <f>DATE(Parameter!$C$7,5,1)</f>
        <v>46508</v>
      </c>
      <c r="H7" s="78">
        <f>DATE(Parameter!$C$7,6,1)</f>
        <v>46539</v>
      </c>
      <c r="I7" s="78">
        <f>DATE(Parameter!$C$7,7,1)</f>
        <v>46569</v>
      </c>
      <c r="J7" s="78">
        <f>DATE(Parameter!$C$7,8,1)</f>
        <v>46600</v>
      </c>
      <c r="K7" s="78">
        <f>DATE(Parameter!$C$7,9,1)</f>
        <v>46631</v>
      </c>
      <c r="L7" s="78">
        <f>DATE(Parameter!$C$7,10,1)</f>
        <v>46661</v>
      </c>
      <c r="M7" s="78">
        <f>DATE(Parameter!$C$7,11,1)</f>
        <v>46692</v>
      </c>
      <c r="N7" s="78">
        <f>DATE(Parameter!$C$7,12,1)</f>
        <v>46722</v>
      </c>
    </row>
    <row r="8" spans="1:31" ht="19.5" customHeight="1" x14ac:dyDescent="0.25">
      <c r="B8" s="59" t="s">
        <v>354</v>
      </c>
      <c r="C8" s="109">
        <f t="shared" ref="C8:N8" si="0">SUM(C33:C92)</f>
        <v>155850</v>
      </c>
      <c r="D8" s="109">
        <f t="shared" si="0"/>
        <v>161850</v>
      </c>
      <c r="E8" s="109">
        <f t="shared" si="0"/>
        <v>166450</v>
      </c>
      <c r="F8" s="109">
        <f t="shared" si="0"/>
        <v>167071.5</v>
      </c>
      <c r="G8" s="109">
        <f t="shared" si="0"/>
        <v>167071.5</v>
      </c>
      <c r="H8" s="109">
        <f t="shared" si="0"/>
        <v>167071.5</v>
      </c>
      <c r="I8" s="109">
        <f t="shared" si="0"/>
        <v>166824.5</v>
      </c>
      <c r="J8" s="109">
        <f t="shared" si="0"/>
        <v>166824.5</v>
      </c>
      <c r="K8" s="109">
        <f t="shared" si="0"/>
        <v>166775.5</v>
      </c>
      <c r="L8" s="109">
        <f t="shared" si="0"/>
        <v>167675.5</v>
      </c>
      <c r="M8" s="109">
        <f t="shared" si="0"/>
        <v>297331.39041095896</v>
      </c>
      <c r="N8" s="109">
        <f t="shared" si="0"/>
        <v>167675.5</v>
      </c>
      <c r="O8" s="110">
        <f>SUM(C8:N8)</f>
        <v>2118471.3904109588</v>
      </c>
      <c r="Q8" s="2" t="s">
        <v>355</v>
      </c>
      <c r="R8" s="2"/>
      <c r="S8" s="2"/>
      <c r="T8" s="2"/>
      <c r="U8" s="2"/>
      <c r="V8" s="2"/>
      <c r="W8" s="2"/>
      <c r="X8" s="2"/>
      <c r="Y8" s="2"/>
      <c r="Z8" s="2"/>
      <c r="AA8" s="2"/>
    </row>
    <row r="9" spans="1:31" ht="19.5" customHeight="1" x14ac:dyDescent="0.25">
      <c r="B9" s="59" t="s">
        <v>356</v>
      </c>
      <c r="C9" s="109">
        <f>IF(MONTH(C$7)=Parameter!$C$29,SUMPRODUCT(Personal!$M$8:$M$67,Personal!$N$8:$N$67,Personal!$T$8:$T$67),0)</f>
        <v>0</v>
      </c>
      <c r="D9" s="109">
        <f>IF(MONTH(D$7)=Parameter!$C$29,SUMPRODUCT(Personal!$M$8:$M$67,Personal!$N$8:$N$67,Personal!$T$8:$T$67),0)</f>
        <v>0</v>
      </c>
      <c r="E9" s="109">
        <f>IF(MONTH(E$7)=Parameter!$C$29,SUMPRODUCT(Personal!$M$8:$M$67,Personal!$N$8:$N$67,Personal!$T$8:$T$67),0)</f>
        <v>0</v>
      </c>
      <c r="F9" s="109">
        <f>IF(MONTH(F$7)=Parameter!$C$29,SUMPRODUCT(Personal!$M$8:$M$67,Personal!$N$8:$N$67,Personal!$T$8:$T$67),0)</f>
        <v>0</v>
      </c>
      <c r="G9" s="109">
        <f>IF(MONTH(G$7)=Parameter!$C$29,SUMPRODUCT(Personal!$M$8:$M$67,Personal!$N$8:$N$67,Personal!$T$8:$T$67),0)</f>
        <v>0</v>
      </c>
      <c r="H9" s="109">
        <f>IF(MONTH(H$7)=Parameter!$C$29,SUMPRODUCT(Personal!$M$8:$M$67,Personal!$N$8:$N$67,Personal!$T$8:$T$67),0)</f>
        <v>0</v>
      </c>
      <c r="I9" s="109">
        <f>IF(MONTH(I$7)=Parameter!$C$29,SUMPRODUCT(Personal!$M$8:$M$67,Personal!$N$8:$N$67,Personal!$T$8:$T$67),0)</f>
        <v>0</v>
      </c>
      <c r="J9" s="109">
        <f>IF(MONTH(J$7)=Parameter!$C$29,SUMPRODUCT(Personal!$M$8:$M$67,Personal!$N$8:$N$67,Personal!$T$8:$T$67),0)</f>
        <v>0</v>
      </c>
      <c r="K9" s="109">
        <f>IF(MONTH(K$7)=Parameter!$C$29,SUMPRODUCT(Personal!$M$8:$M$67,Personal!$N$8:$N$67,Personal!$T$8:$T$67),0)</f>
        <v>0</v>
      </c>
      <c r="L9" s="109">
        <f>IF(MONTH(L$7)=Parameter!$C$29,SUMPRODUCT(Personal!$M$8:$M$67,Personal!$N$8:$N$67,Personal!$T$8:$T$67),0)</f>
        <v>0</v>
      </c>
      <c r="M9" s="109">
        <f>IF(MONTH(M$7)=Parameter!$C$29,SUMPRODUCT(Personal!$M$8:$M$67,Personal!$N$8:$N$67,Personal!$T$8:$T$67),0)</f>
        <v>129655.89041095891</v>
      </c>
      <c r="N9" s="109">
        <f>IF(MONTH(N$7)=Parameter!$C$29,SUMPRODUCT(Personal!$M$8:$M$67,Personal!$N$8:$N$67,Personal!$T$8:$T$67),0)</f>
        <v>0</v>
      </c>
      <c r="O9" s="110">
        <f>SUM(C9:N9)</f>
        <v>129655.89041095891</v>
      </c>
      <c r="Q9" s="2"/>
      <c r="R9" s="2"/>
      <c r="S9" s="2"/>
      <c r="T9" s="2"/>
      <c r="U9" s="2"/>
      <c r="V9" s="2"/>
      <c r="W9" s="2"/>
      <c r="X9" s="2"/>
      <c r="Y9" s="2"/>
      <c r="Z9" s="2"/>
      <c r="AA9" s="2"/>
    </row>
    <row r="10" spans="1:31" ht="19.5" customHeight="1" x14ac:dyDescent="0.25">
      <c r="B10" s="59" t="s">
        <v>357</v>
      </c>
      <c r="C10" s="109">
        <f t="shared" ref="C10:N10" si="1">SUM(Q33:Q92)</f>
        <v>36361.4375</v>
      </c>
      <c r="D10" s="109">
        <f t="shared" si="1"/>
        <v>37801.4375</v>
      </c>
      <c r="E10" s="109">
        <f t="shared" si="1"/>
        <v>38905.4375</v>
      </c>
      <c r="F10" s="109">
        <f t="shared" si="1"/>
        <v>38953.633999999991</v>
      </c>
      <c r="G10" s="109">
        <f t="shared" si="1"/>
        <v>38953.633999999991</v>
      </c>
      <c r="H10" s="109">
        <f t="shared" si="1"/>
        <v>38953.633999999991</v>
      </c>
      <c r="I10" s="109">
        <f t="shared" si="1"/>
        <v>38894.353999999992</v>
      </c>
      <c r="J10" s="109">
        <f t="shared" si="1"/>
        <v>38894.353999999992</v>
      </c>
      <c r="K10" s="109">
        <f t="shared" si="1"/>
        <v>38882.593999999983</v>
      </c>
      <c r="L10" s="109">
        <f t="shared" si="1"/>
        <v>39264.493999999984</v>
      </c>
      <c r="M10" s="109">
        <f t="shared" si="1"/>
        <v>59641.140157534239</v>
      </c>
      <c r="N10" s="109">
        <f t="shared" si="1"/>
        <v>39264.493999999984</v>
      </c>
      <c r="O10" s="110">
        <f>SUM(C10:N10)</f>
        <v>484770.64465753414</v>
      </c>
      <c r="Q10" s="2"/>
      <c r="R10" s="2"/>
      <c r="S10" s="2"/>
      <c r="T10" s="2"/>
      <c r="U10" s="2"/>
      <c r="V10" s="2"/>
      <c r="W10" s="2"/>
      <c r="X10" s="2"/>
      <c r="Y10" s="2"/>
      <c r="Z10" s="2"/>
      <c r="AA10" s="2"/>
    </row>
    <row r="11" spans="1:31" ht="19.5" customHeight="1" x14ac:dyDescent="0.25">
      <c r="B11" s="111" t="s">
        <v>358</v>
      </c>
      <c r="C11" s="112">
        <f t="shared" ref="C11:N11" si="2">C8+C10</f>
        <v>192211.4375</v>
      </c>
      <c r="D11" s="112">
        <f t="shared" si="2"/>
        <v>199651.4375</v>
      </c>
      <c r="E11" s="112">
        <f t="shared" si="2"/>
        <v>205355.4375</v>
      </c>
      <c r="F11" s="112">
        <f t="shared" si="2"/>
        <v>206025.13399999999</v>
      </c>
      <c r="G11" s="112">
        <f t="shared" si="2"/>
        <v>206025.13399999999</v>
      </c>
      <c r="H11" s="112">
        <f t="shared" si="2"/>
        <v>206025.13399999999</v>
      </c>
      <c r="I11" s="112">
        <f t="shared" si="2"/>
        <v>205718.85399999999</v>
      </c>
      <c r="J11" s="112">
        <f t="shared" si="2"/>
        <v>205718.85399999999</v>
      </c>
      <c r="K11" s="112">
        <f t="shared" si="2"/>
        <v>205658.09399999998</v>
      </c>
      <c r="L11" s="112">
        <f t="shared" si="2"/>
        <v>206939.99399999998</v>
      </c>
      <c r="M11" s="112">
        <f t="shared" si="2"/>
        <v>356972.53056849318</v>
      </c>
      <c r="N11" s="112">
        <f t="shared" si="2"/>
        <v>206939.99399999998</v>
      </c>
      <c r="O11" s="110">
        <f>SUM(C11:N11)</f>
        <v>2603242.0350684933</v>
      </c>
      <c r="Q11" s="2"/>
      <c r="R11" s="2"/>
      <c r="S11" s="2"/>
      <c r="T11" s="2"/>
      <c r="U11" s="2"/>
      <c r="V11" s="2"/>
      <c r="W11" s="2"/>
      <c r="X11" s="2"/>
      <c r="Y11" s="2"/>
      <c r="Z11" s="2"/>
      <c r="AA11" s="2"/>
    </row>
    <row r="12" spans="1:31" ht="19.5" customHeight="1" x14ac:dyDescent="0.25">
      <c r="B12" s="59" t="s">
        <v>359</v>
      </c>
      <c r="C12" s="113">
        <v>196000</v>
      </c>
      <c r="D12" s="113">
        <v>206000</v>
      </c>
      <c r="E12" s="113">
        <v>205000</v>
      </c>
      <c r="F12" s="113">
        <v>208000</v>
      </c>
      <c r="G12" s="113">
        <v>204000</v>
      </c>
      <c r="H12" s="113">
        <v>206000</v>
      </c>
      <c r="I12" s="113">
        <v>210000</v>
      </c>
      <c r="J12" s="113">
        <v>208000</v>
      </c>
      <c r="K12" s="113">
        <v>202000</v>
      </c>
      <c r="L12" s="113">
        <v>207000</v>
      </c>
      <c r="M12" s="113">
        <v>361000</v>
      </c>
      <c r="N12" s="113">
        <v>213000</v>
      </c>
      <c r="O12" s="110">
        <f>SUM(C12:N12)</f>
        <v>2626000</v>
      </c>
      <c r="Q12" s="2"/>
      <c r="R12" s="2"/>
      <c r="S12" s="2"/>
      <c r="T12" s="2"/>
      <c r="U12" s="2"/>
      <c r="V12" s="2"/>
      <c r="W12" s="2"/>
      <c r="X12" s="2"/>
      <c r="Y12" s="2"/>
      <c r="Z12" s="2"/>
      <c r="AA12" s="2"/>
    </row>
    <row r="13" spans="1:31" ht="19.5" customHeight="1" x14ac:dyDescent="0.25">
      <c r="B13" s="111" t="s">
        <v>360</v>
      </c>
      <c r="C13" s="114">
        <f t="shared" ref="C13:N13" si="3">IF(C12="","",C12-C11)</f>
        <v>3788.5625</v>
      </c>
      <c r="D13" s="114">
        <f t="shared" si="3"/>
        <v>6348.5625</v>
      </c>
      <c r="E13" s="114">
        <f t="shared" si="3"/>
        <v>-355.4375</v>
      </c>
      <c r="F13" s="114">
        <f t="shared" si="3"/>
        <v>1974.8660000000091</v>
      </c>
      <c r="G13" s="114">
        <f t="shared" si="3"/>
        <v>-2025.1339999999909</v>
      </c>
      <c r="H13" s="114">
        <f t="shared" si="3"/>
        <v>-25.13399999999092</v>
      </c>
      <c r="I13" s="114">
        <f t="shared" si="3"/>
        <v>4281.1460000000079</v>
      </c>
      <c r="J13" s="114">
        <f t="shared" si="3"/>
        <v>2281.1460000000079</v>
      </c>
      <c r="K13" s="114">
        <f t="shared" si="3"/>
        <v>-3658.0939999999828</v>
      </c>
      <c r="L13" s="114">
        <f t="shared" si="3"/>
        <v>60.00600000002305</v>
      </c>
      <c r="M13" s="114">
        <f t="shared" si="3"/>
        <v>4027.4694315068191</v>
      </c>
      <c r="N13" s="114">
        <f t="shared" si="3"/>
        <v>6060.0060000000231</v>
      </c>
      <c r="O13" s="115">
        <f>O12-O11</f>
        <v>22757.964931506664</v>
      </c>
      <c r="Q13" s="2"/>
      <c r="R13" s="2"/>
      <c r="S13" s="2"/>
      <c r="T13" s="2"/>
      <c r="U13" s="2"/>
      <c r="V13" s="2"/>
      <c r="W13" s="2"/>
      <c r="X13" s="2"/>
      <c r="Y13" s="2"/>
      <c r="Z13" s="2"/>
      <c r="AA13" s="2"/>
    </row>
    <row r="14" spans="1:31" ht="19.5" customHeight="1" x14ac:dyDescent="0.25">
      <c r="B14" s="59" t="s">
        <v>361</v>
      </c>
      <c r="C14" s="116">
        <f t="shared" ref="C14:O14" si="4">IFERROR(C11/C12,"")</f>
        <v>0.98067059948979596</v>
      </c>
      <c r="D14" s="116">
        <f t="shared" si="4"/>
        <v>0.96918173543689323</v>
      </c>
      <c r="E14" s="116">
        <f t="shared" si="4"/>
        <v>1.0017338414634147</v>
      </c>
      <c r="F14" s="116">
        <f t="shared" si="4"/>
        <v>0.99050545192307693</v>
      </c>
      <c r="G14" s="116">
        <f t="shared" si="4"/>
        <v>1.0099271274509805</v>
      </c>
      <c r="H14" s="116">
        <f t="shared" si="4"/>
        <v>1.0001220097087378</v>
      </c>
      <c r="I14" s="116">
        <f t="shared" si="4"/>
        <v>0.97961359047619045</v>
      </c>
      <c r="J14" s="116">
        <f t="shared" si="4"/>
        <v>0.98903295192307683</v>
      </c>
      <c r="K14" s="116">
        <f t="shared" si="4"/>
        <v>1.0181093762376237</v>
      </c>
      <c r="L14" s="116">
        <f t="shared" si="4"/>
        <v>0.99971011594202885</v>
      </c>
      <c r="M14" s="116">
        <f t="shared" si="4"/>
        <v>0.98884357498197561</v>
      </c>
      <c r="N14" s="116">
        <f t="shared" si="4"/>
        <v>0.97154926760563365</v>
      </c>
      <c r="O14" s="117">
        <f t="shared" si="4"/>
        <v>0.99133360055921305</v>
      </c>
      <c r="Q14" s="2"/>
      <c r="R14" s="2"/>
      <c r="S14" s="2"/>
      <c r="T14" s="2"/>
      <c r="U14" s="2"/>
      <c r="V14" s="2"/>
      <c r="W14" s="2"/>
      <c r="X14" s="2"/>
      <c r="Y14" s="2"/>
      <c r="Z14" s="2"/>
      <c r="AA14" s="2"/>
    </row>
    <row r="15" spans="1:31" ht="19.5" customHeight="1" x14ac:dyDescent="0.25">
      <c r="B15" s="59" t="s">
        <v>362</v>
      </c>
      <c r="C15" s="118">
        <f>SUM(Personal!Y$8:Y$67)</f>
        <v>31.85</v>
      </c>
      <c r="D15" s="118">
        <f>SUM(Personal!Z$8:Z$67)</f>
        <v>32.85</v>
      </c>
      <c r="E15" s="118">
        <f>SUM(Personal!AA$8:AA$67)</f>
        <v>33.85</v>
      </c>
      <c r="F15" s="118">
        <f>SUM(Personal!AB$8:AB$67)</f>
        <v>32.85</v>
      </c>
      <c r="G15" s="118">
        <f>SUM(Personal!AC$8:AC$67)</f>
        <v>32.85</v>
      </c>
      <c r="H15" s="118">
        <f>SUM(Personal!AD$8:AD$67)</f>
        <v>32.85</v>
      </c>
      <c r="I15" s="118">
        <f>SUM(Personal!AE$8:AE$67)</f>
        <v>32.85</v>
      </c>
      <c r="J15" s="118">
        <f>SUM(Personal!AF$8:AF$67)</f>
        <v>32.85</v>
      </c>
      <c r="K15" s="118">
        <f>SUM(Personal!AG$8:AG$67)</f>
        <v>32.85</v>
      </c>
      <c r="L15" s="118">
        <f>SUM(Personal!AH$8:AH$67)</f>
        <v>32.900000000000006</v>
      </c>
      <c r="M15" s="118">
        <f>SUM(Personal!AI$8:AI$67)</f>
        <v>32.900000000000006</v>
      </c>
      <c r="N15" s="118">
        <f>SUM(Personal!AJ$8:AJ$67)</f>
        <v>32.900000000000006</v>
      </c>
      <c r="O15" s="119">
        <f>AVERAGE(C15:N15)</f>
        <v>32.862500000000004</v>
      </c>
    </row>
    <row r="16" spans="1:31" ht="19.5" customHeight="1" x14ac:dyDescent="0.25">
      <c r="B16" s="59" t="s">
        <v>363</v>
      </c>
      <c r="C16" s="109">
        <f t="shared" ref="C16:O16" si="5">IFERROR(C11/C15,0)</f>
        <v>6034.8959968602821</v>
      </c>
      <c r="D16" s="109">
        <f t="shared" si="5"/>
        <v>6077.6693302891927</v>
      </c>
      <c r="E16" s="109">
        <f t="shared" si="5"/>
        <v>6066.6303545051696</v>
      </c>
      <c r="F16" s="109">
        <f t="shared" si="5"/>
        <v>6271.6935768645353</v>
      </c>
      <c r="G16" s="109">
        <f t="shared" si="5"/>
        <v>6271.6935768645353</v>
      </c>
      <c r="H16" s="109">
        <f t="shared" si="5"/>
        <v>6271.6935768645353</v>
      </c>
      <c r="I16" s="109">
        <f t="shared" si="5"/>
        <v>6262.3699847792996</v>
      </c>
      <c r="J16" s="109">
        <f t="shared" si="5"/>
        <v>6262.3699847792996</v>
      </c>
      <c r="K16" s="109">
        <f t="shared" si="5"/>
        <v>6260.520365296803</v>
      </c>
      <c r="L16" s="109">
        <f t="shared" si="5"/>
        <v>6289.9694224923996</v>
      </c>
      <c r="M16" s="109">
        <f t="shared" si="5"/>
        <v>10850.228892659365</v>
      </c>
      <c r="N16" s="109">
        <f t="shared" si="5"/>
        <v>6289.9694224923996</v>
      </c>
      <c r="O16" s="110">
        <f t="shared" si="5"/>
        <v>79216.189732019571</v>
      </c>
    </row>
    <row r="18" spans="2:31" ht="24" customHeight="1" x14ac:dyDescent="0.25">
      <c r="B18" s="20" t="s">
        <v>364</v>
      </c>
      <c r="C18" s="21"/>
      <c r="D18" s="21"/>
      <c r="E18" s="21"/>
      <c r="F18" s="21"/>
      <c r="G18" s="21"/>
      <c r="H18" s="21"/>
      <c r="I18" s="21"/>
      <c r="J18" s="21"/>
      <c r="K18" s="21"/>
      <c r="L18" s="21"/>
      <c r="M18" s="21"/>
      <c r="N18" s="21"/>
      <c r="O18" s="21"/>
    </row>
    <row r="19" spans="2:31" ht="21.75" customHeight="1" x14ac:dyDescent="0.25">
      <c r="B19" s="28" t="s">
        <v>73</v>
      </c>
      <c r="C19" s="28" t="s">
        <v>53</v>
      </c>
      <c r="D19" s="28" t="s">
        <v>54</v>
      </c>
      <c r="E19" s="28" t="s">
        <v>55</v>
      </c>
      <c r="F19" s="28" t="s">
        <v>56</v>
      </c>
      <c r="G19" s="28" t="s">
        <v>57</v>
      </c>
      <c r="H19" s="28" t="s">
        <v>58</v>
      </c>
      <c r="I19" s="28" t="s">
        <v>59</v>
      </c>
      <c r="J19" s="28" t="s">
        <v>60</v>
      </c>
      <c r="K19" s="28" t="s">
        <v>61</v>
      </c>
      <c r="L19" s="28" t="s">
        <v>62</v>
      </c>
      <c r="M19" s="28" t="s">
        <v>63</v>
      </c>
      <c r="N19" s="28" t="s">
        <v>64</v>
      </c>
      <c r="O19" s="28" t="s">
        <v>65</v>
      </c>
    </row>
    <row r="20" spans="2:31" ht="18.75" customHeight="1" x14ac:dyDescent="0.25">
      <c r="B20" s="71" t="str">
        <f>IF(Parameter!$M$7="","",Parameter!$M$7)</f>
        <v>Geschäftsleitung</v>
      </c>
      <c r="C20" s="120">
        <f t="shared" ref="C20:N27" si="6">IF($B20="","",SUMIF($AE$33:$AE$92,$B20,C$33:C$92)+SUMIF($AE$33:$AE$92,$B20,Q$33:Q$92))</f>
        <v>16758.287499999999</v>
      </c>
      <c r="D20" s="120">
        <f t="shared" si="6"/>
        <v>16758.287499999999</v>
      </c>
      <c r="E20" s="120">
        <f t="shared" si="6"/>
        <v>16758.287499999999</v>
      </c>
      <c r="F20" s="120">
        <f t="shared" si="6"/>
        <v>16910.807499999999</v>
      </c>
      <c r="G20" s="120">
        <f t="shared" si="6"/>
        <v>16910.807499999999</v>
      </c>
      <c r="H20" s="120">
        <f t="shared" si="6"/>
        <v>16910.807499999999</v>
      </c>
      <c r="I20" s="120">
        <f t="shared" si="6"/>
        <v>16910.807499999999</v>
      </c>
      <c r="J20" s="120">
        <f t="shared" si="6"/>
        <v>16910.807499999999</v>
      </c>
      <c r="K20" s="120">
        <f t="shared" si="6"/>
        <v>16910.807499999999</v>
      </c>
      <c r="L20" s="120">
        <f t="shared" si="6"/>
        <v>16910.807499999999</v>
      </c>
      <c r="M20" s="120">
        <f t="shared" si="6"/>
        <v>21789.2935</v>
      </c>
      <c r="N20" s="120">
        <f t="shared" si="6"/>
        <v>16910.807499999999</v>
      </c>
      <c r="O20" s="110">
        <f t="shared" ref="O20:O27" si="7">IF($B20="","",SUM(C20:N20))</f>
        <v>207350.61599999998</v>
      </c>
    </row>
    <row r="21" spans="2:31" ht="18.75" customHeight="1" x14ac:dyDescent="0.25">
      <c r="B21" s="71" t="str">
        <f>IF(Parameter!$M$8="","",Parameter!$M$8)</f>
        <v>Vertrieb</v>
      </c>
      <c r="C21" s="120">
        <f t="shared" si="6"/>
        <v>43126.962500000001</v>
      </c>
      <c r="D21" s="120">
        <f t="shared" si="6"/>
        <v>43126.962500000001</v>
      </c>
      <c r="E21" s="120">
        <f t="shared" si="6"/>
        <v>43126.962500000001</v>
      </c>
      <c r="F21" s="120">
        <f t="shared" si="6"/>
        <v>44338.594499999999</v>
      </c>
      <c r="G21" s="120">
        <f t="shared" si="6"/>
        <v>44338.594499999999</v>
      </c>
      <c r="H21" s="120">
        <f t="shared" si="6"/>
        <v>44338.594499999999</v>
      </c>
      <c r="I21" s="120">
        <f t="shared" si="6"/>
        <v>44032.3145</v>
      </c>
      <c r="J21" s="120">
        <f t="shared" si="6"/>
        <v>44032.3145</v>
      </c>
      <c r="K21" s="120">
        <f t="shared" si="6"/>
        <v>44032.3145</v>
      </c>
      <c r="L21" s="120">
        <f t="shared" si="6"/>
        <v>44032.3145</v>
      </c>
      <c r="M21" s="120">
        <f t="shared" si="6"/>
        <v>79745.176815068495</v>
      </c>
      <c r="N21" s="120">
        <f t="shared" si="6"/>
        <v>44032.3145</v>
      </c>
      <c r="O21" s="110">
        <f t="shared" si="7"/>
        <v>562303.42031506845</v>
      </c>
    </row>
    <row r="22" spans="2:31" ht="18.75" customHeight="1" x14ac:dyDescent="0.25">
      <c r="B22" s="71" t="str">
        <f>IF(Parameter!$M$9="","",Parameter!$M$9)</f>
        <v>Marketing</v>
      </c>
      <c r="C22" s="120">
        <f t="shared" si="6"/>
        <v>20282.25</v>
      </c>
      <c r="D22" s="120">
        <f t="shared" si="6"/>
        <v>20282.25</v>
      </c>
      <c r="E22" s="120">
        <f t="shared" si="6"/>
        <v>25986.25</v>
      </c>
      <c r="F22" s="120">
        <f t="shared" si="6"/>
        <v>26532.222999999998</v>
      </c>
      <c r="G22" s="120">
        <f t="shared" si="6"/>
        <v>26532.222999999998</v>
      </c>
      <c r="H22" s="120">
        <f t="shared" si="6"/>
        <v>26532.222999999998</v>
      </c>
      <c r="I22" s="120">
        <f t="shared" si="6"/>
        <v>26532.222999999998</v>
      </c>
      <c r="J22" s="120">
        <f t="shared" si="6"/>
        <v>26532.222999999998</v>
      </c>
      <c r="K22" s="120">
        <f t="shared" si="6"/>
        <v>26532.222999999998</v>
      </c>
      <c r="L22" s="120">
        <f t="shared" si="6"/>
        <v>26532.222999999998</v>
      </c>
      <c r="M22" s="120">
        <f t="shared" si="6"/>
        <v>44806.614315068495</v>
      </c>
      <c r="N22" s="120">
        <f t="shared" si="6"/>
        <v>26532.222999999998</v>
      </c>
      <c r="O22" s="110">
        <f t="shared" si="7"/>
        <v>323615.14831506845</v>
      </c>
    </row>
    <row r="23" spans="2:31" ht="18.75" customHeight="1" x14ac:dyDescent="0.25">
      <c r="B23" s="71" t="str">
        <f>IF(Parameter!$M$10="","",Parameter!$M$10)</f>
        <v>Operations</v>
      </c>
      <c r="C23" s="120">
        <f t="shared" si="6"/>
        <v>36495.912499999999</v>
      </c>
      <c r="D23" s="120">
        <f t="shared" si="6"/>
        <v>36495.912499999999</v>
      </c>
      <c r="E23" s="120">
        <f t="shared" si="6"/>
        <v>36495.912499999999</v>
      </c>
      <c r="F23" s="120">
        <f t="shared" si="6"/>
        <v>33076.5</v>
      </c>
      <c r="G23" s="120">
        <f t="shared" si="6"/>
        <v>33076.5</v>
      </c>
      <c r="H23" s="120">
        <f t="shared" si="6"/>
        <v>33076.5</v>
      </c>
      <c r="I23" s="120">
        <f t="shared" si="6"/>
        <v>33076.5</v>
      </c>
      <c r="J23" s="120">
        <f t="shared" si="6"/>
        <v>33076.5</v>
      </c>
      <c r="K23" s="120">
        <f t="shared" si="6"/>
        <v>33076.5</v>
      </c>
      <c r="L23" s="120">
        <f t="shared" si="6"/>
        <v>33076.5</v>
      </c>
      <c r="M23" s="120">
        <f t="shared" si="6"/>
        <v>60187.135986301371</v>
      </c>
      <c r="N23" s="120">
        <f t="shared" si="6"/>
        <v>33076.5</v>
      </c>
      <c r="O23" s="110">
        <f t="shared" si="7"/>
        <v>434286.87348630134</v>
      </c>
    </row>
    <row r="24" spans="2:31" ht="18.75" customHeight="1" x14ac:dyDescent="0.25">
      <c r="B24" s="71" t="str">
        <f>IF(Parameter!$M$11="","",Parameter!$M$11)</f>
        <v>Kundenservice</v>
      </c>
      <c r="C24" s="120">
        <f t="shared" si="6"/>
        <v>20956</v>
      </c>
      <c r="D24" s="120">
        <f t="shared" si="6"/>
        <v>20956</v>
      </c>
      <c r="E24" s="120">
        <f t="shared" si="6"/>
        <v>20956</v>
      </c>
      <c r="F24" s="120">
        <f t="shared" si="6"/>
        <v>21584.68</v>
      </c>
      <c r="G24" s="120">
        <f t="shared" si="6"/>
        <v>21584.68</v>
      </c>
      <c r="H24" s="120">
        <f t="shared" si="6"/>
        <v>21584.68</v>
      </c>
      <c r="I24" s="120">
        <f t="shared" si="6"/>
        <v>21584.68</v>
      </c>
      <c r="J24" s="120">
        <f t="shared" si="6"/>
        <v>21584.68</v>
      </c>
      <c r="K24" s="120">
        <f t="shared" si="6"/>
        <v>21523.919999999998</v>
      </c>
      <c r="L24" s="120">
        <f t="shared" si="6"/>
        <v>21523.919999999998</v>
      </c>
      <c r="M24" s="120">
        <f t="shared" si="6"/>
        <v>42017.069787671237</v>
      </c>
      <c r="N24" s="120">
        <f t="shared" si="6"/>
        <v>21523.919999999998</v>
      </c>
      <c r="O24" s="110">
        <f t="shared" si="7"/>
        <v>277380.22978767118</v>
      </c>
    </row>
    <row r="25" spans="2:31" ht="18.75" customHeight="1" x14ac:dyDescent="0.25">
      <c r="B25" s="71" t="str">
        <f>IF(Parameter!$M$12="","",Parameter!$M$12)</f>
        <v>IT</v>
      </c>
      <c r="C25" s="120">
        <f t="shared" si="6"/>
        <v>24649.962500000001</v>
      </c>
      <c r="D25" s="120">
        <f t="shared" si="6"/>
        <v>32089.962500000001</v>
      </c>
      <c r="E25" s="120">
        <f t="shared" si="6"/>
        <v>32089.962500000001</v>
      </c>
      <c r="F25" s="120">
        <f t="shared" si="6"/>
        <v>32762.181499999999</v>
      </c>
      <c r="G25" s="120">
        <f t="shared" si="6"/>
        <v>32762.181499999999</v>
      </c>
      <c r="H25" s="120">
        <f t="shared" si="6"/>
        <v>32762.181499999999</v>
      </c>
      <c r="I25" s="120">
        <f t="shared" si="6"/>
        <v>32762.181499999999</v>
      </c>
      <c r="J25" s="120">
        <f t="shared" si="6"/>
        <v>32762.181499999999</v>
      </c>
      <c r="K25" s="120">
        <f t="shared" si="6"/>
        <v>32762.181499999999</v>
      </c>
      <c r="L25" s="120">
        <f t="shared" si="6"/>
        <v>31192.0815</v>
      </c>
      <c r="M25" s="120">
        <f t="shared" si="6"/>
        <v>53327.17789041096</v>
      </c>
      <c r="N25" s="120">
        <f t="shared" si="6"/>
        <v>31192.0815</v>
      </c>
      <c r="O25" s="110">
        <f t="shared" si="7"/>
        <v>401114.31739041104</v>
      </c>
    </row>
    <row r="26" spans="2:31" ht="18.75" customHeight="1" x14ac:dyDescent="0.25">
      <c r="B26" s="71" t="str">
        <f>IF(Parameter!$M$13="","",Parameter!$M$13)</f>
        <v>Finanzen &amp; Controlling</v>
      </c>
      <c r="C26" s="120">
        <f t="shared" si="6"/>
        <v>18534.0625</v>
      </c>
      <c r="D26" s="120">
        <f t="shared" si="6"/>
        <v>18534.0625</v>
      </c>
      <c r="E26" s="120">
        <f t="shared" si="6"/>
        <v>18534.0625</v>
      </c>
      <c r="F26" s="120">
        <f t="shared" si="6"/>
        <v>19069.907500000001</v>
      </c>
      <c r="G26" s="120">
        <f t="shared" si="6"/>
        <v>19069.907500000001</v>
      </c>
      <c r="H26" s="120">
        <f t="shared" si="6"/>
        <v>19069.907500000001</v>
      </c>
      <c r="I26" s="120">
        <f t="shared" si="6"/>
        <v>19069.907500000001</v>
      </c>
      <c r="J26" s="120">
        <f t="shared" si="6"/>
        <v>19069.907500000001</v>
      </c>
      <c r="K26" s="120">
        <f t="shared" si="6"/>
        <v>19069.907500000001</v>
      </c>
      <c r="L26" s="120">
        <f t="shared" si="6"/>
        <v>19069.907500000001</v>
      </c>
      <c r="M26" s="120">
        <f t="shared" si="6"/>
        <v>32364.612499999999</v>
      </c>
      <c r="N26" s="120">
        <f t="shared" si="6"/>
        <v>19069.907500000001</v>
      </c>
      <c r="O26" s="110">
        <f t="shared" si="7"/>
        <v>240526.06</v>
      </c>
    </row>
    <row r="27" spans="2:31" ht="18.75" customHeight="1" x14ac:dyDescent="0.25">
      <c r="B27" s="71" t="str">
        <f>IF(Parameter!$M$14="","",Parameter!$M$14)</f>
        <v>Personal</v>
      </c>
      <c r="C27" s="120">
        <f t="shared" si="6"/>
        <v>11408</v>
      </c>
      <c r="D27" s="120">
        <f t="shared" si="6"/>
        <v>11408</v>
      </c>
      <c r="E27" s="120">
        <f t="shared" si="6"/>
        <v>11408</v>
      </c>
      <c r="F27" s="120">
        <f t="shared" si="6"/>
        <v>11750.24</v>
      </c>
      <c r="G27" s="120">
        <f t="shared" si="6"/>
        <v>11750.24</v>
      </c>
      <c r="H27" s="120">
        <f t="shared" si="6"/>
        <v>11750.24</v>
      </c>
      <c r="I27" s="120">
        <f t="shared" si="6"/>
        <v>11750.24</v>
      </c>
      <c r="J27" s="120">
        <f t="shared" si="6"/>
        <v>11750.24</v>
      </c>
      <c r="K27" s="120">
        <f t="shared" si="6"/>
        <v>11750.24</v>
      </c>
      <c r="L27" s="120">
        <f t="shared" si="6"/>
        <v>14602.24</v>
      </c>
      <c r="M27" s="120">
        <f t="shared" si="6"/>
        <v>22735.449773972603</v>
      </c>
      <c r="N27" s="120">
        <f t="shared" si="6"/>
        <v>14602.24</v>
      </c>
      <c r="O27" s="110">
        <f t="shared" si="7"/>
        <v>156665.3697739726</v>
      </c>
    </row>
    <row r="28" spans="2:31" ht="19.5" customHeight="1" x14ac:dyDescent="0.25">
      <c r="B28" s="42" t="s">
        <v>365</v>
      </c>
      <c r="C28" s="121">
        <f t="shared" ref="C28:O28" si="8">SUM(C20:C27)</f>
        <v>192211.4375</v>
      </c>
      <c r="D28" s="121">
        <f t="shared" si="8"/>
        <v>199651.4375</v>
      </c>
      <c r="E28" s="121">
        <f t="shared" si="8"/>
        <v>205355.4375</v>
      </c>
      <c r="F28" s="121">
        <f t="shared" si="8"/>
        <v>206025.13399999999</v>
      </c>
      <c r="G28" s="121">
        <f t="shared" si="8"/>
        <v>206025.13399999999</v>
      </c>
      <c r="H28" s="121">
        <f t="shared" si="8"/>
        <v>206025.13399999999</v>
      </c>
      <c r="I28" s="121">
        <f t="shared" si="8"/>
        <v>205718.85399999999</v>
      </c>
      <c r="J28" s="121">
        <f t="shared" si="8"/>
        <v>205718.85399999999</v>
      </c>
      <c r="K28" s="121">
        <f t="shared" si="8"/>
        <v>205658.09400000001</v>
      </c>
      <c r="L28" s="121">
        <f t="shared" si="8"/>
        <v>206939.99400000001</v>
      </c>
      <c r="M28" s="121">
        <f t="shared" si="8"/>
        <v>356972.53056849318</v>
      </c>
      <c r="N28" s="121">
        <f t="shared" si="8"/>
        <v>206939.99400000001</v>
      </c>
      <c r="O28" s="121">
        <f t="shared" si="8"/>
        <v>2603242.0350684933</v>
      </c>
    </row>
    <row r="29" spans="2:31" x14ac:dyDescent="0.25">
      <c r="B29" s="122" t="s">
        <v>366</v>
      </c>
      <c r="O29" s="123" t="str">
        <f>IF(ABS(O28-O11)&lt;1,"✓ stimmt","Abteilung fehlt!")</f>
        <v>✓ stimmt</v>
      </c>
    </row>
    <row r="30" spans="2:31" ht="24" customHeight="1" x14ac:dyDescent="0.25">
      <c r="B30" s="20" t="s">
        <v>367</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row>
    <row r="31" spans="2:31" ht="15" customHeight="1" x14ac:dyDescent="0.25">
      <c r="C31" s="153" t="s">
        <v>368</v>
      </c>
      <c r="D31" s="153"/>
      <c r="E31" s="153"/>
      <c r="F31" s="153"/>
      <c r="G31" s="153"/>
      <c r="H31" s="153"/>
      <c r="I31" s="153"/>
      <c r="J31" s="153"/>
      <c r="K31" s="153"/>
      <c r="L31" s="153"/>
      <c r="M31" s="153"/>
      <c r="N31" s="153"/>
      <c r="O31" s="153"/>
      <c r="Q31" s="154" t="s">
        <v>369</v>
      </c>
      <c r="R31" s="154"/>
      <c r="S31" s="154"/>
      <c r="T31" s="154"/>
      <c r="U31" s="154"/>
      <c r="V31" s="154"/>
      <c r="W31" s="154"/>
      <c r="X31" s="154"/>
      <c r="Y31" s="154"/>
      <c r="Z31" s="154"/>
      <c r="AA31" s="154"/>
      <c r="AB31" s="154"/>
      <c r="AC31" s="154"/>
      <c r="AD31" s="147" t="s">
        <v>370</v>
      </c>
      <c r="AE31" s="147"/>
    </row>
    <row r="32" spans="2:31" ht="30" customHeight="1" x14ac:dyDescent="0.25">
      <c r="B32" s="28" t="s">
        <v>209</v>
      </c>
      <c r="C32" s="28" t="s">
        <v>53</v>
      </c>
      <c r="D32" s="28" t="s">
        <v>54</v>
      </c>
      <c r="E32" s="28" t="s">
        <v>55</v>
      </c>
      <c r="F32" s="28" t="s">
        <v>56</v>
      </c>
      <c r="G32" s="28" t="s">
        <v>57</v>
      </c>
      <c r="H32" s="28" t="s">
        <v>58</v>
      </c>
      <c r="I32" s="28" t="s">
        <v>59</v>
      </c>
      <c r="J32" s="28" t="s">
        <v>60</v>
      </c>
      <c r="K32" s="28" t="s">
        <v>61</v>
      </c>
      <c r="L32" s="28" t="s">
        <v>62</v>
      </c>
      <c r="M32" s="28" t="s">
        <v>63</v>
      </c>
      <c r="N32" s="28" t="s">
        <v>64</v>
      </c>
      <c r="O32" s="28" t="s">
        <v>371</v>
      </c>
      <c r="Q32" s="79" t="s">
        <v>53</v>
      </c>
      <c r="R32" s="79" t="s">
        <v>54</v>
      </c>
      <c r="S32" s="79" t="s">
        <v>55</v>
      </c>
      <c r="T32" s="79" t="s">
        <v>56</v>
      </c>
      <c r="U32" s="79" t="s">
        <v>57</v>
      </c>
      <c r="V32" s="79" t="s">
        <v>58</v>
      </c>
      <c r="W32" s="79" t="s">
        <v>59</v>
      </c>
      <c r="X32" s="79" t="s">
        <v>60</v>
      </c>
      <c r="Y32" s="79" t="s">
        <v>61</v>
      </c>
      <c r="Z32" s="79" t="s">
        <v>62</v>
      </c>
      <c r="AA32" s="79" t="s">
        <v>63</v>
      </c>
      <c r="AB32" s="79" t="s">
        <v>64</v>
      </c>
      <c r="AC32" s="79" t="s">
        <v>372</v>
      </c>
      <c r="AD32" s="124" t="s">
        <v>78</v>
      </c>
      <c r="AE32" s="79" t="s">
        <v>73</v>
      </c>
    </row>
    <row r="33" spans="2:31" ht="16.5" customHeight="1" x14ac:dyDescent="0.25">
      <c r="B33" s="125" t="str">
        <f>IF(Personal!$D$8="","",Personal!$D$8)</f>
        <v>Katrin Lehmann</v>
      </c>
      <c r="C33" s="126">
        <f>IF(Personal!$D$8="","",N(Personal!$M$8)*(1+IF(MONTH(C$7)&gt;=Parameter!$C$28,Personal!$AN$8,0))*IFERROR(Personal!$Y$8/Personal!$R$8,0)+IF(MONTH(C$7)=Parameter!$C$29,N(Personal!$M$8)*N(Personal!$N$8)*N(Personal!$T$8),0))</f>
        <v>9800</v>
      </c>
      <c r="D33" s="126">
        <f>IF(Personal!$D$8="","",N(Personal!$M$8)*(1+IF(MONTH(D$7)&gt;=Parameter!$C$28,Personal!$AN$8,0))*IFERROR(Personal!$Z$8/Personal!$R$8,0)+IF(MONTH(D$7)=Parameter!$C$29,N(Personal!$M$8)*N(Personal!$N$8)*N(Personal!$T$8),0))</f>
        <v>9800</v>
      </c>
      <c r="E33" s="126">
        <f>IF(Personal!$D$8="","",N(Personal!$M$8)*(1+IF(MONTH(E$7)&gt;=Parameter!$C$28,Personal!$AN$8,0))*IFERROR(Personal!$AA$8/Personal!$R$8,0)+IF(MONTH(E$7)=Parameter!$C$29,N(Personal!$M$8)*N(Personal!$N$8)*N(Personal!$T$8),0))</f>
        <v>9800</v>
      </c>
      <c r="F33" s="126">
        <f>IF(Personal!$D$8="","",N(Personal!$M$8)*(1+IF(MONTH(F$7)&gt;=Parameter!$C$28,Personal!$AN$8,0))*IFERROR(Personal!$AB$8/Personal!$R$8,0)+IF(MONTH(F$7)=Parameter!$C$29,N(Personal!$M$8)*N(Personal!$N$8)*N(Personal!$T$8),0))</f>
        <v>9800</v>
      </c>
      <c r="G33" s="126">
        <f>IF(Personal!$D$8="","",N(Personal!$M$8)*(1+IF(MONTH(G$7)&gt;=Parameter!$C$28,Personal!$AN$8,0))*IFERROR(Personal!$AC$8/Personal!$R$8,0)+IF(MONTH(G$7)=Parameter!$C$29,N(Personal!$M$8)*N(Personal!$N$8)*N(Personal!$T$8),0))</f>
        <v>9800</v>
      </c>
      <c r="H33" s="126">
        <f>IF(Personal!$D$8="","",N(Personal!$M$8)*(1+IF(MONTH(H$7)&gt;=Parameter!$C$28,Personal!$AN$8,0))*IFERROR(Personal!$AD$8/Personal!$R$8,0)+IF(MONTH(H$7)=Parameter!$C$29,N(Personal!$M$8)*N(Personal!$N$8)*N(Personal!$T$8),0))</f>
        <v>9800</v>
      </c>
      <c r="I33" s="126">
        <f>IF(Personal!$D$8="","",N(Personal!$M$8)*(1+IF(MONTH(I$7)&gt;=Parameter!$C$28,Personal!$AN$8,0))*IFERROR(Personal!$AE$8/Personal!$R$8,0)+IF(MONTH(I$7)=Parameter!$C$29,N(Personal!$M$8)*N(Personal!$N$8)*N(Personal!$T$8),0))</f>
        <v>9800</v>
      </c>
      <c r="J33" s="126">
        <f>IF(Personal!$D$8="","",N(Personal!$M$8)*(1+IF(MONTH(J$7)&gt;=Parameter!$C$28,Personal!$AN$8,0))*IFERROR(Personal!$AF$8/Personal!$R$8,0)+IF(MONTH(J$7)=Parameter!$C$29,N(Personal!$M$8)*N(Personal!$N$8)*N(Personal!$T$8),0))</f>
        <v>9800</v>
      </c>
      <c r="K33" s="126">
        <f>IF(Personal!$D$8="","",N(Personal!$M$8)*(1+IF(MONTH(K$7)&gt;=Parameter!$C$28,Personal!$AN$8,0))*IFERROR(Personal!$AG$8/Personal!$R$8,0)+IF(MONTH(K$7)=Parameter!$C$29,N(Personal!$M$8)*N(Personal!$N$8)*N(Personal!$T$8),0))</f>
        <v>9800</v>
      </c>
      <c r="L33" s="126">
        <f>IF(Personal!$D$8="","",N(Personal!$M$8)*(1+IF(MONTH(L$7)&gt;=Parameter!$C$28,Personal!$AN$8,0))*IFERROR(Personal!$AH$8/Personal!$R$8,0)+IF(MONTH(L$7)=Parameter!$C$29,N(Personal!$M$8)*N(Personal!$N$8)*N(Personal!$T$8),0))</f>
        <v>9800</v>
      </c>
      <c r="M33" s="126">
        <f>IF(Personal!$D$8="","",N(Personal!$M$8)*(1+IF(MONTH(M$7)&gt;=Parameter!$C$28,Personal!$AN$8,0))*IFERROR(Personal!$AI$8/Personal!$R$8,0)+IF(MONTH(M$7)=Parameter!$C$29,N(Personal!$M$8)*N(Personal!$N$8)*N(Personal!$T$8),0))</f>
        <v>9800</v>
      </c>
      <c r="N33" s="126">
        <f>IF(Personal!$D$8="","",N(Personal!$M$8)*(1+IF(MONTH(N$7)&gt;=Parameter!$C$28,Personal!$AN$8,0))*IFERROR(Personal!$AJ$8/Personal!$R$8,0)+IF(MONTH(N$7)=Parameter!$C$29,N(Personal!$M$8)*N(Personal!$N$8)*N(Personal!$T$8),0))</f>
        <v>9800</v>
      </c>
      <c r="O33" s="127">
        <f t="shared" ref="O33:O64" si="9">IF($B33="","",SUM(C33:N33))</f>
        <v>117600</v>
      </c>
      <c r="Q33" s="128">
        <f>IF(Personal!$D$8="","",MIN(C33,Parameter!$H$6)*Personal!$AO$8+MIN(C33,Parameter!$H$7)*Personal!$AP$8+C33*Personal!$AQ$8)</f>
        <v>1874.2874999999999</v>
      </c>
      <c r="R33" s="128">
        <f>IF(Personal!$D$8="","",MIN(D33,Parameter!$H$6)*Personal!$AO$8+MIN(D33,Parameter!$H$7)*Personal!$AP$8+D33*Personal!$AQ$8)</f>
        <v>1874.2874999999999</v>
      </c>
      <c r="S33" s="128">
        <f>IF(Personal!$D$8="","",MIN(E33,Parameter!$H$6)*Personal!$AO$8+MIN(E33,Parameter!$H$7)*Personal!$AP$8+E33*Personal!$AQ$8)</f>
        <v>1874.2874999999999</v>
      </c>
      <c r="T33" s="128">
        <f>IF(Personal!$D$8="","",MIN(F33,Parameter!$H$6)*Personal!$AO$8+MIN(F33,Parameter!$H$7)*Personal!$AP$8+F33*Personal!$AQ$8)</f>
        <v>1874.2874999999999</v>
      </c>
      <c r="U33" s="128">
        <f>IF(Personal!$D$8="","",MIN(G33,Parameter!$H$6)*Personal!$AO$8+MIN(G33,Parameter!$H$7)*Personal!$AP$8+G33*Personal!$AQ$8)</f>
        <v>1874.2874999999999</v>
      </c>
      <c r="V33" s="128">
        <f>IF(Personal!$D$8="","",MIN(H33,Parameter!$H$6)*Personal!$AO$8+MIN(H33,Parameter!$H$7)*Personal!$AP$8+H33*Personal!$AQ$8)</f>
        <v>1874.2874999999999</v>
      </c>
      <c r="W33" s="128">
        <f>IF(Personal!$D$8="","",MIN(I33,Parameter!$H$6)*Personal!$AO$8+MIN(I33,Parameter!$H$7)*Personal!$AP$8+I33*Personal!$AQ$8)</f>
        <v>1874.2874999999999</v>
      </c>
      <c r="X33" s="128">
        <f>IF(Personal!$D$8="","",MIN(J33,Parameter!$H$6)*Personal!$AO$8+MIN(J33,Parameter!$H$7)*Personal!$AP$8+J33*Personal!$AQ$8)</f>
        <v>1874.2874999999999</v>
      </c>
      <c r="Y33" s="128">
        <f>IF(Personal!$D$8="","",MIN(K33,Parameter!$H$6)*Personal!$AO$8+MIN(K33,Parameter!$H$7)*Personal!$AP$8+K33*Personal!$AQ$8)</f>
        <v>1874.2874999999999</v>
      </c>
      <c r="Z33" s="128">
        <f>IF(Personal!$D$8="","",MIN(L33,Parameter!$H$6)*Personal!$AO$8+MIN(L33,Parameter!$H$7)*Personal!$AP$8+L33*Personal!$AQ$8)</f>
        <v>1874.2874999999999</v>
      </c>
      <c r="AA33" s="128">
        <f>IF(Personal!$D$8="","",MIN(M33,Parameter!$H$6)*Personal!$AO$8+MIN(M33,Parameter!$H$7)*Personal!$AP$8+M33*Personal!$AQ$8)</f>
        <v>1874.2874999999999</v>
      </c>
      <c r="AB33" s="128">
        <f>IF(Personal!$D$8="","",MIN(N33,Parameter!$H$6)*Personal!$AO$8+MIN(N33,Parameter!$H$7)*Personal!$AP$8+N33*Personal!$AQ$8)</f>
        <v>1874.2874999999999</v>
      </c>
      <c r="AC33" s="127">
        <f t="shared" ref="AC33:AC64" si="10">IF($B33="","",SUM(Q33:AB33))</f>
        <v>22491.449999999997</v>
      </c>
      <c r="AD33" s="129">
        <f t="shared" ref="AD33:AD64" si="11">IF($B33="","",O33+AC33)</f>
        <v>140091.45000000001</v>
      </c>
      <c r="AE33" s="130" t="str">
        <f>IF($B33="","",Personal!$E$8)</f>
        <v>Geschäftsleitung</v>
      </c>
    </row>
    <row r="34" spans="2:31" ht="16.5" customHeight="1" x14ac:dyDescent="0.25">
      <c r="B34" s="125" t="str">
        <f>IF(Personal!$D$9="","",Personal!$D$9)</f>
        <v>Oliver Brandes</v>
      </c>
      <c r="C34" s="126">
        <f>IF(Personal!$D$9="","",N(Personal!$M$9)*(1+IF(MONTH(C$7)&gt;=Parameter!$C$28,Personal!$AN$9,0))*IFERROR(Personal!$Y$9/Personal!$R$9,0)+IF(MONTH(C$7)=Parameter!$C$29,N(Personal!$M$9)*N(Personal!$N$9)*N(Personal!$T$9),0))</f>
        <v>4100</v>
      </c>
      <c r="D34" s="126">
        <f>IF(Personal!$D$9="","",N(Personal!$M$9)*(1+IF(MONTH(D$7)&gt;=Parameter!$C$28,Personal!$AN$9,0))*IFERROR(Personal!$Z$9/Personal!$R$9,0)+IF(MONTH(D$7)=Parameter!$C$29,N(Personal!$M$9)*N(Personal!$N$9)*N(Personal!$T$9),0))</f>
        <v>4100</v>
      </c>
      <c r="E34" s="126">
        <f>IF(Personal!$D$9="","",N(Personal!$M$9)*(1+IF(MONTH(E$7)&gt;=Parameter!$C$28,Personal!$AN$9,0))*IFERROR(Personal!$AA$9/Personal!$R$9,0)+IF(MONTH(E$7)=Parameter!$C$29,N(Personal!$M$9)*N(Personal!$N$9)*N(Personal!$T$9),0))</f>
        <v>4100</v>
      </c>
      <c r="F34" s="126">
        <f>IF(Personal!$D$9="","",N(Personal!$M$9)*(1+IF(MONTH(F$7)&gt;=Parameter!$C$28,Personal!$AN$9,0))*IFERROR(Personal!$AB$9/Personal!$R$9,0)+IF(MONTH(F$7)=Parameter!$C$29,N(Personal!$M$9)*N(Personal!$N$9)*N(Personal!$T$9),0))</f>
        <v>4223</v>
      </c>
      <c r="G34" s="126">
        <f>IF(Personal!$D$9="","",N(Personal!$M$9)*(1+IF(MONTH(G$7)&gt;=Parameter!$C$28,Personal!$AN$9,0))*IFERROR(Personal!$AC$9/Personal!$R$9,0)+IF(MONTH(G$7)=Parameter!$C$29,N(Personal!$M$9)*N(Personal!$N$9)*N(Personal!$T$9),0))</f>
        <v>4223</v>
      </c>
      <c r="H34" s="126">
        <f>IF(Personal!$D$9="","",N(Personal!$M$9)*(1+IF(MONTH(H$7)&gt;=Parameter!$C$28,Personal!$AN$9,0))*IFERROR(Personal!$AD$9/Personal!$R$9,0)+IF(MONTH(H$7)=Parameter!$C$29,N(Personal!$M$9)*N(Personal!$N$9)*N(Personal!$T$9),0))</f>
        <v>4223</v>
      </c>
      <c r="I34" s="126">
        <f>IF(Personal!$D$9="","",N(Personal!$M$9)*(1+IF(MONTH(I$7)&gt;=Parameter!$C$28,Personal!$AN$9,0))*IFERROR(Personal!$AE$9/Personal!$R$9,0)+IF(MONTH(I$7)=Parameter!$C$29,N(Personal!$M$9)*N(Personal!$N$9)*N(Personal!$T$9),0))</f>
        <v>4223</v>
      </c>
      <c r="J34" s="126">
        <f>IF(Personal!$D$9="","",N(Personal!$M$9)*(1+IF(MONTH(J$7)&gt;=Parameter!$C$28,Personal!$AN$9,0))*IFERROR(Personal!$AF$9/Personal!$R$9,0)+IF(MONTH(J$7)=Parameter!$C$29,N(Personal!$M$9)*N(Personal!$N$9)*N(Personal!$T$9),0))</f>
        <v>4223</v>
      </c>
      <c r="K34" s="126">
        <f>IF(Personal!$D$9="","",N(Personal!$M$9)*(1+IF(MONTH(K$7)&gt;=Parameter!$C$28,Personal!$AN$9,0))*IFERROR(Personal!$AG$9/Personal!$R$9,0)+IF(MONTH(K$7)=Parameter!$C$29,N(Personal!$M$9)*N(Personal!$N$9)*N(Personal!$T$9),0))</f>
        <v>4223</v>
      </c>
      <c r="L34" s="126">
        <f>IF(Personal!$D$9="","",N(Personal!$M$9)*(1+IF(MONTH(L$7)&gt;=Parameter!$C$28,Personal!$AN$9,0))*IFERROR(Personal!$AH$9/Personal!$R$9,0)+IF(MONTH(L$7)=Parameter!$C$29,N(Personal!$M$9)*N(Personal!$N$9)*N(Personal!$T$9),0))</f>
        <v>4223</v>
      </c>
      <c r="M34" s="126">
        <f>IF(Personal!$D$9="","",N(Personal!$M$9)*(1+IF(MONTH(M$7)&gt;=Parameter!$C$28,Personal!$AN$9,0))*IFERROR(Personal!$AI$9/Personal!$R$9,0)+IF(MONTH(M$7)=Parameter!$C$29,N(Personal!$M$9)*N(Personal!$N$9)*N(Personal!$T$9),0))</f>
        <v>8323</v>
      </c>
      <c r="N34" s="126">
        <f>IF(Personal!$D$9="","",N(Personal!$M$9)*(1+IF(MONTH(N$7)&gt;=Parameter!$C$28,Personal!$AN$9,0))*IFERROR(Personal!$AJ$9/Personal!$R$9,0)+IF(MONTH(N$7)=Parameter!$C$29,N(Personal!$M$9)*N(Personal!$N$9)*N(Personal!$T$9),0))</f>
        <v>4223</v>
      </c>
      <c r="O34" s="127">
        <f t="shared" si="9"/>
        <v>54407</v>
      </c>
      <c r="Q34" s="128">
        <f>IF(Personal!$D$9="","",MIN(C34,Parameter!$H$6)*Personal!$AO$9+MIN(C34,Parameter!$H$7)*Personal!$AP$9+C34*Personal!$AQ$9)</f>
        <v>984</v>
      </c>
      <c r="R34" s="128">
        <f>IF(Personal!$D$9="","",MIN(D34,Parameter!$H$6)*Personal!$AO$9+MIN(D34,Parameter!$H$7)*Personal!$AP$9+D34*Personal!$AQ$9)</f>
        <v>984</v>
      </c>
      <c r="S34" s="128">
        <f>IF(Personal!$D$9="","",MIN(E34,Parameter!$H$6)*Personal!$AO$9+MIN(E34,Parameter!$H$7)*Personal!$AP$9+E34*Personal!$AQ$9)</f>
        <v>984</v>
      </c>
      <c r="T34" s="128">
        <f>IF(Personal!$D$9="","",MIN(F34,Parameter!$H$6)*Personal!$AO$9+MIN(F34,Parameter!$H$7)*Personal!$AP$9+F34*Personal!$AQ$9)</f>
        <v>1013.5200000000001</v>
      </c>
      <c r="U34" s="128">
        <f>IF(Personal!$D$9="","",MIN(G34,Parameter!$H$6)*Personal!$AO$9+MIN(G34,Parameter!$H$7)*Personal!$AP$9+G34*Personal!$AQ$9)</f>
        <v>1013.5200000000001</v>
      </c>
      <c r="V34" s="128">
        <f>IF(Personal!$D$9="","",MIN(H34,Parameter!$H$6)*Personal!$AO$9+MIN(H34,Parameter!$H$7)*Personal!$AP$9+H34*Personal!$AQ$9)</f>
        <v>1013.5200000000001</v>
      </c>
      <c r="W34" s="128">
        <f>IF(Personal!$D$9="","",MIN(I34,Parameter!$H$6)*Personal!$AO$9+MIN(I34,Parameter!$H$7)*Personal!$AP$9+I34*Personal!$AQ$9)</f>
        <v>1013.5200000000001</v>
      </c>
      <c r="X34" s="128">
        <f>IF(Personal!$D$9="","",MIN(J34,Parameter!$H$6)*Personal!$AO$9+MIN(J34,Parameter!$H$7)*Personal!$AP$9+J34*Personal!$AQ$9)</f>
        <v>1013.5200000000001</v>
      </c>
      <c r="Y34" s="128">
        <f>IF(Personal!$D$9="","",MIN(K34,Parameter!$H$6)*Personal!$AO$9+MIN(K34,Parameter!$H$7)*Personal!$AP$9+K34*Personal!$AQ$9)</f>
        <v>1013.5200000000001</v>
      </c>
      <c r="Z34" s="128">
        <f>IF(Personal!$D$9="","",MIN(L34,Parameter!$H$6)*Personal!$AO$9+MIN(L34,Parameter!$H$7)*Personal!$AP$9+L34*Personal!$AQ$9)</f>
        <v>1013.5200000000001</v>
      </c>
      <c r="AA34" s="128">
        <f>IF(Personal!$D$9="","",MIN(M34,Parameter!$H$6)*Personal!$AO$9+MIN(M34,Parameter!$H$7)*Personal!$AP$9+M34*Personal!$AQ$9)</f>
        <v>1792.0060000000001</v>
      </c>
      <c r="AB34" s="128">
        <f>IF(Personal!$D$9="","",MIN(N34,Parameter!$H$6)*Personal!$AO$9+MIN(N34,Parameter!$H$7)*Personal!$AP$9+N34*Personal!$AQ$9)</f>
        <v>1013.5200000000001</v>
      </c>
      <c r="AC34" s="127">
        <f t="shared" si="10"/>
        <v>12852.166000000001</v>
      </c>
      <c r="AD34" s="129">
        <f t="shared" si="11"/>
        <v>67259.165999999997</v>
      </c>
      <c r="AE34" s="130" t="str">
        <f>IF($B34="","",Personal!$E$9)</f>
        <v>Geschäftsleitung</v>
      </c>
    </row>
    <row r="35" spans="2:31" ht="16.5" customHeight="1" x14ac:dyDescent="0.25">
      <c r="B35" s="125" t="str">
        <f>IF(Personal!$D$10="","",Personal!$D$10)</f>
        <v>Stefan Maier</v>
      </c>
      <c r="C35" s="126">
        <f>IF(Personal!$D$10="","",N(Personal!$M$10)*(1+IF(MONTH(C$7)&gt;=Parameter!$C$28,Personal!$AN$10,0))*IFERROR(Personal!$Y$10/Personal!$R$10,0)+IF(MONTH(C$7)=Parameter!$C$29,N(Personal!$M$10)*N(Personal!$N$10)*N(Personal!$T$10),0))</f>
        <v>7200</v>
      </c>
      <c r="D35" s="126">
        <f>IF(Personal!$D$10="","",N(Personal!$M$10)*(1+IF(MONTH(D$7)&gt;=Parameter!$C$28,Personal!$AN$10,0))*IFERROR(Personal!$Z$10/Personal!$R$10,0)+IF(MONTH(D$7)=Parameter!$C$29,N(Personal!$M$10)*N(Personal!$N$10)*N(Personal!$T$10),0))</f>
        <v>7200</v>
      </c>
      <c r="E35" s="126">
        <f>IF(Personal!$D$10="","",N(Personal!$M$10)*(1+IF(MONTH(E$7)&gt;=Parameter!$C$28,Personal!$AN$10,0))*IFERROR(Personal!$AA$10/Personal!$R$10,0)+IF(MONTH(E$7)=Parameter!$C$29,N(Personal!$M$10)*N(Personal!$N$10)*N(Personal!$T$10),0))</f>
        <v>7200</v>
      </c>
      <c r="F35" s="126">
        <f>IF(Personal!$D$10="","",N(Personal!$M$10)*(1+IF(MONTH(F$7)&gt;=Parameter!$C$28,Personal!$AN$10,0))*IFERROR(Personal!$AB$10/Personal!$R$10,0)+IF(MONTH(F$7)=Parameter!$C$29,N(Personal!$M$10)*N(Personal!$N$10)*N(Personal!$T$10),0))</f>
        <v>7416</v>
      </c>
      <c r="G35" s="126">
        <f>IF(Personal!$D$10="","",N(Personal!$M$10)*(1+IF(MONTH(G$7)&gt;=Parameter!$C$28,Personal!$AN$10,0))*IFERROR(Personal!$AC$10/Personal!$R$10,0)+IF(MONTH(G$7)=Parameter!$C$29,N(Personal!$M$10)*N(Personal!$N$10)*N(Personal!$T$10),0))</f>
        <v>7416</v>
      </c>
      <c r="H35" s="126">
        <f>IF(Personal!$D$10="","",N(Personal!$M$10)*(1+IF(MONTH(H$7)&gt;=Parameter!$C$28,Personal!$AN$10,0))*IFERROR(Personal!$AD$10/Personal!$R$10,0)+IF(MONTH(H$7)=Parameter!$C$29,N(Personal!$M$10)*N(Personal!$N$10)*N(Personal!$T$10),0))</f>
        <v>7416</v>
      </c>
      <c r="I35" s="126">
        <f>IF(Personal!$D$10="","",N(Personal!$M$10)*(1+IF(MONTH(I$7)&gt;=Parameter!$C$28,Personal!$AN$10,0))*IFERROR(Personal!$AE$10/Personal!$R$10,0)+IF(MONTH(I$7)=Parameter!$C$29,N(Personal!$M$10)*N(Personal!$N$10)*N(Personal!$T$10),0))</f>
        <v>7416</v>
      </c>
      <c r="J35" s="126">
        <f>IF(Personal!$D$10="","",N(Personal!$M$10)*(1+IF(MONTH(J$7)&gt;=Parameter!$C$28,Personal!$AN$10,0))*IFERROR(Personal!$AF$10/Personal!$R$10,0)+IF(MONTH(J$7)=Parameter!$C$29,N(Personal!$M$10)*N(Personal!$N$10)*N(Personal!$T$10),0))</f>
        <v>7416</v>
      </c>
      <c r="K35" s="126">
        <f>IF(Personal!$D$10="","",N(Personal!$M$10)*(1+IF(MONTH(K$7)&gt;=Parameter!$C$28,Personal!$AN$10,0))*IFERROR(Personal!$AG$10/Personal!$R$10,0)+IF(MONTH(K$7)=Parameter!$C$29,N(Personal!$M$10)*N(Personal!$N$10)*N(Personal!$T$10),0))</f>
        <v>7416</v>
      </c>
      <c r="L35" s="126">
        <f>IF(Personal!$D$10="","",N(Personal!$M$10)*(1+IF(MONTH(L$7)&gt;=Parameter!$C$28,Personal!$AN$10,0))*IFERROR(Personal!$AH$10/Personal!$R$10,0)+IF(MONTH(L$7)=Parameter!$C$29,N(Personal!$M$10)*N(Personal!$N$10)*N(Personal!$T$10),0))</f>
        <v>7416</v>
      </c>
      <c r="M35" s="126">
        <f>IF(Personal!$D$10="","",N(Personal!$M$10)*(1+IF(MONTH(M$7)&gt;=Parameter!$C$28,Personal!$AN$10,0))*IFERROR(Personal!$AI$10/Personal!$R$10,0)+IF(MONTH(M$7)=Parameter!$C$29,N(Personal!$M$10)*N(Personal!$N$10)*N(Personal!$T$10),0))</f>
        <v>11016</v>
      </c>
      <c r="N35" s="126">
        <f>IF(Personal!$D$10="","",N(Personal!$M$10)*(1+IF(MONTH(N$7)&gt;=Parameter!$C$28,Personal!$AN$10,0))*IFERROR(Personal!$AJ$10/Personal!$R$10,0)+IF(MONTH(N$7)=Parameter!$C$29,N(Personal!$M$10)*N(Personal!$N$10)*N(Personal!$T$10),0))</f>
        <v>7416</v>
      </c>
      <c r="O35" s="127">
        <f t="shared" si="9"/>
        <v>91944</v>
      </c>
      <c r="Q35" s="128">
        <f>IF(Personal!$D$10="","",MIN(C35,Parameter!$H$6)*Personal!$AO$10+MIN(C35,Parameter!$H$7)*Personal!$AP$10+C35*Personal!$AQ$10)</f>
        <v>1640.9625000000001</v>
      </c>
      <c r="R35" s="128">
        <f>IF(Personal!$D$10="","",MIN(D35,Parameter!$H$6)*Personal!$AO$10+MIN(D35,Parameter!$H$7)*Personal!$AP$10+D35*Personal!$AQ$10)</f>
        <v>1640.9625000000001</v>
      </c>
      <c r="S35" s="128">
        <f>IF(Personal!$D$10="","",MIN(E35,Parameter!$H$6)*Personal!$AO$10+MIN(E35,Parameter!$H$7)*Personal!$AP$10+E35*Personal!$AQ$10)</f>
        <v>1640.9625000000001</v>
      </c>
      <c r="T35" s="128">
        <f>IF(Personal!$D$10="","",MIN(F35,Parameter!$H$6)*Personal!$AO$10+MIN(F35,Parameter!$H$7)*Personal!$AP$10+F35*Personal!$AQ$10)</f>
        <v>1670.0145</v>
      </c>
      <c r="U35" s="128">
        <f>IF(Personal!$D$10="","",MIN(G35,Parameter!$H$6)*Personal!$AO$10+MIN(G35,Parameter!$H$7)*Personal!$AP$10+G35*Personal!$AQ$10)</f>
        <v>1670.0145</v>
      </c>
      <c r="V35" s="128">
        <f>IF(Personal!$D$10="","",MIN(H35,Parameter!$H$6)*Personal!$AO$10+MIN(H35,Parameter!$H$7)*Personal!$AP$10+H35*Personal!$AQ$10)</f>
        <v>1670.0145</v>
      </c>
      <c r="W35" s="128">
        <f>IF(Personal!$D$10="","",MIN(I35,Parameter!$H$6)*Personal!$AO$10+MIN(I35,Parameter!$H$7)*Personal!$AP$10+I35*Personal!$AQ$10)</f>
        <v>1670.0145</v>
      </c>
      <c r="X35" s="128">
        <f>IF(Personal!$D$10="","",MIN(J35,Parameter!$H$6)*Personal!$AO$10+MIN(J35,Parameter!$H$7)*Personal!$AP$10+J35*Personal!$AQ$10)</f>
        <v>1670.0145</v>
      </c>
      <c r="Y35" s="128">
        <f>IF(Personal!$D$10="","",MIN(K35,Parameter!$H$6)*Personal!$AO$10+MIN(K35,Parameter!$H$7)*Personal!$AP$10+K35*Personal!$AQ$10)</f>
        <v>1670.0145</v>
      </c>
      <c r="Z35" s="128">
        <f>IF(Personal!$D$10="","",MIN(L35,Parameter!$H$6)*Personal!$AO$10+MIN(L35,Parameter!$H$7)*Personal!$AP$10+L35*Personal!$AQ$10)</f>
        <v>1670.0145</v>
      </c>
      <c r="AA35" s="128">
        <f>IF(Personal!$D$10="","",MIN(M35,Parameter!$H$6)*Personal!$AO$10+MIN(M35,Parameter!$H$7)*Personal!$AP$10+M35*Personal!$AQ$10)</f>
        <v>1888.8795</v>
      </c>
      <c r="AB35" s="128">
        <f>IF(Personal!$D$10="","",MIN(N35,Parameter!$H$6)*Personal!$AO$10+MIN(N35,Parameter!$H$7)*Personal!$AP$10+N35*Personal!$AQ$10)</f>
        <v>1670.0145</v>
      </c>
      <c r="AC35" s="127">
        <f t="shared" si="10"/>
        <v>20171.882999999998</v>
      </c>
      <c r="AD35" s="129">
        <f t="shared" si="11"/>
        <v>112115.883</v>
      </c>
      <c r="AE35" s="130" t="str">
        <f>IF($B35="","",Personal!$E$10)</f>
        <v>Vertrieb</v>
      </c>
    </row>
    <row r="36" spans="2:31" ht="16.5" customHeight="1" x14ac:dyDescent="0.25">
      <c r="B36" s="125" t="str">
        <f>IF(Personal!$D$11="","",Personal!$D$11)</f>
        <v>Carina Hoffmann</v>
      </c>
      <c r="C36" s="126">
        <f>IF(Personal!$D$11="","",N(Personal!$M$11)*(1+IF(MONTH(C$7)&gt;=Parameter!$C$28,Personal!$AN$11,0))*IFERROR(Personal!$Y$11/Personal!$R$11,0)+IF(MONTH(C$7)=Parameter!$C$29,N(Personal!$M$11)*N(Personal!$N$11)*N(Personal!$T$11),0))</f>
        <v>5600</v>
      </c>
      <c r="D36" s="126">
        <f>IF(Personal!$D$11="","",N(Personal!$M$11)*(1+IF(MONTH(D$7)&gt;=Parameter!$C$28,Personal!$AN$11,0))*IFERROR(Personal!$Z$11/Personal!$R$11,0)+IF(MONTH(D$7)=Parameter!$C$29,N(Personal!$M$11)*N(Personal!$N$11)*N(Personal!$T$11),0))</f>
        <v>5600</v>
      </c>
      <c r="E36" s="126">
        <f>IF(Personal!$D$11="","",N(Personal!$M$11)*(1+IF(MONTH(E$7)&gt;=Parameter!$C$28,Personal!$AN$11,0))*IFERROR(Personal!$AA$11/Personal!$R$11,0)+IF(MONTH(E$7)=Parameter!$C$29,N(Personal!$M$11)*N(Personal!$N$11)*N(Personal!$T$11),0))</f>
        <v>5600</v>
      </c>
      <c r="F36" s="126">
        <f>IF(Personal!$D$11="","",N(Personal!$M$11)*(1+IF(MONTH(F$7)&gt;=Parameter!$C$28,Personal!$AN$11,0))*IFERROR(Personal!$AB$11/Personal!$R$11,0)+IF(MONTH(F$7)=Parameter!$C$29,N(Personal!$M$11)*N(Personal!$N$11)*N(Personal!$T$11),0))</f>
        <v>5880</v>
      </c>
      <c r="G36" s="126">
        <f>IF(Personal!$D$11="","",N(Personal!$M$11)*(1+IF(MONTH(G$7)&gt;=Parameter!$C$28,Personal!$AN$11,0))*IFERROR(Personal!$AC$11/Personal!$R$11,0)+IF(MONTH(G$7)=Parameter!$C$29,N(Personal!$M$11)*N(Personal!$N$11)*N(Personal!$T$11),0))</f>
        <v>5880</v>
      </c>
      <c r="H36" s="126">
        <f>IF(Personal!$D$11="","",N(Personal!$M$11)*(1+IF(MONTH(H$7)&gt;=Parameter!$C$28,Personal!$AN$11,0))*IFERROR(Personal!$AD$11/Personal!$R$11,0)+IF(MONTH(H$7)=Parameter!$C$29,N(Personal!$M$11)*N(Personal!$N$11)*N(Personal!$T$11),0))</f>
        <v>5880</v>
      </c>
      <c r="I36" s="126">
        <f>IF(Personal!$D$11="","",N(Personal!$M$11)*(1+IF(MONTH(I$7)&gt;=Parameter!$C$28,Personal!$AN$11,0))*IFERROR(Personal!$AE$11/Personal!$R$11,0)+IF(MONTH(I$7)=Parameter!$C$29,N(Personal!$M$11)*N(Personal!$N$11)*N(Personal!$T$11),0))</f>
        <v>5880</v>
      </c>
      <c r="J36" s="126">
        <f>IF(Personal!$D$11="","",N(Personal!$M$11)*(1+IF(MONTH(J$7)&gt;=Parameter!$C$28,Personal!$AN$11,0))*IFERROR(Personal!$AF$11/Personal!$R$11,0)+IF(MONTH(J$7)=Parameter!$C$29,N(Personal!$M$11)*N(Personal!$N$11)*N(Personal!$T$11),0))</f>
        <v>5880</v>
      </c>
      <c r="K36" s="126">
        <f>IF(Personal!$D$11="","",N(Personal!$M$11)*(1+IF(MONTH(K$7)&gt;=Parameter!$C$28,Personal!$AN$11,0))*IFERROR(Personal!$AG$11/Personal!$R$11,0)+IF(MONTH(K$7)=Parameter!$C$29,N(Personal!$M$11)*N(Personal!$N$11)*N(Personal!$T$11),0))</f>
        <v>5880</v>
      </c>
      <c r="L36" s="126">
        <f>IF(Personal!$D$11="","",N(Personal!$M$11)*(1+IF(MONTH(L$7)&gt;=Parameter!$C$28,Personal!$AN$11,0))*IFERROR(Personal!$AH$11/Personal!$R$11,0)+IF(MONTH(L$7)=Parameter!$C$29,N(Personal!$M$11)*N(Personal!$N$11)*N(Personal!$T$11),0))</f>
        <v>5880</v>
      </c>
      <c r="M36" s="126">
        <f>IF(Personal!$D$11="","",N(Personal!$M$11)*(1+IF(MONTH(M$7)&gt;=Parameter!$C$28,Personal!$AN$11,0))*IFERROR(Personal!$AI$11/Personal!$R$11,0)+IF(MONTH(M$7)=Parameter!$C$29,N(Personal!$M$11)*N(Personal!$N$11)*N(Personal!$T$11),0))</f>
        <v>11480</v>
      </c>
      <c r="N36" s="126">
        <f>IF(Personal!$D$11="","",N(Personal!$M$11)*(1+IF(MONTH(N$7)&gt;=Parameter!$C$28,Personal!$AN$11,0))*IFERROR(Personal!$AJ$11/Personal!$R$11,0)+IF(MONTH(N$7)=Parameter!$C$29,N(Personal!$M$11)*N(Personal!$N$11)*N(Personal!$T$11),0))</f>
        <v>5880</v>
      </c>
      <c r="O36" s="127">
        <f t="shared" si="9"/>
        <v>75320</v>
      </c>
      <c r="Q36" s="128">
        <f>IF(Personal!$D$11="","",MIN(C36,Parameter!$H$6)*Personal!$AO$11+MIN(C36,Parameter!$H$7)*Personal!$AP$11+C36*Personal!$AQ$11)</f>
        <v>1344</v>
      </c>
      <c r="R36" s="128">
        <f>IF(Personal!$D$11="","",MIN(D36,Parameter!$H$6)*Personal!$AO$11+MIN(D36,Parameter!$H$7)*Personal!$AP$11+D36*Personal!$AQ$11)</f>
        <v>1344</v>
      </c>
      <c r="S36" s="128">
        <f>IF(Personal!$D$11="","",MIN(E36,Parameter!$H$6)*Personal!$AO$11+MIN(E36,Parameter!$H$7)*Personal!$AP$11+E36*Personal!$AQ$11)</f>
        <v>1344</v>
      </c>
      <c r="T36" s="128">
        <f>IF(Personal!$D$11="","",MIN(F36,Parameter!$H$6)*Personal!$AO$11+MIN(F36,Parameter!$H$7)*Personal!$AP$11+F36*Personal!$AQ$11)</f>
        <v>1411.1999999999998</v>
      </c>
      <c r="U36" s="128">
        <f>IF(Personal!$D$11="","",MIN(G36,Parameter!$H$6)*Personal!$AO$11+MIN(G36,Parameter!$H$7)*Personal!$AP$11+G36*Personal!$AQ$11)</f>
        <v>1411.1999999999998</v>
      </c>
      <c r="V36" s="128">
        <f>IF(Personal!$D$11="","",MIN(H36,Parameter!$H$6)*Personal!$AO$11+MIN(H36,Parameter!$H$7)*Personal!$AP$11+H36*Personal!$AQ$11)</f>
        <v>1411.1999999999998</v>
      </c>
      <c r="W36" s="128">
        <f>IF(Personal!$D$11="","",MIN(I36,Parameter!$H$6)*Personal!$AO$11+MIN(I36,Parameter!$H$7)*Personal!$AP$11+I36*Personal!$AQ$11)</f>
        <v>1411.1999999999998</v>
      </c>
      <c r="X36" s="128">
        <f>IF(Personal!$D$11="","",MIN(J36,Parameter!$H$6)*Personal!$AO$11+MIN(J36,Parameter!$H$7)*Personal!$AP$11+J36*Personal!$AQ$11)</f>
        <v>1411.1999999999998</v>
      </c>
      <c r="Y36" s="128">
        <f>IF(Personal!$D$11="","",MIN(K36,Parameter!$H$6)*Personal!$AO$11+MIN(K36,Parameter!$H$7)*Personal!$AP$11+K36*Personal!$AQ$11)</f>
        <v>1411.1999999999998</v>
      </c>
      <c r="Z36" s="128">
        <f>IF(Personal!$D$11="","",MIN(L36,Parameter!$H$6)*Personal!$AO$11+MIN(L36,Parameter!$H$7)*Personal!$AP$11+L36*Personal!$AQ$11)</f>
        <v>1411.1999999999998</v>
      </c>
      <c r="AA36" s="128">
        <f>IF(Personal!$D$11="","",MIN(M36,Parameter!$H$6)*Personal!$AO$11+MIN(M36,Parameter!$H$7)*Personal!$AP$11+M36*Personal!$AQ$11)</f>
        <v>1894.4475</v>
      </c>
      <c r="AB36" s="128">
        <f>IF(Personal!$D$11="","",MIN(N36,Parameter!$H$6)*Personal!$AO$11+MIN(N36,Parameter!$H$7)*Personal!$AP$11+N36*Personal!$AQ$11)</f>
        <v>1411.1999999999998</v>
      </c>
      <c r="AC36" s="127">
        <f t="shared" si="10"/>
        <v>17216.047500000001</v>
      </c>
      <c r="AD36" s="129">
        <f t="shared" si="11"/>
        <v>92536.047500000001</v>
      </c>
      <c r="AE36" s="130" t="str">
        <f>IF($B36="","",Personal!$E$11)</f>
        <v>Vertrieb</v>
      </c>
    </row>
    <row r="37" spans="2:31" ht="16.5" customHeight="1" x14ac:dyDescent="0.25">
      <c r="B37" s="125" t="str">
        <f>IF(Personal!$D$12="","",Personal!$D$12)</f>
        <v>Benedikt Schulte</v>
      </c>
      <c r="C37" s="126">
        <f>IF(Personal!$D$12="","",N(Personal!$M$12)*(1+IF(MONTH(C$7)&gt;=Parameter!$C$28,Personal!$AN$12,0))*IFERROR(Personal!$Y$12/Personal!$R$12,0)+IF(MONTH(C$7)=Parameter!$C$29,N(Personal!$M$12)*N(Personal!$N$12)*N(Personal!$T$12),0))</f>
        <v>4900</v>
      </c>
      <c r="D37" s="126">
        <f>IF(Personal!$D$12="","",N(Personal!$M$12)*(1+IF(MONTH(D$7)&gt;=Parameter!$C$28,Personal!$AN$12,0))*IFERROR(Personal!$Z$12/Personal!$R$12,0)+IF(MONTH(D$7)=Parameter!$C$29,N(Personal!$M$12)*N(Personal!$N$12)*N(Personal!$T$12),0))</f>
        <v>4900</v>
      </c>
      <c r="E37" s="126">
        <f>IF(Personal!$D$12="","",N(Personal!$M$12)*(1+IF(MONTH(E$7)&gt;=Parameter!$C$28,Personal!$AN$12,0))*IFERROR(Personal!$AA$12/Personal!$R$12,0)+IF(MONTH(E$7)=Parameter!$C$29,N(Personal!$M$12)*N(Personal!$N$12)*N(Personal!$T$12),0))</f>
        <v>4900</v>
      </c>
      <c r="F37" s="126">
        <f>IF(Personal!$D$12="","",N(Personal!$M$12)*(1+IF(MONTH(F$7)&gt;=Parameter!$C$28,Personal!$AN$12,0))*IFERROR(Personal!$AB$12/Personal!$R$12,0)+IF(MONTH(F$7)=Parameter!$C$29,N(Personal!$M$12)*N(Personal!$N$12)*N(Personal!$T$12),0))</f>
        <v>5047</v>
      </c>
      <c r="G37" s="126">
        <f>IF(Personal!$D$12="","",N(Personal!$M$12)*(1+IF(MONTH(G$7)&gt;=Parameter!$C$28,Personal!$AN$12,0))*IFERROR(Personal!$AC$12/Personal!$R$12,0)+IF(MONTH(G$7)=Parameter!$C$29,N(Personal!$M$12)*N(Personal!$N$12)*N(Personal!$T$12),0))</f>
        <v>5047</v>
      </c>
      <c r="H37" s="126">
        <f>IF(Personal!$D$12="","",N(Personal!$M$12)*(1+IF(MONTH(H$7)&gt;=Parameter!$C$28,Personal!$AN$12,0))*IFERROR(Personal!$AD$12/Personal!$R$12,0)+IF(MONTH(H$7)=Parameter!$C$29,N(Personal!$M$12)*N(Personal!$N$12)*N(Personal!$T$12),0))</f>
        <v>5047</v>
      </c>
      <c r="I37" s="126">
        <f>IF(Personal!$D$12="","",N(Personal!$M$12)*(1+IF(MONTH(I$7)&gt;=Parameter!$C$28,Personal!$AN$12,0))*IFERROR(Personal!$AE$12/Personal!$R$12,0)+IF(MONTH(I$7)=Parameter!$C$29,N(Personal!$M$12)*N(Personal!$N$12)*N(Personal!$T$12),0))</f>
        <v>0</v>
      </c>
      <c r="J37" s="126">
        <f>IF(Personal!$D$12="","",N(Personal!$M$12)*(1+IF(MONTH(J$7)&gt;=Parameter!$C$28,Personal!$AN$12,0))*IFERROR(Personal!$AF$12/Personal!$R$12,0)+IF(MONTH(J$7)=Parameter!$C$29,N(Personal!$M$12)*N(Personal!$N$12)*N(Personal!$T$12),0))</f>
        <v>0</v>
      </c>
      <c r="K37" s="126">
        <f>IF(Personal!$D$12="","",N(Personal!$M$12)*(1+IF(MONTH(K$7)&gt;=Parameter!$C$28,Personal!$AN$12,0))*IFERROR(Personal!$AG$12/Personal!$R$12,0)+IF(MONTH(K$7)=Parameter!$C$29,N(Personal!$M$12)*N(Personal!$N$12)*N(Personal!$T$12),0))</f>
        <v>0</v>
      </c>
      <c r="L37" s="126">
        <f>IF(Personal!$D$12="","",N(Personal!$M$12)*(1+IF(MONTH(L$7)&gt;=Parameter!$C$28,Personal!$AN$12,0))*IFERROR(Personal!$AH$12/Personal!$R$12,0)+IF(MONTH(L$7)=Parameter!$C$29,N(Personal!$M$12)*N(Personal!$N$12)*N(Personal!$T$12),0))</f>
        <v>0</v>
      </c>
      <c r="M37" s="126">
        <f>IF(Personal!$D$12="","",N(Personal!$M$12)*(1+IF(MONTH(M$7)&gt;=Parameter!$C$28,Personal!$AN$12,0))*IFERROR(Personal!$AI$12/Personal!$R$12,0)+IF(MONTH(M$7)=Parameter!$C$29,N(Personal!$M$12)*N(Personal!$N$12)*N(Personal!$T$12),0))</f>
        <v>2429.8630136986303</v>
      </c>
      <c r="N37" s="126">
        <f>IF(Personal!$D$12="","",N(Personal!$M$12)*(1+IF(MONTH(N$7)&gt;=Parameter!$C$28,Personal!$AN$12,0))*IFERROR(Personal!$AJ$12/Personal!$R$12,0)+IF(MONTH(N$7)=Parameter!$C$29,N(Personal!$M$12)*N(Personal!$N$12)*N(Personal!$T$12),0))</f>
        <v>0</v>
      </c>
      <c r="O37" s="127">
        <f t="shared" si="9"/>
        <v>32270.863013698632</v>
      </c>
      <c r="Q37" s="128">
        <f>IF(Personal!$D$12="","",MIN(C37,Parameter!$H$6)*Personal!$AO$12+MIN(C37,Parameter!$H$7)*Personal!$AP$12+C37*Personal!$AQ$12)</f>
        <v>1175.9999999999998</v>
      </c>
      <c r="R37" s="128">
        <f>IF(Personal!$D$12="","",MIN(D37,Parameter!$H$6)*Personal!$AO$12+MIN(D37,Parameter!$H$7)*Personal!$AP$12+D37*Personal!$AQ$12)</f>
        <v>1175.9999999999998</v>
      </c>
      <c r="S37" s="128">
        <f>IF(Personal!$D$12="","",MIN(E37,Parameter!$H$6)*Personal!$AO$12+MIN(E37,Parameter!$H$7)*Personal!$AP$12+E37*Personal!$AQ$12)</f>
        <v>1175.9999999999998</v>
      </c>
      <c r="T37" s="128">
        <f>IF(Personal!$D$12="","",MIN(F37,Parameter!$H$6)*Personal!$AO$12+MIN(F37,Parameter!$H$7)*Personal!$AP$12+F37*Personal!$AQ$12)</f>
        <v>1211.28</v>
      </c>
      <c r="U37" s="128">
        <f>IF(Personal!$D$12="","",MIN(G37,Parameter!$H$6)*Personal!$AO$12+MIN(G37,Parameter!$H$7)*Personal!$AP$12+G37*Personal!$AQ$12)</f>
        <v>1211.28</v>
      </c>
      <c r="V37" s="128">
        <f>IF(Personal!$D$12="","",MIN(H37,Parameter!$H$6)*Personal!$AO$12+MIN(H37,Parameter!$H$7)*Personal!$AP$12+H37*Personal!$AQ$12)</f>
        <v>1211.28</v>
      </c>
      <c r="W37" s="128">
        <f>IF(Personal!$D$12="","",MIN(I37,Parameter!$H$6)*Personal!$AO$12+MIN(I37,Parameter!$H$7)*Personal!$AP$12+I37*Personal!$AQ$12)</f>
        <v>0</v>
      </c>
      <c r="X37" s="128">
        <f>IF(Personal!$D$12="","",MIN(J37,Parameter!$H$6)*Personal!$AO$12+MIN(J37,Parameter!$H$7)*Personal!$AP$12+J37*Personal!$AQ$12)</f>
        <v>0</v>
      </c>
      <c r="Y37" s="128">
        <f>IF(Personal!$D$12="","",MIN(K37,Parameter!$H$6)*Personal!$AO$12+MIN(K37,Parameter!$H$7)*Personal!$AP$12+K37*Personal!$AQ$12)</f>
        <v>0</v>
      </c>
      <c r="Z37" s="128">
        <f>IF(Personal!$D$12="","",MIN(L37,Parameter!$H$6)*Personal!$AO$12+MIN(L37,Parameter!$H$7)*Personal!$AP$12+L37*Personal!$AQ$12)</f>
        <v>0</v>
      </c>
      <c r="AA37" s="128">
        <f>IF(Personal!$D$12="","",MIN(M37,Parameter!$H$6)*Personal!$AO$12+MIN(M37,Parameter!$H$7)*Personal!$AP$12+M37*Personal!$AQ$12)</f>
        <v>583.1671232876713</v>
      </c>
      <c r="AB37" s="128">
        <f>IF(Personal!$D$12="","",MIN(N37,Parameter!$H$6)*Personal!$AO$12+MIN(N37,Parameter!$H$7)*Personal!$AP$12+N37*Personal!$AQ$12)</f>
        <v>0</v>
      </c>
      <c r="AC37" s="127">
        <f t="shared" si="10"/>
        <v>7745.0071232876699</v>
      </c>
      <c r="AD37" s="129">
        <f t="shared" si="11"/>
        <v>40015.870136986305</v>
      </c>
      <c r="AE37" s="130" t="str">
        <f>IF($B37="","",Personal!$E$12)</f>
        <v>Vertrieb</v>
      </c>
    </row>
    <row r="38" spans="2:31" ht="16.5" customHeight="1" x14ac:dyDescent="0.25">
      <c r="B38" s="125" t="str">
        <f>IF(Personal!$D$13="","",Personal!$D$13)</f>
        <v>Melanie Ernst</v>
      </c>
      <c r="C38" s="126">
        <f>IF(Personal!$D$13="","",N(Personal!$M$13)*(1+IF(MONTH(C$7)&gt;=Parameter!$C$28,Personal!$AN$13,0))*IFERROR(Personal!$Y$13/Personal!$R$13,0)+IF(MONTH(C$7)=Parameter!$C$29,N(Personal!$M$13)*N(Personal!$N$13)*N(Personal!$T$13),0))</f>
        <v>4900</v>
      </c>
      <c r="D38" s="126">
        <f>IF(Personal!$D$13="","",N(Personal!$M$13)*(1+IF(MONTH(D$7)&gt;=Parameter!$C$28,Personal!$AN$13,0))*IFERROR(Personal!$Z$13/Personal!$R$13,0)+IF(MONTH(D$7)=Parameter!$C$29,N(Personal!$M$13)*N(Personal!$N$13)*N(Personal!$T$13),0))</f>
        <v>4900</v>
      </c>
      <c r="E38" s="126">
        <f>IF(Personal!$D$13="","",N(Personal!$M$13)*(1+IF(MONTH(E$7)&gt;=Parameter!$C$28,Personal!$AN$13,0))*IFERROR(Personal!$AA$13/Personal!$R$13,0)+IF(MONTH(E$7)=Parameter!$C$29,N(Personal!$M$13)*N(Personal!$N$13)*N(Personal!$T$13),0))</f>
        <v>4900</v>
      </c>
      <c r="F38" s="126">
        <f>IF(Personal!$D$13="","",N(Personal!$M$13)*(1+IF(MONTH(F$7)&gt;=Parameter!$C$28,Personal!$AN$13,0))*IFERROR(Personal!$AB$13/Personal!$R$13,0)+IF(MONTH(F$7)=Parameter!$C$29,N(Personal!$M$13)*N(Personal!$N$13)*N(Personal!$T$13),0))</f>
        <v>5047</v>
      </c>
      <c r="G38" s="126">
        <f>IF(Personal!$D$13="","",N(Personal!$M$13)*(1+IF(MONTH(G$7)&gt;=Parameter!$C$28,Personal!$AN$13,0))*IFERROR(Personal!$AC$13/Personal!$R$13,0)+IF(MONTH(G$7)=Parameter!$C$29,N(Personal!$M$13)*N(Personal!$N$13)*N(Personal!$T$13),0))</f>
        <v>5047</v>
      </c>
      <c r="H38" s="126">
        <f>IF(Personal!$D$13="","",N(Personal!$M$13)*(1+IF(MONTH(H$7)&gt;=Parameter!$C$28,Personal!$AN$13,0))*IFERROR(Personal!$AD$13/Personal!$R$13,0)+IF(MONTH(H$7)=Parameter!$C$29,N(Personal!$M$13)*N(Personal!$N$13)*N(Personal!$T$13),0))</f>
        <v>5047</v>
      </c>
      <c r="I38" s="126">
        <f>IF(Personal!$D$13="","",N(Personal!$M$13)*(1+IF(MONTH(I$7)&gt;=Parameter!$C$28,Personal!$AN$13,0))*IFERROR(Personal!$AE$13/Personal!$R$13,0)+IF(MONTH(I$7)=Parameter!$C$29,N(Personal!$M$13)*N(Personal!$N$13)*N(Personal!$T$13),0))</f>
        <v>5047</v>
      </c>
      <c r="J38" s="126">
        <f>IF(Personal!$D$13="","",N(Personal!$M$13)*(1+IF(MONTH(J$7)&gt;=Parameter!$C$28,Personal!$AN$13,0))*IFERROR(Personal!$AF$13/Personal!$R$13,0)+IF(MONTH(J$7)=Parameter!$C$29,N(Personal!$M$13)*N(Personal!$N$13)*N(Personal!$T$13),0))</f>
        <v>5047</v>
      </c>
      <c r="K38" s="126">
        <f>IF(Personal!$D$13="","",N(Personal!$M$13)*(1+IF(MONTH(K$7)&gt;=Parameter!$C$28,Personal!$AN$13,0))*IFERROR(Personal!$AG$13/Personal!$R$13,0)+IF(MONTH(K$7)=Parameter!$C$29,N(Personal!$M$13)*N(Personal!$N$13)*N(Personal!$T$13),0))</f>
        <v>5047</v>
      </c>
      <c r="L38" s="126">
        <f>IF(Personal!$D$13="","",N(Personal!$M$13)*(1+IF(MONTH(L$7)&gt;=Parameter!$C$28,Personal!$AN$13,0))*IFERROR(Personal!$AH$13/Personal!$R$13,0)+IF(MONTH(L$7)=Parameter!$C$29,N(Personal!$M$13)*N(Personal!$N$13)*N(Personal!$T$13),0))</f>
        <v>5047</v>
      </c>
      <c r="M38" s="126">
        <f>IF(Personal!$D$13="","",N(Personal!$M$13)*(1+IF(MONTH(M$7)&gt;=Parameter!$C$28,Personal!$AN$13,0))*IFERROR(Personal!$AI$13/Personal!$R$13,0)+IF(MONTH(M$7)=Parameter!$C$29,N(Personal!$M$13)*N(Personal!$N$13)*N(Personal!$T$13),0))</f>
        <v>9947</v>
      </c>
      <c r="N38" s="126">
        <f>IF(Personal!$D$13="","",N(Personal!$M$13)*(1+IF(MONTH(N$7)&gt;=Parameter!$C$28,Personal!$AN$13,0))*IFERROR(Personal!$AJ$13/Personal!$R$13,0)+IF(MONTH(N$7)=Parameter!$C$29,N(Personal!$M$13)*N(Personal!$N$13)*N(Personal!$T$13),0))</f>
        <v>5047</v>
      </c>
      <c r="O38" s="127">
        <f t="shared" si="9"/>
        <v>65023</v>
      </c>
      <c r="Q38" s="128">
        <f>IF(Personal!$D$13="","",MIN(C38,Parameter!$H$6)*Personal!$AO$13+MIN(C38,Parameter!$H$7)*Personal!$AP$13+C38*Personal!$AQ$13)</f>
        <v>1175.9999999999998</v>
      </c>
      <c r="R38" s="128">
        <f>IF(Personal!$D$13="","",MIN(D38,Parameter!$H$6)*Personal!$AO$13+MIN(D38,Parameter!$H$7)*Personal!$AP$13+D38*Personal!$AQ$13)</f>
        <v>1175.9999999999998</v>
      </c>
      <c r="S38" s="128">
        <f>IF(Personal!$D$13="","",MIN(E38,Parameter!$H$6)*Personal!$AO$13+MIN(E38,Parameter!$H$7)*Personal!$AP$13+E38*Personal!$AQ$13)</f>
        <v>1175.9999999999998</v>
      </c>
      <c r="T38" s="128">
        <f>IF(Personal!$D$13="","",MIN(F38,Parameter!$H$6)*Personal!$AO$13+MIN(F38,Parameter!$H$7)*Personal!$AP$13+F38*Personal!$AQ$13)</f>
        <v>1211.28</v>
      </c>
      <c r="U38" s="128">
        <f>IF(Personal!$D$13="","",MIN(G38,Parameter!$H$6)*Personal!$AO$13+MIN(G38,Parameter!$H$7)*Personal!$AP$13+G38*Personal!$AQ$13)</f>
        <v>1211.28</v>
      </c>
      <c r="V38" s="128">
        <f>IF(Personal!$D$13="","",MIN(H38,Parameter!$H$6)*Personal!$AO$13+MIN(H38,Parameter!$H$7)*Personal!$AP$13+H38*Personal!$AQ$13)</f>
        <v>1211.28</v>
      </c>
      <c r="W38" s="128">
        <f>IF(Personal!$D$13="","",MIN(I38,Parameter!$H$6)*Personal!$AO$13+MIN(I38,Parameter!$H$7)*Personal!$AP$13+I38*Personal!$AQ$13)</f>
        <v>1211.28</v>
      </c>
      <c r="X38" s="128">
        <f>IF(Personal!$D$13="","",MIN(J38,Parameter!$H$6)*Personal!$AO$13+MIN(J38,Parameter!$H$7)*Personal!$AP$13+J38*Personal!$AQ$13)</f>
        <v>1211.28</v>
      </c>
      <c r="Y38" s="128">
        <f>IF(Personal!$D$13="","",MIN(K38,Parameter!$H$6)*Personal!$AO$13+MIN(K38,Parameter!$H$7)*Personal!$AP$13+K38*Personal!$AQ$13)</f>
        <v>1211.28</v>
      </c>
      <c r="Z38" s="128">
        <f>IF(Personal!$D$13="","",MIN(L38,Parameter!$H$6)*Personal!$AO$13+MIN(L38,Parameter!$H$7)*Personal!$AP$13+L38*Personal!$AQ$13)</f>
        <v>1211.28</v>
      </c>
      <c r="AA38" s="128">
        <f>IF(Personal!$D$13="","",MIN(M38,Parameter!$H$6)*Personal!$AO$13+MIN(M38,Parameter!$H$7)*Personal!$AP$13+M38*Personal!$AQ$13)</f>
        <v>1876.0515</v>
      </c>
      <c r="AB38" s="128">
        <f>IF(Personal!$D$13="","",MIN(N38,Parameter!$H$6)*Personal!$AO$13+MIN(N38,Parameter!$H$7)*Personal!$AP$13+N38*Personal!$AQ$13)</f>
        <v>1211.28</v>
      </c>
      <c r="AC38" s="127">
        <f t="shared" si="10"/>
        <v>15094.291500000001</v>
      </c>
      <c r="AD38" s="129">
        <f t="shared" si="11"/>
        <v>80117.291500000007</v>
      </c>
      <c r="AE38" s="130" t="str">
        <f>IF($B38="","",Personal!$E$13)</f>
        <v>Vertrieb</v>
      </c>
    </row>
    <row r="39" spans="2:31" ht="16.5" customHeight="1" x14ac:dyDescent="0.25">
      <c r="B39" s="125" t="str">
        <f>IF(Personal!$D$14="","",Personal!$D$14)</f>
        <v>Torsten Beck</v>
      </c>
      <c r="C39" s="126">
        <f>IF(Personal!$D$14="","",N(Personal!$M$14)*(1+IF(MONTH(C$7)&gt;=Parameter!$C$28,Personal!$AN$14,0))*IFERROR(Personal!$Y$14/Personal!$R$14,0)+IF(MONTH(C$7)=Parameter!$C$29,N(Personal!$M$14)*N(Personal!$N$14)*N(Personal!$T$14),0))</f>
        <v>3900</v>
      </c>
      <c r="D39" s="126">
        <f>IF(Personal!$D$14="","",N(Personal!$M$14)*(1+IF(MONTH(D$7)&gt;=Parameter!$C$28,Personal!$AN$14,0))*IFERROR(Personal!$Z$14/Personal!$R$14,0)+IF(MONTH(D$7)=Parameter!$C$29,N(Personal!$M$14)*N(Personal!$N$14)*N(Personal!$T$14),0))</f>
        <v>3900</v>
      </c>
      <c r="E39" s="126">
        <f>IF(Personal!$D$14="","",N(Personal!$M$14)*(1+IF(MONTH(E$7)&gt;=Parameter!$C$28,Personal!$AN$14,0))*IFERROR(Personal!$AA$14/Personal!$R$14,0)+IF(MONTH(E$7)=Parameter!$C$29,N(Personal!$M$14)*N(Personal!$N$14)*N(Personal!$T$14),0))</f>
        <v>3900</v>
      </c>
      <c r="F39" s="126">
        <f>IF(Personal!$D$14="","",N(Personal!$M$14)*(1+IF(MONTH(F$7)&gt;=Parameter!$C$28,Personal!$AN$14,0))*IFERROR(Personal!$AB$14/Personal!$R$14,0)+IF(MONTH(F$7)=Parameter!$C$29,N(Personal!$M$14)*N(Personal!$N$14)*N(Personal!$T$14),0))</f>
        <v>4017</v>
      </c>
      <c r="G39" s="126">
        <f>IF(Personal!$D$14="","",N(Personal!$M$14)*(1+IF(MONTH(G$7)&gt;=Parameter!$C$28,Personal!$AN$14,0))*IFERROR(Personal!$AC$14/Personal!$R$14,0)+IF(MONTH(G$7)=Parameter!$C$29,N(Personal!$M$14)*N(Personal!$N$14)*N(Personal!$T$14),0))</f>
        <v>4017</v>
      </c>
      <c r="H39" s="126">
        <f>IF(Personal!$D$14="","",N(Personal!$M$14)*(1+IF(MONTH(H$7)&gt;=Parameter!$C$28,Personal!$AN$14,0))*IFERROR(Personal!$AD$14/Personal!$R$14,0)+IF(MONTH(H$7)=Parameter!$C$29,N(Personal!$M$14)*N(Personal!$N$14)*N(Personal!$T$14),0))</f>
        <v>4017</v>
      </c>
      <c r="I39" s="126">
        <f>IF(Personal!$D$14="","",N(Personal!$M$14)*(1+IF(MONTH(I$7)&gt;=Parameter!$C$28,Personal!$AN$14,0))*IFERROR(Personal!$AE$14/Personal!$R$14,0)+IF(MONTH(I$7)=Parameter!$C$29,N(Personal!$M$14)*N(Personal!$N$14)*N(Personal!$T$14),0))</f>
        <v>4017</v>
      </c>
      <c r="J39" s="126">
        <f>IF(Personal!$D$14="","",N(Personal!$M$14)*(1+IF(MONTH(J$7)&gt;=Parameter!$C$28,Personal!$AN$14,0))*IFERROR(Personal!$AF$14/Personal!$R$14,0)+IF(MONTH(J$7)=Parameter!$C$29,N(Personal!$M$14)*N(Personal!$N$14)*N(Personal!$T$14),0))</f>
        <v>4017</v>
      </c>
      <c r="K39" s="126">
        <f>IF(Personal!$D$14="","",N(Personal!$M$14)*(1+IF(MONTH(K$7)&gt;=Parameter!$C$28,Personal!$AN$14,0))*IFERROR(Personal!$AG$14/Personal!$R$14,0)+IF(MONTH(K$7)=Parameter!$C$29,N(Personal!$M$14)*N(Personal!$N$14)*N(Personal!$T$14),0))</f>
        <v>4017</v>
      </c>
      <c r="L39" s="126">
        <f>IF(Personal!$D$14="","",N(Personal!$M$14)*(1+IF(MONTH(L$7)&gt;=Parameter!$C$28,Personal!$AN$14,0))*IFERROR(Personal!$AH$14/Personal!$R$14,0)+IF(MONTH(L$7)=Parameter!$C$29,N(Personal!$M$14)*N(Personal!$N$14)*N(Personal!$T$14),0))</f>
        <v>4017</v>
      </c>
      <c r="M39" s="126">
        <f>IF(Personal!$D$14="","",N(Personal!$M$14)*(1+IF(MONTH(M$7)&gt;=Parameter!$C$28,Personal!$AN$14,0))*IFERROR(Personal!$AI$14/Personal!$R$14,0)+IF(MONTH(M$7)=Parameter!$C$29,N(Personal!$M$14)*N(Personal!$N$14)*N(Personal!$T$14),0))</f>
        <v>7917</v>
      </c>
      <c r="N39" s="126">
        <f>IF(Personal!$D$14="","",N(Personal!$M$14)*(1+IF(MONTH(N$7)&gt;=Parameter!$C$28,Personal!$AN$14,0))*IFERROR(Personal!$AJ$14/Personal!$R$14,0)+IF(MONTH(N$7)=Parameter!$C$29,N(Personal!$M$14)*N(Personal!$N$14)*N(Personal!$T$14),0))</f>
        <v>4017</v>
      </c>
      <c r="O39" s="127">
        <f t="shared" si="9"/>
        <v>51753</v>
      </c>
      <c r="Q39" s="128">
        <f>IF(Personal!$D$14="","",MIN(C39,Parameter!$H$6)*Personal!$AO$14+MIN(C39,Parameter!$H$7)*Personal!$AP$14+C39*Personal!$AQ$14)</f>
        <v>936</v>
      </c>
      <c r="R39" s="128">
        <f>IF(Personal!$D$14="","",MIN(D39,Parameter!$H$6)*Personal!$AO$14+MIN(D39,Parameter!$H$7)*Personal!$AP$14+D39*Personal!$AQ$14)</f>
        <v>936</v>
      </c>
      <c r="S39" s="128">
        <f>IF(Personal!$D$14="","",MIN(E39,Parameter!$H$6)*Personal!$AO$14+MIN(E39,Parameter!$H$7)*Personal!$AP$14+E39*Personal!$AQ$14)</f>
        <v>936</v>
      </c>
      <c r="T39" s="128">
        <f>IF(Personal!$D$14="","",MIN(F39,Parameter!$H$6)*Personal!$AO$14+MIN(F39,Parameter!$H$7)*Personal!$AP$14+F39*Personal!$AQ$14)</f>
        <v>964.07999999999993</v>
      </c>
      <c r="U39" s="128">
        <f>IF(Personal!$D$14="","",MIN(G39,Parameter!$H$6)*Personal!$AO$14+MIN(G39,Parameter!$H$7)*Personal!$AP$14+G39*Personal!$AQ$14)</f>
        <v>964.07999999999993</v>
      </c>
      <c r="V39" s="128">
        <f>IF(Personal!$D$14="","",MIN(H39,Parameter!$H$6)*Personal!$AO$14+MIN(H39,Parameter!$H$7)*Personal!$AP$14+H39*Personal!$AQ$14)</f>
        <v>964.07999999999993</v>
      </c>
      <c r="W39" s="128">
        <f>IF(Personal!$D$14="","",MIN(I39,Parameter!$H$6)*Personal!$AO$14+MIN(I39,Parameter!$H$7)*Personal!$AP$14+I39*Personal!$AQ$14)</f>
        <v>964.07999999999993</v>
      </c>
      <c r="X39" s="128">
        <f>IF(Personal!$D$14="","",MIN(J39,Parameter!$H$6)*Personal!$AO$14+MIN(J39,Parameter!$H$7)*Personal!$AP$14+J39*Personal!$AQ$14)</f>
        <v>964.07999999999993</v>
      </c>
      <c r="Y39" s="128">
        <f>IF(Personal!$D$14="","",MIN(K39,Parameter!$H$6)*Personal!$AO$14+MIN(K39,Parameter!$H$7)*Personal!$AP$14+K39*Personal!$AQ$14)</f>
        <v>964.07999999999993</v>
      </c>
      <c r="Z39" s="128">
        <f>IF(Personal!$D$14="","",MIN(L39,Parameter!$H$6)*Personal!$AO$14+MIN(L39,Parameter!$H$7)*Personal!$AP$14+L39*Personal!$AQ$14)</f>
        <v>964.07999999999993</v>
      </c>
      <c r="AA39" s="128">
        <f>IF(Personal!$D$14="","",MIN(M39,Parameter!$H$6)*Personal!$AO$14+MIN(M39,Parameter!$H$7)*Personal!$AP$14+M39*Personal!$AQ$14)</f>
        <v>1737.3989999999999</v>
      </c>
      <c r="AB39" s="128">
        <f>IF(Personal!$D$14="","",MIN(N39,Parameter!$H$6)*Personal!$AO$14+MIN(N39,Parameter!$H$7)*Personal!$AP$14+N39*Personal!$AQ$14)</f>
        <v>964.07999999999993</v>
      </c>
      <c r="AC39" s="127">
        <f t="shared" si="10"/>
        <v>12258.038999999999</v>
      </c>
      <c r="AD39" s="129">
        <f t="shared" si="11"/>
        <v>64011.038999999997</v>
      </c>
      <c r="AE39" s="130" t="str">
        <f>IF($B39="","",Personal!$E$14)</f>
        <v>Vertrieb</v>
      </c>
    </row>
    <row r="40" spans="2:31" ht="16.5" customHeight="1" x14ac:dyDescent="0.25">
      <c r="B40" s="125" t="str">
        <f>IF(Personal!$D$15="","",Personal!$D$15)</f>
        <v>Yasemin Arslan</v>
      </c>
      <c r="C40" s="126">
        <f>IF(Personal!$D$15="","",N(Personal!$M$15)*(1+IF(MONTH(C$7)&gt;=Parameter!$C$28,Personal!$AN$15,0))*IFERROR(Personal!$Y$15/Personal!$R$15,0)+IF(MONTH(C$7)=Parameter!$C$29,N(Personal!$M$15)*N(Personal!$N$15)*N(Personal!$T$15),0))</f>
        <v>2950</v>
      </c>
      <c r="D40" s="126">
        <f>IF(Personal!$D$15="","",N(Personal!$M$15)*(1+IF(MONTH(D$7)&gt;=Parameter!$C$28,Personal!$AN$15,0))*IFERROR(Personal!$Z$15/Personal!$R$15,0)+IF(MONTH(D$7)=Parameter!$C$29,N(Personal!$M$15)*N(Personal!$N$15)*N(Personal!$T$15),0))</f>
        <v>2950</v>
      </c>
      <c r="E40" s="126">
        <f>IF(Personal!$D$15="","",N(Personal!$M$15)*(1+IF(MONTH(E$7)&gt;=Parameter!$C$28,Personal!$AN$15,0))*IFERROR(Personal!$AA$15/Personal!$R$15,0)+IF(MONTH(E$7)=Parameter!$C$29,N(Personal!$M$15)*N(Personal!$N$15)*N(Personal!$T$15),0))</f>
        <v>2950</v>
      </c>
      <c r="F40" s="126">
        <f>IF(Personal!$D$15="","",N(Personal!$M$15)*(1+IF(MONTH(F$7)&gt;=Parameter!$C$28,Personal!$AN$15,0))*IFERROR(Personal!$AB$15/Personal!$R$15,0)+IF(MONTH(F$7)=Parameter!$C$29,N(Personal!$M$15)*N(Personal!$N$15)*N(Personal!$T$15),0))</f>
        <v>3038.5</v>
      </c>
      <c r="G40" s="126">
        <f>IF(Personal!$D$15="","",N(Personal!$M$15)*(1+IF(MONTH(G$7)&gt;=Parameter!$C$28,Personal!$AN$15,0))*IFERROR(Personal!$AC$15/Personal!$R$15,0)+IF(MONTH(G$7)=Parameter!$C$29,N(Personal!$M$15)*N(Personal!$N$15)*N(Personal!$T$15),0))</f>
        <v>3038.5</v>
      </c>
      <c r="H40" s="126">
        <f>IF(Personal!$D$15="","",N(Personal!$M$15)*(1+IF(MONTH(H$7)&gt;=Parameter!$C$28,Personal!$AN$15,0))*IFERROR(Personal!$AD$15/Personal!$R$15,0)+IF(MONTH(H$7)=Parameter!$C$29,N(Personal!$M$15)*N(Personal!$N$15)*N(Personal!$T$15),0))</f>
        <v>3038.5</v>
      </c>
      <c r="I40" s="126">
        <f>IF(Personal!$D$15="","",N(Personal!$M$15)*(1+IF(MONTH(I$7)&gt;=Parameter!$C$28,Personal!$AN$15,0))*IFERROR(Personal!$AE$15/Personal!$R$15,0)+IF(MONTH(I$7)=Parameter!$C$29,N(Personal!$M$15)*N(Personal!$N$15)*N(Personal!$T$15),0))</f>
        <v>3038.5</v>
      </c>
      <c r="J40" s="126">
        <f>IF(Personal!$D$15="","",N(Personal!$M$15)*(1+IF(MONTH(J$7)&gt;=Parameter!$C$28,Personal!$AN$15,0))*IFERROR(Personal!$AF$15/Personal!$R$15,0)+IF(MONTH(J$7)=Parameter!$C$29,N(Personal!$M$15)*N(Personal!$N$15)*N(Personal!$T$15),0))</f>
        <v>3038.5</v>
      </c>
      <c r="K40" s="126">
        <f>IF(Personal!$D$15="","",N(Personal!$M$15)*(1+IF(MONTH(K$7)&gt;=Parameter!$C$28,Personal!$AN$15,0))*IFERROR(Personal!$AG$15/Personal!$R$15,0)+IF(MONTH(K$7)=Parameter!$C$29,N(Personal!$M$15)*N(Personal!$N$15)*N(Personal!$T$15),0))</f>
        <v>3038.5</v>
      </c>
      <c r="L40" s="126">
        <f>IF(Personal!$D$15="","",N(Personal!$M$15)*(1+IF(MONTH(L$7)&gt;=Parameter!$C$28,Personal!$AN$15,0))*IFERROR(Personal!$AH$15/Personal!$R$15,0)+IF(MONTH(L$7)=Parameter!$C$29,N(Personal!$M$15)*N(Personal!$N$15)*N(Personal!$T$15),0))</f>
        <v>3038.5</v>
      </c>
      <c r="M40" s="126">
        <f>IF(Personal!$D$15="","",N(Personal!$M$15)*(1+IF(MONTH(M$7)&gt;=Parameter!$C$28,Personal!$AN$15,0))*IFERROR(Personal!$AI$15/Personal!$R$15,0)+IF(MONTH(M$7)=Parameter!$C$29,N(Personal!$M$15)*N(Personal!$N$15)*N(Personal!$T$15),0))</f>
        <v>5988.5</v>
      </c>
      <c r="N40" s="126">
        <f>IF(Personal!$D$15="","",N(Personal!$M$15)*(1+IF(MONTH(N$7)&gt;=Parameter!$C$28,Personal!$AN$15,0))*IFERROR(Personal!$AJ$15/Personal!$R$15,0)+IF(MONTH(N$7)=Parameter!$C$29,N(Personal!$M$15)*N(Personal!$N$15)*N(Personal!$T$15),0))</f>
        <v>3038.5</v>
      </c>
      <c r="O40" s="127">
        <f t="shared" si="9"/>
        <v>39146.5</v>
      </c>
      <c r="Q40" s="128">
        <f>IF(Personal!$D$15="","",MIN(C40,Parameter!$H$6)*Personal!$AO$15+MIN(C40,Parameter!$H$7)*Personal!$AP$15+C40*Personal!$AQ$15)</f>
        <v>707.99999999999989</v>
      </c>
      <c r="R40" s="128">
        <f>IF(Personal!$D$15="","",MIN(D40,Parameter!$H$6)*Personal!$AO$15+MIN(D40,Parameter!$H$7)*Personal!$AP$15+D40*Personal!$AQ$15)</f>
        <v>707.99999999999989</v>
      </c>
      <c r="S40" s="128">
        <f>IF(Personal!$D$15="","",MIN(E40,Parameter!$H$6)*Personal!$AO$15+MIN(E40,Parameter!$H$7)*Personal!$AP$15+E40*Personal!$AQ$15)</f>
        <v>707.99999999999989</v>
      </c>
      <c r="T40" s="128">
        <f>IF(Personal!$D$15="","",MIN(F40,Parameter!$H$6)*Personal!$AO$15+MIN(F40,Parameter!$H$7)*Personal!$AP$15+F40*Personal!$AQ$15)</f>
        <v>729.24</v>
      </c>
      <c r="U40" s="128">
        <f>IF(Personal!$D$15="","",MIN(G40,Parameter!$H$6)*Personal!$AO$15+MIN(G40,Parameter!$H$7)*Personal!$AP$15+G40*Personal!$AQ$15)</f>
        <v>729.24</v>
      </c>
      <c r="V40" s="128">
        <f>IF(Personal!$D$15="","",MIN(H40,Parameter!$H$6)*Personal!$AO$15+MIN(H40,Parameter!$H$7)*Personal!$AP$15+H40*Personal!$AQ$15)</f>
        <v>729.24</v>
      </c>
      <c r="W40" s="128">
        <f>IF(Personal!$D$15="","",MIN(I40,Parameter!$H$6)*Personal!$AO$15+MIN(I40,Parameter!$H$7)*Personal!$AP$15+I40*Personal!$AQ$15)</f>
        <v>729.24</v>
      </c>
      <c r="X40" s="128">
        <f>IF(Personal!$D$15="","",MIN(J40,Parameter!$H$6)*Personal!$AO$15+MIN(J40,Parameter!$H$7)*Personal!$AP$15+J40*Personal!$AQ$15)</f>
        <v>729.24</v>
      </c>
      <c r="Y40" s="128">
        <f>IF(Personal!$D$15="","",MIN(K40,Parameter!$H$6)*Personal!$AO$15+MIN(K40,Parameter!$H$7)*Personal!$AP$15+K40*Personal!$AQ$15)</f>
        <v>729.24</v>
      </c>
      <c r="Z40" s="128">
        <f>IF(Personal!$D$15="","",MIN(L40,Parameter!$H$6)*Personal!$AO$15+MIN(L40,Parameter!$H$7)*Personal!$AP$15+L40*Personal!$AQ$15)</f>
        <v>729.24</v>
      </c>
      <c r="AA40" s="128">
        <f>IF(Personal!$D$15="","",MIN(M40,Parameter!$H$6)*Personal!$AO$15+MIN(M40,Parameter!$H$7)*Personal!$AP$15+M40*Personal!$AQ$15)</f>
        <v>1437.24</v>
      </c>
      <c r="AB40" s="128">
        <f>IF(Personal!$D$15="","",MIN(N40,Parameter!$H$6)*Personal!$AO$15+MIN(N40,Parameter!$H$7)*Personal!$AP$15+N40*Personal!$AQ$15)</f>
        <v>729.24</v>
      </c>
      <c r="AC40" s="127">
        <f t="shared" si="10"/>
        <v>9395.159999999998</v>
      </c>
      <c r="AD40" s="129">
        <f t="shared" si="11"/>
        <v>48541.659999999996</v>
      </c>
      <c r="AE40" s="130" t="str">
        <f>IF($B40="","",Personal!$E$15)</f>
        <v>Vertrieb</v>
      </c>
    </row>
    <row r="41" spans="2:31" ht="16.5" customHeight="1" x14ac:dyDescent="0.25">
      <c r="B41" s="125" t="str">
        <f>IF(Personal!$D$16="","",Personal!$D$16)</f>
        <v>Franziska Wendt</v>
      </c>
      <c r="C41" s="126">
        <f>IF(Personal!$D$16="","",N(Personal!$M$16)*(1+IF(MONTH(C$7)&gt;=Parameter!$C$28,Personal!$AN$16,0))*IFERROR(Personal!$Y$16/Personal!$R$16,0)+IF(MONTH(C$7)=Parameter!$C$29,N(Personal!$M$16)*N(Personal!$N$16)*N(Personal!$T$16),0))</f>
        <v>6300</v>
      </c>
      <c r="D41" s="126">
        <f>IF(Personal!$D$16="","",N(Personal!$M$16)*(1+IF(MONTH(D$7)&gt;=Parameter!$C$28,Personal!$AN$16,0))*IFERROR(Personal!$Z$16/Personal!$R$16,0)+IF(MONTH(D$7)=Parameter!$C$29,N(Personal!$M$16)*N(Personal!$N$16)*N(Personal!$T$16),0))</f>
        <v>6300</v>
      </c>
      <c r="E41" s="126">
        <f>IF(Personal!$D$16="","",N(Personal!$M$16)*(1+IF(MONTH(E$7)&gt;=Parameter!$C$28,Personal!$AN$16,0))*IFERROR(Personal!$AA$16/Personal!$R$16,0)+IF(MONTH(E$7)=Parameter!$C$29,N(Personal!$M$16)*N(Personal!$N$16)*N(Personal!$T$16),0))</f>
        <v>6300</v>
      </c>
      <c r="F41" s="126">
        <f>IF(Personal!$D$16="","",N(Personal!$M$16)*(1+IF(MONTH(F$7)&gt;=Parameter!$C$28,Personal!$AN$16,0))*IFERROR(Personal!$AB$16/Personal!$R$16,0)+IF(MONTH(F$7)=Parameter!$C$29,N(Personal!$M$16)*N(Personal!$N$16)*N(Personal!$T$16),0))</f>
        <v>6489</v>
      </c>
      <c r="G41" s="126">
        <f>IF(Personal!$D$16="","",N(Personal!$M$16)*(1+IF(MONTH(G$7)&gt;=Parameter!$C$28,Personal!$AN$16,0))*IFERROR(Personal!$AC$16/Personal!$R$16,0)+IF(MONTH(G$7)=Parameter!$C$29,N(Personal!$M$16)*N(Personal!$N$16)*N(Personal!$T$16),0))</f>
        <v>6489</v>
      </c>
      <c r="H41" s="126">
        <f>IF(Personal!$D$16="","",N(Personal!$M$16)*(1+IF(MONTH(H$7)&gt;=Parameter!$C$28,Personal!$AN$16,0))*IFERROR(Personal!$AD$16/Personal!$R$16,0)+IF(MONTH(H$7)=Parameter!$C$29,N(Personal!$M$16)*N(Personal!$N$16)*N(Personal!$T$16),0))</f>
        <v>6489</v>
      </c>
      <c r="I41" s="126">
        <f>IF(Personal!$D$16="","",N(Personal!$M$16)*(1+IF(MONTH(I$7)&gt;=Parameter!$C$28,Personal!$AN$16,0))*IFERROR(Personal!$AE$16/Personal!$R$16,0)+IF(MONTH(I$7)=Parameter!$C$29,N(Personal!$M$16)*N(Personal!$N$16)*N(Personal!$T$16),0))</f>
        <v>6489</v>
      </c>
      <c r="J41" s="126">
        <f>IF(Personal!$D$16="","",N(Personal!$M$16)*(1+IF(MONTH(J$7)&gt;=Parameter!$C$28,Personal!$AN$16,0))*IFERROR(Personal!$AF$16/Personal!$R$16,0)+IF(MONTH(J$7)=Parameter!$C$29,N(Personal!$M$16)*N(Personal!$N$16)*N(Personal!$T$16),0))</f>
        <v>6489</v>
      </c>
      <c r="K41" s="126">
        <f>IF(Personal!$D$16="","",N(Personal!$M$16)*(1+IF(MONTH(K$7)&gt;=Parameter!$C$28,Personal!$AN$16,0))*IFERROR(Personal!$AG$16/Personal!$R$16,0)+IF(MONTH(K$7)=Parameter!$C$29,N(Personal!$M$16)*N(Personal!$N$16)*N(Personal!$T$16),0))</f>
        <v>6489</v>
      </c>
      <c r="L41" s="126">
        <f>IF(Personal!$D$16="","",N(Personal!$M$16)*(1+IF(MONTH(L$7)&gt;=Parameter!$C$28,Personal!$AN$16,0))*IFERROR(Personal!$AH$16/Personal!$R$16,0)+IF(MONTH(L$7)=Parameter!$C$29,N(Personal!$M$16)*N(Personal!$N$16)*N(Personal!$T$16),0))</f>
        <v>6489</v>
      </c>
      <c r="M41" s="126">
        <f>IF(Personal!$D$16="","",N(Personal!$M$16)*(1+IF(MONTH(M$7)&gt;=Parameter!$C$28,Personal!$AN$16,0))*IFERROR(Personal!$AI$16/Personal!$R$16,0)+IF(MONTH(M$7)=Parameter!$C$29,N(Personal!$M$16)*N(Personal!$N$16)*N(Personal!$T$16),0))</f>
        <v>9639</v>
      </c>
      <c r="N41" s="126">
        <f>IF(Personal!$D$16="","",N(Personal!$M$16)*(1+IF(MONTH(N$7)&gt;=Parameter!$C$28,Personal!$AN$16,0))*IFERROR(Personal!$AJ$16/Personal!$R$16,0)+IF(MONTH(N$7)=Parameter!$C$29,N(Personal!$M$16)*N(Personal!$N$16)*N(Personal!$T$16),0))</f>
        <v>6489</v>
      </c>
      <c r="O41" s="127">
        <f t="shared" si="9"/>
        <v>80451</v>
      </c>
      <c r="Q41" s="128">
        <f>IF(Personal!$D$16="","",MIN(C41,Parameter!$H$6)*Personal!$AO$16+MIN(C41,Parameter!$H$7)*Personal!$AP$16+C41*Personal!$AQ$16)</f>
        <v>1512</v>
      </c>
      <c r="R41" s="128">
        <f>IF(Personal!$D$16="","",MIN(D41,Parameter!$H$6)*Personal!$AO$16+MIN(D41,Parameter!$H$7)*Personal!$AP$16+D41*Personal!$AQ$16)</f>
        <v>1512</v>
      </c>
      <c r="S41" s="128">
        <f>IF(Personal!$D$16="","",MIN(E41,Parameter!$H$6)*Personal!$AO$16+MIN(E41,Parameter!$H$7)*Personal!$AP$16+E41*Personal!$AQ$16)</f>
        <v>1512</v>
      </c>
      <c r="T41" s="128">
        <f>IF(Personal!$D$16="","",MIN(F41,Parameter!$H$6)*Personal!$AO$16+MIN(F41,Parameter!$H$7)*Personal!$AP$16+F41*Personal!$AQ$16)</f>
        <v>1545.3330000000001</v>
      </c>
      <c r="U41" s="128">
        <f>IF(Personal!$D$16="","",MIN(G41,Parameter!$H$6)*Personal!$AO$16+MIN(G41,Parameter!$H$7)*Personal!$AP$16+G41*Personal!$AQ$16)</f>
        <v>1545.3330000000001</v>
      </c>
      <c r="V41" s="128">
        <f>IF(Personal!$D$16="","",MIN(H41,Parameter!$H$6)*Personal!$AO$16+MIN(H41,Parameter!$H$7)*Personal!$AP$16+H41*Personal!$AQ$16)</f>
        <v>1545.3330000000001</v>
      </c>
      <c r="W41" s="128">
        <f>IF(Personal!$D$16="","",MIN(I41,Parameter!$H$6)*Personal!$AO$16+MIN(I41,Parameter!$H$7)*Personal!$AP$16+I41*Personal!$AQ$16)</f>
        <v>1545.3330000000001</v>
      </c>
      <c r="X41" s="128">
        <f>IF(Personal!$D$16="","",MIN(J41,Parameter!$H$6)*Personal!$AO$16+MIN(J41,Parameter!$H$7)*Personal!$AP$16+J41*Personal!$AQ$16)</f>
        <v>1545.3330000000001</v>
      </c>
      <c r="Y41" s="128">
        <f>IF(Personal!$D$16="","",MIN(K41,Parameter!$H$6)*Personal!$AO$16+MIN(K41,Parameter!$H$7)*Personal!$AP$16+K41*Personal!$AQ$16)</f>
        <v>1545.3330000000001</v>
      </c>
      <c r="Z41" s="128">
        <f>IF(Personal!$D$16="","",MIN(L41,Parameter!$H$6)*Personal!$AO$16+MIN(L41,Parameter!$H$7)*Personal!$AP$16+L41*Personal!$AQ$16)</f>
        <v>1545.3330000000001</v>
      </c>
      <c r="AA41" s="128">
        <f>IF(Personal!$D$16="","",MIN(M41,Parameter!$H$6)*Personal!$AO$16+MIN(M41,Parameter!$H$7)*Personal!$AP$16+M41*Personal!$AQ$16)</f>
        <v>1872.3555000000001</v>
      </c>
      <c r="AB41" s="128">
        <f>IF(Personal!$D$16="","",MIN(N41,Parameter!$H$6)*Personal!$AO$16+MIN(N41,Parameter!$H$7)*Personal!$AP$16+N41*Personal!$AQ$16)</f>
        <v>1545.3330000000001</v>
      </c>
      <c r="AC41" s="127">
        <f t="shared" si="10"/>
        <v>18771.019500000002</v>
      </c>
      <c r="AD41" s="129">
        <f t="shared" si="11"/>
        <v>99222.019499999995</v>
      </c>
      <c r="AE41" s="130" t="str">
        <f>IF($B41="","",Personal!$E$16)</f>
        <v>Marketing</v>
      </c>
    </row>
    <row r="42" spans="2:31" ht="16.5" customHeight="1" x14ac:dyDescent="0.25">
      <c r="B42" s="125" t="str">
        <f>IF(Personal!$D$17="","",Personal!$D$17)</f>
        <v>Robin Lange</v>
      </c>
      <c r="C42" s="126">
        <f>IF(Personal!$D$17="","",N(Personal!$M$17)*(1+IF(MONTH(C$7)&gt;=Parameter!$C$28,Personal!$AN$17,0))*IFERROR(Personal!$Y$17/Personal!$R$17,0)+IF(MONTH(C$7)=Parameter!$C$29,N(Personal!$M$17)*N(Personal!$N$17)*N(Personal!$T$17),0))</f>
        <v>4200</v>
      </c>
      <c r="D42" s="126">
        <f>IF(Personal!$D$17="","",N(Personal!$M$17)*(1+IF(MONTH(D$7)&gt;=Parameter!$C$28,Personal!$AN$17,0))*IFERROR(Personal!$Z$17/Personal!$R$17,0)+IF(MONTH(D$7)=Parameter!$C$29,N(Personal!$M$17)*N(Personal!$N$17)*N(Personal!$T$17),0))</f>
        <v>4200</v>
      </c>
      <c r="E42" s="126">
        <f>IF(Personal!$D$17="","",N(Personal!$M$17)*(1+IF(MONTH(E$7)&gt;=Parameter!$C$28,Personal!$AN$17,0))*IFERROR(Personal!$AA$17/Personal!$R$17,0)+IF(MONTH(E$7)=Parameter!$C$29,N(Personal!$M$17)*N(Personal!$N$17)*N(Personal!$T$17),0))</f>
        <v>4200</v>
      </c>
      <c r="F42" s="126">
        <f>IF(Personal!$D$17="","",N(Personal!$M$17)*(1+IF(MONTH(F$7)&gt;=Parameter!$C$28,Personal!$AN$17,0))*IFERROR(Personal!$AB$17/Personal!$R$17,0)+IF(MONTH(F$7)=Parameter!$C$29,N(Personal!$M$17)*N(Personal!$N$17)*N(Personal!$T$17),0))</f>
        <v>4326</v>
      </c>
      <c r="G42" s="126">
        <f>IF(Personal!$D$17="","",N(Personal!$M$17)*(1+IF(MONTH(G$7)&gt;=Parameter!$C$28,Personal!$AN$17,0))*IFERROR(Personal!$AC$17/Personal!$R$17,0)+IF(MONTH(G$7)=Parameter!$C$29,N(Personal!$M$17)*N(Personal!$N$17)*N(Personal!$T$17),0))</f>
        <v>4326</v>
      </c>
      <c r="H42" s="126">
        <f>IF(Personal!$D$17="","",N(Personal!$M$17)*(1+IF(MONTH(H$7)&gt;=Parameter!$C$28,Personal!$AN$17,0))*IFERROR(Personal!$AD$17/Personal!$R$17,0)+IF(MONTH(H$7)=Parameter!$C$29,N(Personal!$M$17)*N(Personal!$N$17)*N(Personal!$T$17),0))</f>
        <v>4326</v>
      </c>
      <c r="I42" s="126">
        <f>IF(Personal!$D$17="","",N(Personal!$M$17)*(1+IF(MONTH(I$7)&gt;=Parameter!$C$28,Personal!$AN$17,0))*IFERROR(Personal!$AE$17/Personal!$R$17,0)+IF(MONTH(I$7)=Parameter!$C$29,N(Personal!$M$17)*N(Personal!$N$17)*N(Personal!$T$17),0))</f>
        <v>4326</v>
      </c>
      <c r="J42" s="126">
        <f>IF(Personal!$D$17="","",N(Personal!$M$17)*(1+IF(MONTH(J$7)&gt;=Parameter!$C$28,Personal!$AN$17,0))*IFERROR(Personal!$AF$17/Personal!$R$17,0)+IF(MONTH(J$7)=Parameter!$C$29,N(Personal!$M$17)*N(Personal!$N$17)*N(Personal!$T$17),0))</f>
        <v>4326</v>
      </c>
      <c r="K42" s="126">
        <f>IF(Personal!$D$17="","",N(Personal!$M$17)*(1+IF(MONTH(K$7)&gt;=Parameter!$C$28,Personal!$AN$17,0))*IFERROR(Personal!$AG$17/Personal!$R$17,0)+IF(MONTH(K$7)=Parameter!$C$29,N(Personal!$M$17)*N(Personal!$N$17)*N(Personal!$T$17),0))</f>
        <v>4326</v>
      </c>
      <c r="L42" s="126">
        <f>IF(Personal!$D$17="","",N(Personal!$M$17)*(1+IF(MONTH(L$7)&gt;=Parameter!$C$28,Personal!$AN$17,0))*IFERROR(Personal!$AH$17/Personal!$R$17,0)+IF(MONTH(L$7)=Parameter!$C$29,N(Personal!$M$17)*N(Personal!$N$17)*N(Personal!$T$17),0))</f>
        <v>4326</v>
      </c>
      <c r="M42" s="126">
        <f>IF(Personal!$D$17="","",N(Personal!$M$17)*(1+IF(MONTH(M$7)&gt;=Parameter!$C$28,Personal!$AN$17,0))*IFERROR(Personal!$AI$17/Personal!$R$17,0)+IF(MONTH(M$7)=Parameter!$C$29,N(Personal!$M$17)*N(Personal!$N$17)*N(Personal!$T$17),0))</f>
        <v>8526</v>
      </c>
      <c r="N42" s="126">
        <f>IF(Personal!$D$17="","",N(Personal!$M$17)*(1+IF(MONTH(N$7)&gt;=Parameter!$C$28,Personal!$AN$17,0))*IFERROR(Personal!$AJ$17/Personal!$R$17,0)+IF(MONTH(N$7)=Parameter!$C$29,N(Personal!$M$17)*N(Personal!$N$17)*N(Personal!$T$17),0))</f>
        <v>4326</v>
      </c>
      <c r="O42" s="127">
        <f t="shared" si="9"/>
        <v>55734</v>
      </c>
      <c r="Q42" s="128">
        <f>IF(Personal!$D$17="","",MIN(C42,Parameter!$H$6)*Personal!$AO$17+MIN(C42,Parameter!$H$7)*Personal!$AP$17+C42*Personal!$AQ$17)</f>
        <v>1007.9999999999999</v>
      </c>
      <c r="R42" s="128">
        <f>IF(Personal!$D$17="","",MIN(D42,Parameter!$H$6)*Personal!$AO$17+MIN(D42,Parameter!$H$7)*Personal!$AP$17+D42*Personal!$AQ$17)</f>
        <v>1007.9999999999999</v>
      </c>
      <c r="S42" s="128">
        <f>IF(Personal!$D$17="","",MIN(E42,Parameter!$H$6)*Personal!$AO$17+MIN(E42,Parameter!$H$7)*Personal!$AP$17+E42*Personal!$AQ$17)</f>
        <v>1007.9999999999999</v>
      </c>
      <c r="T42" s="128">
        <f>IF(Personal!$D$17="","",MIN(F42,Parameter!$H$6)*Personal!$AO$17+MIN(F42,Parameter!$H$7)*Personal!$AP$17+F42*Personal!$AQ$17)</f>
        <v>1038.24</v>
      </c>
      <c r="U42" s="128">
        <f>IF(Personal!$D$17="","",MIN(G42,Parameter!$H$6)*Personal!$AO$17+MIN(G42,Parameter!$H$7)*Personal!$AP$17+G42*Personal!$AQ$17)</f>
        <v>1038.24</v>
      </c>
      <c r="V42" s="128">
        <f>IF(Personal!$D$17="","",MIN(H42,Parameter!$H$6)*Personal!$AO$17+MIN(H42,Parameter!$H$7)*Personal!$AP$17+H42*Personal!$AQ$17)</f>
        <v>1038.24</v>
      </c>
      <c r="W42" s="128">
        <f>IF(Personal!$D$17="","",MIN(I42,Parameter!$H$6)*Personal!$AO$17+MIN(I42,Parameter!$H$7)*Personal!$AP$17+I42*Personal!$AQ$17)</f>
        <v>1038.24</v>
      </c>
      <c r="X42" s="128">
        <f>IF(Personal!$D$17="","",MIN(J42,Parameter!$H$6)*Personal!$AO$17+MIN(J42,Parameter!$H$7)*Personal!$AP$17+J42*Personal!$AQ$17)</f>
        <v>1038.24</v>
      </c>
      <c r="Y42" s="128">
        <f>IF(Personal!$D$17="","",MIN(K42,Parameter!$H$6)*Personal!$AO$17+MIN(K42,Parameter!$H$7)*Personal!$AP$17+K42*Personal!$AQ$17)</f>
        <v>1038.24</v>
      </c>
      <c r="Z42" s="128">
        <f>IF(Personal!$D$17="","",MIN(L42,Parameter!$H$6)*Personal!$AO$17+MIN(L42,Parameter!$H$7)*Personal!$AP$17+L42*Personal!$AQ$17)</f>
        <v>1038.24</v>
      </c>
      <c r="AA42" s="128">
        <f>IF(Personal!$D$17="","",MIN(M42,Parameter!$H$6)*Personal!$AO$17+MIN(M42,Parameter!$H$7)*Personal!$AP$17+M42*Personal!$AQ$17)</f>
        <v>1819.3094999999998</v>
      </c>
      <c r="AB42" s="128">
        <f>IF(Personal!$D$17="","",MIN(N42,Parameter!$H$6)*Personal!$AO$17+MIN(N42,Parameter!$H$7)*Personal!$AP$17+N42*Personal!$AQ$17)</f>
        <v>1038.24</v>
      </c>
      <c r="AC42" s="127">
        <f t="shared" si="10"/>
        <v>13149.229499999998</v>
      </c>
      <c r="AD42" s="129">
        <f t="shared" si="11"/>
        <v>68883.229500000001</v>
      </c>
      <c r="AE42" s="130" t="str">
        <f>IF($B42="","",Personal!$E$17)</f>
        <v>Marketing</v>
      </c>
    </row>
    <row r="43" spans="2:31" ht="16.5" customHeight="1" x14ac:dyDescent="0.25">
      <c r="B43" s="125" t="str">
        <f>IF(Personal!$D$18="","",Personal!$D$18)</f>
        <v>Selina Hahn</v>
      </c>
      <c r="C43" s="126">
        <f>IF(Personal!$D$18="","",N(Personal!$M$18)*(1+IF(MONTH(C$7)&gt;=Parameter!$C$28,Personal!$AN$18,0))*IFERROR(Personal!$Y$18/Personal!$R$18,0)+IF(MONTH(C$7)=Parameter!$C$29,N(Personal!$M$18)*N(Personal!$N$18)*N(Personal!$T$18),0))</f>
        <v>4500</v>
      </c>
      <c r="D43" s="126">
        <f>IF(Personal!$D$18="","",N(Personal!$M$18)*(1+IF(MONTH(D$7)&gt;=Parameter!$C$28,Personal!$AN$18,0))*IFERROR(Personal!$Z$18/Personal!$R$18,0)+IF(MONTH(D$7)=Parameter!$C$29,N(Personal!$M$18)*N(Personal!$N$18)*N(Personal!$T$18),0))</f>
        <v>4500</v>
      </c>
      <c r="E43" s="126">
        <f>IF(Personal!$D$18="","",N(Personal!$M$18)*(1+IF(MONTH(E$7)&gt;=Parameter!$C$28,Personal!$AN$18,0))*IFERROR(Personal!$AA$18/Personal!$R$18,0)+IF(MONTH(E$7)=Parameter!$C$29,N(Personal!$M$18)*N(Personal!$N$18)*N(Personal!$T$18),0))</f>
        <v>4500</v>
      </c>
      <c r="F43" s="126">
        <f>IF(Personal!$D$18="","",N(Personal!$M$18)*(1+IF(MONTH(F$7)&gt;=Parameter!$C$28,Personal!$AN$18,0))*IFERROR(Personal!$AB$18/Personal!$R$18,0)+IF(MONTH(F$7)=Parameter!$C$29,N(Personal!$M$18)*N(Personal!$N$18)*N(Personal!$T$18),0))</f>
        <v>4635</v>
      </c>
      <c r="G43" s="126">
        <f>IF(Personal!$D$18="","",N(Personal!$M$18)*(1+IF(MONTH(G$7)&gt;=Parameter!$C$28,Personal!$AN$18,0))*IFERROR(Personal!$AC$18/Personal!$R$18,0)+IF(MONTH(G$7)=Parameter!$C$29,N(Personal!$M$18)*N(Personal!$N$18)*N(Personal!$T$18),0))</f>
        <v>4635</v>
      </c>
      <c r="H43" s="126">
        <f>IF(Personal!$D$18="","",N(Personal!$M$18)*(1+IF(MONTH(H$7)&gt;=Parameter!$C$28,Personal!$AN$18,0))*IFERROR(Personal!$AD$18/Personal!$R$18,0)+IF(MONTH(H$7)=Parameter!$C$29,N(Personal!$M$18)*N(Personal!$N$18)*N(Personal!$T$18),0))</f>
        <v>4635</v>
      </c>
      <c r="I43" s="126">
        <f>IF(Personal!$D$18="","",N(Personal!$M$18)*(1+IF(MONTH(I$7)&gt;=Parameter!$C$28,Personal!$AN$18,0))*IFERROR(Personal!$AE$18/Personal!$R$18,0)+IF(MONTH(I$7)=Parameter!$C$29,N(Personal!$M$18)*N(Personal!$N$18)*N(Personal!$T$18),0))</f>
        <v>4635</v>
      </c>
      <c r="J43" s="126">
        <f>IF(Personal!$D$18="","",N(Personal!$M$18)*(1+IF(MONTH(J$7)&gt;=Parameter!$C$28,Personal!$AN$18,0))*IFERROR(Personal!$AF$18/Personal!$R$18,0)+IF(MONTH(J$7)=Parameter!$C$29,N(Personal!$M$18)*N(Personal!$N$18)*N(Personal!$T$18),0))</f>
        <v>4635</v>
      </c>
      <c r="K43" s="126">
        <f>IF(Personal!$D$18="","",N(Personal!$M$18)*(1+IF(MONTH(K$7)&gt;=Parameter!$C$28,Personal!$AN$18,0))*IFERROR(Personal!$AG$18/Personal!$R$18,0)+IF(MONTH(K$7)=Parameter!$C$29,N(Personal!$M$18)*N(Personal!$N$18)*N(Personal!$T$18),0))</f>
        <v>4635</v>
      </c>
      <c r="L43" s="126">
        <f>IF(Personal!$D$18="","",N(Personal!$M$18)*(1+IF(MONTH(L$7)&gt;=Parameter!$C$28,Personal!$AN$18,0))*IFERROR(Personal!$AH$18/Personal!$R$18,0)+IF(MONTH(L$7)=Parameter!$C$29,N(Personal!$M$18)*N(Personal!$N$18)*N(Personal!$T$18),0))</f>
        <v>4635</v>
      </c>
      <c r="M43" s="126">
        <f>IF(Personal!$D$18="","",N(Personal!$M$18)*(1+IF(MONTH(M$7)&gt;=Parameter!$C$28,Personal!$AN$18,0))*IFERROR(Personal!$AI$18/Personal!$R$18,0)+IF(MONTH(M$7)=Parameter!$C$29,N(Personal!$M$18)*N(Personal!$N$18)*N(Personal!$T$18),0))</f>
        <v>9135</v>
      </c>
      <c r="N43" s="126">
        <f>IF(Personal!$D$18="","",N(Personal!$M$18)*(1+IF(MONTH(N$7)&gt;=Parameter!$C$28,Personal!$AN$18,0))*IFERROR(Personal!$AJ$18/Personal!$R$18,0)+IF(MONTH(N$7)=Parameter!$C$29,N(Personal!$M$18)*N(Personal!$N$18)*N(Personal!$T$18),0))</f>
        <v>4635</v>
      </c>
      <c r="O43" s="127">
        <f t="shared" si="9"/>
        <v>59715</v>
      </c>
      <c r="Q43" s="128">
        <f>IF(Personal!$D$18="","",MIN(C43,Parameter!$H$6)*Personal!$AO$18+MIN(C43,Parameter!$H$7)*Personal!$AP$18+C43*Personal!$AQ$18)</f>
        <v>1080</v>
      </c>
      <c r="R43" s="128">
        <f>IF(Personal!$D$18="","",MIN(D43,Parameter!$H$6)*Personal!$AO$18+MIN(D43,Parameter!$H$7)*Personal!$AP$18+D43*Personal!$AQ$18)</f>
        <v>1080</v>
      </c>
      <c r="S43" s="128">
        <f>IF(Personal!$D$18="","",MIN(E43,Parameter!$H$6)*Personal!$AO$18+MIN(E43,Parameter!$H$7)*Personal!$AP$18+E43*Personal!$AQ$18)</f>
        <v>1080</v>
      </c>
      <c r="T43" s="128">
        <f>IF(Personal!$D$18="","",MIN(F43,Parameter!$H$6)*Personal!$AO$18+MIN(F43,Parameter!$H$7)*Personal!$AP$18+F43*Personal!$AQ$18)</f>
        <v>1112.4000000000001</v>
      </c>
      <c r="U43" s="128">
        <f>IF(Personal!$D$18="","",MIN(G43,Parameter!$H$6)*Personal!$AO$18+MIN(G43,Parameter!$H$7)*Personal!$AP$18+G43*Personal!$AQ$18)</f>
        <v>1112.4000000000001</v>
      </c>
      <c r="V43" s="128">
        <f>IF(Personal!$D$18="","",MIN(H43,Parameter!$H$6)*Personal!$AO$18+MIN(H43,Parameter!$H$7)*Personal!$AP$18+H43*Personal!$AQ$18)</f>
        <v>1112.4000000000001</v>
      </c>
      <c r="W43" s="128">
        <f>IF(Personal!$D$18="","",MIN(I43,Parameter!$H$6)*Personal!$AO$18+MIN(I43,Parameter!$H$7)*Personal!$AP$18+I43*Personal!$AQ$18)</f>
        <v>1112.4000000000001</v>
      </c>
      <c r="X43" s="128">
        <f>IF(Personal!$D$18="","",MIN(J43,Parameter!$H$6)*Personal!$AO$18+MIN(J43,Parameter!$H$7)*Personal!$AP$18+J43*Personal!$AQ$18)</f>
        <v>1112.4000000000001</v>
      </c>
      <c r="Y43" s="128">
        <f>IF(Personal!$D$18="","",MIN(K43,Parameter!$H$6)*Personal!$AO$18+MIN(K43,Parameter!$H$7)*Personal!$AP$18+K43*Personal!$AQ$18)</f>
        <v>1112.4000000000001</v>
      </c>
      <c r="Z43" s="128">
        <f>IF(Personal!$D$18="","",MIN(L43,Parameter!$H$6)*Personal!$AO$18+MIN(L43,Parameter!$H$7)*Personal!$AP$18+L43*Personal!$AQ$18)</f>
        <v>1112.4000000000001</v>
      </c>
      <c r="AA43" s="128">
        <f>IF(Personal!$D$18="","",MIN(M43,Parameter!$H$6)*Personal!$AO$18+MIN(M43,Parameter!$H$7)*Personal!$AP$18+M43*Personal!$AQ$18)</f>
        <v>1866.3074999999999</v>
      </c>
      <c r="AB43" s="128">
        <f>IF(Personal!$D$18="","",MIN(N43,Parameter!$H$6)*Personal!$AO$18+MIN(N43,Parameter!$H$7)*Personal!$AP$18+N43*Personal!$AQ$18)</f>
        <v>1112.4000000000001</v>
      </c>
      <c r="AC43" s="127">
        <f t="shared" si="10"/>
        <v>14005.507499999998</v>
      </c>
      <c r="AD43" s="129">
        <f t="shared" si="11"/>
        <v>73720.507499999992</v>
      </c>
      <c r="AE43" s="130" t="str">
        <f>IF($B43="","",Personal!$E$18)</f>
        <v>Marketing</v>
      </c>
    </row>
    <row r="44" spans="2:31" ht="16.5" customHeight="1" x14ac:dyDescent="0.25">
      <c r="B44" s="125" t="str">
        <f>IF(Personal!$D$19="","",Personal!$D$19)</f>
        <v>Noah Bergmann</v>
      </c>
      <c r="C44" s="126">
        <f>IF(Personal!$D$19="","",N(Personal!$M$19)*(1+IF(MONTH(C$7)&gt;=Parameter!$C$28,Personal!$AN$19,0))*IFERROR(Personal!$Y$19/Personal!$R$19,0)+IF(MONTH(C$7)=Parameter!$C$29,N(Personal!$M$19)*N(Personal!$N$19)*N(Personal!$T$19),0))</f>
        <v>1500</v>
      </c>
      <c r="D44" s="126">
        <f>IF(Personal!$D$19="","",N(Personal!$M$19)*(1+IF(MONTH(D$7)&gt;=Parameter!$C$28,Personal!$AN$19,0))*IFERROR(Personal!$Z$19/Personal!$R$19,0)+IF(MONTH(D$7)=Parameter!$C$29,N(Personal!$M$19)*N(Personal!$N$19)*N(Personal!$T$19),0))</f>
        <v>1500</v>
      </c>
      <c r="E44" s="126">
        <f>IF(Personal!$D$19="","",N(Personal!$M$19)*(1+IF(MONTH(E$7)&gt;=Parameter!$C$28,Personal!$AN$19,0))*IFERROR(Personal!$AA$19/Personal!$R$19,0)+IF(MONTH(E$7)=Parameter!$C$29,N(Personal!$M$19)*N(Personal!$N$19)*N(Personal!$T$19),0))</f>
        <v>1500</v>
      </c>
      <c r="F44" s="126">
        <f>IF(Personal!$D$19="","",N(Personal!$M$19)*(1+IF(MONTH(F$7)&gt;=Parameter!$C$28,Personal!$AN$19,0))*IFERROR(Personal!$AB$19/Personal!$R$19,0)+IF(MONTH(F$7)=Parameter!$C$29,N(Personal!$M$19)*N(Personal!$N$19)*N(Personal!$T$19),0))</f>
        <v>1500</v>
      </c>
      <c r="G44" s="126">
        <f>IF(Personal!$D$19="","",N(Personal!$M$19)*(1+IF(MONTH(G$7)&gt;=Parameter!$C$28,Personal!$AN$19,0))*IFERROR(Personal!$AC$19/Personal!$R$19,0)+IF(MONTH(G$7)=Parameter!$C$29,N(Personal!$M$19)*N(Personal!$N$19)*N(Personal!$T$19),0))</f>
        <v>1500</v>
      </c>
      <c r="H44" s="126">
        <f>IF(Personal!$D$19="","",N(Personal!$M$19)*(1+IF(MONTH(H$7)&gt;=Parameter!$C$28,Personal!$AN$19,0))*IFERROR(Personal!$AD$19/Personal!$R$19,0)+IF(MONTH(H$7)=Parameter!$C$29,N(Personal!$M$19)*N(Personal!$N$19)*N(Personal!$T$19),0))</f>
        <v>1500</v>
      </c>
      <c r="I44" s="126">
        <f>IF(Personal!$D$19="","",N(Personal!$M$19)*(1+IF(MONTH(I$7)&gt;=Parameter!$C$28,Personal!$AN$19,0))*IFERROR(Personal!$AE$19/Personal!$R$19,0)+IF(MONTH(I$7)=Parameter!$C$29,N(Personal!$M$19)*N(Personal!$N$19)*N(Personal!$T$19),0))</f>
        <v>1500</v>
      </c>
      <c r="J44" s="126">
        <f>IF(Personal!$D$19="","",N(Personal!$M$19)*(1+IF(MONTH(J$7)&gt;=Parameter!$C$28,Personal!$AN$19,0))*IFERROR(Personal!$AF$19/Personal!$R$19,0)+IF(MONTH(J$7)=Parameter!$C$29,N(Personal!$M$19)*N(Personal!$N$19)*N(Personal!$T$19),0))</f>
        <v>1500</v>
      </c>
      <c r="K44" s="126">
        <f>IF(Personal!$D$19="","",N(Personal!$M$19)*(1+IF(MONTH(K$7)&gt;=Parameter!$C$28,Personal!$AN$19,0))*IFERROR(Personal!$AG$19/Personal!$R$19,0)+IF(MONTH(K$7)=Parameter!$C$29,N(Personal!$M$19)*N(Personal!$N$19)*N(Personal!$T$19),0))</f>
        <v>1500</v>
      </c>
      <c r="L44" s="126">
        <f>IF(Personal!$D$19="","",N(Personal!$M$19)*(1+IF(MONTH(L$7)&gt;=Parameter!$C$28,Personal!$AN$19,0))*IFERROR(Personal!$AH$19/Personal!$R$19,0)+IF(MONTH(L$7)=Parameter!$C$29,N(Personal!$M$19)*N(Personal!$N$19)*N(Personal!$T$19),0))</f>
        <v>1500</v>
      </c>
      <c r="M44" s="126">
        <f>IF(Personal!$D$19="","",N(Personal!$M$19)*(1+IF(MONTH(M$7)&gt;=Parameter!$C$28,Personal!$AN$19,0))*IFERROR(Personal!$AI$19/Personal!$R$19,0)+IF(MONTH(M$7)=Parameter!$C$29,N(Personal!$M$19)*N(Personal!$N$19)*N(Personal!$T$19),0))</f>
        <v>1500</v>
      </c>
      <c r="N44" s="126">
        <f>IF(Personal!$D$19="","",N(Personal!$M$19)*(1+IF(MONTH(N$7)&gt;=Parameter!$C$28,Personal!$AN$19,0))*IFERROR(Personal!$AJ$19/Personal!$R$19,0)+IF(MONTH(N$7)=Parameter!$C$29,N(Personal!$M$19)*N(Personal!$N$19)*N(Personal!$T$19),0))</f>
        <v>1500</v>
      </c>
      <c r="O44" s="127">
        <f t="shared" si="9"/>
        <v>18000</v>
      </c>
      <c r="Q44" s="128">
        <f>IF(Personal!$D$19="","",MIN(C44,Parameter!$H$6)*Personal!$AO$19+MIN(C44,Parameter!$H$7)*Personal!$AP$19+C44*Personal!$AQ$19)</f>
        <v>182.25</v>
      </c>
      <c r="R44" s="128">
        <f>IF(Personal!$D$19="","",MIN(D44,Parameter!$H$6)*Personal!$AO$19+MIN(D44,Parameter!$H$7)*Personal!$AP$19+D44*Personal!$AQ$19)</f>
        <v>182.25</v>
      </c>
      <c r="S44" s="128">
        <f>IF(Personal!$D$19="","",MIN(E44,Parameter!$H$6)*Personal!$AO$19+MIN(E44,Parameter!$H$7)*Personal!$AP$19+E44*Personal!$AQ$19)</f>
        <v>182.25</v>
      </c>
      <c r="T44" s="128">
        <f>IF(Personal!$D$19="","",MIN(F44,Parameter!$H$6)*Personal!$AO$19+MIN(F44,Parameter!$H$7)*Personal!$AP$19+F44*Personal!$AQ$19)</f>
        <v>182.25</v>
      </c>
      <c r="U44" s="128">
        <f>IF(Personal!$D$19="","",MIN(G44,Parameter!$H$6)*Personal!$AO$19+MIN(G44,Parameter!$H$7)*Personal!$AP$19+G44*Personal!$AQ$19)</f>
        <v>182.25</v>
      </c>
      <c r="V44" s="128">
        <f>IF(Personal!$D$19="","",MIN(H44,Parameter!$H$6)*Personal!$AO$19+MIN(H44,Parameter!$H$7)*Personal!$AP$19+H44*Personal!$AQ$19)</f>
        <v>182.25</v>
      </c>
      <c r="W44" s="128">
        <f>IF(Personal!$D$19="","",MIN(I44,Parameter!$H$6)*Personal!$AO$19+MIN(I44,Parameter!$H$7)*Personal!$AP$19+I44*Personal!$AQ$19)</f>
        <v>182.25</v>
      </c>
      <c r="X44" s="128">
        <f>IF(Personal!$D$19="","",MIN(J44,Parameter!$H$6)*Personal!$AO$19+MIN(J44,Parameter!$H$7)*Personal!$AP$19+J44*Personal!$AQ$19)</f>
        <v>182.25</v>
      </c>
      <c r="Y44" s="128">
        <f>IF(Personal!$D$19="","",MIN(K44,Parameter!$H$6)*Personal!$AO$19+MIN(K44,Parameter!$H$7)*Personal!$AP$19+K44*Personal!$AQ$19)</f>
        <v>182.25</v>
      </c>
      <c r="Z44" s="128">
        <f>IF(Personal!$D$19="","",MIN(L44,Parameter!$H$6)*Personal!$AO$19+MIN(L44,Parameter!$H$7)*Personal!$AP$19+L44*Personal!$AQ$19)</f>
        <v>182.25</v>
      </c>
      <c r="AA44" s="128">
        <f>IF(Personal!$D$19="","",MIN(M44,Parameter!$H$6)*Personal!$AO$19+MIN(M44,Parameter!$H$7)*Personal!$AP$19+M44*Personal!$AQ$19)</f>
        <v>182.25</v>
      </c>
      <c r="AB44" s="128">
        <f>IF(Personal!$D$19="","",MIN(N44,Parameter!$H$6)*Personal!$AO$19+MIN(N44,Parameter!$H$7)*Personal!$AP$19+N44*Personal!$AQ$19)</f>
        <v>182.25</v>
      </c>
      <c r="AC44" s="127">
        <f t="shared" si="10"/>
        <v>2187</v>
      </c>
      <c r="AD44" s="129">
        <f t="shared" si="11"/>
        <v>20187</v>
      </c>
      <c r="AE44" s="130" t="str">
        <f>IF($B44="","",Personal!$E$19)</f>
        <v>Marketing</v>
      </c>
    </row>
    <row r="45" spans="2:31" ht="16.5" customHeight="1" x14ac:dyDescent="0.25">
      <c r="B45" s="125" t="str">
        <f>IF(Personal!$D$20="","",Personal!$D$20)</f>
        <v>Markus Zimmer</v>
      </c>
      <c r="C45" s="126">
        <f>IF(Personal!$D$20="","",N(Personal!$M$20)*(1+IF(MONTH(C$7)&gt;=Parameter!$C$28,Personal!$AN$20,0))*IFERROR(Personal!$Y$20/Personal!$R$20,0)+IF(MONTH(C$7)=Parameter!$C$29,N(Personal!$M$20)*N(Personal!$N$20)*N(Personal!$T$20),0))</f>
        <v>6500</v>
      </c>
      <c r="D45" s="126">
        <f>IF(Personal!$D$20="","",N(Personal!$M$20)*(1+IF(MONTH(D$7)&gt;=Parameter!$C$28,Personal!$AN$20,0))*IFERROR(Personal!$Z$20/Personal!$R$20,0)+IF(MONTH(D$7)=Parameter!$C$29,N(Personal!$M$20)*N(Personal!$N$20)*N(Personal!$T$20),0))</f>
        <v>6500</v>
      </c>
      <c r="E45" s="126">
        <f>IF(Personal!$D$20="","",N(Personal!$M$20)*(1+IF(MONTH(E$7)&gt;=Parameter!$C$28,Personal!$AN$20,0))*IFERROR(Personal!$AA$20/Personal!$R$20,0)+IF(MONTH(E$7)=Parameter!$C$29,N(Personal!$M$20)*N(Personal!$N$20)*N(Personal!$T$20),0))</f>
        <v>6500</v>
      </c>
      <c r="F45" s="126">
        <f>IF(Personal!$D$20="","",N(Personal!$M$20)*(1+IF(MONTH(F$7)&gt;=Parameter!$C$28,Personal!$AN$20,0))*IFERROR(Personal!$AB$20/Personal!$R$20,0)+IF(MONTH(F$7)=Parameter!$C$29,N(Personal!$M$20)*N(Personal!$N$20)*N(Personal!$T$20),0))</f>
        <v>6695</v>
      </c>
      <c r="G45" s="126">
        <f>IF(Personal!$D$20="","",N(Personal!$M$20)*(1+IF(MONTH(G$7)&gt;=Parameter!$C$28,Personal!$AN$20,0))*IFERROR(Personal!$AC$20/Personal!$R$20,0)+IF(MONTH(G$7)=Parameter!$C$29,N(Personal!$M$20)*N(Personal!$N$20)*N(Personal!$T$20),0))</f>
        <v>6695</v>
      </c>
      <c r="H45" s="126">
        <f>IF(Personal!$D$20="","",N(Personal!$M$20)*(1+IF(MONTH(H$7)&gt;=Parameter!$C$28,Personal!$AN$20,0))*IFERROR(Personal!$AD$20/Personal!$R$20,0)+IF(MONTH(H$7)=Parameter!$C$29,N(Personal!$M$20)*N(Personal!$N$20)*N(Personal!$T$20),0))</f>
        <v>6695</v>
      </c>
      <c r="I45" s="126">
        <f>IF(Personal!$D$20="","",N(Personal!$M$20)*(1+IF(MONTH(I$7)&gt;=Parameter!$C$28,Personal!$AN$20,0))*IFERROR(Personal!$AE$20/Personal!$R$20,0)+IF(MONTH(I$7)=Parameter!$C$29,N(Personal!$M$20)*N(Personal!$N$20)*N(Personal!$T$20),0))</f>
        <v>6695</v>
      </c>
      <c r="J45" s="126">
        <f>IF(Personal!$D$20="","",N(Personal!$M$20)*(1+IF(MONTH(J$7)&gt;=Parameter!$C$28,Personal!$AN$20,0))*IFERROR(Personal!$AF$20/Personal!$R$20,0)+IF(MONTH(J$7)=Parameter!$C$29,N(Personal!$M$20)*N(Personal!$N$20)*N(Personal!$T$20),0))</f>
        <v>6695</v>
      </c>
      <c r="K45" s="126">
        <f>IF(Personal!$D$20="","",N(Personal!$M$20)*(1+IF(MONTH(K$7)&gt;=Parameter!$C$28,Personal!$AN$20,0))*IFERROR(Personal!$AG$20/Personal!$R$20,0)+IF(MONTH(K$7)=Parameter!$C$29,N(Personal!$M$20)*N(Personal!$N$20)*N(Personal!$T$20),0))</f>
        <v>6695</v>
      </c>
      <c r="L45" s="126">
        <f>IF(Personal!$D$20="","",N(Personal!$M$20)*(1+IF(MONTH(L$7)&gt;=Parameter!$C$28,Personal!$AN$20,0))*IFERROR(Personal!$AH$20/Personal!$R$20,0)+IF(MONTH(L$7)=Parameter!$C$29,N(Personal!$M$20)*N(Personal!$N$20)*N(Personal!$T$20),0))</f>
        <v>6695</v>
      </c>
      <c r="M45" s="126">
        <f>IF(Personal!$D$20="","",N(Personal!$M$20)*(1+IF(MONTH(M$7)&gt;=Parameter!$C$28,Personal!$AN$20,0))*IFERROR(Personal!$AI$20/Personal!$R$20,0)+IF(MONTH(M$7)=Parameter!$C$29,N(Personal!$M$20)*N(Personal!$N$20)*N(Personal!$T$20),0))</f>
        <v>9945</v>
      </c>
      <c r="N45" s="126">
        <f>IF(Personal!$D$20="","",N(Personal!$M$20)*(1+IF(MONTH(N$7)&gt;=Parameter!$C$28,Personal!$AN$20,0))*IFERROR(Personal!$AJ$20/Personal!$R$20,0)+IF(MONTH(N$7)=Parameter!$C$29,N(Personal!$M$20)*N(Personal!$N$20)*N(Personal!$T$20),0))</f>
        <v>6695</v>
      </c>
      <c r="O45" s="127">
        <f t="shared" si="9"/>
        <v>83005</v>
      </c>
      <c r="Q45" s="128">
        <f>IF(Personal!$D$20="","",MIN(C45,Parameter!$H$6)*Personal!$AO$20+MIN(C45,Parameter!$H$7)*Personal!$AP$20+C45*Personal!$AQ$20)</f>
        <v>1546.8125</v>
      </c>
      <c r="R45" s="128">
        <f>IF(Personal!$D$20="","",MIN(D45,Parameter!$H$6)*Personal!$AO$20+MIN(D45,Parameter!$H$7)*Personal!$AP$20+D45*Personal!$AQ$20)</f>
        <v>1546.8125</v>
      </c>
      <c r="S45" s="128">
        <f>IF(Personal!$D$20="","",MIN(E45,Parameter!$H$6)*Personal!$AO$20+MIN(E45,Parameter!$H$7)*Personal!$AP$20+E45*Personal!$AQ$20)</f>
        <v>1546.8125</v>
      </c>
      <c r="T45" s="128">
        <f>IF(Personal!$D$20="","",MIN(F45,Parameter!$H$6)*Personal!$AO$20+MIN(F45,Parameter!$H$7)*Personal!$AP$20+F45*Personal!$AQ$20)</f>
        <v>1573.0399999999997</v>
      </c>
      <c r="U45" s="128">
        <f>IF(Personal!$D$20="","",MIN(G45,Parameter!$H$6)*Personal!$AO$20+MIN(G45,Parameter!$H$7)*Personal!$AP$20+G45*Personal!$AQ$20)</f>
        <v>1573.0399999999997</v>
      </c>
      <c r="V45" s="128">
        <f>IF(Personal!$D$20="","",MIN(H45,Parameter!$H$6)*Personal!$AO$20+MIN(H45,Parameter!$H$7)*Personal!$AP$20+H45*Personal!$AQ$20)</f>
        <v>1573.0399999999997</v>
      </c>
      <c r="W45" s="128">
        <f>IF(Personal!$D$20="","",MIN(I45,Parameter!$H$6)*Personal!$AO$20+MIN(I45,Parameter!$H$7)*Personal!$AP$20+I45*Personal!$AQ$20)</f>
        <v>1573.0399999999997</v>
      </c>
      <c r="X45" s="128">
        <f>IF(Personal!$D$20="","",MIN(J45,Parameter!$H$6)*Personal!$AO$20+MIN(J45,Parameter!$H$7)*Personal!$AP$20+J45*Personal!$AQ$20)</f>
        <v>1573.0399999999997</v>
      </c>
      <c r="Y45" s="128">
        <f>IF(Personal!$D$20="","",MIN(K45,Parameter!$H$6)*Personal!$AO$20+MIN(K45,Parameter!$H$7)*Personal!$AP$20+K45*Personal!$AQ$20)</f>
        <v>1573.0399999999997</v>
      </c>
      <c r="Z45" s="128">
        <f>IF(Personal!$D$20="","",MIN(L45,Parameter!$H$6)*Personal!$AO$20+MIN(L45,Parameter!$H$7)*Personal!$AP$20+L45*Personal!$AQ$20)</f>
        <v>1573.0399999999997</v>
      </c>
      <c r="AA45" s="128">
        <f>IF(Personal!$D$20="","",MIN(M45,Parameter!$H$6)*Personal!$AO$20+MIN(M45,Parameter!$H$7)*Personal!$AP$20+M45*Personal!$AQ$20)</f>
        <v>1876.0274999999999</v>
      </c>
      <c r="AB45" s="128">
        <f>IF(Personal!$D$20="","",MIN(N45,Parameter!$H$6)*Personal!$AO$20+MIN(N45,Parameter!$H$7)*Personal!$AP$20+N45*Personal!$AQ$20)</f>
        <v>1573.0399999999997</v>
      </c>
      <c r="AC45" s="127">
        <f t="shared" si="10"/>
        <v>19100.784999999996</v>
      </c>
      <c r="AD45" s="129">
        <f t="shared" si="11"/>
        <v>102105.785</v>
      </c>
      <c r="AE45" s="130" t="str">
        <f>IF($B45="","",Personal!$E$20)</f>
        <v>Operations</v>
      </c>
    </row>
    <row r="46" spans="2:31" ht="16.5" customHeight="1" x14ac:dyDescent="0.25">
      <c r="B46" s="125" t="str">
        <f>IF(Personal!$D$21="","",Personal!$D$21)</f>
        <v>Petra Schuster</v>
      </c>
      <c r="C46" s="126">
        <f>IF(Personal!$D$21="","",N(Personal!$M$21)*(1+IF(MONTH(C$7)&gt;=Parameter!$C$28,Personal!$AN$21,0))*IFERROR(Personal!$Y$21/Personal!$R$21,0)+IF(MONTH(C$7)=Parameter!$C$29,N(Personal!$M$21)*N(Personal!$N$21)*N(Personal!$T$21),0))</f>
        <v>4800</v>
      </c>
      <c r="D46" s="126">
        <f>IF(Personal!$D$21="","",N(Personal!$M$21)*(1+IF(MONTH(D$7)&gt;=Parameter!$C$28,Personal!$AN$21,0))*IFERROR(Personal!$Z$21/Personal!$R$21,0)+IF(MONTH(D$7)=Parameter!$C$29,N(Personal!$M$21)*N(Personal!$N$21)*N(Personal!$T$21),0))</f>
        <v>4800</v>
      </c>
      <c r="E46" s="126">
        <f>IF(Personal!$D$21="","",N(Personal!$M$21)*(1+IF(MONTH(E$7)&gt;=Parameter!$C$28,Personal!$AN$21,0))*IFERROR(Personal!$AA$21/Personal!$R$21,0)+IF(MONTH(E$7)=Parameter!$C$29,N(Personal!$M$21)*N(Personal!$N$21)*N(Personal!$T$21),0))</f>
        <v>4800</v>
      </c>
      <c r="F46" s="126">
        <f>IF(Personal!$D$21="","",N(Personal!$M$21)*(1+IF(MONTH(F$7)&gt;=Parameter!$C$28,Personal!$AN$21,0))*IFERROR(Personal!$AB$21/Personal!$R$21,0)+IF(MONTH(F$7)=Parameter!$C$29,N(Personal!$M$21)*N(Personal!$N$21)*N(Personal!$T$21),0))</f>
        <v>4944</v>
      </c>
      <c r="G46" s="126">
        <f>IF(Personal!$D$21="","",N(Personal!$M$21)*(1+IF(MONTH(G$7)&gt;=Parameter!$C$28,Personal!$AN$21,0))*IFERROR(Personal!$AC$21/Personal!$R$21,0)+IF(MONTH(G$7)=Parameter!$C$29,N(Personal!$M$21)*N(Personal!$N$21)*N(Personal!$T$21),0))</f>
        <v>4944</v>
      </c>
      <c r="H46" s="126">
        <f>IF(Personal!$D$21="","",N(Personal!$M$21)*(1+IF(MONTH(H$7)&gt;=Parameter!$C$28,Personal!$AN$21,0))*IFERROR(Personal!$AD$21/Personal!$R$21,0)+IF(MONTH(H$7)=Parameter!$C$29,N(Personal!$M$21)*N(Personal!$N$21)*N(Personal!$T$21),0))</f>
        <v>4944</v>
      </c>
      <c r="I46" s="126">
        <f>IF(Personal!$D$21="","",N(Personal!$M$21)*(1+IF(MONTH(I$7)&gt;=Parameter!$C$28,Personal!$AN$21,0))*IFERROR(Personal!$AE$21/Personal!$R$21,0)+IF(MONTH(I$7)=Parameter!$C$29,N(Personal!$M$21)*N(Personal!$N$21)*N(Personal!$T$21),0))</f>
        <v>4944</v>
      </c>
      <c r="J46" s="126">
        <f>IF(Personal!$D$21="","",N(Personal!$M$21)*(1+IF(MONTH(J$7)&gt;=Parameter!$C$28,Personal!$AN$21,0))*IFERROR(Personal!$AF$21/Personal!$R$21,0)+IF(MONTH(J$7)=Parameter!$C$29,N(Personal!$M$21)*N(Personal!$N$21)*N(Personal!$T$21),0))</f>
        <v>4944</v>
      </c>
      <c r="K46" s="126">
        <f>IF(Personal!$D$21="","",N(Personal!$M$21)*(1+IF(MONTH(K$7)&gt;=Parameter!$C$28,Personal!$AN$21,0))*IFERROR(Personal!$AG$21/Personal!$R$21,0)+IF(MONTH(K$7)=Parameter!$C$29,N(Personal!$M$21)*N(Personal!$N$21)*N(Personal!$T$21),0))</f>
        <v>4944</v>
      </c>
      <c r="L46" s="126">
        <f>IF(Personal!$D$21="","",N(Personal!$M$21)*(1+IF(MONTH(L$7)&gt;=Parameter!$C$28,Personal!$AN$21,0))*IFERROR(Personal!$AH$21/Personal!$R$21,0)+IF(MONTH(L$7)=Parameter!$C$29,N(Personal!$M$21)*N(Personal!$N$21)*N(Personal!$T$21),0))</f>
        <v>4944</v>
      </c>
      <c r="M46" s="126">
        <f>IF(Personal!$D$21="","",N(Personal!$M$21)*(1+IF(MONTH(M$7)&gt;=Parameter!$C$28,Personal!$AN$21,0))*IFERROR(Personal!$AI$21/Personal!$R$21,0)+IF(MONTH(M$7)=Parameter!$C$29,N(Personal!$M$21)*N(Personal!$N$21)*N(Personal!$T$21),0))</f>
        <v>9744</v>
      </c>
      <c r="N46" s="126">
        <f>IF(Personal!$D$21="","",N(Personal!$M$21)*(1+IF(MONTH(N$7)&gt;=Parameter!$C$28,Personal!$AN$21,0))*IFERROR(Personal!$AJ$21/Personal!$R$21,0)+IF(MONTH(N$7)=Parameter!$C$29,N(Personal!$M$21)*N(Personal!$N$21)*N(Personal!$T$21),0))</f>
        <v>4944</v>
      </c>
      <c r="O46" s="127">
        <f t="shared" si="9"/>
        <v>63696</v>
      </c>
      <c r="Q46" s="128">
        <f>IF(Personal!$D$21="","",MIN(C46,Parameter!$H$6)*Personal!$AO$21+MIN(C46,Parameter!$H$7)*Personal!$AP$21+C46*Personal!$AQ$21)</f>
        <v>1152</v>
      </c>
      <c r="R46" s="128">
        <f>IF(Personal!$D$21="","",MIN(D46,Parameter!$H$6)*Personal!$AO$21+MIN(D46,Parameter!$H$7)*Personal!$AP$21+D46*Personal!$AQ$21)</f>
        <v>1152</v>
      </c>
      <c r="S46" s="128">
        <f>IF(Personal!$D$21="","",MIN(E46,Parameter!$H$6)*Personal!$AO$21+MIN(E46,Parameter!$H$7)*Personal!$AP$21+E46*Personal!$AQ$21)</f>
        <v>1152</v>
      </c>
      <c r="T46" s="128">
        <f>IF(Personal!$D$21="","",MIN(F46,Parameter!$H$6)*Personal!$AO$21+MIN(F46,Parameter!$H$7)*Personal!$AP$21+F46*Personal!$AQ$21)</f>
        <v>1186.56</v>
      </c>
      <c r="U46" s="128">
        <f>IF(Personal!$D$21="","",MIN(G46,Parameter!$H$6)*Personal!$AO$21+MIN(G46,Parameter!$H$7)*Personal!$AP$21+G46*Personal!$AQ$21)</f>
        <v>1186.56</v>
      </c>
      <c r="V46" s="128">
        <f>IF(Personal!$D$21="","",MIN(H46,Parameter!$H$6)*Personal!$AO$21+MIN(H46,Parameter!$H$7)*Personal!$AP$21+H46*Personal!$AQ$21)</f>
        <v>1186.56</v>
      </c>
      <c r="W46" s="128">
        <f>IF(Personal!$D$21="","",MIN(I46,Parameter!$H$6)*Personal!$AO$21+MIN(I46,Parameter!$H$7)*Personal!$AP$21+I46*Personal!$AQ$21)</f>
        <v>1186.56</v>
      </c>
      <c r="X46" s="128">
        <f>IF(Personal!$D$21="","",MIN(J46,Parameter!$H$6)*Personal!$AO$21+MIN(J46,Parameter!$H$7)*Personal!$AP$21+J46*Personal!$AQ$21)</f>
        <v>1186.56</v>
      </c>
      <c r="Y46" s="128">
        <f>IF(Personal!$D$21="","",MIN(K46,Parameter!$H$6)*Personal!$AO$21+MIN(K46,Parameter!$H$7)*Personal!$AP$21+K46*Personal!$AQ$21)</f>
        <v>1186.56</v>
      </c>
      <c r="Z46" s="128">
        <f>IF(Personal!$D$21="","",MIN(L46,Parameter!$H$6)*Personal!$AO$21+MIN(L46,Parameter!$H$7)*Personal!$AP$21+L46*Personal!$AQ$21)</f>
        <v>1186.56</v>
      </c>
      <c r="AA46" s="128">
        <f>IF(Personal!$D$21="","",MIN(M46,Parameter!$H$6)*Personal!$AO$21+MIN(M46,Parameter!$H$7)*Personal!$AP$21+M46*Personal!$AQ$21)</f>
        <v>1873.6154999999999</v>
      </c>
      <c r="AB46" s="128">
        <f>IF(Personal!$D$21="","",MIN(N46,Parameter!$H$6)*Personal!$AO$21+MIN(N46,Parameter!$H$7)*Personal!$AP$21+N46*Personal!$AQ$21)</f>
        <v>1186.56</v>
      </c>
      <c r="AC46" s="127">
        <f t="shared" si="10"/>
        <v>14822.095499999996</v>
      </c>
      <c r="AD46" s="129">
        <f t="shared" si="11"/>
        <v>78518.095499999996</v>
      </c>
      <c r="AE46" s="130" t="str">
        <f>IF($B46="","",Personal!$E$21)</f>
        <v>Operations</v>
      </c>
    </row>
    <row r="47" spans="2:31" ht="16.5" customHeight="1" x14ac:dyDescent="0.25">
      <c r="B47" s="125" t="str">
        <f>IF(Personal!$D$22="","",Personal!$D$22)</f>
        <v>Dennis Wagner</v>
      </c>
      <c r="C47" s="126">
        <f>IF(Personal!$D$22="","",N(Personal!$M$22)*(1+IF(MONTH(C$7)&gt;=Parameter!$C$28,Personal!$AN$22,0))*IFERROR(Personal!$Y$22/Personal!$R$22,0)+IF(MONTH(C$7)=Parameter!$C$29,N(Personal!$M$22)*N(Personal!$N$22)*N(Personal!$T$22),0))</f>
        <v>3800</v>
      </c>
      <c r="D47" s="126">
        <f>IF(Personal!$D$22="","",N(Personal!$M$22)*(1+IF(MONTH(D$7)&gt;=Parameter!$C$28,Personal!$AN$22,0))*IFERROR(Personal!$Z$22/Personal!$R$22,0)+IF(MONTH(D$7)=Parameter!$C$29,N(Personal!$M$22)*N(Personal!$N$22)*N(Personal!$T$22),0))</f>
        <v>3800</v>
      </c>
      <c r="E47" s="126">
        <f>IF(Personal!$D$22="","",N(Personal!$M$22)*(1+IF(MONTH(E$7)&gt;=Parameter!$C$28,Personal!$AN$22,0))*IFERROR(Personal!$AA$22/Personal!$R$22,0)+IF(MONTH(E$7)=Parameter!$C$29,N(Personal!$M$22)*N(Personal!$N$22)*N(Personal!$T$22),0))</f>
        <v>3800</v>
      </c>
      <c r="F47" s="126">
        <f>IF(Personal!$D$22="","",N(Personal!$M$22)*(1+IF(MONTH(F$7)&gt;=Parameter!$C$28,Personal!$AN$22,0))*IFERROR(Personal!$AB$22/Personal!$R$22,0)+IF(MONTH(F$7)=Parameter!$C$29,N(Personal!$M$22)*N(Personal!$N$22)*N(Personal!$T$22),0))</f>
        <v>3914</v>
      </c>
      <c r="G47" s="126">
        <f>IF(Personal!$D$22="","",N(Personal!$M$22)*(1+IF(MONTH(G$7)&gt;=Parameter!$C$28,Personal!$AN$22,0))*IFERROR(Personal!$AC$22/Personal!$R$22,0)+IF(MONTH(G$7)=Parameter!$C$29,N(Personal!$M$22)*N(Personal!$N$22)*N(Personal!$T$22),0))</f>
        <v>3914</v>
      </c>
      <c r="H47" s="126">
        <f>IF(Personal!$D$22="","",N(Personal!$M$22)*(1+IF(MONTH(H$7)&gt;=Parameter!$C$28,Personal!$AN$22,0))*IFERROR(Personal!$AD$22/Personal!$R$22,0)+IF(MONTH(H$7)=Parameter!$C$29,N(Personal!$M$22)*N(Personal!$N$22)*N(Personal!$T$22),0))</f>
        <v>3914</v>
      </c>
      <c r="I47" s="126">
        <f>IF(Personal!$D$22="","",N(Personal!$M$22)*(1+IF(MONTH(I$7)&gt;=Parameter!$C$28,Personal!$AN$22,0))*IFERROR(Personal!$AE$22/Personal!$R$22,0)+IF(MONTH(I$7)=Parameter!$C$29,N(Personal!$M$22)*N(Personal!$N$22)*N(Personal!$T$22),0))</f>
        <v>3914</v>
      </c>
      <c r="J47" s="126">
        <f>IF(Personal!$D$22="","",N(Personal!$M$22)*(1+IF(MONTH(J$7)&gt;=Parameter!$C$28,Personal!$AN$22,0))*IFERROR(Personal!$AF$22/Personal!$R$22,0)+IF(MONTH(J$7)=Parameter!$C$29,N(Personal!$M$22)*N(Personal!$N$22)*N(Personal!$T$22),0))</f>
        <v>3914</v>
      </c>
      <c r="K47" s="126">
        <f>IF(Personal!$D$22="","",N(Personal!$M$22)*(1+IF(MONTH(K$7)&gt;=Parameter!$C$28,Personal!$AN$22,0))*IFERROR(Personal!$AG$22/Personal!$R$22,0)+IF(MONTH(K$7)=Parameter!$C$29,N(Personal!$M$22)*N(Personal!$N$22)*N(Personal!$T$22),0))</f>
        <v>3914</v>
      </c>
      <c r="L47" s="126">
        <f>IF(Personal!$D$22="","",N(Personal!$M$22)*(1+IF(MONTH(L$7)&gt;=Parameter!$C$28,Personal!$AN$22,0))*IFERROR(Personal!$AH$22/Personal!$R$22,0)+IF(MONTH(L$7)=Parameter!$C$29,N(Personal!$M$22)*N(Personal!$N$22)*N(Personal!$T$22),0))</f>
        <v>3914</v>
      </c>
      <c r="M47" s="126">
        <f>IF(Personal!$D$22="","",N(Personal!$M$22)*(1+IF(MONTH(M$7)&gt;=Parameter!$C$28,Personal!$AN$22,0))*IFERROR(Personal!$AI$22/Personal!$R$22,0)+IF(MONTH(M$7)=Parameter!$C$29,N(Personal!$M$22)*N(Personal!$N$22)*N(Personal!$T$22),0))</f>
        <v>7714</v>
      </c>
      <c r="N47" s="126">
        <f>IF(Personal!$D$22="","",N(Personal!$M$22)*(1+IF(MONTH(N$7)&gt;=Parameter!$C$28,Personal!$AN$22,0))*IFERROR(Personal!$AJ$22/Personal!$R$22,0)+IF(MONTH(N$7)=Parameter!$C$29,N(Personal!$M$22)*N(Personal!$N$22)*N(Personal!$T$22),0))</f>
        <v>3914</v>
      </c>
      <c r="O47" s="127">
        <f t="shared" si="9"/>
        <v>50426</v>
      </c>
      <c r="Q47" s="128">
        <f>IF(Personal!$D$22="","",MIN(C47,Parameter!$H$6)*Personal!$AO$22+MIN(C47,Parameter!$H$7)*Personal!$AP$22+C47*Personal!$AQ$22)</f>
        <v>912</v>
      </c>
      <c r="R47" s="128">
        <f>IF(Personal!$D$22="","",MIN(D47,Parameter!$H$6)*Personal!$AO$22+MIN(D47,Parameter!$H$7)*Personal!$AP$22+D47*Personal!$AQ$22)</f>
        <v>912</v>
      </c>
      <c r="S47" s="128">
        <f>IF(Personal!$D$22="","",MIN(E47,Parameter!$H$6)*Personal!$AO$22+MIN(E47,Parameter!$H$7)*Personal!$AP$22+E47*Personal!$AQ$22)</f>
        <v>912</v>
      </c>
      <c r="T47" s="128">
        <f>IF(Personal!$D$22="","",MIN(F47,Parameter!$H$6)*Personal!$AO$22+MIN(F47,Parameter!$H$7)*Personal!$AP$22+F47*Personal!$AQ$22)</f>
        <v>939.3599999999999</v>
      </c>
      <c r="U47" s="128">
        <f>IF(Personal!$D$22="","",MIN(G47,Parameter!$H$6)*Personal!$AO$22+MIN(G47,Parameter!$H$7)*Personal!$AP$22+G47*Personal!$AQ$22)</f>
        <v>939.3599999999999</v>
      </c>
      <c r="V47" s="128">
        <f>IF(Personal!$D$22="","",MIN(H47,Parameter!$H$6)*Personal!$AO$22+MIN(H47,Parameter!$H$7)*Personal!$AP$22+H47*Personal!$AQ$22)</f>
        <v>939.3599999999999</v>
      </c>
      <c r="W47" s="128">
        <f>IF(Personal!$D$22="","",MIN(I47,Parameter!$H$6)*Personal!$AO$22+MIN(I47,Parameter!$H$7)*Personal!$AP$22+I47*Personal!$AQ$22)</f>
        <v>939.3599999999999</v>
      </c>
      <c r="X47" s="128">
        <f>IF(Personal!$D$22="","",MIN(J47,Parameter!$H$6)*Personal!$AO$22+MIN(J47,Parameter!$H$7)*Personal!$AP$22+J47*Personal!$AQ$22)</f>
        <v>939.3599999999999</v>
      </c>
      <c r="Y47" s="128">
        <f>IF(Personal!$D$22="","",MIN(K47,Parameter!$H$6)*Personal!$AO$22+MIN(K47,Parameter!$H$7)*Personal!$AP$22+K47*Personal!$AQ$22)</f>
        <v>939.3599999999999</v>
      </c>
      <c r="Z47" s="128">
        <f>IF(Personal!$D$22="","",MIN(L47,Parameter!$H$6)*Personal!$AO$22+MIN(L47,Parameter!$H$7)*Personal!$AP$22+L47*Personal!$AQ$22)</f>
        <v>939.3599999999999</v>
      </c>
      <c r="AA47" s="128">
        <f>IF(Personal!$D$22="","",MIN(M47,Parameter!$H$6)*Personal!$AO$22+MIN(M47,Parameter!$H$7)*Personal!$AP$22+M47*Personal!$AQ$22)</f>
        <v>1710.0955000000001</v>
      </c>
      <c r="AB47" s="128">
        <f>IF(Personal!$D$22="","",MIN(N47,Parameter!$H$6)*Personal!$AO$22+MIN(N47,Parameter!$H$7)*Personal!$AP$22+N47*Personal!$AQ$22)</f>
        <v>939.3599999999999</v>
      </c>
      <c r="AC47" s="127">
        <f t="shared" si="10"/>
        <v>11960.975499999999</v>
      </c>
      <c r="AD47" s="129">
        <f t="shared" si="11"/>
        <v>62386.9755</v>
      </c>
      <c r="AE47" s="130" t="str">
        <f>IF($B47="","",Personal!$E$22)</f>
        <v>Operations</v>
      </c>
    </row>
    <row r="48" spans="2:31" ht="16.5" customHeight="1" x14ac:dyDescent="0.25">
      <c r="B48" s="125" t="str">
        <f>IF(Personal!$D$23="","",Personal!$D$23)</f>
        <v>Jana Frank</v>
      </c>
      <c r="C48" s="126">
        <f>IF(Personal!$D$23="","",N(Personal!$M$23)*(1+IF(MONTH(C$7)&gt;=Parameter!$C$28,Personal!$AN$23,0))*IFERROR(Personal!$Y$23/Personal!$R$23,0)+IF(MONTH(C$7)=Parameter!$C$29,N(Personal!$M$23)*N(Personal!$N$23)*N(Personal!$T$23),0))</f>
        <v>3700</v>
      </c>
      <c r="D48" s="126">
        <f>IF(Personal!$D$23="","",N(Personal!$M$23)*(1+IF(MONTH(D$7)&gt;=Parameter!$C$28,Personal!$AN$23,0))*IFERROR(Personal!$Z$23/Personal!$R$23,0)+IF(MONTH(D$7)=Parameter!$C$29,N(Personal!$M$23)*N(Personal!$N$23)*N(Personal!$T$23),0))</f>
        <v>3700</v>
      </c>
      <c r="E48" s="126">
        <f>IF(Personal!$D$23="","",N(Personal!$M$23)*(1+IF(MONTH(E$7)&gt;=Parameter!$C$28,Personal!$AN$23,0))*IFERROR(Personal!$AA$23/Personal!$R$23,0)+IF(MONTH(E$7)=Parameter!$C$29,N(Personal!$M$23)*N(Personal!$N$23)*N(Personal!$T$23),0))</f>
        <v>3700</v>
      </c>
      <c r="F48" s="126">
        <f>IF(Personal!$D$23="","",N(Personal!$M$23)*(1+IF(MONTH(F$7)&gt;=Parameter!$C$28,Personal!$AN$23,0))*IFERROR(Personal!$AB$23/Personal!$R$23,0)+IF(MONTH(F$7)=Parameter!$C$29,N(Personal!$M$23)*N(Personal!$N$23)*N(Personal!$T$23),0))</f>
        <v>3811</v>
      </c>
      <c r="G48" s="126">
        <f>IF(Personal!$D$23="","",N(Personal!$M$23)*(1+IF(MONTH(G$7)&gt;=Parameter!$C$28,Personal!$AN$23,0))*IFERROR(Personal!$AC$23/Personal!$R$23,0)+IF(MONTH(G$7)=Parameter!$C$29,N(Personal!$M$23)*N(Personal!$N$23)*N(Personal!$T$23),0))</f>
        <v>3811</v>
      </c>
      <c r="H48" s="126">
        <f>IF(Personal!$D$23="","",N(Personal!$M$23)*(1+IF(MONTH(H$7)&gt;=Parameter!$C$28,Personal!$AN$23,0))*IFERROR(Personal!$AD$23/Personal!$R$23,0)+IF(MONTH(H$7)=Parameter!$C$29,N(Personal!$M$23)*N(Personal!$N$23)*N(Personal!$T$23),0))</f>
        <v>3811</v>
      </c>
      <c r="I48" s="126">
        <f>IF(Personal!$D$23="","",N(Personal!$M$23)*(1+IF(MONTH(I$7)&gt;=Parameter!$C$28,Personal!$AN$23,0))*IFERROR(Personal!$AE$23/Personal!$R$23,0)+IF(MONTH(I$7)=Parameter!$C$29,N(Personal!$M$23)*N(Personal!$N$23)*N(Personal!$T$23),0))</f>
        <v>3811</v>
      </c>
      <c r="J48" s="126">
        <f>IF(Personal!$D$23="","",N(Personal!$M$23)*(1+IF(MONTH(J$7)&gt;=Parameter!$C$28,Personal!$AN$23,0))*IFERROR(Personal!$AF$23/Personal!$R$23,0)+IF(MONTH(J$7)=Parameter!$C$29,N(Personal!$M$23)*N(Personal!$N$23)*N(Personal!$T$23),0))</f>
        <v>3811</v>
      </c>
      <c r="K48" s="126">
        <f>IF(Personal!$D$23="","",N(Personal!$M$23)*(1+IF(MONTH(K$7)&gt;=Parameter!$C$28,Personal!$AN$23,0))*IFERROR(Personal!$AG$23/Personal!$R$23,0)+IF(MONTH(K$7)=Parameter!$C$29,N(Personal!$M$23)*N(Personal!$N$23)*N(Personal!$T$23),0))</f>
        <v>3811</v>
      </c>
      <c r="L48" s="126">
        <f>IF(Personal!$D$23="","",N(Personal!$M$23)*(1+IF(MONTH(L$7)&gt;=Parameter!$C$28,Personal!$AN$23,0))*IFERROR(Personal!$AH$23/Personal!$R$23,0)+IF(MONTH(L$7)=Parameter!$C$29,N(Personal!$M$23)*N(Personal!$N$23)*N(Personal!$T$23),0))</f>
        <v>3811</v>
      </c>
      <c r="M48" s="126">
        <f>IF(Personal!$D$23="","",N(Personal!$M$23)*(1+IF(MONTH(M$7)&gt;=Parameter!$C$28,Personal!$AN$23,0))*IFERROR(Personal!$AI$23/Personal!$R$23,0)+IF(MONTH(M$7)=Parameter!$C$29,N(Personal!$M$23)*N(Personal!$N$23)*N(Personal!$T$23),0))</f>
        <v>7511</v>
      </c>
      <c r="N48" s="126">
        <f>IF(Personal!$D$23="","",N(Personal!$M$23)*(1+IF(MONTH(N$7)&gt;=Parameter!$C$28,Personal!$AN$23,0))*IFERROR(Personal!$AJ$23/Personal!$R$23,0)+IF(MONTH(N$7)=Parameter!$C$29,N(Personal!$M$23)*N(Personal!$N$23)*N(Personal!$T$23),0))</f>
        <v>3811</v>
      </c>
      <c r="O48" s="127">
        <f t="shared" si="9"/>
        <v>49099</v>
      </c>
      <c r="Q48" s="128">
        <f>IF(Personal!$D$23="","",MIN(C48,Parameter!$H$6)*Personal!$AO$23+MIN(C48,Parameter!$H$7)*Personal!$AP$23+C48*Personal!$AQ$23)</f>
        <v>887.99999999999989</v>
      </c>
      <c r="R48" s="128">
        <f>IF(Personal!$D$23="","",MIN(D48,Parameter!$H$6)*Personal!$AO$23+MIN(D48,Parameter!$H$7)*Personal!$AP$23+D48*Personal!$AQ$23)</f>
        <v>887.99999999999989</v>
      </c>
      <c r="S48" s="128">
        <f>IF(Personal!$D$23="","",MIN(E48,Parameter!$H$6)*Personal!$AO$23+MIN(E48,Parameter!$H$7)*Personal!$AP$23+E48*Personal!$AQ$23)</f>
        <v>887.99999999999989</v>
      </c>
      <c r="T48" s="128">
        <f>IF(Personal!$D$23="","",MIN(F48,Parameter!$H$6)*Personal!$AO$23+MIN(F48,Parameter!$H$7)*Personal!$AP$23+F48*Personal!$AQ$23)</f>
        <v>914.63999999999987</v>
      </c>
      <c r="U48" s="128">
        <f>IF(Personal!$D$23="","",MIN(G48,Parameter!$H$6)*Personal!$AO$23+MIN(G48,Parameter!$H$7)*Personal!$AP$23+G48*Personal!$AQ$23)</f>
        <v>914.63999999999987</v>
      </c>
      <c r="V48" s="128">
        <f>IF(Personal!$D$23="","",MIN(H48,Parameter!$H$6)*Personal!$AO$23+MIN(H48,Parameter!$H$7)*Personal!$AP$23+H48*Personal!$AQ$23)</f>
        <v>914.63999999999987</v>
      </c>
      <c r="W48" s="128">
        <f>IF(Personal!$D$23="","",MIN(I48,Parameter!$H$6)*Personal!$AO$23+MIN(I48,Parameter!$H$7)*Personal!$AP$23+I48*Personal!$AQ$23)</f>
        <v>914.63999999999987</v>
      </c>
      <c r="X48" s="128">
        <f>IF(Personal!$D$23="","",MIN(J48,Parameter!$H$6)*Personal!$AO$23+MIN(J48,Parameter!$H$7)*Personal!$AP$23+J48*Personal!$AQ$23)</f>
        <v>914.63999999999987</v>
      </c>
      <c r="Y48" s="128">
        <f>IF(Personal!$D$23="","",MIN(K48,Parameter!$H$6)*Personal!$AO$23+MIN(K48,Parameter!$H$7)*Personal!$AP$23+K48*Personal!$AQ$23)</f>
        <v>914.63999999999987</v>
      </c>
      <c r="Z48" s="128">
        <f>IF(Personal!$D$23="","",MIN(L48,Parameter!$H$6)*Personal!$AO$23+MIN(L48,Parameter!$H$7)*Personal!$AP$23+L48*Personal!$AQ$23)</f>
        <v>914.63999999999987</v>
      </c>
      <c r="AA48" s="128">
        <f>IF(Personal!$D$23="","",MIN(M48,Parameter!$H$6)*Personal!$AO$23+MIN(M48,Parameter!$H$7)*Personal!$AP$23+M48*Personal!$AQ$23)</f>
        <v>1682.7919999999999</v>
      </c>
      <c r="AB48" s="128">
        <f>IF(Personal!$D$23="","",MIN(N48,Parameter!$H$6)*Personal!$AO$23+MIN(N48,Parameter!$H$7)*Personal!$AP$23+N48*Personal!$AQ$23)</f>
        <v>914.63999999999987</v>
      </c>
      <c r="AC48" s="127">
        <f t="shared" si="10"/>
        <v>11663.911999999995</v>
      </c>
      <c r="AD48" s="129">
        <f t="shared" si="11"/>
        <v>60762.911999999997</v>
      </c>
      <c r="AE48" s="130" t="str">
        <f>IF($B48="","",Personal!$E$23)</f>
        <v>Operations</v>
      </c>
    </row>
    <row r="49" spans="2:31" ht="16.5" customHeight="1" x14ac:dyDescent="0.25">
      <c r="B49" s="125" t="str">
        <f>IF(Personal!$D$24="","",Personal!$D$24)</f>
        <v>Ali Kaya</v>
      </c>
      <c r="C49" s="126">
        <f>IF(Personal!$D$24="","",N(Personal!$M$24)*(1+IF(MONTH(C$7)&gt;=Parameter!$C$28,Personal!$AN$24,0))*IFERROR(Personal!$Y$24/Personal!$R$24,0)+IF(MONTH(C$7)=Parameter!$C$29,N(Personal!$M$24)*N(Personal!$N$24)*N(Personal!$T$24),0))</f>
        <v>3600</v>
      </c>
      <c r="D49" s="126">
        <f>IF(Personal!$D$24="","",N(Personal!$M$24)*(1+IF(MONTH(D$7)&gt;=Parameter!$C$28,Personal!$AN$24,0))*IFERROR(Personal!$Z$24/Personal!$R$24,0)+IF(MONTH(D$7)=Parameter!$C$29,N(Personal!$M$24)*N(Personal!$N$24)*N(Personal!$T$24),0))</f>
        <v>3600</v>
      </c>
      <c r="E49" s="126">
        <f>IF(Personal!$D$24="","",N(Personal!$M$24)*(1+IF(MONTH(E$7)&gt;=Parameter!$C$28,Personal!$AN$24,0))*IFERROR(Personal!$AA$24/Personal!$R$24,0)+IF(MONTH(E$7)=Parameter!$C$29,N(Personal!$M$24)*N(Personal!$N$24)*N(Personal!$T$24),0))</f>
        <v>3600</v>
      </c>
      <c r="F49" s="126">
        <f>IF(Personal!$D$24="","",N(Personal!$M$24)*(1+IF(MONTH(F$7)&gt;=Parameter!$C$28,Personal!$AN$24,0))*IFERROR(Personal!$AB$24/Personal!$R$24,0)+IF(MONTH(F$7)=Parameter!$C$29,N(Personal!$M$24)*N(Personal!$N$24)*N(Personal!$T$24),0))</f>
        <v>3708</v>
      </c>
      <c r="G49" s="126">
        <f>IF(Personal!$D$24="","",N(Personal!$M$24)*(1+IF(MONTH(G$7)&gt;=Parameter!$C$28,Personal!$AN$24,0))*IFERROR(Personal!$AC$24/Personal!$R$24,0)+IF(MONTH(G$7)=Parameter!$C$29,N(Personal!$M$24)*N(Personal!$N$24)*N(Personal!$T$24),0))</f>
        <v>3708</v>
      </c>
      <c r="H49" s="126">
        <f>IF(Personal!$D$24="","",N(Personal!$M$24)*(1+IF(MONTH(H$7)&gt;=Parameter!$C$28,Personal!$AN$24,0))*IFERROR(Personal!$AD$24/Personal!$R$24,0)+IF(MONTH(H$7)=Parameter!$C$29,N(Personal!$M$24)*N(Personal!$N$24)*N(Personal!$T$24),0))</f>
        <v>3708</v>
      </c>
      <c r="I49" s="126">
        <f>IF(Personal!$D$24="","",N(Personal!$M$24)*(1+IF(MONTH(I$7)&gt;=Parameter!$C$28,Personal!$AN$24,0))*IFERROR(Personal!$AE$24/Personal!$R$24,0)+IF(MONTH(I$7)=Parameter!$C$29,N(Personal!$M$24)*N(Personal!$N$24)*N(Personal!$T$24),0))</f>
        <v>3708</v>
      </c>
      <c r="J49" s="126">
        <f>IF(Personal!$D$24="","",N(Personal!$M$24)*(1+IF(MONTH(J$7)&gt;=Parameter!$C$28,Personal!$AN$24,0))*IFERROR(Personal!$AF$24/Personal!$R$24,0)+IF(MONTH(J$7)=Parameter!$C$29,N(Personal!$M$24)*N(Personal!$N$24)*N(Personal!$T$24),0))</f>
        <v>3708</v>
      </c>
      <c r="K49" s="126">
        <f>IF(Personal!$D$24="","",N(Personal!$M$24)*(1+IF(MONTH(K$7)&gt;=Parameter!$C$28,Personal!$AN$24,0))*IFERROR(Personal!$AG$24/Personal!$R$24,0)+IF(MONTH(K$7)=Parameter!$C$29,N(Personal!$M$24)*N(Personal!$N$24)*N(Personal!$T$24),0))</f>
        <v>3708</v>
      </c>
      <c r="L49" s="126">
        <f>IF(Personal!$D$24="","",N(Personal!$M$24)*(1+IF(MONTH(L$7)&gt;=Parameter!$C$28,Personal!$AN$24,0))*IFERROR(Personal!$AH$24/Personal!$R$24,0)+IF(MONTH(L$7)=Parameter!$C$29,N(Personal!$M$24)*N(Personal!$N$24)*N(Personal!$T$24),0))</f>
        <v>3708</v>
      </c>
      <c r="M49" s="126">
        <f>IF(Personal!$D$24="","",N(Personal!$M$24)*(1+IF(MONTH(M$7)&gt;=Parameter!$C$28,Personal!$AN$24,0))*IFERROR(Personal!$AI$24/Personal!$R$24,0)+IF(MONTH(M$7)=Parameter!$C$29,N(Personal!$M$24)*N(Personal!$N$24)*N(Personal!$T$24),0))</f>
        <v>7308</v>
      </c>
      <c r="N49" s="126">
        <f>IF(Personal!$D$24="","",N(Personal!$M$24)*(1+IF(MONTH(N$7)&gt;=Parameter!$C$28,Personal!$AN$24,0))*IFERROR(Personal!$AJ$24/Personal!$R$24,0)+IF(MONTH(N$7)=Parameter!$C$29,N(Personal!$M$24)*N(Personal!$N$24)*N(Personal!$T$24),0))</f>
        <v>3708</v>
      </c>
      <c r="O49" s="127">
        <f t="shared" si="9"/>
        <v>47772</v>
      </c>
      <c r="Q49" s="128">
        <f>IF(Personal!$D$24="","",MIN(C49,Parameter!$H$6)*Personal!$AO$24+MIN(C49,Parameter!$H$7)*Personal!$AP$24+C49*Personal!$AQ$24)</f>
        <v>864</v>
      </c>
      <c r="R49" s="128">
        <f>IF(Personal!$D$24="","",MIN(D49,Parameter!$H$6)*Personal!$AO$24+MIN(D49,Parameter!$H$7)*Personal!$AP$24+D49*Personal!$AQ$24)</f>
        <v>864</v>
      </c>
      <c r="S49" s="128">
        <f>IF(Personal!$D$24="","",MIN(E49,Parameter!$H$6)*Personal!$AO$24+MIN(E49,Parameter!$H$7)*Personal!$AP$24+E49*Personal!$AQ$24)</f>
        <v>864</v>
      </c>
      <c r="T49" s="128">
        <f>IF(Personal!$D$24="","",MIN(F49,Parameter!$H$6)*Personal!$AO$24+MIN(F49,Parameter!$H$7)*Personal!$AP$24+F49*Personal!$AQ$24)</f>
        <v>889.92</v>
      </c>
      <c r="U49" s="128">
        <f>IF(Personal!$D$24="","",MIN(G49,Parameter!$H$6)*Personal!$AO$24+MIN(G49,Parameter!$H$7)*Personal!$AP$24+G49*Personal!$AQ$24)</f>
        <v>889.92</v>
      </c>
      <c r="V49" s="128">
        <f>IF(Personal!$D$24="","",MIN(H49,Parameter!$H$6)*Personal!$AO$24+MIN(H49,Parameter!$H$7)*Personal!$AP$24+H49*Personal!$AQ$24)</f>
        <v>889.92</v>
      </c>
      <c r="W49" s="128">
        <f>IF(Personal!$D$24="","",MIN(I49,Parameter!$H$6)*Personal!$AO$24+MIN(I49,Parameter!$H$7)*Personal!$AP$24+I49*Personal!$AQ$24)</f>
        <v>889.92</v>
      </c>
      <c r="X49" s="128">
        <f>IF(Personal!$D$24="","",MIN(J49,Parameter!$H$6)*Personal!$AO$24+MIN(J49,Parameter!$H$7)*Personal!$AP$24+J49*Personal!$AQ$24)</f>
        <v>889.92</v>
      </c>
      <c r="Y49" s="128">
        <f>IF(Personal!$D$24="","",MIN(K49,Parameter!$H$6)*Personal!$AO$24+MIN(K49,Parameter!$H$7)*Personal!$AP$24+K49*Personal!$AQ$24)</f>
        <v>889.92</v>
      </c>
      <c r="Z49" s="128">
        <f>IF(Personal!$D$24="","",MIN(L49,Parameter!$H$6)*Personal!$AO$24+MIN(L49,Parameter!$H$7)*Personal!$AP$24+L49*Personal!$AQ$24)</f>
        <v>889.92</v>
      </c>
      <c r="AA49" s="128">
        <f>IF(Personal!$D$24="","",MIN(M49,Parameter!$H$6)*Personal!$AO$24+MIN(M49,Parameter!$H$7)*Personal!$AP$24+M49*Personal!$AQ$24)</f>
        <v>1655.4884999999999</v>
      </c>
      <c r="AB49" s="128">
        <f>IF(Personal!$D$24="","",MIN(N49,Parameter!$H$6)*Personal!$AO$24+MIN(N49,Parameter!$H$7)*Personal!$AP$24+N49*Personal!$AQ$24)</f>
        <v>889.92</v>
      </c>
      <c r="AC49" s="127">
        <f t="shared" si="10"/>
        <v>11366.8485</v>
      </c>
      <c r="AD49" s="129">
        <f t="shared" si="11"/>
        <v>59138.8485</v>
      </c>
      <c r="AE49" s="130" t="str">
        <f>IF($B49="","",Personal!$E$24)</f>
        <v>Operations</v>
      </c>
    </row>
    <row r="50" spans="2:31" ht="16.5" customHeight="1" x14ac:dyDescent="0.25">
      <c r="B50" s="125" t="str">
        <f>IF(Personal!$D$25="","",Personal!$D$25)</f>
        <v>Sabine Möller</v>
      </c>
      <c r="C50" s="126">
        <f>IF(Personal!$D$25="","",N(Personal!$M$25)*(1+IF(MONTH(C$7)&gt;=Parameter!$C$28,Personal!$AN$25,0))*IFERROR(Personal!$Y$25/Personal!$R$25,0)+IF(MONTH(C$7)=Parameter!$C$29,N(Personal!$M$25)*N(Personal!$N$25)*N(Personal!$T$25),0))</f>
        <v>2900</v>
      </c>
      <c r="D50" s="126">
        <f>IF(Personal!$D$25="","",N(Personal!$M$25)*(1+IF(MONTH(D$7)&gt;=Parameter!$C$28,Personal!$AN$25,0))*IFERROR(Personal!$Z$25/Personal!$R$25,0)+IF(MONTH(D$7)=Parameter!$C$29,N(Personal!$M$25)*N(Personal!$N$25)*N(Personal!$T$25),0))</f>
        <v>2900</v>
      </c>
      <c r="E50" s="126">
        <f>IF(Personal!$D$25="","",N(Personal!$M$25)*(1+IF(MONTH(E$7)&gt;=Parameter!$C$28,Personal!$AN$25,0))*IFERROR(Personal!$AA$25/Personal!$R$25,0)+IF(MONTH(E$7)=Parameter!$C$29,N(Personal!$M$25)*N(Personal!$N$25)*N(Personal!$T$25),0))</f>
        <v>2900</v>
      </c>
      <c r="F50" s="126">
        <f>IF(Personal!$D$25="","",N(Personal!$M$25)*(1+IF(MONTH(F$7)&gt;=Parameter!$C$28,Personal!$AN$25,0))*IFERROR(Personal!$AB$25/Personal!$R$25,0)+IF(MONTH(F$7)=Parameter!$C$29,N(Personal!$M$25)*N(Personal!$N$25)*N(Personal!$T$25),0))</f>
        <v>2987</v>
      </c>
      <c r="G50" s="126">
        <f>IF(Personal!$D$25="","",N(Personal!$M$25)*(1+IF(MONTH(G$7)&gt;=Parameter!$C$28,Personal!$AN$25,0))*IFERROR(Personal!$AC$25/Personal!$R$25,0)+IF(MONTH(G$7)=Parameter!$C$29,N(Personal!$M$25)*N(Personal!$N$25)*N(Personal!$T$25),0))</f>
        <v>2987</v>
      </c>
      <c r="H50" s="126">
        <f>IF(Personal!$D$25="","",N(Personal!$M$25)*(1+IF(MONTH(H$7)&gt;=Parameter!$C$28,Personal!$AN$25,0))*IFERROR(Personal!$AD$25/Personal!$R$25,0)+IF(MONTH(H$7)=Parameter!$C$29,N(Personal!$M$25)*N(Personal!$N$25)*N(Personal!$T$25),0))</f>
        <v>2987</v>
      </c>
      <c r="I50" s="126">
        <f>IF(Personal!$D$25="","",N(Personal!$M$25)*(1+IF(MONTH(I$7)&gt;=Parameter!$C$28,Personal!$AN$25,0))*IFERROR(Personal!$AE$25/Personal!$R$25,0)+IF(MONTH(I$7)=Parameter!$C$29,N(Personal!$M$25)*N(Personal!$N$25)*N(Personal!$T$25),0))</f>
        <v>2987</v>
      </c>
      <c r="J50" s="126">
        <f>IF(Personal!$D$25="","",N(Personal!$M$25)*(1+IF(MONTH(J$7)&gt;=Parameter!$C$28,Personal!$AN$25,0))*IFERROR(Personal!$AF$25/Personal!$R$25,0)+IF(MONTH(J$7)=Parameter!$C$29,N(Personal!$M$25)*N(Personal!$N$25)*N(Personal!$T$25),0))</f>
        <v>2987</v>
      </c>
      <c r="K50" s="126">
        <f>IF(Personal!$D$25="","",N(Personal!$M$25)*(1+IF(MONTH(K$7)&gt;=Parameter!$C$28,Personal!$AN$25,0))*IFERROR(Personal!$AG$25/Personal!$R$25,0)+IF(MONTH(K$7)=Parameter!$C$29,N(Personal!$M$25)*N(Personal!$N$25)*N(Personal!$T$25),0))</f>
        <v>2987</v>
      </c>
      <c r="L50" s="126">
        <f>IF(Personal!$D$25="","",N(Personal!$M$25)*(1+IF(MONTH(L$7)&gt;=Parameter!$C$28,Personal!$AN$25,0))*IFERROR(Personal!$AH$25/Personal!$R$25,0)+IF(MONTH(L$7)=Parameter!$C$29,N(Personal!$M$25)*N(Personal!$N$25)*N(Personal!$T$25),0))</f>
        <v>2987</v>
      </c>
      <c r="M50" s="126">
        <f>IF(Personal!$D$25="","",N(Personal!$M$25)*(1+IF(MONTH(M$7)&gt;=Parameter!$C$28,Personal!$AN$25,0))*IFERROR(Personal!$AI$25/Personal!$R$25,0)+IF(MONTH(M$7)=Parameter!$C$29,N(Personal!$M$25)*N(Personal!$N$25)*N(Personal!$T$25),0))</f>
        <v>5887</v>
      </c>
      <c r="N50" s="126">
        <f>IF(Personal!$D$25="","",N(Personal!$M$25)*(1+IF(MONTH(N$7)&gt;=Parameter!$C$28,Personal!$AN$25,0))*IFERROR(Personal!$AJ$25/Personal!$R$25,0)+IF(MONTH(N$7)=Parameter!$C$29,N(Personal!$M$25)*N(Personal!$N$25)*N(Personal!$T$25),0))</f>
        <v>2987</v>
      </c>
      <c r="O50" s="127">
        <f t="shared" si="9"/>
        <v>38483</v>
      </c>
      <c r="Q50" s="128">
        <f>IF(Personal!$D$25="","",MIN(C50,Parameter!$H$6)*Personal!$AO$25+MIN(C50,Parameter!$H$7)*Personal!$AP$25+C50*Personal!$AQ$25)</f>
        <v>696</v>
      </c>
      <c r="R50" s="128">
        <f>IF(Personal!$D$25="","",MIN(D50,Parameter!$H$6)*Personal!$AO$25+MIN(D50,Parameter!$H$7)*Personal!$AP$25+D50*Personal!$AQ$25)</f>
        <v>696</v>
      </c>
      <c r="S50" s="128">
        <f>IF(Personal!$D$25="","",MIN(E50,Parameter!$H$6)*Personal!$AO$25+MIN(E50,Parameter!$H$7)*Personal!$AP$25+E50*Personal!$AQ$25)</f>
        <v>696</v>
      </c>
      <c r="T50" s="128">
        <f>IF(Personal!$D$25="","",MIN(F50,Parameter!$H$6)*Personal!$AO$25+MIN(F50,Parameter!$H$7)*Personal!$AP$25+F50*Personal!$AQ$25)</f>
        <v>716.88</v>
      </c>
      <c r="U50" s="128">
        <f>IF(Personal!$D$25="","",MIN(G50,Parameter!$H$6)*Personal!$AO$25+MIN(G50,Parameter!$H$7)*Personal!$AP$25+G50*Personal!$AQ$25)</f>
        <v>716.88</v>
      </c>
      <c r="V50" s="128">
        <f>IF(Personal!$D$25="","",MIN(H50,Parameter!$H$6)*Personal!$AO$25+MIN(H50,Parameter!$H$7)*Personal!$AP$25+H50*Personal!$AQ$25)</f>
        <v>716.88</v>
      </c>
      <c r="W50" s="128">
        <f>IF(Personal!$D$25="","",MIN(I50,Parameter!$H$6)*Personal!$AO$25+MIN(I50,Parameter!$H$7)*Personal!$AP$25+I50*Personal!$AQ$25)</f>
        <v>716.88</v>
      </c>
      <c r="X50" s="128">
        <f>IF(Personal!$D$25="","",MIN(J50,Parameter!$H$6)*Personal!$AO$25+MIN(J50,Parameter!$H$7)*Personal!$AP$25+J50*Personal!$AQ$25)</f>
        <v>716.88</v>
      </c>
      <c r="Y50" s="128">
        <f>IF(Personal!$D$25="","",MIN(K50,Parameter!$H$6)*Personal!$AO$25+MIN(K50,Parameter!$H$7)*Personal!$AP$25+K50*Personal!$AQ$25)</f>
        <v>716.88</v>
      </c>
      <c r="Z50" s="128">
        <f>IF(Personal!$D$25="","",MIN(L50,Parameter!$H$6)*Personal!$AO$25+MIN(L50,Parameter!$H$7)*Personal!$AP$25+L50*Personal!$AQ$25)</f>
        <v>716.88</v>
      </c>
      <c r="AA50" s="128">
        <f>IF(Personal!$D$25="","",MIN(M50,Parameter!$H$6)*Personal!$AO$25+MIN(M50,Parameter!$H$7)*Personal!$AP$25+M50*Personal!$AQ$25)</f>
        <v>1412.8799999999999</v>
      </c>
      <c r="AB50" s="128">
        <f>IF(Personal!$D$25="","",MIN(N50,Parameter!$H$6)*Personal!$AO$25+MIN(N50,Parameter!$H$7)*Personal!$AP$25+N50*Personal!$AQ$25)</f>
        <v>716.88</v>
      </c>
      <c r="AC50" s="127">
        <f t="shared" si="10"/>
        <v>9235.92</v>
      </c>
      <c r="AD50" s="129">
        <f t="shared" si="11"/>
        <v>47718.92</v>
      </c>
      <c r="AE50" s="130" t="str">
        <f>IF($B50="","",Personal!$E$25)</f>
        <v>Operations</v>
      </c>
    </row>
    <row r="51" spans="2:31" ht="16.5" customHeight="1" x14ac:dyDescent="0.25">
      <c r="B51" s="125" t="str">
        <f>IF(Personal!$D$26="","",Personal!$D$26)</f>
        <v>Uwe Krüger</v>
      </c>
      <c r="C51" s="126">
        <f>IF(Personal!$D$26="","",N(Personal!$M$26)*(1+IF(MONTH(C$7)&gt;=Parameter!$C$28,Personal!$AN$26,0))*IFERROR(Personal!$Y$26/Personal!$R$26,0)+IF(MONTH(C$7)=Parameter!$C$29,N(Personal!$M$26)*N(Personal!$N$26)*N(Personal!$T$26),0))</f>
        <v>3500</v>
      </c>
      <c r="D51" s="126">
        <f>IF(Personal!$D$26="","",N(Personal!$M$26)*(1+IF(MONTH(D$7)&gt;=Parameter!$C$28,Personal!$AN$26,0))*IFERROR(Personal!$Z$26/Personal!$R$26,0)+IF(MONTH(D$7)=Parameter!$C$29,N(Personal!$M$26)*N(Personal!$N$26)*N(Personal!$T$26),0))</f>
        <v>3500</v>
      </c>
      <c r="E51" s="126">
        <f>IF(Personal!$D$26="","",N(Personal!$M$26)*(1+IF(MONTH(E$7)&gt;=Parameter!$C$28,Personal!$AN$26,0))*IFERROR(Personal!$AA$26/Personal!$R$26,0)+IF(MONTH(E$7)=Parameter!$C$29,N(Personal!$M$26)*N(Personal!$N$26)*N(Personal!$T$26),0))</f>
        <v>3500</v>
      </c>
      <c r="F51" s="126">
        <f>IF(Personal!$D$26="","",N(Personal!$M$26)*(1+IF(MONTH(F$7)&gt;=Parameter!$C$28,Personal!$AN$26,0))*IFERROR(Personal!$AB$26/Personal!$R$26,0)+IF(MONTH(F$7)=Parameter!$C$29,N(Personal!$M$26)*N(Personal!$N$26)*N(Personal!$T$26),0))</f>
        <v>0</v>
      </c>
      <c r="G51" s="126">
        <f>IF(Personal!$D$26="","",N(Personal!$M$26)*(1+IF(MONTH(G$7)&gt;=Parameter!$C$28,Personal!$AN$26,0))*IFERROR(Personal!$AC$26/Personal!$R$26,0)+IF(MONTH(G$7)=Parameter!$C$29,N(Personal!$M$26)*N(Personal!$N$26)*N(Personal!$T$26),0))</f>
        <v>0</v>
      </c>
      <c r="H51" s="126">
        <f>IF(Personal!$D$26="","",N(Personal!$M$26)*(1+IF(MONTH(H$7)&gt;=Parameter!$C$28,Personal!$AN$26,0))*IFERROR(Personal!$AD$26/Personal!$R$26,0)+IF(MONTH(H$7)=Parameter!$C$29,N(Personal!$M$26)*N(Personal!$N$26)*N(Personal!$T$26),0))</f>
        <v>0</v>
      </c>
      <c r="I51" s="126">
        <f>IF(Personal!$D$26="","",N(Personal!$M$26)*(1+IF(MONTH(I$7)&gt;=Parameter!$C$28,Personal!$AN$26,0))*IFERROR(Personal!$AE$26/Personal!$R$26,0)+IF(MONTH(I$7)=Parameter!$C$29,N(Personal!$M$26)*N(Personal!$N$26)*N(Personal!$T$26),0))</f>
        <v>0</v>
      </c>
      <c r="J51" s="126">
        <f>IF(Personal!$D$26="","",N(Personal!$M$26)*(1+IF(MONTH(J$7)&gt;=Parameter!$C$28,Personal!$AN$26,0))*IFERROR(Personal!$AF$26/Personal!$R$26,0)+IF(MONTH(J$7)=Parameter!$C$29,N(Personal!$M$26)*N(Personal!$N$26)*N(Personal!$T$26),0))</f>
        <v>0</v>
      </c>
      <c r="K51" s="126">
        <f>IF(Personal!$D$26="","",N(Personal!$M$26)*(1+IF(MONTH(K$7)&gt;=Parameter!$C$28,Personal!$AN$26,0))*IFERROR(Personal!$AG$26/Personal!$R$26,0)+IF(MONTH(K$7)=Parameter!$C$29,N(Personal!$M$26)*N(Personal!$N$26)*N(Personal!$T$26),0))</f>
        <v>0</v>
      </c>
      <c r="L51" s="126">
        <f>IF(Personal!$D$26="","",N(Personal!$M$26)*(1+IF(MONTH(L$7)&gt;=Parameter!$C$28,Personal!$AN$26,0))*IFERROR(Personal!$AH$26/Personal!$R$26,0)+IF(MONTH(L$7)=Parameter!$C$29,N(Personal!$M$26)*N(Personal!$N$26)*N(Personal!$T$26),0))</f>
        <v>0</v>
      </c>
      <c r="M51" s="126">
        <f>IF(Personal!$D$26="","",N(Personal!$M$26)*(1+IF(MONTH(M$7)&gt;=Parameter!$C$28,Personal!$AN$26,0))*IFERROR(Personal!$AI$26/Personal!$R$26,0)+IF(MONTH(M$7)=Parameter!$C$29,N(Personal!$M$26)*N(Personal!$N$26)*N(Personal!$T$26),0))</f>
        <v>863.0136986301369</v>
      </c>
      <c r="N51" s="126">
        <f>IF(Personal!$D$26="","",N(Personal!$M$26)*(1+IF(MONTH(N$7)&gt;=Parameter!$C$28,Personal!$AN$26,0))*IFERROR(Personal!$AJ$26/Personal!$R$26,0)+IF(MONTH(N$7)=Parameter!$C$29,N(Personal!$M$26)*N(Personal!$N$26)*N(Personal!$T$26),0))</f>
        <v>0</v>
      </c>
      <c r="O51" s="127">
        <f t="shared" si="9"/>
        <v>11363.013698630137</v>
      </c>
      <c r="Q51" s="128">
        <f>IF(Personal!$D$26="","",MIN(C51,Parameter!$H$6)*Personal!$AO$26+MIN(C51,Parameter!$H$7)*Personal!$AP$26+C51*Personal!$AQ$26)</f>
        <v>840</v>
      </c>
      <c r="R51" s="128">
        <f>IF(Personal!$D$26="","",MIN(D51,Parameter!$H$6)*Personal!$AO$26+MIN(D51,Parameter!$H$7)*Personal!$AP$26+D51*Personal!$AQ$26)</f>
        <v>840</v>
      </c>
      <c r="S51" s="128">
        <f>IF(Personal!$D$26="","",MIN(E51,Parameter!$H$6)*Personal!$AO$26+MIN(E51,Parameter!$H$7)*Personal!$AP$26+E51*Personal!$AQ$26)</f>
        <v>840</v>
      </c>
      <c r="T51" s="128">
        <f>IF(Personal!$D$26="","",MIN(F51,Parameter!$H$6)*Personal!$AO$26+MIN(F51,Parameter!$H$7)*Personal!$AP$26+F51*Personal!$AQ$26)</f>
        <v>0</v>
      </c>
      <c r="U51" s="128">
        <f>IF(Personal!$D$26="","",MIN(G51,Parameter!$H$6)*Personal!$AO$26+MIN(G51,Parameter!$H$7)*Personal!$AP$26+G51*Personal!$AQ$26)</f>
        <v>0</v>
      </c>
      <c r="V51" s="128">
        <f>IF(Personal!$D$26="","",MIN(H51,Parameter!$H$6)*Personal!$AO$26+MIN(H51,Parameter!$H$7)*Personal!$AP$26+H51*Personal!$AQ$26)</f>
        <v>0</v>
      </c>
      <c r="W51" s="128">
        <f>IF(Personal!$D$26="","",MIN(I51,Parameter!$H$6)*Personal!$AO$26+MIN(I51,Parameter!$H$7)*Personal!$AP$26+I51*Personal!$AQ$26)</f>
        <v>0</v>
      </c>
      <c r="X51" s="128">
        <f>IF(Personal!$D$26="","",MIN(J51,Parameter!$H$6)*Personal!$AO$26+MIN(J51,Parameter!$H$7)*Personal!$AP$26+J51*Personal!$AQ$26)</f>
        <v>0</v>
      </c>
      <c r="Y51" s="128">
        <f>IF(Personal!$D$26="","",MIN(K51,Parameter!$H$6)*Personal!$AO$26+MIN(K51,Parameter!$H$7)*Personal!$AP$26+K51*Personal!$AQ$26)</f>
        <v>0</v>
      </c>
      <c r="Z51" s="128">
        <f>IF(Personal!$D$26="","",MIN(L51,Parameter!$H$6)*Personal!$AO$26+MIN(L51,Parameter!$H$7)*Personal!$AP$26+L51*Personal!$AQ$26)</f>
        <v>0</v>
      </c>
      <c r="AA51" s="128">
        <f>IF(Personal!$D$26="","",MIN(M51,Parameter!$H$6)*Personal!$AO$26+MIN(M51,Parameter!$H$7)*Personal!$AP$26+M51*Personal!$AQ$26)</f>
        <v>207.12328767123284</v>
      </c>
      <c r="AB51" s="128">
        <f>IF(Personal!$D$26="","",MIN(N51,Parameter!$H$6)*Personal!$AO$26+MIN(N51,Parameter!$H$7)*Personal!$AP$26+N51*Personal!$AQ$26)</f>
        <v>0</v>
      </c>
      <c r="AC51" s="127">
        <f t="shared" si="10"/>
        <v>2727.1232876712329</v>
      </c>
      <c r="AD51" s="129">
        <f t="shared" si="11"/>
        <v>14090.13698630137</v>
      </c>
      <c r="AE51" s="130" t="str">
        <f>IF($B51="","",Personal!$E$26)</f>
        <v>Operations</v>
      </c>
    </row>
    <row r="52" spans="2:31" ht="16.5" customHeight="1" x14ac:dyDescent="0.25">
      <c r="B52" s="125" t="str">
        <f>IF(Personal!$D$27="","",Personal!$D$27)</f>
        <v>Gisela Pfeiffer</v>
      </c>
      <c r="C52" s="126">
        <f>IF(Personal!$D$27="","",N(Personal!$M$27)*(1+IF(MONTH(C$7)&gt;=Parameter!$C$28,Personal!$AN$27,0))*IFERROR(Personal!$Y$27/Personal!$R$27,0)+IF(MONTH(C$7)=Parameter!$C$29,N(Personal!$M$27)*N(Personal!$N$27)*N(Personal!$T$27),0))</f>
        <v>600</v>
      </c>
      <c r="D52" s="126">
        <f>IF(Personal!$D$27="","",N(Personal!$M$27)*(1+IF(MONTH(D$7)&gt;=Parameter!$C$28,Personal!$AN$27,0))*IFERROR(Personal!$Z$27/Personal!$R$27,0)+IF(MONTH(D$7)=Parameter!$C$29,N(Personal!$M$27)*N(Personal!$N$27)*N(Personal!$T$27),0))</f>
        <v>600</v>
      </c>
      <c r="E52" s="126">
        <f>IF(Personal!$D$27="","",N(Personal!$M$27)*(1+IF(MONTH(E$7)&gt;=Parameter!$C$28,Personal!$AN$27,0))*IFERROR(Personal!$AA$27/Personal!$R$27,0)+IF(MONTH(E$7)=Parameter!$C$29,N(Personal!$M$27)*N(Personal!$N$27)*N(Personal!$T$27),0))</f>
        <v>600</v>
      </c>
      <c r="F52" s="126">
        <f>IF(Personal!$D$27="","",N(Personal!$M$27)*(1+IF(MONTH(F$7)&gt;=Parameter!$C$28,Personal!$AN$27,0))*IFERROR(Personal!$AB$27/Personal!$R$27,0)+IF(MONTH(F$7)=Parameter!$C$29,N(Personal!$M$27)*N(Personal!$N$27)*N(Personal!$T$27),0))</f>
        <v>600</v>
      </c>
      <c r="G52" s="126">
        <f>IF(Personal!$D$27="","",N(Personal!$M$27)*(1+IF(MONTH(G$7)&gt;=Parameter!$C$28,Personal!$AN$27,0))*IFERROR(Personal!$AC$27/Personal!$R$27,0)+IF(MONTH(G$7)=Parameter!$C$29,N(Personal!$M$27)*N(Personal!$N$27)*N(Personal!$T$27),0))</f>
        <v>600</v>
      </c>
      <c r="H52" s="126">
        <f>IF(Personal!$D$27="","",N(Personal!$M$27)*(1+IF(MONTH(H$7)&gt;=Parameter!$C$28,Personal!$AN$27,0))*IFERROR(Personal!$AD$27/Personal!$R$27,0)+IF(MONTH(H$7)=Parameter!$C$29,N(Personal!$M$27)*N(Personal!$N$27)*N(Personal!$T$27),0))</f>
        <v>600</v>
      </c>
      <c r="I52" s="126">
        <f>IF(Personal!$D$27="","",N(Personal!$M$27)*(1+IF(MONTH(I$7)&gt;=Parameter!$C$28,Personal!$AN$27,0))*IFERROR(Personal!$AE$27/Personal!$R$27,0)+IF(MONTH(I$7)=Parameter!$C$29,N(Personal!$M$27)*N(Personal!$N$27)*N(Personal!$T$27),0))</f>
        <v>600</v>
      </c>
      <c r="J52" s="126">
        <f>IF(Personal!$D$27="","",N(Personal!$M$27)*(1+IF(MONTH(J$7)&gt;=Parameter!$C$28,Personal!$AN$27,0))*IFERROR(Personal!$AF$27/Personal!$R$27,0)+IF(MONTH(J$7)=Parameter!$C$29,N(Personal!$M$27)*N(Personal!$N$27)*N(Personal!$T$27),0))</f>
        <v>600</v>
      </c>
      <c r="K52" s="126">
        <f>IF(Personal!$D$27="","",N(Personal!$M$27)*(1+IF(MONTH(K$7)&gt;=Parameter!$C$28,Personal!$AN$27,0))*IFERROR(Personal!$AG$27/Personal!$R$27,0)+IF(MONTH(K$7)=Parameter!$C$29,N(Personal!$M$27)*N(Personal!$N$27)*N(Personal!$T$27),0))</f>
        <v>600</v>
      </c>
      <c r="L52" s="126">
        <f>IF(Personal!$D$27="","",N(Personal!$M$27)*(1+IF(MONTH(L$7)&gt;=Parameter!$C$28,Personal!$AN$27,0))*IFERROR(Personal!$AH$27/Personal!$R$27,0)+IF(MONTH(L$7)=Parameter!$C$29,N(Personal!$M$27)*N(Personal!$N$27)*N(Personal!$T$27),0))</f>
        <v>600</v>
      </c>
      <c r="M52" s="126">
        <f>IF(Personal!$D$27="","",N(Personal!$M$27)*(1+IF(MONTH(M$7)&gt;=Parameter!$C$28,Personal!$AN$27,0))*IFERROR(Personal!$AI$27/Personal!$R$27,0)+IF(MONTH(M$7)=Parameter!$C$29,N(Personal!$M$27)*N(Personal!$N$27)*N(Personal!$T$27),0))</f>
        <v>600</v>
      </c>
      <c r="N52" s="126">
        <f>IF(Personal!$D$27="","",N(Personal!$M$27)*(1+IF(MONTH(N$7)&gt;=Parameter!$C$28,Personal!$AN$27,0))*IFERROR(Personal!$AJ$27/Personal!$R$27,0)+IF(MONTH(N$7)=Parameter!$C$29,N(Personal!$M$27)*N(Personal!$N$27)*N(Personal!$T$27),0))</f>
        <v>600</v>
      </c>
      <c r="O52" s="127">
        <f t="shared" si="9"/>
        <v>7200</v>
      </c>
      <c r="Q52" s="128">
        <f>IF(Personal!$D$27="","",MIN(C52,Parameter!$H$6)*Personal!$AO$27+MIN(C52,Parameter!$H$7)*Personal!$AP$27+C52*Personal!$AQ$27)</f>
        <v>197.10000000000005</v>
      </c>
      <c r="R52" s="128">
        <f>IF(Personal!$D$27="","",MIN(D52,Parameter!$H$6)*Personal!$AO$27+MIN(D52,Parameter!$H$7)*Personal!$AP$27+D52*Personal!$AQ$27)</f>
        <v>197.10000000000005</v>
      </c>
      <c r="S52" s="128">
        <f>IF(Personal!$D$27="","",MIN(E52,Parameter!$H$6)*Personal!$AO$27+MIN(E52,Parameter!$H$7)*Personal!$AP$27+E52*Personal!$AQ$27)</f>
        <v>197.10000000000005</v>
      </c>
      <c r="T52" s="128">
        <f>IF(Personal!$D$27="","",MIN(F52,Parameter!$H$6)*Personal!$AO$27+MIN(F52,Parameter!$H$7)*Personal!$AP$27+F52*Personal!$AQ$27)</f>
        <v>197.10000000000005</v>
      </c>
      <c r="U52" s="128">
        <f>IF(Personal!$D$27="","",MIN(G52,Parameter!$H$6)*Personal!$AO$27+MIN(G52,Parameter!$H$7)*Personal!$AP$27+G52*Personal!$AQ$27)</f>
        <v>197.10000000000005</v>
      </c>
      <c r="V52" s="128">
        <f>IF(Personal!$D$27="","",MIN(H52,Parameter!$H$6)*Personal!$AO$27+MIN(H52,Parameter!$H$7)*Personal!$AP$27+H52*Personal!$AQ$27)</f>
        <v>197.10000000000005</v>
      </c>
      <c r="W52" s="128">
        <f>IF(Personal!$D$27="","",MIN(I52,Parameter!$H$6)*Personal!$AO$27+MIN(I52,Parameter!$H$7)*Personal!$AP$27+I52*Personal!$AQ$27)</f>
        <v>197.10000000000005</v>
      </c>
      <c r="X52" s="128">
        <f>IF(Personal!$D$27="","",MIN(J52,Parameter!$H$6)*Personal!$AO$27+MIN(J52,Parameter!$H$7)*Personal!$AP$27+J52*Personal!$AQ$27)</f>
        <v>197.10000000000005</v>
      </c>
      <c r="Y52" s="128">
        <f>IF(Personal!$D$27="","",MIN(K52,Parameter!$H$6)*Personal!$AO$27+MIN(K52,Parameter!$H$7)*Personal!$AP$27+K52*Personal!$AQ$27)</f>
        <v>197.10000000000005</v>
      </c>
      <c r="Z52" s="128">
        <f>IF(Personal!$D$27="","",MIN(L52,Parameter!$H$6)*Personal!$AO$27+MIN(L52,Parameter!$H$7)*Personal!$AP$27+L52*Personal!$AQ$27)</f>
        <v>197.10000000000005</v>
      </c>
      <c r="AA52" s="128">
        <f>IF(Personal!$D$27="","",MIN(M52,Parameter!$H$6)*Personal!$AO$27+MIN(M52,Parameter!$H$7)*Personal!$AP$27+M52*Personal!$AQ$27)</f>
        <v>197.10000000000005</v>
      </c>
      <c r="AB52" s="128">
        <f>IF(Personal!$D$27="","",MIN(N52,Parameter!$H$6)*Personal!$AO$27+MIN(N52,Parameter!$H$7)*Personal!$AP$27+N52*Personal!$AQ$27)</f>
        <v>197.10000000000005</v>
      </c>
      <c r="AC52" s="127">
        <f t="shared" si="10"/>
        <v>2365.2000000000007</v>
      </c>
      <c r="AD52" s="129">
        <f t="shared" si="11"/>
        <v>9565.2000000000007</v>
      </c>
      <c r="AE52" s="130" t="str">
        <f>IF($B52="","",Personal!$E$27)</f>
        <v>Operations</v>
      </c>
    </row>
    <row r="53" spans="2:31" ht="16.5" customHeight="1" x14ac:dyDescent="0.25">
      <c r="B53" s="125" t="str">
        <f>IF(Personal!$D$28="","",Personal!$D$28)</f>
        <v>Tanja Heinrich</v>
      </c>
      <c r="C53" s="126">
        <f>IF(Personal!$D$28="","",N(Personal!$M$28)*(1+IF(MONTH(C$7)&gt;=Parameter!$C$28,Personal!$AN$28,0))*IFERROR(Personal!$Y$28/Personal!$R$28,0)+IF(MONTH(C$7)=Parameter!$C$29,N(Personal!$M$28)*N(Personal!$N$28)*N(Personal!$T$28),0))</f>
        <v>4600</v>
      </c>
      <c r="D53" s="126">
        <f>IF(Personal!$D$28="","",N(Personal!$M$28)*(1+IF(MONTH(D$7)&gt;=Parameter!$C$28,Personal!$AN$28,0))*IFERROR(Personal!$Z$28/Personal!$R$28,0)+IF(MONTH(D$7)=Parameter!$C$29,N(Personal!$M$28)*N(Personal!$N$28)*N(Personal!$T$28),0))</f>
        <v>4600</v>
      </c>
      <c r="E53" s="126">
        <f>IF(Personal!$D$28="","",N(Personal!$M$28)*(1+IF(MONTH(E$7)&gt;=Parameter!$C$28,Personal!$AN$28,0))*IFERROR(Personal!$AA$28/Personal!$R$28,0)+IF(MONTH(E$7)=Parameter!$C$29,N(Personal!$M$28)*N(Personal!$N$28)*N(Personal!$T$28),0))</f>
        <v>4600</v>
      </c>
      <c r="F53" s="126">
        <f>IF(Personal!$D$28="","",N(Personal!$M$28)*(1+IF(MONTH(F$7)&gt;=Parameter!$C$28,Personal!$AN$28,0))*IFERROR(Personal!$AB$28/Personal!$R$28,0)+IF(MONTH(F$7)=Parameter!$C$29,N(Personal!$M$28)*N(Personal!$N$28)*N(Personal!$T$28),0))</f>
        <v>4738</v>
      </c>
      <c r="G53" s="126">
        <f>IF(Personal!$D$28="","",N(Personal!$M$28)*(1+IF(MONTH(G$7)&gt;=Parameter!$C$28,Personal!$AN$28,0))*IFERROR(Personal!$AC$28/Personal!$R$28,0)+IF(MONTH(G$7)=Parameter!$C$29,N(Personal!$M$28)*N(Personal!$N$28)*N(Personal!$T$28),0))</f>
        <v>4738</v>
      </c>
      <c r="H53" s="126">
        <f>IF(Personal!$D$28="","",N(Personal!$M$28)*(1+IF(MONTH(H$7)&gt;=Parameter!$C$28,Personal!$AN$28,0))*IFERROR(Personal!$AD$28/Personal!$R$28,0)+IF(MONTH(H$7)=Parameter!$C$29,N(Personal!$M$28)*N(Personal!$N$28)*N(Personal!$T$28),0))</f>
        <v>4738</v>
      </c>
      <c r="I53" s="126">
        <f>IF(Personal!$D$28="","",N(Personal!$M$28)*(1+IF(MONTH(I$7)&gt;=Parameter!$C$28,Personal!$AN$28,0))*IFERROR(Personal!$AE$28/Personal!$R$28,0)+IF(MONTH(I$7)=Parameter!$C$29,N(Personal!$M$28)*N(Personal!$N$28)*N(Personal!$T$28),0))</f>
        <v>4738</v>
      </c>
      <c r="J53" s="126">
        <f>IF(Personal!$D$28="","",N(Personal!$M$28)*(1+IF(MONTH(J$7)&gt;=Parameter!$C$28,Personal!$AN$28,0))*IFERROR(Personal!$AF$28/Personal!$R$28,0)+IF(MONTH(J$7)=Parameter!$C$29,N(Personal!$M$28)*N(Personal!$N$28)*N(Personal!$T$28),0))</f>
        <v>4738</v>
      </c>
      <c r="K53" s="126">
        <f>IF(Personal!$D$28="","",N(Personal!$M$28)*(1+IF(MONTH(K$7)&gt;=Parameter!$C$28,Personal!$AN$28,0))*IFERROR(Personal!$AG$28/Personal!$R$28,0)+IF(MONTH(K$7)=Parameter!$C$29,N(Personal!$M$28)*N(Personal!$N$28)*N(Personal!$T$28),0))</f>
        <v>4738</v>
      </c>
      <c r="L53" s="126">
        <f>IF(Personal!$D$28="","",N(Personal!$M$28)*(1+IF(MONTH(L$7)&gt;=Parameter!$C$28,Personal!$AN$28,0))*IFERROR(Personal!$AH$28/Personal!$R$28,0)+IF(MONTH(L$7)=Parameter!$C$29,N(Personal!$M$28)*N(Personal!$N$28)*N(Personal!$T$28),0))</f>
        <v>4738</v>
      </c>
      <c r="M53" s="126">
        <f>IF(Personal!$D$28="","",N(Personal!$M$28)*(1+IF(MONTH(M$7)&gt;=Parameter!$C$28,Personal!$AN$28,0))*IFERROR(Personal!$AI$28/Personal!$R$28,0)+IF(MONTH(M$7)=Parameter!$C$29,N(Personal!$M$28)*N(Personal!$N$28)*N(Personal!$T$28),0))</f>
        <v>9338</v>
      </c>
      <c r="N53" s="126">
        <f>IF(Personal!$D$28="","",N(Personal!$M$28)*(1+IF(MONTH(N$7)&gt;=Parameter!$C$28,Personal!$AN$28,0))*IFERROR(Personal!$AJ$28/Personal!$R$28,0)+IF(MONTH(N$7)=Parameter!$C$29,N(Personal!$M$28)*N(Personal!$N$28)*N(Personal!$T$28),0))</f>
        <v>4738</v>
      </c>
      <c r="O53" s="127">
        <f t="shared" si="9"/>
        <v>61042</v>
      </c>
      <c r="Q53" s="128">
        <f>IF(Personal!$D$28="","",MIN(C53,Parameter!$H$6)*Personal!$AO$28+MIN(C53,Parameter!$H$7)*Personal!$AP$28+C53*Personal!$AQ$28)</f>
        <v>1104</v>
      </c>
      <c r="R53" s="128">
        <f>IF(Personal!$D$28="","",MIN(D53,Parameter!$H$6)*Personal!$AO$28+MIN(D53,Parameter!$H$7)*Personal!$AP$28+D53*Personal!$AQ$28)</f>
        <v>1104</v>
      </c>
      <c r="S53" s="128">
        <f>IF(Personal!$D$28="","",MIN(E53,Parameter!$H$6)*Personal!$AO$28+MIN(E53,Parameter!$H$7)*Personal!$AP$28+E53*Personal!$AQ$28)</f>
        <v>1104</v>
      </c>
      <c r="T53" s="128">
        <f>IF(Personal!$D$28="","",MIN(F53,Parameter!$H$6)*Personal!$AO$28+MIN(F53,Parameter!$H$7)*Personal!$AP$28+F53*Personal!$AQ$28)</f>
        <v>1137.1199999999999</v>
      </c>
      <c r="U53" s="128">
        <f>IF(Personal!$D$28="","",MIN(G53,Parameter!$H$6)*Personal!$AO$28+MIN(G53,Parameter!$H$7)*Personal!$AP$28+G53*Personal!$AQ$28)</f>
        <v>1137.1199999999999</v>
      </c>
      <c r="V53" s="128">
        <f>IF(Personal!$D$28="","",MIN(H53,Parameter!$H$6)*Personal!$AO$28+MIN(H53,Parameter!$H$7)*Personal!$AP$28+H53*Personal!$AQ$28)</f>
        <v>1137.1199999999999</v>
      </c>
      <c r="W53" s="128">
        <f>IF(Personal!$D$28="","",MIN(I53,Parameter!$H$6)*Personal!$AO$28+MIN(I53,Parameter!$H$7)*Personal!$AP$28+I53*Personal!$AQ$28)</f>
        <v>1137.1199999999999</v>
      </c>
      <c r="X53" s="128">
        <f>IF(Personal!$D$28="","",MIN(J53,Parameter!$H$6)*Personal!$AO$28+MIN(J53,Parameter!$H$7)*Personal!$AP$28+J53*Personal!$AQ$28)</f>
        <v>1137.1199999999999</v>
      </c>
      <c r="Y53" s="128">
        <f>IF(Personal!$D$28="","",MIN(K53,Parameter!$H$6)*Personal!$AO$28+MIN(K53,Parameter!$H$7)*Personal!$AP$28+K53*Personal!$AQ$28)</f>
        <v>1137.1199999999999</v>
      </c>
      <c r="Z53" s="128">
        <f>IF(Personal!$D$28="","",MIN(L53,Parameter!$H$6)*Personal!$AO$28+MIN(L53,Parameter!$H$7)*Personal!$AP$28+L53*Personal!$AQ$28)</f>
        <v>1137.1199999999999</v>
      </c>
      <c r="AA53" s="128">
        <f>IF(Personal!$D$28="","",MIN(M53,Parameter!$H$6)*Personal!$AO$28+MIN(M53,Parameter!$H$7)*Personal!$AP$28+M53*Personal!$AQ$28)</f>
        <v>1868.7435</v>
      </c>
      <c r="AB53" s="128">
        <f>IF(Personal!$D$28="","",MIN(N53,Parameter!$H$6)*Personal!$AO$28+MIN(N53,Parameter!$H$7)*Personal!$AP$28+N53*Personal!$AQ$28)</f>
        <v>1137.1199999999999</v>
      </c>
      <c r="AC53" s="127">
        <f t="shared" si="10"/>
        <v>14277.703499999996</v>
      </c>
      <c r="AD53" s="129">
        <f t="shared" si="11"/>
        <v>75319.703500000003</v>
      </c>
      <c r="AE53" s="130" t="str">
        <f>IF($B53="","",Personal!$E$28)</f>
        <v>Kundenservice</v>
      </c>
    </row>
    <row r="54" spans="2:31" ht="16.5" customHeight="1" x14ac:dyDescent="0.25">
      <c r="B54" s="125" t="str">
        <f>IF(Personal!$D$29="","",Personal!$D$29)</f>
        <v>Max Köhler</v>
      </c>
      <c r="C54" s="126">
        <f>IF(Personal!$D$29="","",N(Personal!$M$29)*(1+IF(MONTH(C$7)&gt;=Parameter!$C$28,Personal!$AN$29,0))*IFERROR(Personal!$Y$29/Personal!$R$29,0)+IF(MONTH(C$7)=Parameter!$C$29,N(Personal!$M$29)*N(Personal!$N$29)*N(Personal!$T$29),0))</f>
        <v>3400</v>
      </c>
      <c r="D54" s="126">
        <f>IF(Personal!$D$29="","",N(Personal!$M$29)*(1+IF(MONTH(D$7)&gt;=Parameter!$C$28,Personal!$AN$29,0))*IFERROR(Personal!$Z$29/Personal!$R$29,0)+IF(MONTH(D$7)=Parameter!$C$29,N(Personal!$M$29)*N(Personal!$N$29)*N(Personal!$T$29),0))</f>
        <v>3400</v>
      </c>
      <c r="E54" s="126">
        <f>IF(Personal!$D$29="","",N(Personal!$M$29)*(1+IF(MONTH(E$7)&gt;=Parameter!$C$28,Personal!$AN$29,0))*IFERROR(Personal!$AA$29/Personal!$R$29,0)+IF(MONTH(E$7)=Parameter!$C$29,N(Personal!$M$29)*N(Personal!$N$29)*N(Personal!$T$29),0))</f>
        <v>3400</v>
      </c>
      <c r="F54" s="126">
        <f>IF(Personal!$D$29="","",N(Personal!$M$29)*(1+IF(MONTH(F$7)&gt;=Parameter!$C$28,Personal!$AN$29,0))*IFERROR(Personal!$AB$29/Personal!$R$29,0)+IF(MONTH(F$7)=Parameter!$C$29,N(Personal!$M$29)*N(Personal!$N$29)*N(Personal!$T$29),0))</f>
        <v>3502</v>
      </c>
      <c r="G54" s="126">
        <f>IF(Personal!$D$29="","",N(Personal!$M$29)*(1+IF(MONTH(G$7)&gt;=Parameter!$C$28,Personal!$AN$29,0))*IFERROR(Personal!$AC$29/Personal!$R$29,0)+IF(MONTH(G$7)=Parameter!$C$29,N(Personal!$M$29)*N(Personal!$N$29)*N(Personal!$T$29),0))</f>
        <v>3502</v>
      </c>
      <c r="H54" s="126">
        <f>IF(Personal!$D$29="","",N(Personal!$M$29)*(1+IF(MONTH(H$7)&gt;=Parameter!$C$28,Personal!$AN$29,0))*IFERROR(Personal!$AD$29/Personal!$R$29,0)+IF(MONTH(H$7)=Parameter!$C$29,N(Personal!$M$29)*N(Personal!$N$29)*N(Personal!$T$29),0))</f>
        <v>3502</v>
      </c>
      <c r="I54" s="126">
        <f>IF(Personal!$D$29="","",N(Personal!$M$29)*(1+IF(MONTH(I$7)&gt;=Parameter!$C$28,Personal!$AN$29,0))*IFERROR(Personal!$AE$29/Personal!$R$29,0)+IF(MONTH(I$7)=Parameter!$C$29,N(Personal!$M$29)*N(Personal!$N$29)*N(Personal!$T$29),0))</f>
        <v>3502</v>
      </c>
      <c r="J54" s="126">
        <f>IF(Personal!$D$29="","",N(Personal!$M$29)*(1+IF(MONTH(J$7)&gt;=Parameter!$C$28,Personal!$AN$29,0))*IFERROR(Personal!$AF$29/Personal!$R$29,0)+IF(MONTH(J$7)=Parameter!$C$29,N(Personal!$M$29)*N(Personal!$N$29)*N(Personal!$T$29),0))</f>
        <v>3502</v>
      </c>
      <c r="K54" s="126">
        <f>IF(Personal!$D$29="","",N(Personal!$M$29)*(1+IF(MONTH(K$7)&gt;=Parameter!$C$28,Personal!$AN$29,0))*IFERROR(Personal!$AG$29/Personal!$R$29,0)+IF(MONTH(K$7)=Parameter!$C$29,N(Personal!$M$29)*N(Personal!$N$29)*N(Personal!$T$29),0))</f>
        <v>3502</v>
      </c>
      <c r="L54" s="126">
        <f>IF(Personal!$D$29="","",N(Personal!$M$29)*(1+IF(MONTH(L$7)&gt;=Parameter!$C$28,Personal!$AN$29,0))*IFERROR(Personal!$AH$29/Personal!$R$29,0)+IF(MONTH(L$7)=Parameter!$C$29,N(Personal!$M$29)*N(Personal!$N$29)*N(Personal!$T$29),0))</f>
        <v>3502</v>
      </c>
      <c r="M54" s="126">
        <f>IF(Personal!$D$29="","",N(Personal!$M$29)*(1+IF(MONTH(M$7)&gt;=Parameter!$C$28,Personal!$AN$29,0))*IFERROR(Personal!$AI$29/Personal!$R$29,0)+IF(MONTH(M$7)=Parameter!$C$29,N(Personal!$M$29)*N(Personal!$N$29)*N(Personal!$T$29),0))</f>
        <v>6902</v>
      </c>
      <c r="N54" s="126">
        <f>IF(Personal!$D$29="","",N(Personal!$M$29)*(1+IF(MONTH(N$7)&gt;=Parameter!$C$28,Personal!$AN$29,0))*IFERROR(Personal!$AJ$29/Personal!$R$29,0)+IF(MONTH(N$7)=Parameter!$C$29,N(Personal!$M$29)*N(Personal!$N$29)*N(Personal!$T$29),0))</f>
        <v>3502</v>
      </c>
      <c r="O54" s="127">
        <f t="shared" si="9"/>
        <v>45118</v>
      </c>
      <c r="Q54" s="128">
        <f>IF(Personal!$D$29="","",MIN(C54,Parameter!$H$6)*Personal!$AO$29+MIN(C54,Parameter!$H$7)*Personal!$AP$29+C54*Personal!$AQ$29)</f>
        <v>816</v>
      </c>
      <c r="R54" s="128">
        <f>IF(Personal!$D$29="","",MIN(D54,Parameter!$H$6)*Personal!$AO$29+MIN(D54,Parameter!$H$7)*Personal!$AP$29+D54*Personal!$AQ$29)</f>
        <v>816</v>
      </c>
      <c r="S54" s="128">
        <f>IF(Personal!$D$29="","",MIN(E54,Parameter!$H$6)*Personal!$AO$29+MIN(E54,Parameter!$H$7)*Personal!$AP$29+E54*Personal!$AQ$29)</f>
        <v>816</v>
      </c>
      <c r="T54" s="128">
        <f>IF(Personal!$D$29="","",MIN(F54,Parameter!$H$6)*Personal!$AO$29+MIN(F54,Parameter!$H$7)*Personal!$AP$29+F54*Personal!$AQ$29)</f>
        <v>840.48</v>
      </c>
      <c r="U54" s="128">
        <f>IF(Personal!$D$29="","",MIN(G54,Parameter!$H$6)*Personal!$AO$29+MIN(G54,Parameter!$H$7)*Personal!$AP$29+G54*Personal!$AQ$29)</f>
        <v>840.48</v>
      </c>
      <c r="V54" s="128">
        <f>IF(Personal!$D$29="","",MIN(H54,Parameter!$H$6)*Personal!$AO$29+MIN(H54,Parameter!$H$7)*Personal!$AP$29+H54*Personal!$AQ$29)</f>
        <v>840.48</v>
      </c>
      <c r="W54" s="128">
        <f>IF(Personal!$D$29="","",MIN(I54,Parameter!$H$6)*Personal!$AO$29+MIN(I54,Parameter!$H$7)*Personal!$AP$29+I54*Personal!$AQ$29)</f>
        <v>840.48</v>
      </c>
      <c r="X54" s="128">
        <f>IF(Personal!$D$29="","",MIN(J54,Parameter!$H$6)*Personal!$AO$29+MIN(J54,Parameter!$H$7)*Personal!$AP$29+J54*Personal!$AQ$29)</f>
        <v>840.48</v>
      </c>
      <c r="Y54" s="128">
        <f>IF(Personal!$D$29="","",MIN(K54,Parameter!$H$6)*Personal!$AO$29+MIN(K54,Parameter!$H$7)*Personal!$AP$29+K54*Personal!$AQ$29)</f>
        <v>840.48</v>
      </c>
      <c r="Z54" s="128">
        <f>IF(Personal!$D$29="","",MIN(L54,Parameter!$H$6)*Personal!$AO$29+MIN(L54,Parameter!$H$7)*Personal!$AP$29+L54*Personal!$AQ$29)</f>
        <v>840.48</v>
      </c>
      <c r="AA54" s="128">
        <f>IF(Personal!$D$29="","",MIN(M54,Parameter!$H$6)*Personal!$AO$29+MIN(M54,Parameter!$H$7)*Personal!$AP$29+M54*Personal!$AQ$29)</f>
        <v>1600.8815</v>
      </c>
      <c r="AB54" s="128">
        <f>IF(Personal!$D$29="","",MIN(N54,Parameter!$H$6)*Personal!$AO$29+MIN(N54,Parameter!$H$7)*Personal!$AP$29+N54*Personal!$AQ$29)</f>
        <v>840.48</v>
      </c>
      <c r="AC54" s="127">
        <f t="shared" si="10"/>
        <v>10772.721499999998</v>
      </c>
      <c r="AD54" s="129">
        <f t="shared" si="11"/>
        <v>55890.7215</v>
      </c>
      <c r="AE54" s="130" t="str">
        <f>IF($B54="","",Personal!$E$29)</f>
        <v>Kundenservice</v>
      </c>
    </row>
    <row r="55" spans="2:31" ht="16.5" customHeight="1" x14ac:dyDescent="0.25">
      <c r="B55" s="125" t="str">
        <f>IF(Personal!$D$30="","",Personal!$D$30)</f>
        <v>Lea Schmitt</v>
      </c>
      <c r="C55" s="126">
        <f>IF(Personal!$D$30="","",N(Personal!$M$30)*(1+IF(MONTH(C$7)&gt;=Parameter!$C$28,Personal!$AN$30,0))*IFERROR(Personal!$Y$30/Personal!$R$30,0)+IF(MONTH(C$7)=Parameter!$C$29,N(Personal!$M$30)*N(Personal!$N$30)*N(Personal!$T$30),0))</f>
        <v>3300</v>
      </c>
      <c r="D55" s="126">
        <f>IF(Personal!$D$30="","",N(Personal!$M$30)*(1+IF(MONTH(D$7)&gt;=Parameter!$C$28,Personal!$AN$30,0))*IFERROR(Personal!$Z$30/Personal!$R$30,0)+IF(MONTH(D$7)=Parameter!$C$29,N(Personal!$M$30)*N(Personal!$N$30)*N(Personal!$T$30),0))</f>
        <v>3300</v>
      </c>
      <c r="E55" s="126">
        <f>IF(Personal!$D$30="","",N(Personal!$M$30)*(1+IF(MONTH(E$7)&gt;=Parameter!$C$28,Personal!$AN$30,0))*IFERROR(Personal!$AA$30/Personal!$R$30,0)+IF(MONTH(E$7)=Parameter!$C$29,N(Personal!$M$30)*N(Personal!$N$30)*N(Personal!$T$30),0))</f>
        <v>3300</v>
      </c>
      <c r="F55" s="126">
        <f>IF(Personal!$D$30="","",N(Personal!$M$30)*(1+IF(MONTH(F$7)&gt;=Parameter!$C$28,Personal!$AN$30,0))*IFERROR(Personal!$AB$30/Personal!$R$30,0)+IF(MONTH(F$7)=Parameter!$C$29,N(Personal!$M$30)*N(Personal!$N$30)*N(Personal!$T$30),0))</f>
        <v>3399</v>
      </c>
      <c r="G55" s="126">
        <f>IF(Personal!$D$30="","",N(Personal!$M$30)*(1+IF(MONTH(G$7)&gt;=Parameter!$C$28,Personal!$AN$30,0))*IFERROR(Personal!$AC$30/Personal!$R$30,0)+IF(MONTH(G$7)=Parameter!$C$29,N(Personal!$M$30)*N(Personal!$N$30)*N(Personal!$T$30),0))</f>
        <v>3399</v>
      </c>
      <c r="H55" s="126">
        <f>IF(Personal!$D$30="","",N(Personal!$M$30)*(1+IF(MONTH(H$7)&gt;=Parameter!$C$28,Personal!$AN$30,0))*IFERROR(Personal!$AD$30/Personal!$R$30,0)+IF(MONTH(H$7)=Parameter!$C$29,N(Personal!$M$30)*N(Personal!$N$30)*N(Personal!$T$30),0))</f>
        <v>3399</v>
      </c>
      <c r="I55" s="126">
        <f>IF(Personal!$D$30="","",N(Personal!$M$30)*(1+IF(MONTH(I$7)&gt;=Parameter!$C$28,Personal!$AN$30,0))*IFERROR(Personal!$AE$30/Personal!$R$30,0)+IF(MONTH(I$7)=Parameter!$C$29,N(Personal!$M$30)*N(Personal!$N$30)*N(Personal!$T$30),0))</f>
        <v>3399</v>
      </c>
      <c r="J55" s="126">
        <f>IF(Personal!$D$30="","",N(Personal!$M$30)*(1+IF(MONTH(J$7)&gt;=Parameter!$C$28,Personal!$AN$30,0))*IFERROR(Personal!$AF$30/Personal!$R$30,0)+IF(MONTH(J$7)=Parameter!$C$29,N(Personal!$M$30)*N(Personal!$N$30)*N(Personal!$T$30),0))</f>
        <v>3399</v>
      </c>
      <c r="K55" s="126">
        <f>IF(Personal!$D$30="","",N(Personal!$M$30)*(1+IF(MONTH(K$7)&gt;=Parameter!$C$28,Personal!$AN$30,0))*IFERROR(Personal!$AG$30/Personal!$R$30,0)+IF(MONTH(K$7)=Parameter!$C$29,N(Personal!$M$30)*N(Personal!$N$30)*N(Personal!$T$30),0))</f>
        <v>0</v>
      </c>
      <c r="L55" s="126">
        <f>IF(Personal!$D$30="","",N(Personal!$M$30)*(1+IF(MONTH(L$7)&gt;=Parameter!$C$28,Personal!$AN$30,0))*IFERROR(Personal!$AH$30/Personal!$R$30,0)+IF(MONTH(L$7)=Parameter!$C$29,N(Personal!$M$30)*N(Personal!$N$30)*N(Personal!$T$30),0))</f>
        <v>0</v>
      </c>
      <c r="M55" s="126">
        <f>IF(Personal!$D$30="","",N(Personal!$M$30)*(1+IF(MONTH(M$7)&gt;=Parameter!$C$28,Personal!$AN$30,0))*IFERROR(Personal!$AI$30/Personal!$R$30,0)+IF(MONTH(M$7)=Parameter!$C$29,N(Personal!$M$30)*N(Personal!$N$30)*N(Personal!$T$30),0))</f>
        <v>2196.9863013698632</v>
      </c>
      <c r="N55" s="126">
        <f>IF(Personal!$D$30="","",N(Personal!$M$30)*(1+IF(MONTH(N$7)&gt;=Parameter!$C$28,Personal!$AN$30,0))*IFERROR(Personal!$AJ$30/Personal!$R$30,0)+IF(MONTH(N$7)=Parameter!$C$29,N(Personal!$M$30)*N(Personal!$N$30)*N(Personal!$T$30),0))</f>
        <v>0</v>
      </c>
      <c r="O55" s="127">
        <f t="shared" si="9"/>
        <v>29091.986301369863</v>
      </c>
      <c r="Q55" s="128">
        <f>IF(Personal!$D$30="","",MIN(C55,Parameter!$H$6)*Personal!$AO$30+MIN(C55,Parameter!$H$7)*Personal!$AP$30+C55*Personal!$AQ$30)</f>
        <v>792</v>
      </c>
      <c r="R55" s="128">
        <f>IF(Personal!$D$30="","",MIN(D55,Parameter!$H$6)*Personal!$AO$30+MIN(D55,Parameter!$H$7)*Personal!$AP$30+D55*Personal!$AQ$30)</f>
        <v>792</v>
      </c>
      <c r="S55" s="128">
        <f>IF(Personal!$D$30="","",MIN(E55,Parameter!$H$6)*Personal!$AO$30+MIN(E55,Parameter!$H$7)*Personal!$AP$30+E55*Personal!$AQ$30)</f>
        <v>792</v>
      </c>
      <c r="T55" s="128">
        <f>IF(Personal!$D$30="","",MIN(F55,Parameter!$H$6)*Personal!$AO$30+MIN(F55,Parameter!$H$7)*Personal!$AP$30+F55*Personal!$AQ$30)</f>
        <v>815.76</v>
      </c>
      <c r="U55" s="128">
        <f>IF(Personal!$D$30="","",MIN(G55,Parameter!$H$6)*Personal!$AO$30+MIN(G55,Parameter!$H$7)*Personal!$AP$30+G55*Personal!$AQ$30)</f>
        <v>815.76</v>
      </c>
      <c r="V55" s="128">
        <f>IF(Personal!$D$30="","",MIN(H55,Parameter!$H$6)*Personal!$AO$30+MIN(H55,Parameter!$H$7)*Personal!$AP$30+H55*Personal!$AQ$30)</f>
        <v>815.76</v>
      </c>
      <c r="W55" s="128">
        <f>IF(Personal!$D$30="","",MIN(I55,Parameter!$H$6)*Personal!$AO$30+MIN(I55,Parameter!$H$7)*Personal!$AP$30+I55*Personal!$AQ$30)</f>
        <v>815.76</v>
      </c>
      <c r="X55" s="128">
        <f>IF(Personal!$D$30="","",MIN(J55,Parameter!$H$6)*Personal!$AO$30+MIN(J55,Parameter!$H$7)*Personal!$AP$30+J55*Personal!$AQ$30)</f>
        <v>815.76</v>
      </c>
      <c r="Y55" s="128">
        <f>IF(Personal!$D$30="","",MIN(K55,Parameter!$H$6)*Personal!$AO$30+MIN(K55,Parameter!$H$7)*Personal!$AP$30+K55*Personal!$AQ$30)</f>
        <v>0</v>
      </c>
      <c r="Z55" s="128">
        <f>IF(Personal!$D$30="","",MIN(L55,Parameter!$H$6)*Personal!$AO$30+MIN(L55,Parameter!$H$7)*Personal!$AP$30+L55*Personal!$AQ$30)</f>
        <v>0</v>
      </c>
      <c r="AA55" s="128">
        <f>IF(Personal!$D$30="","",MIN(M55,Parameter!$H$6)*Personal!$AO$30+MIN(M55,Parameter!$H$7)*Personal!$AP$30+M55*Personal!$AQ$30)</f>
        <v>527.27671232876719</v>
      </c>
      <c r="AB55" s="128">
        <f>IF(Personal!$D$30="","",MIN(N55,Parameter!$H$6)*Personal!$AO$30+MIN(N55,Parameter!$H$7)*Personal!$AP$30+N55*Personal!$AQ$30)</f>
        <v>0</v>
      </c>
      <c r="AC55" s="127">
        <f t="shared" si="10"/>
        <v>6982.0767123287678</v>
      </c>
      <c r="AD55" s="129">
        <f t="shared" si="11"/>
        <v>36074.063013698629</v>
      </c>
      <c r="AE55" s="130" t="str">
        <f>IF($B55="","",Personal!$E$30)</f>
        <v>Kundenservice</v>
      </c>
    </row>
    <row r="56" spans="2:31" ht="16.5" customHeight="1" x14ac:dyDescent="0.25">
      <c r="B56" s="125" t="str">
        <f>IF(Personal!$D$31="","",Personal!$D$31)</f>
        <v>Emre Aydin</v>
      </c>
      <c r="C56" s="126">
        <f>IF(Personal!$D$31="","",N(Personal!$M$31)*(1+IF(MONTH(C$7)&gt;=Parameter!$C$28,Personal!$AN$31,0))*IFERROR(Personal!$Y$31/Personal!$R$31,0)+IF(MONTH(C$7)=Parameter!$C$29,N(Personal!$M$31)*N(Personal!$N$31)*N(Personal!$T$31),0))</f>
        <v>3400</v>
      </c>
      <c r="D56" s="126">
        <f>IF(Personal!$D$31="","",N(Personal!$M$31)*(1+IF(MONTH(D$7)&gt;=Parameter!$C$28,Personal!$AN$31,0))*IFERROR(Personal!$Z$31/Personal!$R$31,0)+IF(MONTH(D$7)=Parameter!$C$29,N(Personal!$M$31)*N(Personal!$N$31)*N(Personal!$T$31),0))</f>
        <v>3400</v>
      </c>
      <c r="E56" s="126">
        <f>IF(Personal!$D$31="","",N(Personal!$M$31)*(1+IF(MONTH(E$7)&gt;=Parameter!$C$28,Personal!$AN$31,0))*IFERROR(Personal!$AA$31/Personal!$R$31,0)+IF(MONTH(E$7)=Parameter!$C$29,N(Personal!$M$31)*N(Personal!$N$31)*N(Personal!$T$31),0))</f>
        <v>3400</v>
      </c>
      <c r="F56" s="126">
        <f>IF(Personal!$D$31="","",N(Personal!$M$31)*(1+IF(MONTH(F$7)&gt;=Parameter!$C$28,Personal!$AN$31,0))*IFERROR(Personal!$AB$31/Personal!$R$31,0)+IF(MONTH(F$7)=Parameter!$C$29,N(Personal!$M$31)*N(Personal!$N$31)*N(Personal!$T$31),0))</f>
        <v>3502</v>
      </c>
      <c r="G56" s="126">
        <f>IF(Personal!$D$31="","",N(Personal!$M$31)*(1+IF(MONTH(G$7)&gt;=Parameter!$C$28,Personal!$AN$31,0))*IFERROR(Personal!$AC$31/Personal!$R$31,0)+IF(MONTH(G$7)=Parameter!$C$29,N(Personal!$M$31)*N(Personal!$N$31)*N(Personal!$T$31),0))</f>
        <v>3502</v>
      </c>
      <c r="H56" s="126">
        <f>IF(Personal!$D$31="","",N(Personal!$M$31)*(1+IF(MONTH(H$7)&gt;=Parameter!$C$28,Personal!$AN$31,0))*IFERROR(Personal!$AD$31/Personal!$R$31,0)+IF(MONTH(H$7)=Parameter!$C$29,N(Personal!$M$31)*N(Personal!$N$31)*N(Personal!$T$31),0))</f>
        <v>3502</v>
      </c>
      <c r="I56" s="126">
        <f>IF(Personal!$D$31="","",N(Personal!$M$31)*(1+IF(MONTH(I$7)&gt;=Parameter!$C$28,Personal!$AN$31,0))*IFERROR(Personal!$AE$31/Personal!$R$31,0)+IF(MONTH(I$7)=Parameter!$C$29,N(Personal!$M$31)*N(Personal!$N$31)*N(Personal!$T$31),0))</f>
        <v>3502</v>
      </c>
      <c r="J56" s="126">
        <f>IF(Personal!$D$31="","",N(Personal!$M$31)*(1+IF(MONTH(J$7)&gt;=Parameter!$C$28,Personal!$AN$31,0))*IFERROR(Personal!$AF$31/Personal!$R$31,0)+IF(MONTH(J$7)=Parameter!$C$29,N(Personal!$M$31)*N(Personal!$N$31)*N(Personal!$T$31),0))</f>
        <v>3502</v>
      </c>
      <c r="K56" s="126">
        <f>IF(Personal!$D$31="","",N(Personal!$M$31)*(1+IF(MONTH(K$7)&gt;=Parameter!$C$28,Personal!$AN$31,0))*IFERROR(Personal!$AG$31/Personal!$R$31,0)+IF(MONTH(K$7)=Parameter!$C$29,N(Personal!$M$31)*N(Personal!$N$31)*N(Personal!$T$31),0))</f>
        <v>3502</v>
      </c>
      <c r="L56" s="126">
        <f>IF(Personal!$D$31="","",N(Personal!$M$31)*(1+IF(MONTH(L$7)&gt;=Parameter!$C$28,Personal!$AN$31,0))*IFERROR(Personal!$AH$31/Personal!$R$31,0)+IF(MONTH(L$7)=Parameter!$C$29,N(Personal!$M$31)*N(Personal!$N$31)*N(Personal!$T$31),0))</f>
        <v>3502</v>
      </c>
      <c r="M56" s="126">
        <f>IF(Personal!$D$31="","",N(Personal!$M$31)*(1+IF(MONTH(M$7)&gt;=Parameter!$C$28,Personal!$AN$31,0))*IFERROR(Personal!$AI$31/Personal!$R$31,0)+IF(MONTH(M$7)=Parameter!$C$29,N(Personal!$M$31)*N(Personal!$N$31)*N(Personal!$T$31),0))</f>
        <v>6902</v>
      </c>
      <c r="N56" s="126">
        <f>IF(Personal!$D$31="","",N(Personal!$M$31)*(1+IF(MONTH(N$7)&gt;=Parameter!$C$28,Personal!$AN$31,0))*IFERROR(Personal!$AJ$31/Personal!$R$31,0)+IF(MONTH(N$7)=Parameter!$C$29,N(Personal!$M$31)*N(Personal!$N$31)*N(Personal!$T$31),0))</f>
        <v>3502</v>
      </c>
      <c r="O56" s="127">
        <f t="shared" si="9"/>
        <v>45118</v>
      </c>
      <c r="Q56" s="128">
        <f>IF(Personal!$D$31="","",MIN(C56,Parameter!$H$6)*Personal!$AO$31+MIN(C56,Parameter!$H$7)*Personal!$AP$31+C56*Personal!$AQ$31)</f>
        <v>816</v>
      </c>
      <c r="R56" s="128">
        <f>IF(Personal!$D$31="","",MIN(D56,Parameter!$H$6)*Personal!$AO$31+MIN(D56,Parameter!$H$7)*Personal!$AP$31+D56*Personal!$AQ$31)</f>
        <v>816</v>
      </c>
      <c r="S56" s="128">
        <f>IF(Personal!$D$31="","",MIN(E56,Parameter!$H$6)*Personal!$AO$31+MIN(E56,Parameter!$H$7)*Personal!$AP$31+E56*Personal!$AQ$31)</f>
        <v>816</v>
      </c>
      <c r="T56" s="128">
        <f>IF(Personal!$D$31="","",MIN(F56,Parameter!$H$6)*Personal!$AO$31+MIN(F56,Parameter!$H$7)*Personal!$AP$31+F56*Personal!$AQ$31)</f>
        <v>840.48</v>
      </c>
      <c r="U56" s="128">
        <f>IF(Personal!$D$31="","",MIN(G56,Parameter!$H$6)*Personal!$AO$31+MIN(G56,Parameter!$H$7)*Personal!$AP$31+G56*Personal!$AQ$31)</f>
        <v>840.48</v>
      </c>
      <c r="V56" s="128">
        <f>IF(Personal!$D$31="","",MIN(H56,Parameter!$H$6)*Personal!$AO$31+MIN(H56,Parameter!$H$7)*Personal!$AP$31+H56*Personal!$AQ$31)</f>
        <v>840.48</v>
      </c>
      <c r="W56" s="128">
        <f>IF(Personal!$D$31="","",MIN(I56,Parameter!$H$6)*Personal!$AO$31+MIN(I56,Parameter!$H$7)*Personal!$AP$31+I56*Personal!$AQ$31)</f>
        <v>840.48</v>
      </c>
      <c r="X56" s="128">
        <f>IF(Personal!$D$31="","",MIN(J56,Parameter!$H$6)*Personal!$AO$31+MIN(J56,Parameter!$H$7)*Personal!$AP$31+J56*Personal!$AQ$31)</f>
        <v>840.48</v>
      </c>
      <c r="Y56" s="128">
        <f>IF(Personal!$D$31="","",MIN(K56,Parameter!$H$6)*Personal!$AO$31+MIN(K56,Parameter!$H$7)*Personal!$AP$31+K56*Personal!$AQ$31)</f>
        <v>840.48</v>
      </c>
      <c r="Z56" s="128">
        <f>IF(Personal!$D$31="","",MIN(L56,Parameter!$H$6)*Personal!$AO$31+MIN(L56,Parameter!$H$7)*Personal!$AP$31+L56*Personal!$AQ$31)</f>
        <v>840.48</v>
      </c>
      <c r="AA56" s="128">
        <f>IF(Personal!$D$31="","",MIN(M56,Parameter!$H$6)*Personal!$AO$31+MIN(M56,Parameter!$H$7)*Personal!$AP$31+M56*Personal!$AQ$31)</f>
        <v>1600.8815</v>
      </c>
      <c r="AB56" s="128">
        <f>IF(Personal!$D$31="","",MIN(N56,Parameter!$H$6)*Personal!$AO$31+MIN(N56,Parameter!$H$7)*Personal!$AP$31+N56*Personal!$AQ$31)</f>
        <v>840.48</v>
      </c>
      <c r="AC56" s="127">
        <f t="shared" si="10"/>
        <v>10772.721499999998</v>
      </c>
      <c r="AD56" s="129">
        <f t="shared" si="11"/>
        <v>55890.7215</v>
      </c>
      <c r="AE56" s="130" t="str">
        <f>IF($B56="","",Personal!$E$31)</f>
        <v>Kundenservice</v>
      </c>
    </row>
    <row r="57" spans="2:31" ht="16.5" customHeight="1" x14ac:dyDescent="0.25">
      <c r="B57" s="125" t="str">
        <f>IF(Personal!$D$32="","",Personal!$D$32)</f>
        <v>Birgit Scholz</v>
      </c>
      <c r="C57" s="126">
        <f>IF(Personal!$D$32="","",N(Personal!$M$32)*(1+IF(MONTH(C$7)&gt;=Parameter!$C$28,Personal!$AN$32,0))*IFERROR(Personal!$Y$32/Personal!$R$32,0)+IF(MONTH(C$7)=Parameter!$C$29,N(Personal!$M$32)*N(Personal!$N$32)*N(Personal!$T$32),0))</f>
        <v>2200</v>
      </c>
      <c r="D57" s="126">
        <f>IF(Personal!$D$32="","",N(Personal!$M$32)*(1+IF(MONTH(D$7)&gt;=Parameter!$C$28,Personal!$AN$32,0))*IFERROR(Personal!$Z$32/Personal!$R$32,0)+IF(MONTH(D$7)=Parameter!$C$29,N(Personal!$M$32)*N(Personal!$N$32)*N(Personal!$T$32),0))</f>
        <v>2200</v>
      </c>
      <c r="E57" s="126">
        <f>IF(Personal!$D$32="","",N(Personal!$M$32)*(1+IF(MONTH(E$7)&gt;=Parameter!$C$28,Personal!$AN$32,0))*IFERROR(Personal!$AA$32/Personal!$R$32,0)+IF(MONTH(E$7)=Parameter!$C$29,N(Personal!$M$32)*N(Personal!$N$32)*N(Personal!$T$32),0))</f>
        <v>2200</v>
      </c>
      <c r="F57" s="126">
        <f>IF(Personal!$D$32="","",N(Personal!$M$32)*(1+IF(MONTH(F$7)&gt;=Parameter!$C$28,Personal!$AN$32,0))*IFERROR(Personal!$AB$32/Personal!$R$32,0)+IF(MONTH(F$7)=Parameter!$C$29,N(Personal!$M$32)*N(Personal!$N$32)*N(Personal!$T$32),0))</f>
        <v>2266</v>
      </c>
      <c r="G57" s="126">
        <f>IF(Personal!$D$32="","",N(Personal!$M$32)*(1+IF(MONTH(G$7)&gt;=Parameter!$C$28,Personal!$AN$32,0))*IFERROR(Personal!$AC$32/Personal!$R$32,0)+IF(MONTH(G$7)=Parameter!$C$29,N(Personal!$M$32)*N(Personal!$N$32)*N(Personal!$T$32),0))</f>
        <v>2266</v>
      </c>
      <c r="H57" s="126">
        <f>IF(Personal!$D$32="","",N(Personal!$M$32)*(1+IF(MONTH(H$7)&gt;=Parameter!$C$28,Personal!$AN$32,0))*IFERROR(Personal!$AD$32/Personal!$R$32,0)+IF(MONTH(H$7)=Parameter!$C$29,N(Personal!$M$32)*N(Personal!$N$32)*N(Personal!$T$32),0))</f>
        <v>2266</v>
      </c>
      <c r="I57" s="126">
        <f>IF(Personal!$D$32="","",N(Personal!$M$32)*(1+IF(MONTH(I$7)&gt;=Parameter!$C$28,Personal!$AN$32,0))*IFERROR(Personal!$AE$32/Personal!$R$32,0)+IF(MONTH(I$7)=Parameter!$C$29,N(Personal!$M$32)*N(Personal!$N$32)*N(Personal!$T$32),0))</f>
        <v>2266</v>
      </c>
      <c r="J57" s="126">
        <f>IF(Personal!$D$32="","",N(Personal!$M$32)*(1+IF(MONTH(J$7)&gt;=Parameter!$C$28,Personal!$AN$32,0))*IFERROR(Personal!$AF$32/Personal!$R$32,0)+IF(MONTH(J$7)=Parameter!$C$29,N(Personal!$M$32)*N(Personal!$N$32)*N(Personal!$T$32),0))</f>
        <v>2266</v>
      </c>
      <c r="K57" s="126">
        <f>IF(Personal!$D$32="","",N(Personal!$M$32)*(1+IF(MONTH(K$7)&gt;=Parameter!$C$28,Personal!$AN$32,0))*IFERROR(Personal!$AG$32/Personal!$R$32,0)+IF(MONTH(K$7)=Parameter!$C$29,N(Personal!$M$32)*N(Personal!$N$32)*N(Personal!$T$32),0))</f>
        <v>2266</v>
      </c>
      <c r="L57" s="126">
        <f>IF(Personal!$D$32="","",N(Personal!$M$32)*(1+IF(MONTH(L$7)&gt;=Parameter!$C$28,Personal!$AN$32,0))*IFERROR(Personal!$AH$32/Personal!$R$32,0)+IF(MONTH(L$7)=Parameter!$C$29,N(Personal!$M$32)*N(Personal!$N$32)*N(Personal!$T$32),0))</f>
        <v>2266</v>
      </c>
      <c r="M57" s="126">
        <f>IF(Personal!$D$32="","",N(Personal!$M$32)*(1+IF(MONTH(M$7)&gt;=Parameter!$C$28,Personal!$AN$32,0))*IFERROR(Personal!$AI$32/Personal!$R$32,0)+IF(MONTH(M$7)=Parameter!$C$29,N(Personal!$M$32)*N(Personal!$N$32)*N(Personal!$T$32),0))</f>
        <v>4466</v>
      </c>
      <c r="N57" s="126">
        <f>IF(Personal!$D$32="","",N(Personal!$M$32)*(1+IF(MONTH(N$7)&gt;=Parameter!$C$28,Personal!$AN$32,0))*IFERROR(Personal!$AJ$32/Personal!$R$32,0)+IF(MONTH(N$7)=Parameter!$C$29,N(Personal!$M$32)*N(Personal!$N$32)*N(Personal!$T$32),0))</f>
        <v>2266</v>
      </c>
      <c r="O57" s="127">
        <f t="shared" si="9"/>
        <v>29194</v>
      </c>
      <c r="Q57" s="128">
        <f>IF(Personal!$D$32="","",MIN(C57,Parameter!$H$6)*Personal!$AO$32+MIN(C57,Parameter!$H$7)*Personal!$AP$32+C57*Personal!$AQ$32)</f>
        <v>528</v>
      </c>
      <c r="R57" s="128">
        <f>IF(Personal!$D$32="","",MIN(D57,Parameter!$H$6)*Personal!$AO$32+MIN(D57,Parameter!$H$7)*Personal!$AP$32+D57*Personal!$AQ$32)</f>
        <v>528</v>
      </c>
      <c r="S57" s="128">
        <f>IF(Personal!$D$32="","",MIN(E57,Parameter!$H$6)*Personal!$AO$32+MIN(E57,Parameter!$H$7)*Personal!$AP$32+E57*Personal!$AQ$32)</f>
        <v>528</v>
      </c>
      <c r="T57" s="128">
        <f>IF(Personal!$D$32="","",MIN(F57,Parameter!$H$6)*Personal!$AO$32+MIN(F57,Parameter!$H$7)*Personal!$AP$32+F57*Personal!$AQ$32)</f>
        <v>543.83999999999992</v>
      </c>
      <c r="U57" s="128">
        <f>IF(Personal!$D$32="","",MIN(G57,Parameter!$H$6)*Personal!$AO$32+MIN(G57,Parameter!$H$7)*Personal!$AP$32+G57*Personal!$AQ$32)</f>
        <v>543.83999999999992</v>
      </c>
      <c r="V57" s="128">
        <f>IF(Personal!$D$32="","",MIN(H57,Parameter!$H$6)*Personal!$AO$32+MIN(H57,Parameter!$H$7)*Personal!$AP$32+H57*Personal!$AQ$32)</f>
        <v>543.83999999999992</v>
      </c>
      <c r="W57" s="128">
        <f>IF(Personal!$D$32="","",MIN(I57,Parameter!$H$6)*Personal!$AO$32+MIN(I57,Parameter!$H$7)*Personal!$AP$32+I57*Personal!$AQ$32)</f>
        <v>543.83999999999992</v>
      </c>
      <c r="X57" s="128">
        <f>IF(Personal!$D$32="","",MIN(J57,Parameter!$H$6)*Personal!$AO$32+MIN(J57,Parameter!$H$7)*Personal!$AP$32+J57*Personal!$AQ$32)</f>
        <v>543.83999999999992</v>
      </c>
      <c r="Y57" s="128">
        <f>IF(Personal!$D$32="","",MIN(K57,Parameter!$H$6)*Personal!$AO$32+MIN(K57,Parameter!$H$7)*Personal!$AP$32+K57*Personal!$AQ$32)</f>
        <v>543.83999999999992</v>
      </c>
      <c r="Z57" s="128">
        <f>IF(Personal!$D$32="","",MIN(L57,Parameter!$H$6)*Personal!$AO$32+MIN(L57,Parameter!$H$7)*Personal!$AP$32+L57*Personal!$AQ$32)</f>
        <v>543.83999999999992</v>
      </c>
      <c r="AA57" s="128">
        <f>IF(Personal!$D$32="","",MIN(M57,Parameter!$H$6)*Personal!$AO$32+MIN(M57,Parameter!$H$7)*Personal!$AP$32+M57*Personal!$AQ$32)</f>
        <v>1071.8400000000001</v>
      </c>
      <c r="AB57" s="128">
        <f>IF(Personal!$D$32="","",MIN(N57,Parameter!$H$6)*Personal!$AO$32+MIN(N57,Parameter!$H$7)*Personal!$AP$32+N57*Personal!$AQ$32)</f>
        <v>543.83999999999992</v>
      </c>
      <c r="AC57" s="127">
        <f t="shared" si="10"/>
        <v>7006.5600000000013</v>
      </c>
      <c r="AD57" s="129">
        <f t="shared" si="11"/>
        <v>36200.559999999998</v>
      </c>
      <c r="AE57" s="130" t="str">
        <f>IF($B57="","",Personal!$E$32)</f>
        <v>Kundenservice</v>
      </c>
    </row>
    <row r="58" spans="2:31" ht="16.5" customHeight="1" x14ac:dyDescent="0.25">
      <c r="B58" s="125" t="str">
        <f>IF(Personal!$D$33="","",Personal!$D$33)</f>
        <v>Christian Vogel</v>
      </c>
      <c r="C58" s="126">
        <f>IF(Personal!$D$33="","",N(Personal!$M$33)*(1+IF(MONTH(C$7)&gt;=Parameter!$C$28,Personal!$AN$33,0))*IFERROR(Personal!$Y$33/Personal!$R$33,0)+IF(MONTH(C$7)=Parameter!$C$29,N(Personal!$M$33)*N(Personal!$N$33)*N(Personal!$T$33),0))</f>
        <v>7400</v>
      </c>
      <c r="D58" s="126">
        <f>IF(Personal!$D$33="","",N(Personal!$M$33)*(1+IF(MONTH(D$7)&gt;=Parameter!$C$28,Personal!$AN$33,0))*IFERROR(Personal!$Z$33/Personal!$R$33,0)+IF(MONTH(D$7)=Parameter!$C$29,N(Personal!$M$33)*N(Personal!$N$33)*N(Personal!$T$33),0))</f>
        <v>7400</v>
      </c>
      <c r="E58" s="126">
        <f>IF(Personal!$D$33="","",N(Personal!$M$33)*(1+IF(MONTH(E$7)&gt;=Parameter!$C$28,Personal!$AN$33,0))*IFERROR(Personal!$AA$33/Personal!$R$33,0)+IF(MONTH(E$7)=Parameter!$C$29,N(Personal!$M$33)*N(Personal!$N$33)*N(Personal!$T$33),0))</f>
        <v>7400</v>
      </c>
      <c r="F58" s="126">
        <f>IF(Personal!$D$33="","",N(Personal!$M$33)*(1+IF(MONTH(F$7)&gt;=Parameter!$C$28,Personal!$AN$33,0))*IFERROR(Personal!$AB$33/Personal!$R$33,0)+IF(MONTH(F$7)=Parameter!$C$29,N(Personal!$M$33)*N(Personal!$N$33)*N(Personal!$T$33),0))</f>
        <v>7622</v>
      </c>
      <c r="G58" s="126">
        <f>IF(Personal!$D$33="","",N(Personal!$M$33)*(1+IF(MONTH(G$7)&gt;=Parameter!$C$28,Personal!$AN$33,0))*IFERROR(Personal!$AC$33/Personal!$R$33,0)+IF(MONTH(G$7)=Parameter!$C$29,N(Personal!$M$33)*N(Personal!$N$33)*N(Personal!$T$33),0))</f>
        <v>7622</v>
      </c>
      <c r="H58" s="126">
        <f>IF(Personal!$D$33="","",N(Personal!$M$33)*(1+IF(MONTH(H$7)&gt;=Parameter!$C$28,Personal!$AN$33,0))*IFERROR(Personal!$AD$33/Personal!$R$33,0)+IF(MONTH(H$7)=Parameter!$C$29,N(Personal!$M$33)*N(Personal!$N$33)*N(Personal!$T$33),0))</f>
        <v>7622</v>
      </c>
      <c r="I58" s="126">
        <f>IF(Personal!$D$33="","",N(Personal!$M$33)*(1+IF(MONTH(I$7)&gt;=Parameter!$C$28,Personal!$AN$33,0))*IFERROR(Personal!$AE$33/Personal!$R$33,0)+IF(MONTH(I$7)=Parameter!$C$29,N(Personal!$M$33)*N(Personal!$N$33)*N(Personal!$T$33),0))</f>
        <v>7622</v>
      </c>
      <c r="J58" s="126">
        <f>IF(Personal!$D$33="","",N(Personal!$M$33)*(1+IF(MONTH(J$7)&gt;=Parameter!$C$28,Personal!$AN$33,0))*IFERROR(Personal!$AF$33/Personal!$R$33,0)+IF(MONTH(J$7)=Parameter!$C$29,N(Personal!$M$33)*N(Personal!$N$33)*N(Personal!$T$33),0))</f>
        <v>7622</v>
      </c>
      <c r="K58" s="126">
        <f>IF(Personal!$D$33="","",N(Personal!$M$33)*(1+IF(MONTH(K$7)&gt;=Parameter!$C$28,Personal!$AN$33,0))*IFERROR(Personal!$AG$33/Personal!$R$33,0)+IF(MONTH(K$7)=Parameter!$C$29,N(Personal!$M$33)*N(Personal!$N$33)*N(Personal!$T$33),0))</f>
        <v>7622</v>
      </c>
      <c r="L58" s="126">
        <f>IF(Personal!$D$33="","",N(Personal!$M$33)*(1+IF(MONTH(L$7)&gt;=Parameter!$C$28,Personal!$AN$33,0))*IFERROR(Personal!$AH$33/Personal!$R$33,0)+IF(MONTH(L$7)=Parameter!$C$29,N(Personal!$M$33)*N(Personal!$N$33)*N(Personal!$T$33),0))</f>
        <v>7622</v>
      </c>
      <c r="M58" s="126">
        <f>IF(Personal!$D$33="","",N(Personal!$M$33)*(1+IF(MONTH(M$7)&gt;=Parameter!$C$28,Personal!$AN$33,0))*IFERROR(Personal!$AI$33/Personal!$R$33,0)+IF(MONTH(M$7)=Parameter!$C$29,N(Personal!$M$33)*N(Personal!$N$33)*N(Personal!$T$33),0))</f>
        <v>11322</v>
      </c>
      <c r="N58" s="126">
        <f>IF(Personal!$D$33="","",N(Personal!$M$33)*(1+IF(MONTH(N$7)&gt;=Parameter!$C$28,Personal!$AN$33,0))*IFERROR(Personal!$AJ$33/Personal!$R$33,0)+IF(MONTH(N$7)=Parameter!$C$29,N(Personal!$M$33)*N(Personal!$N$33)*N(Personal!$T$33),0))</f>
        <v>7622</v>
      </c>
      <c r="O58" s="127">
        <f t="shared" si="9"/>
        <v>94498</v>
      </c>
      <c r="Q58" s="128">
        <f>IF(Personal!$D$33="","",MIN(C58,Parameter!$H$6)*Personal!$AO$33+MIN(C58,Parameter!$H$7)*Personal!$AP$33+C58*Personal!$AQ$33)</f>
        <v>1667.8625</v>
      </c>
      <c r="R58" s="128">
        <f>IF(Personal!$D$33="","",MIN(D58,Parameter!$H$6)*Personal!$AO$33+MIN(D58,Parameter!$H$7)*Personal!$AP$33+D58*Personal!$AQ$33)</f>
        <v>1667.8625</v>
      </c>
      <c r="S58" s="128">
        <f>IF(Personal!$D$33="","",MIN(E58,Parameter!$H$6)*Personal!$AO$33+MIN(E58,Parameter!$H$7)*Personal!$AP$33+E58*Personal!$AQ$33)</f>
        <v>1667.8625</v>
      </c>
      <c r="T58" s="128">
        <f>IF(Personal!$D$33="","",MIN(F58,Parameter!$H$6)*Personal!$AO$33+MIN(F58,Parameter!$H$7)*Personal!$AP$33+F58*Personal!$AQ$33)</f>
        <v>1697.7214999999999</v>
      </c>
      <c r="U58" s="128">
        <f>IF(Personal!$D$33="","",MIN(G58,Parameter!$H$6)*Personal!$AO$33+MIN(G58,Parameter!$H$7)*Personal!$AP$33+G58*Personal!$AQ$33)</f>
        <v>1697.7214999999999</v>
      </c>
      <c r="V58" s="128">
        <f>IF(Personal!$D$33="","",MIN(H58,Parameter!$H$6)*Personal!$AO$33+MIN(H58,Parameter!$H$7)*Personal!$AP$33+H58*Personal!$AQ$33)</f>
        <v>1697.7214999999999</v>
      </c>
      <c r="W58" s="128">
        <f>IF(Personal!$D$33="","",MIN(I58,Parameter!$H$6)*Personal!$AO$33+MIN(I58,Parameter!$H$7)*Personal!$AP$33+I58*Personal!$AQ$33)</f>
        <v>1697.7214999999999</v>
      </c>
      <c r="X58" s="128">
        <f>IF(Personal!$D$33="","",MIN(J58,Parameter!$H$6)*Personal!$AO$33+MIN(J58,Parameter!$H$7)*Personal!$AP$33+J58*Personal!$AQ$33)</f>
        <v>1697.7214999999999</v>
      </c>
      <c r="Y58" s="128">
        <f>IF(Personal!$D$33="","",MIN(K58,Parameter!$H$6)*Personal!$AO$33+MIN(K58,Parameter!$H$7)*Personal!$AP$33+K58*Personal!$AQ$33)</f>
        <v>1697.7214999999999</v>
      </c>
      <c r="Z58" s="128">
        <f>IF(Personal!$D$33="","",MIN(L58,Parameter!$H$6)*Personal!$AO$33+MIN(L58,Parameter!$H$7)*Personal!$AP$33+L58*Personal!$AQ$33)</f>
        <v>1697.7214999999999</v>
      </c>
      <c r="AA58" s="128">
        <f>IF(Personal!$D$33="","",MIN(M58,Parameter!$H$6)*Personal!$AO$33+MIN(M58,Parameter!$H$7)*Personal!$AP$33+M58*Personal!$AQ$33)</f>
        <v>1892.5515</v>
      </c>
      <c r="AB58" s="128">
        <f>IF(Personal!$D$33="","",MIN(N58,Parameter!$H$6)*Personal!$AO$33+MIN(N58,Parameter!$H$7)*Personal!$AP$33+N58*Personal!$AQ$33)</f>
        <v>1697.7214999999999</v>
      </c>
      <c r="AC58" s="127">
        <f t="shared" si="10"/>
        <v>20477.911</v>
      </c>
      <c r="AD58" s="129">
        <f t="shared" si="11"/>
        <v>114975.91099999999</v>
      </c>
      <c r="AE58" s="130" t="str">
        <f>IF($B58="","",Personal!$E$33)</f>
        <v>IT</v>
      </c>
    </row>
    <row r="59" spans="2:31" ht="16.5" customHeight="1" x14ac:dyDescent="0.25">
      <c r="B59" s="125" t="str">
        <f>IF(Personal!$D$34="","",Personal!$D$34)</f>
        <v>Mehmet Öztürk</v>
      </c>
      <c r="C59" s="126">
        <f>IF(Personal!$D$34="","",N(Personal!$M$34)*(1+IF(MONTH(C$7)&gt;=Parameter!$C$28,Personal!$AN$34,0))*IFERROR(Personal!$Y$34/Personal!$R$34,0)+IF(MONTH(C$7)=Parameter!$C$29,N(Personal!$M$34)*N(Personal!$N$34)*N(Personal!$T$34),0))</f>
        <v>6100</v>
      </c>
      <c r="D59" s="126">
        <f>IF(Personal!$D$34="","",N(Personal!$M$34)*(1+IF(MONTH(D$7)&gt;=Parameter!$C$28,Personal!$AN$34,0))*IFERROR(Personal!$Z$34/Personal!$R$34,0)+IF(MONTH(D$7)=Parameter!$C$29,N(Personal!$M$34)*N(Personal!$N$34)*N(Personal!$T$34),0))</f>
        <v>6100</v>
      </c>
      <c r="E59" s="126">
        <f>IF(Personal!$D$34="","",N(Personal!$M$34)*(1+IF(MONTH(E$7)&gt;=Parameter!$C$28,Personal!$AN$34,0))*IFERROR(Personal!$AA$34/Personal!$R$34,0)+IF(MONTH(E$7)=Parameter!$C$29,N(Personal!$M$34)*N(Personal!$N$34)*N(Personal!$T$34),0))</f>
        <v>6100</v>
      </c>
      <c r="F59" s="126">
        <f>IF(Personal!$D$34="","",N(Personal!$M$34)*(1+IF(MONTH(F$7)&gt;=Parameter!$C$28,Personal!$AN$34,0))*IFERROR(Personal!$AB$34/Personal!$R$34,0)+IF(MONTH(F$7)=Parameter!$C$29,N(Personal!$M$34)*N(Personal!$N$34)*N(Personal!$T$34),0))</f>
        <v>6283</v>
      </c>
      <c r="G59" s="126">
        <f>IF(Personal!$D$34="","",N(Personal!$M$34)*(1+IF(MONTH(G$7)&gt;=Parameter!$C$28,Personal!$AN$34,0))*IFERROR(Personal!$AC$34/Personal!$R$34,0)+IF(MONTH(G$7)=Parameter!$C$29,N(Personal!$M$34)*N(Personal!$N$34)*N(Personal!$T$34),0))</f>
        <v>6283</v>
      </c>
      <c r="H59" s="126">
        <f>IF(Personal!$D$34="","",N(Personal!$M$34)*(1+IF(MONTH(H$7)&gt;=Parameter!$C$28,Personal!$AN$34,0))*IFERROR(Personal!$AD$34/Personal!$R$34,0)+IF(MONTH(H$7)=Parameter!$C$29,N(Personal!$M$34)*N(Personal!$N$34)*N(Personal!$T$34),0))</f>
        <v>6283</v>
      </c>
      <c r="I59" s="126">
        <f>IF(Personal!$D$34="","",N(Personal!$M$34)*(1+IF(MONTH(I$7)&gt;=Parameter!$C$28,Personal!$AN$34,0))*IFERROR(Personal!$AE$34/Personal!$R$34,0)+IF(MONTH(I$7)=Parameter!$C$29,N(Personal!$M$34)*N(Personal!$N$34)*N(Personal!$T$34),0))</f>
        <v>6283</v>
      </c>
      <c r="J59" s="126">
        <f>IF(Personal!$D$34="","",N(Personal!$M$34)*(1+IF(MONTH(J$7)&gt;=Parameter!$C$28,Personal!$AN$34,0))*IFERROR(Personal!$AF$34/Personal!$R$34,0)+IF(MONTH(J$7)=Parameter!$C$29,N(Personal!$M$34)*N(Personal!$N$34)*N(Personal!$T$34),0))</f>
        <v>6283</v>
      </c>
      <c r="K59" s="126">
        <f>IF(Personal!$D$34="","",N(Personal!$M$34)*(1+IF(MONTH(K$7)&gt;=Parameter!$C$28,Personal!$AN$34,0))*IFERROR(Personal!$AG$34/Personal!$R$34,0)+IF(MONTH(K$7)=Parameter!$C$29,N(Personal!$M$34)*N(Personal!$N$34)*N(Personal!$T$34),0))</f>
        <v>6283</v>
      </c>
      <c r="L59" s="126">
        <f>IF(Personal!$D$34="","",N(Personal!$M$34)*(1+IF(MONTH(L$7)&gt;=Parameter!$C$28,Personal!$AN$34,0))*IFERROR(Personal!$AH$34/Personal!$R$34,0)+IF(MONTH(L$7)=Parameter!$C$29,N(Personal!$M$34)*N(Personal!$N$34)*N(Personal!$T$34),0))</f>
        <v>6283</v>
      </c>
      <c r="M59" s="126">
        <f>IF(Personal!$D$34="","",N(Personal!$M$34)*(1+IF(MONTH(M$7)&gt;=Parameter!$C$28,Personal!$AN$34,0))*IFERROR(Personal!$AI$34/Personal!$R$34,0)+IF(MONTH(M$7)=Parameter!$C$29,N(Personal!$M$34)*N(Personal!$N$34)*N(Personal!$T$34),0))</f>
        <v>12383</v>
      </c>
      <c r="N59" s="126">
        <f>IF(Personal!$D$34="","",N(Personal!$M$34)*(1+IF(MONTH(N$7)&gt;=Parameter!$C$28,Personal!$AN$34,0))*IFERROR(Personal!$AJ$34/Personal!$R$34,0)+IF(MONTH(N$7)=Parameter!$C$29,N(Personal!$M$34)*N(Personal!$N$34)*N(Personal!$T$34),0))</f>
        <v>6283</v>
      </c>
      <c r="O59" s="127">
        <f t="shared" si="9"/>
        <v>80947</v>
      </c>
      <c r="Q59" s="128">
        <f>IF(Personal!$D$34="","",MIN(C59,Parameter!$H$6)*Personal!$AO$34+MIN(C59,Parameter!$H$7)*Personal!$AP$34+C59*Personal!$AQ$34)</f>
        <v>1464</v>
      </c>
      <c r="R59" s="128">
        <f>IF(Personal!$D$34="","",MIN(D59,Parameter!$H$6)*Personal!$AO$34+MIN(D59,Parameter!$H$7)*Personal!$AP$34+D59*Personal!$AQ$34)</f>
        <v>1464</v>
      </c>
      <c r="S59" s="128">
        <f>IF(Personal!$D$34="","",MIN(E59,Parameter!$H$6)*Personal!$AO$34+MIN(E59,Parameter!$H$7)*Personal!$AP$34+E59*Personal!$AQ$34)</f>
        <v>1464</v>
      </c>
      <c r="T59" s="128">
        <f>IF(Personal!$D$34="","",MIN(F59,Parameter!$H$6)*Personal!$AO$34+MIN(F59,Parameter!$H$7)*Personal!$AP$34+F59*Personal!$AQ$34)</f>
        <v>1507.9199999999998</v>
      </c>
      <c r="U59" s="128">
        <f>IF(Personal!$D$34="","",MIN(G59,Parameter!$H$6)*Personal!$AO$34+MIN(G59,Parameter!$H$7)*Personal!$AP$34+G59*Personal!$AQ$34)</f>
        <v>1507.9199999999998</v>
      </c>
      <c r="V59" s="128">
        <f>IF(Personal!$D$34="","",MIN(H59,Parameter!$H$6)*Personal!$AO$34+MIN(H59,Parameter!$H$7)*Personal!$AP$34+H59*Personal!$AQ$34)</f>
        <v>1507.9199999999998</v>
      </c>
      <c r="W59" s="128">
        <f>IF(Personal!$D$34="","",MIN(I59,Parameter!$H$6)*Personal!$AO$34+MIN(I59,Parameter!$H$7)*Personal!$AP$34+I59*Personal!$AQ$34)</f>
        <v>1507.9199999999998</v>
      </c>
      <c r="X59" s="128">
        <f>IF(Personal!$D$34="","",MIN(J59,Parameter!$H$6)*Personal!$AO$34+MIN(J59,Parameter!$H$7)*Personal!$AP$34+J59*Personal!$AQ$34)</f>
        <v>1507.9199999999998</v>
      </c>
      <c r="Y59" s="128">
        <f>IF(Personal!$D$34="","",MIN(K59,Parameter!$H$6)*Personal!$AO$34+MIN(K59,Parameter!$H$7)*Personal!$AP$34+K59*Personal!$AQ$34)</f>
        <v>1507.9199999999998</v>
      </c>
      <c r="Z59" s="128">
        <f>IF(Personal!$D$34="","",MIN(L59,Parameter!$H$6)*Personal!$AO$34+MIN(L59,Parameter!$H$7)*Personal!$AP$34+L59*Personal!$AQ$34)</f>
        <v>1507.9199999999998</v>
      </c>
      <c r="AA59" s="128">
        <f>IF(Personal!$D$34="","",MIN(M59,Parameter!$H$6)*Personal!$AO$34+MIN(M59,Parameter!$H$7)*Personal!$AP$34+M59*Personal!$AQ$34)</f>
        <v>1905.2835</v>
      </c>
      <c r="AB59" s="128">
        <f>IF(Personal!$D$34="","",MIN(N59,Parameter!$H$6)*Personal!$AO$34+MIN(N59,Parameter!$H$7)*Personal!$AP$34+N59*Personal!$AQ$34)</f>
        <v>1507.9199999999998</v>
      </c>
      <c r="AC59" s="127">
        <f t="shared" si="10"/>
        <v>18360.643499999998</v>
      </c>
      <c r="AD59" s="129">
        <f t="shared" si="11"/>
        <v>99307.643500000006</v>
      </c>
      <c r="AE59" s="130" t="str">
        <f>IF($B59="","",Personal!$E$34)</f>
        <v>IT</v>
      </c>
    </row>
    <row r="60" spans="2:31" ht="16.5" customHeight="1" x14ac:dyDescent="0.25">
      <c r="B60" s="125" t="str">
        <f>IF(Personal!$D$35="","",Personal!$D$35)</f>
        <v>Patrick Huber</v>
      </c>
      <c r="C60" s="126">
        <f>IF(Personal!$D$35="","",N(Personal!$M$35)*(1+IF(MONTH(C$7)&gt;=Parameter!$C$28,Personal!$AN$35,0))*IFERROR(Personal!$Y$35/Personal!$R$35,0)+IF(MONTH(C$7)=Parameter!$C$29,N(Personal!$M$35)*N(Personal!$N$35)*N(Personal!$T$35),0))</f>
        <v>5200</v>
      </c>
      <c r="D60" s="126">
        <f>IF(Personal!$D$35="","",N(Personal!$M$35)*(1+IF(MONTH(D$7)&gt;=Parameter!$C$28,Personal!$AN$35,0))*IFERROR(Personal!$Z$35/Personal!$R$35,0)+IF(MONTH(D$7)=Parameter!$C$29,N(Personal!$M$35)*N(Personal!$N$35)*N(Personal!$T$35),0))</f>
        <v>5200</v>
      </c>
      <c r="E60" s="126">
        <f>IF(Personal!$D$35="","",N(Personal!$M$35)*(1+IF(MONTH(E$7)&gt;=Parameter!$C$28,Personal!$AN$35,0))*IFERROR(Personal!$AA$35/Personal!$R$35,0)+IF(MONTH(E$7)=Parameter!$C$29,N(Personal!$M$35)*N(Personal!$N$35)*N(Personal!$T$35),0))</f>
        <v>5200</v>
      </c>
      <c r="F60" s="126">
        <f>IF(Personal!$D$35="","",N(Personal!$M$35)*(1+IF(MONTH(F$7)&gt;=Parameter!$C$28,Personal!$AN$35,0))*IFERROR(Personal!$AB$35/Personal!$R$35,0)+IF(MONTH(F$7)=Parameter!$C$29,N(Personal!$M$35)*N(Personal!$N$35)*N(Personal!$T$35),0))</f>
        <v>5356</v>
      </c>
      <c r="G60" s="126">
        <f>IF(Personal!$D$35="","",N(Personal!$M$35)*(1+IF(MONTH(G$7)&gt;=Parameter!$C$28,Personal!$AN$35,0))*IFERROR(Personal!$AC$35/Personal!$R$35,0)+IF(MONTH(G$7)=Parameter!$C$29,N(Personal!$M$35)*N(Personal!$N$35)*N(Personal!$T$35),0))</f>
        <v>5356</v>
      </c>
      <c r="H60" s="126">
        <f>IF(Personal!$D$35="","",N(Personal!$M$35)*(1+IF(MONTH(H$7)&gt;=Parameter!$C$28,Personal!$AN$35,0))*IFERROR(Personal!$AD$35/Personal!$R$35,0)+IF(MONTH(H$7)=Parameter!$C$29,N(Personal!$M$35)*N(Personal!$N$35)*N(Personal!$T$35),0))</f>
        <v>5356</v>
      </c>
      <c r="I60" s="126">
        <f>IF(Personal!$D$35="","",N(Personal!$M$35)*(1+IF(MONTH(I$7)&gt;=Parameter!$C$28,Personal!$AN$35,0))*IFERROR(Personal!$AE$35/Personal!$R$35,0)+IF(MONTH(I$7)=Parameter!$C$29,N(Personal!$M$35)*N(Personal!$N$35)*N(Personal!$T$35),0))</f>
        <v>5356</v>
      </c>
      <c r="J60" s="126">
        <f>IF(Personal!$D$35="","",N(Personal!$M$35)*(1+IF(MONTH(J$7)&gt;=Parameter!$C$28,Personal!$AN$35,0))*IFERROR(Personal!$AF$35/Personal!$R$35,0)+IF(MONTH(J$7)=Parameter!$C$29,N(Personal!$M$35)*N(Personal!$N$35)*N(Personal!$T$35),0))</f>
        <v>5356</v>
      </c>
      <c r="K60" s="126">
        <f>IF(Personal!$D$35="","",N(Personal!$M$35)*(1+IF(MONTH(K$7)&gt;=Parameter!$C$28,Personal!$AN$35,0))*IFERROR(Personal!$AG$35/Personal!$R$35,0)+IF(MONTH(K$7)=Parameter!$C$29,N(Personal!$M$35)*N(Personal!$N$35)*N(Personal!$T$35),0))</f>
        <v>5356</v>
      </c>
      <c r="L60" s="126">
        <f>IF(Personal!$D$35="","",N(Personal!$M$35)*(1+IF(MONTH(L$7)&gt;=Parameter!$C$28,Personal!$AN$35,0))*IFERROR(Personal!$AH$35/Personal!$R$35,0)+IF(MONTH(L$7)=Parameter!$C$29,N(Personal!$M$35)*N(Personal!$N$35)*N(Personal!$T$35),0))</f>
        <v>5356</v>
      </c>
      <c r="M60" s="126">
        <f>IF(Personal!$D$35="","",N(Personal!$M$35)*(1+IF(MONTH(M$7)&gt;=Parameter!$C$28,Personal!$AN$35,0))*IFERROR(Personal!$AI$35/Personal!$R$35,0)+IF(MONTH(M$7)=Parameter!$C$29,N(Personal!$M$35)*N(Personal!$N$35)*N(Personal!$T$35),0))</f>
        <v>10556</v>
      </c>
      <c r="N60" s="126">
        <f>IF(Personal!$D$35="","",N(Personal!$M$35)*(1+IF(MONTH(N$7)&gt;=Parameter!$C$28,Personal!$AN$35,0))*IFERROR(Personal!$AJ$35/Personal!$R$35,0)+IF(MONTH(N$7)=Parameter!$C$29,N(Personal!$M$35)*N(Personal!$N$35)*N(Personal!$T$35),0))</f>
        <v>5356</v>
      </c>
      <c r="O60" s="127">
        <f t="shared" si="9"/>
        <v>69004</v>
      </c>
      <c r="Q60" s="128">
        <f>IF(Personal!$D$35="","",MIN(C60,Parameter!$H$6)*Personal!$AO$35+MIN(C60,Parameter!$H$7)*Personal!$AP$35+C60*Personal!$AQ$35)</f>
        <v>1248</v>
      </c>
      <c r="R60" s="128">
        <f>IF(Personal!$D$35="","",MIN(D60,Parameter!$H$6)*Personal!$AO$35+MIN(D60,Parameter!$H$7)*Personal!$AP$35+D60*Personal!$AQ$35)</f>
        <v>1248</v>
      </c>
      <c r="S60" s="128">
        <f>IF(Personal!$D$35="","",MIN(E60,Parameter!$H$6)*Personal!$AO$35+MIN(E60,Parameter!$H$7)*Personal!$AP$35+E60*Personal!$AQ$35)</f>
        <v>1248</v>
      </c>
      <c r="T60" s="128">
        <f>IF(Personal!$D$35="","",MIN(F60,Parameter!$H$6)*Personal!$AO$35+MIN(F60,Parameter!$H$7)*Personal!$AP$35+F60*Personal!$AQ$35)</f>
        <v>1285.44</v>
      </c>
      <c r="U60" s="128">
        <f>IF(Personal!$D$35="","",MIN(G60,Parameter!$H$6)*Personal!$AO$35+MIN(G60,Parameter!$H$7)*Personal!$AP$35+G60*Personal!$AQ$35)</f>
        <v>1285.44</v>
      </c>
      <c r="V60" s="128">
        <f>IF(Personal!$D$35="","",MIN(H60,Parameter!$H$6)*Personal!$AO$35+MIN(H60,Parameter!$H$7)*Personal!$AP$35+H60*Personal!$AQ$35)</f>
        <v>1285.44</v>
      </c>
      <c r="W60" s="128">
        <f>IF(Personal!$D$35="","",MIN(I60,Parameter!$H$6)*Personal!$AO$35+MIN(I60,Parameter!$H$7)*Personal!$AP$35+I60*Personal!$AQ$35)</f>
        <v>1285.44</v>
      </c>
      <c r="X60" s="128">
        <f>IF(Personal!$D$35="","",MIN(J60,Parameter!$H$6)*Personal!$AO$35+MIN(J60,Parameter!$H$7)*Personal!$AP$35+J60*Personal!$AQ$35)</f>
        <v>1285.44</v>
      </c>
      <c r="Y60" s="128">
        <f>IF(Personal!$D$35="","",MIN(K60,Parameter!$H$6)*Personal!$AO$35+MIN(K60,Parameter!$H$7)*Personal!$AP$35+K60*Personal!$AQ$35)</f>
        <v>1285.44</v>
      </c>
      <c r="Z60" s="128">
        <f>IF(Personal!$D$35="","",MIN(L60,Parameter!$H$6)*Personal!$AO$35+MIN(L60,Parameter!$H$7)*Personal!$AP$35+L60*Personal!$AQ$35)</f>
        <v>1285.44</v>
      </c>
      <c r="AA60" s="128">
        <f>IF(Personal!$D$35="","",MIN(M60,Parameter!$H$6)*Personal!$AO$35+MIN(M60,Parameter!$H$7)*Personal!$AP$35+M60*Personal!$AQ$35)</f>
        <v>1883.3595</v>
      </c>
      <c r="AB60" s="128">
        <f>IF(Personal!$D$35="","",MIN(N60,Parameter!$H$6)*Personal!$AO$35+MIN(N60,Parameter!$H$7)*Personal!$AP$35+N60*Personal!$AQ$35)</f>
        <v>1285.44</v>
      </c>
      <c r="AC60" s="127">
        <f t="shared" si="10"/>
        <v>15910.879500000005</v>
      </c>
      <c r="AD60" s="129">
        <f t="shared" si="11"/>
        <v>84914.87950000001</v>
      </c>
      <c r="AE60" s="130" t="str">
        <f>IF($B60="","",Personal!$E$35)</f>
        <v>IT</v>
      </c>
    </row>
    <row r="61" spans="2:31" ht="16.5" customHeight="1" x14ac:dyDescent="0.25">
      <c r="B61" s="125" t="str">
        <f>IF(Personal!$D$36="","",Personal!$D$36)</f>
        <v>Luisa Kremer</v>
      </c>
      <c r="C61" s="126">
        <f>IF(Personal!$D$36="","",N(Personal!$M$36)*(1+IF(MONTH(C$7)&gt;=Parameter!$C$28,Personal!$AN$36,0))*IFERROR(Personal!$Y$36/Personal!$R$36,0)+IF(MONTH(C$7)=Parameter!$C$29,N(Personal!$M$36)*N(Personal!$N$36)*N(Personal!$T$36),0))</f>
        <v>1400</v>
      </c>
      <c r="D61" s="126">
        <f>IF(Personal!$D$36="","",N(Personal!$M$36)*(1+IF(MONTH(D$7)&gt;=Parameter!$C$28,Personal!$AN$36,0))*IFERROR(Personal!$Z$36/Personal!$R$36,0)+IF(MONTH(D$7)=Parameter!$C$29,N(Personal!$M$36)*N(Personal!$N$36)*N(Personal!$T$36),0))</f>
        <v>1400</v>
      </c>
      <c r="E61" s="126">
        <f>IF(Personal!$D$36="","",N(Personal!$M$36)*(1+IF(MONTH(E$7)&gt;=Parameter!$C$28,Personal!$AN$36,0))*IFERROR(Personal!$AA$36/Personal!$R$36,0)+IF(MONTH(E$7)=Parameter!$C$29,N(Personal!$M$36)*N(Personal!$N$36)*N(Personal!$T$36),0))</f>
        <v>1400</v>
      </c>
      <c r="F61" s="126">
        <f>IF(Personal!$D$36="","",N(Personal!$M$36)*(1+IF(MONTH(F$7)&gt;=Parameter!$C$28,Personal!$AN$36,0))*IFERROR(Personal!$AB$36/Personal!$R$36,0)+IF(MONTH(F$7)=Parameter!$C$29,N(Personal!$M$36)*N(Personal!$N$36)*N(Personal!$T$36),0))</f>
        <v>1400</v>
      </c>
      <c r="G61" s="126">
        <f>IF(Personal!$D$36="","",N(Personal!$M$36)*(1+IF(MONTH(G$7)&gt;=Parameter!$C$28,Personal!$AN$36,0))*IFERROR(Personal!$AC$36/Personal!$R$36,0)+IF(MONTH(G$7)=Parameter!$C$29,N(Personal!$M$36)*N(Personal!$N$36)*N(Personal!$T$36),0))</f>
        <v>1400</v>
      </c>
      <c r="H61" s="126">
        <f>IF(Personal!$D$36="","",N(Personal!$M$36)*(1+IF(MONTH(H$7)&gt;=Parameter!$C$28,Personal!$AN$36,0))*IFERROR(Personal!$AD$36/Personal!$R$36,0)+IF(MONTH(H$7)=Parameter!$C$29,N(Personal!$M$36)*N(Personal!$N$36)*N(Personal!$T$36),0))</f>
        <v>1400</v>
      </c>
      <c r="I61" s="126">
        <f>IF(Personal!$D$36="","",N(Personal!$M$36)*(1+IF(MONTH(I$7)&gt;=Parameter!$C$28,Personal!$AN$36,0))*IFERROR(Personal!$AE$36/Personal!$R$36,0)+IF(MONTH(I$7)=Parameter!$C$29,N(Personal!$M$36)*N(Personal!$N$36)*N(Personal!$T$36),0))</f>
        <v>1400</v>
      </c>
      <c r="J61" s="126">
        <f>IF(Personal!$D$36="","",N(Personal!$M$36)*(1+IF(MONTH(J$7)&gt;=Parameter!$C$28,Personal!$AN$36,0))*IFERROR(Personal!$AF$36/Personal!$R$36,0)+IF(MONTH(J$7)=Parameter!$C$29,N(Personal!$M$36)*N(Personal!$N$36)*N(Personal!$T$36),0))</f>
        <v>1400</v>
      </c>
      <c r="K61" s="126">
        <f>IF(Personal!$D$36="","",N(Personal!$M$36)*(1+IF(MONTH(K$7)&gt;=Parameter!$C$28,Personal!$AN$36,0))*IFERROR(Personal!$AG$36/Personal!$R$36,0)+IF(MONTH(K$7)=Parameter!$C$29,N(Personal!$M$36)*N(Personal!$N$36)*N(Personal!$T$36),0))</f>
        <v>1400</v>
      </c>
      <c r="L61" s="126">
        <f>IF(Personal!$D$36="","",N(Personal!$M$36)*(1+IF(MONTH(L$7)&gt;=Parameter!$C$28,Personal!$AN$36,0))*IFERROR(Personal!$AH$36/Personal!$R$36,0)+IF(MONTH(L$7)=Parameter!$C$29,N(Personal!$M$36)*N(Personal!$N$36)*N(Personal!$T$36),0))</f>
        <v>0</v>
      </c>
      <c r="M61" s="126">
        <f>IF(Personal!$D$36="","",N(Personal!$M$36)*(1+IF(MONTH(M$7)&gt;=Parameter!$C$28,Personal!$AN$36,0))*IFERROR(Personal!$AI$36/Personal!$R$36,0)+IF(MONTH(M$7)=Parameter!$C$29,N(Personal!$M$36)*N(Personal!$N$36)*N(Personal!$T$36),0))</f>
        <v>0</v>
      </c>
      <c r="N61" s="126">
        <f>IF(Personal!$D$36="","",N(Personal!$M$36)*(1+IF(MONTH(N$7)&gt;=Parameter!$C$28,Personal!$AN$36,0))*IFERROR(Personal!$AJ$36/Personal!$R$36,0)+IF(MONTH(N$7)=Parameter!$C$29,N(Personal!$M$36)*N(Personal!$N$36)*N(Personal!$T$36),0))</f>
        <v>0</v>
      </c>
      <c r="O61" s="127">
        <f t="shared" si="9"/>
        <v>12600</v>
      </c>
      <c r="Q61" s="128">
        <f>IF(Personal!$D$36="","",MIN(C61,Parameter!$H$6)*Personal!$AO$36+MIN(C61,Parameter!$H$7)*Personal!$AP$36+C61*Personal!$AQ$36)</f>
        <v>170.10000000000002</v>
      </c>
      <c r="R61" s="128">
        <f>IF(Personal!$D$36="","",MIN(D61,Parameter!$H$6)*Personal!$AO$36+MIN(D61,Parameter!$H$7)*Personal!$AP$36+D61*Personal!$AQ$36)</f>
        <v>170.10000000000002</v>
      </c>
      <c r="S61" s="128">
        <f>IF(Personal!$D$36="","",MIN(E61,Parameter!$H$6)*Personal!$AO$36+MIN(E61,Parameter!$H$7)*Personal!$AP$36+E61*Personal!$AQ$36)</f>
        <v>170.10000000000002</v>
      </c>
      <c r="T61" s="128">
        <f>IF(Personal!$D$36="","",MIN(F61,Parameter!$H$6)*Personal!$AO$36+MIN(F61,Parameter!$H$7)*Personal!$AP$36+F61*Personal!$AQ$36)</f>
        <v>170.10000000000002</v>
      </c>
      <c r="U61" s="128">
        <f>IF(Personal!$D$36="","",MIN(G61,Parameter!$H$6)*Personal!$AO$36+MIN(G61,Parameter!$H$7)*Personal!$AP$36+G61*Personal!$AQ$36)</f>
        <v>170.10000000000002</v>
      </c>
      <c r="V61" s="128">
        <f>IF(Personal!$D$36="","",MIN(H61,Parameter!$H$6)*Personal!$AO$36+MIN(H61,Parameter!$H$7)*Personal!$AP$36+H61*Personal!$AQ$36)</f>
        <v>170.10000000000002</v>
      </c>
      <c r="W61" s="128">
        <f>IF(Personal!$D$36="","",MIN(I61,Parameter!$H$6)*Personal!$AO$36+MIN(I61,Parameter!$H$7)*Personal!$AP$36+I61*Personal!$AQ$36)</f>
        <v>170.10000000000002</v>
      </c>
      <c r="X61" s="128">
        <f>IF(Personal!$D$36="","",MIN(J61,Parameter!$H$6)*Personal!$AO$36+MIN(J61,Parameter!$H$7)*Personal!$AP$36+J61*Personal!$AQ$36)</f>
        <v>170.10000000000002</v>
      </c>
      <c r="Y61" s="128">
        <f>IF(Personal!$D$36="","",MIN(K61,Parameter!$H$6)*Personal!$AO$36+MIN(K61,Parameter!$H$7)*Personal!$AP$36+K61*Personal!$AQ$36)</f>
        <v>170.10000000000002</v>
      </c>
      <c r="Z61" s="128">
        <f>IF(Personal!$D$36="","",MIN(L61,Parameter!$H$6)*Personal!$AO$36+MIN(L61,Parameter!$H$7)*Personal!$AP$36+L61*Personal!$AQ$36)</f>
        <v>0</v>
      </c>
      <c r="AA61" s="128">
        <f>IF(Personal!$D$36="","",MIN(M61,Parameter!$H$6)*Personal!$AO$36+MIN(M61,Parameter!$H$7)*Personal!$AP$36+M61*Personal!$AQ$36)</f>
        <v>0</v>
      </c>
      <c r="AB61" s="128">
        <f>IF(Personal!$D$36="","",MIN(N61,Parameter!$H$6)*Personal!$AO$36+MIN(N61,Parameter!$H$7)*Personal!$AP$36+N61*Personal!$AQ$36)</f>
        <v>0</v>
      </c>
      <c r="AC61" s="127">
        <f t="shared" si="10"/>
        <v>1530.9</v>
      </c>
      <c r="AD61" s="129">
        <f t="shared" si="11"/>
        <v>14130.9</v>
      </c>
      <c r="AE61" s="130" t="str">
        <f>IF($B61="","",Personal!$E$36)</f>
        <v>IT</v>
      </c>
    </row>
    <row r="62" spans="2:31" ht="16.5" customHeight="1" x14ac:dyDescent="0.25">
      <c r="B62" s="125" t="str">
        <f>IF(Personal!$D$37="","",Personal!$D$37)</f>
        <v>Andrea Schäfer</v>
      </c>
      <c r="C62" s="126">
        <f>IF(Personal!$D$37="","",N(Personal!$M$37)*(1+IF(MONTH(C$7)&gt;=Parameter!$C$28,Personal!$AN$37,0))*IFERROR(Personal!$Y$37/Personal!$R$37,0)+IF(MONTH(C$7)=Parameter!$C$29,N(Personal!$M$37)*N(Personal!$N$37)*N(Personal!$T$37),0))</f>
        <v>7000</v>
      </c>
      <c r="D62" s="126">
        <f>IF(Personal!$D$37="","",N(Personal!$M$37)*(1+IF(MONTH(D$7)&gt;=Parameter!$C$28,Personal!$AN$37,0))*IFERROR(Personal!$Z$37/Personal!$R$37,0)+IF(MONTH(D$7)=Parameter!$C$29,N(Personal!$M$37)*N(Personal!$N$37)*N(Personal!$T$37),0))</f>
        <v>7000</v>
      </c>
      <c r="E62" s="126">
        <f>IF(Personal!$D$37="","",N(Personal!$M$37)*(1+IF(MONTH(E$7)&gt;=Parameter!$C$28,Personal!$AN$37,0))*IFERROR(Personal!$AA$37/Personal!$R$37,0)+IF(MONTH(E$7)=Parameter!$C$29,N(Personal!$M$37)*N(Personal!$N$37)*N(Personal!$T$37),0))</f>
        <v>7000</v>
      </c>
      <c r="F62" s="126">
        <f>IF(Personal!$D$37="","",N(Personal!$M$37)*(1+IF(MONTH(F$7)&gt;=Parameter!$C$28,Personal!$AN$37,0))*IFERROR(Personal!$AB$37/Personal!$R$37,0)+IF(MONTH(F$7)=Parameter!$C$29,N(Personal!$M$37)*N(Personal!$N$37)*N(Personal!$T$37),0))</f>
        <v>7210</v>
      </c>
      <c r="G62" s="126">
        <f>IF(Personal!$D$37="","",N(Personal!$M$37)*(1+IF(MONTH(G$7)&gt;=Parameter!$C$28,Personal!$AN$37,0))*IFERROR(Personal!$AC$37/Personal!$R$37,0)+IF(MONTH(G$7)=Parameter!$C$29,N(Personal!$M$37)*N(Personal!$N$37)*N(Personal!$T$37),0))</f>
        <v>7210</v>
      </c>
      <c r="H62" s="126">
        <f>IF(Personal!$D$37="","",N(Personal!$M$37)*(1+IF(MONTH(H$7)&gt;=Parameter!$C$28,Personal!$AN$37,0))*IFERROR(Personal!$AD$37/Personal!$R$37,0)+IF(MONTH(H$7)=Parameter!$C$29,N(Personal!$M$37)*N(Personal!$N$37)*N(Personal!$T$37),0))</f>
        <v>7210</v>
      </c>
      <c r="I62" s="126">
        <f>IF(Personal!$D$37="","",N(Personal!$M$37)*(1+IF(MONTH(I$7)&gt;=Parameter!$C$28,Personal!$AN$37,0))*IFERROR(Personal!$AE$37/Personal!$R$37,0)+IF(MONTH(I$7)=Parameter!$C$29,N(Personal!$M$37)*N(Personal!$N$37)*N(Personal!$T$37),0))</f>
        <v>7210</v>
      </c>
      <c r="J62" s="126">
        <f>IF(Personal!$D$37="","",N(Personal!$M$37)*(1+IF(MONTH(J$7)&gt;=Parameter!$C$28,Personal!$AN$37,0))*IFERROR(Personal!$AF$37/Personal!$R$37,0)+IF(MONTH(J$7)=Parameter!$C$29,N(Personal!$M$37)*N(Personal!$N$37)*N(Personal!$T$37),0))</f>
        <v>7210</v>
      </c>
      <c r="K62" s="126">
        <f>IF(Personal!$D$37="","",N(Personal!$M$37)*(1+IF(MONTH(K$7)&gt;=Parameter!$C$28,Personal!$AN$37,0))*IFERROR(Personal!$AG$37/Personal!$R$37,0)+IF(MONTH(K$7)=Parameter!$C$29,N(Personal!$M$37)*N(Personal!$N$37)*N(Personal!$T$37),0))</f>
        <v>7210</v>
      </c>
      <c r="L62" s="126">
        <f>IF(Personal!$D$37="","",N(Personal!$M$37)*(1+IF(MONTH(L$7)&gt;=Parameter!$C$28,Personal!$AN$37,0))*IFERROR(Personal!$AH$37/Personal!$R$37,0)+IF(MONTH(L$7)=Parameter!$C$29,N(Personal!$M$37)*N(Personal!$N$37)*N(Personal!$T$37),0))</f>
        <v>7210</v>
      </c>
      <c r="M62" s="126">
        <f>IF(Personal!$D$37="","",N(Personal!$M$37)*(1+IF(MONTH(M$7)&gt;=Parameter!$C$28,Personal!$AN$37,0))*IFERROR(Personal!$AI$37/Personal!$R$37,0)+IF(MONTH(M$7)=Parameter!$C$29,N(Personal!$M$37)*N(Personal!$N$37)*N(Personal!$T$37),0))</f>
        <v>10710</v>
      </c>
      <c r="N62" s="126">
        <f>IF(Personal!$D$37="","",N(Personal!$M$37)*(1+IF(MONTH(N$7)&gt;=Parameter!$C$28,Personal!$AN$37,0))*IFERROR(Personal!$AJ$37/Personal!$R$37,0)+IF(MONTH(N$7)=Parameter!$C$29,N(Personal!$M$37)*N(Personal!$N$37)*N(Personal!$T$37),0))</f>
        <v>7210</v>
      </c>
      <c r="O62" s="127">
        <f t="shared" si="9"/>
        <v>89390</v>
      </c>
      <c r="Q62" s="128">
        <f>IF(Personal!$D$37="","",MIN(C62,Parameter!$H$6)*Personal!$AO$37+MIN(C62,Parameter!$H$7)*Personal!$AP$37+C62*Personal!$AQ$37)</f>
        <v>1614.0625</v>
      </c>
      <c r="R62" s="128">
        <f>IF(Personal!$D$37="","",MIN(D62,Parameter!$H$6)*Personal!$AO$37+MIN(D62,Parameter!$H$7)*Personal!$AP$37+D62*Personal!$AQ$37)</f>
        <v>1614.0625</v>
      </c>
      <c r="S62" s="128">
        <f>IF(Personal!$D$37="","",MIN(E62,Parameter!$H$6)*Personal!$AO$37+MIN(E62,Parameter!$H$7)*Personal!$AP$37+E62*Personal!$AQ$37)</f>
        <v>1614.0625</v>
      </c>
      <c r="T62" s="128">
        <f>IF(Personal!$D$37="","",MIN(F62,Parameter!$H$6)*Personal!$AO$37+MIN(F62,Parameter!$H$7)*Personal!$AP$37+F62*Personal!$AQ$37)</f>
        <v>1642.3074999999999</v>
      </c>
      <c r="U62" s="128">
        <f>IF(Personal!$D$37="","",MIN(G62,Parameter!$H$6)*Personal!$AO$37+MIN(G62,Parameter!$H$7)*Personal!$AP$37+G62*Personal!$AQ$37)</f>
        <v>1642.3074999999999</v>
      </c>
      <c r="V62" s="128">
        <f>IF(Personal!$D$37="","",MIN(H62,Parameter!$H$6)*Personal!$AO$37+MIN(H62,Parameter!$H$7)*Personal!$AP$37+H62*Personal!$AQ$37)</f>
        <v>1642.3074999999999</v>
      </c>
      <c r="W62" s="128">
        <f>IF(Personal!$D$37="","",MIN(I62,Parameter!$H$6)*Personal!$AO$37+MIN(I62,Parameter!$H$7)*Personal!$AP$37+I62*Personal!$AQ$37)</f>
        <v>1642.3074999999999</v>
      </c>
      <c r="X62" s="128">
        <f>IF(Personal!$D$37="","",MIN(J62,Parameter!$H$6)*Personal!$AO$37+MIN(J62,Parameter!$H$7)*Personal!$AP$37+J62*Personal!$AQ$37)</f>
        <v>1642.3074999999999</v>
      </c>
      <c r="Y62" s="128">
        <f>IF(Personal!$D$37="","",MIN(K62,Parameter!$H$6)*Personal!$AO$37+MIN(K62,Parameter!$H$7)*Personal!$AP$37+K62*Personal!$AQ$37)</f>
        <v>1642.3074999999999</v>
      </c>
      <c r="Z62" s="128">
        <f>IF(Personal!$D$37="","",MIN(L62,Parameter!$H$6)*Personal!$AO$37+MIN(L62,Parameter!$H$7)*Personal!$AP$37+L62*Personal!$AQ$37)</f>
        <v>1642.3074999999999</v>
      </c>
      <c r="AA62" s="128">
        <f>IF(Personal!$D$37="","",MIN(M62,Parameter!$H$6)*Personal!$AO$37+MIN(M62,Parameter!$H$7)*Personal!$AP$37+M62*Personal!$AQ$37)</f>
        <v>1885.2075</v>
      </c>
      <c r="AB62" s="128">
        <f>IF(Personal!$D$37="","",MIN(N62,Parameter!$H$6)*Personal!$AO$37+MIN(N62,Parameter!$H$7)*Personal!$AP$37+N62*Personal!$AQ$37)</f>
        <v>1642.3074999999999</v>
      </c>
      <c r="AC62" s="127">
        <f t="shared" si="10"/>
        <v>19865.854999999996</v>
      </c>
      <c r="AD62" s="129">
        <f t="shared" si="11"/>
        <v>109255.855</v>
      </c>
      <c r="AE62" s="130" t="str">
        <f>IF($B62="","",Personal!$E$37)</f>
        <v>Finanzen &amp; Controlling</v>
      </c>
    </row>
    <row r="63" spans="2:31" ht="16.5" customHeight="1" x14ac:dyDescent="0.25">
      <c r="B63" s="125" t="str">
        <f>IF(Personal!$D$38="","",Personal!$D$38)</f>
        <v>Thomas Berger</v>
      </c>
      <c r="C63" s="126">
        <f>IF(Personal!$D$38="","",N(Personal!$M$38)*(1+IF(MONTH(C$7)&gt;=Parameter!$C$28,Personal!$AN$38,0))*IFERROR(Personal!$Y$38/Personal!$R$38,0)+IF(MONTH(C$7)=Parameter!$C$29,N(Personal!$M$38)*N(Personal!$N$38)*N(Personal!$T$38),0))</f>
        <v>4100</v>
      </c>
      <c r="D63" s="126">
        <f>IF(Personal!$D$38="","",N(Personal!$M$38)*(1+IF(MONTH(D$7)&gt;=Parameter!$C$28,Personal!$AN$38,0))*IFERROR(Personal!$Z$38/Personal!$R$38,0)+IF(MONTH(D$7)=Parameter!$C$29,N(Personal!$M$38)*N(Personal!$N$38)*N(Personal!$T$38),0))</f>
        <v>4100</v>
      </c>
      <c r="E63" s="126">
        <f>IF(Personal!$D$38="","",N(Personal!$M$38)*(1+IF(MONTH(E$7)&gt;=Parameter!$C$28,Personal!$AN$38,0))*IFERROR(Personal!$AA$38/Personal!$R$38,0)+IF(MONTH(E$7)=Parameter!$C$29,N(Personal!$M$38)*N(Personal!$N$38)*N(Personal!$T$38),0))</f>
        <v>4100</v>
      </c>
      <c r="F63" s="126">
        <f>IF(Personal!$D$38="","",N(Personal!$M$38)*(1+IF(MONTH(F$7)&gt;=Parameter!$C$28,Personal!$AN$38,0))*IFERROR(Personal!$AB$38/Personal!$R$38,0)+IF(MONTH(F$7)=Parameter!$C$29,N(Personal!$M$38)*N(Personal!$N$38)*N(Personal!$T$38),0))</f>
        <v>4223</v>
      </c>
      <c r="G63" s="126">
        <f>IF(Personal!$D$38="","",N(Personal!$M$38)*(1+IF(MONTH(G$7)&gt;=Parameter!$C$28,Personal!$AN$38,0))*IFERROR(Personal!$AC$38/Personal!$R$38,0)+IF(MONTH(G$7)=Parameter!$C$29,N(Personal!$M$38)*N(Personal!$N$38)*N(Personal!$T$38),0))</f>
        <v>4223</v>
      </c>
      <c r="H63" s="126">
        <f>IF(Personal!$D$38="","",N(Personal!$M$38)*(1+IF(MONTH(H$7)&gt;=Parameter!$C$28,Personal!$AN$38,0))*IFERROR(Personal!$AD$38/Personal!$R$38,0)+IF(MONTH(H$7)=Parameter!$C$29,N(Personal!$M$38)*N(Personal!$N$38)*N(Personal!$T$38),0))</f>
        <v>4223</v>
      </c>
      <c r="I63" s="126">
        <f>IF(Personal!$D$38="","",N(Personal!$M$38)*(1+IF(MONTH(I$7)&gt;=Parameter!$C$28,Personal!$AN$38,0))*IFERROR(Personal!$AE$38/Personal!$R$38,0)+IF(MONTH(I$7)=Parameter!$C$29,N(Personal!$M$38)*N(Personal!$N$38)*N(Personal!$T$38),0))</f>
        <v>4223</v>
      </c>
      <c r="J63" s="126">
        <f>IF(Personal!$D$38="","",N(Personal!$M$38)*(1+IF(MONTH(J$7)&gt;=Parameter!$C$28,Personal!$AN$38,0))*IFERROR(Personal!$AF$38/Personal!$R$38,0)+IF(MONTH(J$7)=Parameter!$C$29,N(Personal!$M$38)*N(Personal!$N$38)*N(Personal!$T$38),0))</f>
        <v>4223</v>
      </c>
      <c r="K63" s="126">
        <f>IF(Personal!$D$38="","",N(Personal!$M$38)*(1+IF(MONTH(K$7)&gt;=Parameter!$C$28,Personal!$AN$38,0))*IFERROR(Personal!$AG$38/Personal!$R$38,0)+IF(MONTH(K$7)=Parameter!$C$29,N(Personal!$M$38)*N(Personal!$N$38)*N(Personal!$T$38),0))</f>
        <v>4223</v>
      </c>
      <c r="L63" s="126">
        <f>IF(Personal!$D$38="","",N(Personal!$M$38)*(1+IF(MONTH(L$7)&gt;=Parameter!$C$28,Personal!$AN$38,0))*IFERROR(Personal!$AH$38/Personal!$R$38,0)+IF(MONTH(L$7)=Parameter!$C$29,N(Personal!$M$38)*N(Personal!$N$38)*N(Personal!$T$38),0))</f>
        <v>4223</v>
      </c>
      <c r="M63" s="126">
        <f>IF(Personal!$D$38="","",N(Personal!$M$38)*(1+IF(MONTH(M$7)&gt;=Parameter!$C$28,Personal!$AN$38,0))*IFERROR(Personal!$AI$38/Personal!$R$38,0)+IF(MONTH(M$7)=Parameter!$C$29,N(Personal!$M$38)*N(Personal!$N$38)*N(Personal!$T$38),0))</f>
        <v>8323</v>
      </c>
      <c r="N63" s="126">
        <f>IF(Personal!$D$38="","",N(Personal!$M$38)*(1+IF(MONTH(N$7)&gt;=Parameter!$C$28,Personal!$AN$38,0))*IFERROR(Personal!$AJ$38/Personal!$R$38,0)+IF(MONTH(N$7)=Parameter!$C$29,N(Personal!$M$38)*N(Personal!$N$38)*N(Personal!$T$38),0))</f>
        <v>4223</v>
      </c>
      <c r="O63" s="127">
        <f t="shared" si="9"/>
        <v>54407</v>
      </c>
      <c r="Q63" s="128">
        <f>IF(Personal!$D$38="","",MIN(C63,Parameter!$H$6)*Personal!$AO$38+MIN(C63,Parameter!$H$7)*Personal!$AP$38+C63*Personal!$AQ$38)</f>
        <v>984</v>
      </c>
      <c r="R63" s="128">
        <f>IF(Personal!$D$38="","",MIN(D63,Parameter!$H$6)*Personal!$AO$38+MIN(D63,Parameter!$H$7)*Personal!$AP$38+D63*Personal!$AQ$38)</f>
        <v>984</v>
      </c>
      <c r="S63" s="128">
        <f>IF(Personal!$D$38="","",MIN(E63,Parameter!$H$6)*Personal!$AO$38+MIN(E63,Parameter!$H$7)*Personal!$AP$38+E63*Personal!$AQ$38)</f>
        <v>984</v>
      </c>
      <c r="T63" s="128">
        <f>IF(Personal!$D$38="","",MIN(F63,Parameter!$H$6)*Personal!$AO$38+MIN(F63,Parameter!$H$7)*Personal!$AP$38+F63*Personal!$AQ$38)</f>
        <v>1013.5200000000001</v>
      </c>
      <c r="U63" s="128">
        <f>IF(Personal!$D$38="","",MIN(G63,Parameter!$H$6)*Personal!$AO$38+MIN(G63,Parameter!$H$7)*Personal!$AP$38+G63*Personal!$AQ$38)</f>
        <v>1013.5200000000001</v>
      </c>
      <c r="V63" s="128">
        <f>IF(Personal!$D$38="","",MIN(H63,Parameter!$H$6)*Personal!$AO$38+MIN(H63,Parameter!$H$7)*Personal!$AP$38+H63*Personal!$AQ$38)</f>
        <v>1013.5200000000001</v>
      </c>
      <c r="W63" s="128">
        <f>IF(Personal!$D$38="","",MIN(I63,Parameter!$H$6)*Personal!$AO$38+MIN(I63,Parameter!$H$7)*Personal!$AP$38+I63*Personal!$AQ$38)</f>
        <v>1013.5200000000001</v>
      </c>
      <c r="X63" s="128">
        <f>IF(Personal!$D$38="","",MIN(J63,Parameter!$H$6)*Personal!$AO$38+MIN(J63,Parameter!$H$7)*Personal!$AP$38+J63*Personal!$AQ$38)</f>
        <v>1013.5200000000001</v>
      </c>
      <c r="Y63" s="128">
        <f>IF(Personal!$D$38="","",MIN(K63,Parameter!$H$6)*Personal!$AO$38+MIN(K63,Parameter!$H$7)*Personal!$AP$38+K63*Personal!$AQ$38)</f>
        <v>1013.5200000000001</v>
      </c>
      <c r="Z63" s="128">
        <f>IF(Personal!$D$38="","",MIN(L63,Parameter!$H$6)*Personal!$AO$38+MIN(L63,Parameter!$H$7)*Personal!$AP$38+L63*Personal!$AQ$38)</f>
        <v>1013.5200000000001</v>
      </c>
      <c r="AA63" s="128">
        <f>IF(Personal!$D$38="","",MIN(M63,Parameter!$H$6)*Personal!$AO$38+MIN(M63,Parameter!$H$7)*Personal!$AP$38+M63*Personal!$AQ$38)</f>
        <v>1792.0060000000001</v>
      </c>
      <c r="AB63" s="128">
        <f>IF(Personal!$D$38="","",MIN(N63,Parameter!$H$6)*Personal!$AO$38+MIN(N63,Parameter!$H$7)*Personal!$AP$38+N63*Personal!$AQ$38)</f>
        <v>1013.5200000000001</v>
      </c>
      <c r="AC63" s="127">
        <f t="shared" si="10"/>
        <v>12852.166000000001</v>
      </c>
      <c r="AD63" s="129">
        <f t="shared" si="11"/>
        <v>67259.165999999997</v>
      </c>
      <c r="AE63" s="130" t="str">
        <f>IF($B63="","",Personal!$E$38)</f>
        <v>Finanzen &amp; Controlling</v>
      </c>
    </row>
    <row r="64" spans="2:31" ht="16.5" customHeight="1" x14ac:dyDescent="0.25">
      <c r="B64" s="125" t="str">
        <f>IF(Personal!$D$39="","",Personal!$D$39)</f>
        <v>Nadine Krämer</v>
      </c>
      <c r="C64" s="126">
        <f>IF(Personal!$D$39="","",N(Personal!$M$39)*(1+IF(MONTH(C$7)&gt;=Parameter!$C$28,Personal!$AN$39,0))*IFERROR(Personal!$Y$39/Personal!$R$39,0)+IF(MONTH(C$7)=Parameter!$C$29,N(Personal!$M$39)*N(Personal!$N$39)*N(Personal!$T$39),0))</f>
        <v>3900</v>
      </c>
      <c r="D64" s="126">
        <f>IF(Personal!$D$39="","",N(Personal!$M$39)*(1+IF(MONTH(D$7)&gt;=Parameter!$C$28,Personal!$AN$39,0))*IFERROR(Personal!$Z$39/Personal!$R$39,0)+IF(MONTH(D$7)=Parameter!$C$29,N(Personal!$M$39)*N(Personal!$N$39)*N(Personal!$T$39),0))</f>
        <v>3900</v>
      </c>
      <c r="E64" s="126">
        <f>IF(Personal!$D$39="","",N(Personal!$M$39)*(1+IF(MONTH(E$7)&gt;=Parameter!$C$28,Personal!$AN$39,0))*IFERROR(Personal!$AA$39/Personal!$R$39,0)+IF(MONTH(E$7)=Parameter!$C$29,N(Personal!$M$39)*N(Personal!$N$39)*N(Personal!$T$39),0))</f>
        <v>3900</v>
      </c>
      <c r="F64" s="126">
        <f>IF(Personal!$D$39="","",N(Personal!$M$39)*(1+IF(MONTH(F$7)&gt;=Parameter!$C$28,Personal!$AN$39,0))*IFERROR(Personal!$AB$39/Personal!$R$39,0)+IF(MONTH(F$7)=Parameter!$C$29,N(Personal!$M$39)*N(Personal!$N$39)*N(Personal!$T$39),0))</f>
        <v>4017</v>
      </c>
      <c r="G64" s="126">
        <f>IF(Personal!$D$39="","",N(Personal!$M$39)*(1+IF(MONTH(G$7)&gt;=Parameter!$C$28,Personal!$AN$39,0))*IFERROR(Personal!$AC$39/Personal!$R$39,0)+IF(MONTH(G$7)=Parameter!$C$29,N(Personal!$M$39)*N(Personal!$N$39)*N(Personal!$T$39),0))</f>
        <v>4017</v>
      </c>
      <c r="H64" s="126">
        <f>IF(Personal!$D$39="","",N(Personal!$M$39)*(1+IF(MONTH(H$7)&gt;=Parameter!$C$28,Personal!$AN$39,0))*IFERROR(Personal!$AD$39/Personal!$R$39,0)+IF(MONTH(H$7)=Parameter!$C$29,N(Personal!$M$39)*N(Personal!$N$39)*N(Personal!$T$39),0))</f>
        <v>4017</v>
      </c>
      <c r="I64" s="126">
        <f>IF(Personal!$D$39="","",N(Personal!$M$39)*(1+IF(MONTH(I$7)&gt;=Parameter!$C$28,Personal!$AN$39,0))*IFERROR(Personal!$AE$39/Personal!$R$39,0)+IF(MONTH(I$7)=Parameter!$C$29,N(Personal!$M$39)*N(Personal!$N$39)*N(Personal!$T$39),0))</f>
        <v>4017</v>
      </c>
      <c r="J64" s="126">
        <f>IF(Personal!$D$39="","",N(Personal!$M$39)*(1+IF(MONTH(J$7)&gt;=Parameter!$C$28,Personal!$AN$39,0))*IFERROR(Personal!$AF$39/Personal!$R$39,0)+IF(MONTH(J$7)=Parameter!$C$29,N(Personal!$M$39)*N(Personal!$N$39)*N(Personal!$T$39),0))</f>
        <v>4017</v>
      </c>
      <c r="K64" s="126">
        <f>IF(Personal!$D$39="","",N(Personal!$M$39)*(1+IF(MONTH(K$7)&gt;=Parameter!$C$28,Personal!$AN$39,0))*IFERROR(Personal!$AG$39/Personal!$R$39,0)+IF(MONTH(K$7)=Parameter!$C$29,N(Personal!$M$39)*N(Personal!$N$39)*N(Personal!$T$39),0))</f>
        <v>4017</v>
      </c>
      <c r="L64" s="126">
        <f>IF(Personal!$D$39="","",N(Personal!$M$39)*(1+IF(MONTH(L$7)&gt;=Parameter!$C$28,Personal!$AN$39,0))*IFERROR(Personal!$AH$39/Personal!$R$39,0)+IF(MONTH(L$7)=Parameter!$C$29,N(Personal!$M$39)*N(Personal!$N$39)*N(Personal!$T$39),0))</f>
        <v>4017</v>
      </c>
      <c r="M64" s="126">
        <f>IF(Personal!$D$39="","",N(Personal!$M$39)*(1+IF(MONTH(M$7)&gt;=Parameter!$C$28,Personal!$AN$39,0))*IFERROR(Personal!$AI$39/Personal!$R$39,0)+IF(MONTH(M$7)=Parameter!$C$29,N(Personal!$M$39)*N(Personal!$N$39)*N(Personal!$T$39),0))</f>
        <v>7917</v>
      </c>
      <c r="N64" s="126">
        <f>IF(Personal!$D$39="","",N(Personal!$M$39)*(1+IF(MONTH(N$7)&gt;=Parameter!$C$28,Personal!$AN$39,0))*IFERROR(Personal!$AJ$39/Personal!$R$39,0)+IF(MONTH(N$7)=Parameter!$C$29,N(Personal!$M$39)*N(Personal!$N$39)*N(Personal!$T$39),0))</f>
        <v>4017</v>
      </c>
      <c r="O64" s="127">
        <f t="shared" si="9"/>
        <v>51753</v>
      </c>
      <c r="Q64" s="128">
        <f>IF(Personal!$D$39="","",MIN(C64,Parameter!$H$6)*Personal!$AO$39+MIN(C64,Parameter!$H$7)*Personal!$AP$39+C64*Personal!$AQ$39)</f>
        <v>936</v>
      </c>
      <c r="R64" s="128">
        <f>IF(Personal!$D$39="","",MIN(D64,Parameter!$H$6)*Personal!$AO$39+MIN(D64,Parameter!$H$7)*Personal!$AP$39+D64*Personal!$AQ$39)</f>
        <v>936</v>
      </c>
      <c r="S64" s="128">
        <f>IF(Personal!$D$39="","",MIN(E64,Parameter!$H$6)*Personal!$AO$39+MIN(E64,Parameter!$H$7)*Personal!$AP$39+E64*Personal!$AQ$39)</f>
        <v>936</v>
      </c>
      <c r="T64" s="128">
        <f>IF(Personal!$D$39="","",MIN(F64,Parameter!$H$6)*Personal!$AO$39+MIN(F64,Parameter!$H$7)*Personal!$AP$39+F64*Personal!$AQ$39)</f>
        <v>964.07999999999993</v>
      </c>
      <c r="U64" s="128">
        <f>IF(Personal!$D$39="","",MIN(G64,Parameter!$H$6)*Personal!$AO$39+MIN(G64,Parameter!$H$7)*Personal!$AP$39+G64*Personal!$AQ$39)</f>
        <v>964.07999999999993</v>
      </c>
      <c r="V64" s="128">
        <f>IF(Personal!$D$39="","",MIN(H64,Parameter!$H$6)*Personal!$AO$39+MIN(H64,Parameter!$H$7)*Personal!$AP$39+H64*Personal!$AQ$39)</f>
        <v>964.07999999999993</v>
      </c>
      <c r="W64" s="128">
        <f>IF(Personal!$D$39="","",MIN(I64,Parameter!$H$6)*Personal!$AO$39+MIN(I64,Parameter!$H$7)*Personal!$AP$39+I64*Personal!$AQ$39)</f>
        <v>964.07999999999993</v>
      </c>
      <c r="X64" s="128">
        <f>IF(Personal!$D$39="","",MIN(J64,Parameter!$H$6)*Personal!$AO$39+MIN(J64,Parameter!$H$7)*Personal!$AP$39+J64*Personal!$AQ$39)</f>
        <v>964.07999999999993</v>
      </c>
      <c r="Y64" s="128">
        <f>IF(Personal!$D$39="","",MIN(K64,Parameter!$H$6)*Personal!$AO$39+MIN(K64,Parameter!$H$7)*Personal!$AP$39+K64*Personal!$AQ$39)</f>
        <v>964.07999999999993</v>
      </c>
      <c r="Z64" s="128">
        <f>IF(Personal!$D$39="","",MIN(L64,Parameter!$H$6)*Personal!$AO$39+MIN(L64,Parameter!$H$7)*Personal!$AP$39+L64*Personal!$AQ$39)</f>
        <v>964.07999999999993</v>
      </c>
      <c r="AA64" s="128">
        <f>IF(Personal!$D$39="","",MIN(M64,Parameter!$H$6)*Personal!$AO$39+MIN(M64,Parameter!$H$7)*Personal!$AP$39+M64*Personal!$AQ$39)</f>
        <v>1737.3989999999999</v>
      </c>
      <c r="AB64" s="128">
        <f>IF(Personal!$D$39="","",MIN(N64,Parameter!$H$6)*Personal!$AO$39+MIN(N64,Parameter!$H$7)*Personal!$AP$39+N64*Personal!$AQ$39)</f>
        <v>964.07999999999993</v>
      </c>
      <c r="AC64" s="127">
        <f t="shared" si="10"/>
        <v>12258.038999999999</v>
      </c>
      <c r="AD64" s="129">
        <f t="shared" si="11"/>
        <v>64011.038999999997</v>
      </c>
      <c r="AE64" s="130" t="str">
        <f>IF($B64="","",Personal!$E$39)</f>
        <v>Finanzen &amp; Controlling</v>
      </c>
    </row>
    <row r="65" spans="2:31" ht="16.5" customHeight="1" x14ac:dyDescent="0.25">
      <c r="B65" s="125" t="str">
        <f>IF(Personal!$D$40="","",Personal!$D$40)</f>
        <v>Ralf Dietrich</v>
      </c>
      <c r="C65" s="126">
        <f>IF(Personal!$D$40="","",N(Personal!$M$40)*(1+IF(MONTH(C$7)&gt;=Parameter!$C$28,Personal!$AN$40,0))*IFERROR(Personal!$Y$40/Personal!$R$40,0)+IF(MONTH(C$7)=Parameter!$C$29,N(Personal!$M$40)*N(Personal!$N$40)*N(Personal!$T$40),0))</f>
        <v>5900</v>
      </c>
      <c r="D65" s="126">
        <f>IF(Personal!$D$40="","",N(Personal!$M$40)*(1+IF(MONTH(D$7)&gt;=Parameter!$C$28,Personal!$AN$40,0))*IFERROR(Personal!$Z$40/Personal!$R$40,0)+IF(MONTH(D$7)=Parameter!$C$29,N(Personal!$M$40)*N(Personal!$N$40)*N(Personal!$T$40),0))</f>
        <v>5900</v>
      </c>
      <c r="E65" s="126">
        <f>IF(Personal!$D$40="","",N(Personal!$M$40)*(1+IF(MONTH(E$7)&gt;=Parameter!$C$28,Personal!$AN$40,0))*IFERROR(Personal!$AA$40/Personal!$R$40,0)+IF(MONTH(E$7)=Parameter!$C$29,N(Personal!$M$40)*N(Personal!$N$40)*N(Personal!$T$40),0))</f>
        <v>5900</v>
      </c>
      <c r="F65" s="126">
        <f>IF(Personal!$D$40="","",N(Personal!$M$40)*(1+IF(MONTH(F$7)&gt;=Parameter!$C$28,Personal!$AN$40,0))*IFERROR(Personal!$AB$40/Personal!$R$40,0)+IF(MONTH(F$7)=Parameter!$C$29,N(Personal!$M$40)*N(Personal!$N$40)*N(Personal!$T$40),0))</f>
        <v>6077</v>
      </c>
      <c r="G65" s="126">
        <f>IF(Personal!$D$40="","",N(Personal!$M$40)*(1+IF(MONTH(G$7)&gt;=Parameter!$C$28,Personal!$AN$40,0))*IFERROR(Personal!$AC$40/Personal!$R$40,0)+IF(MONTH(G$7)=Parameter!$C$29,N(Personal!$M$40)*N(Personal!$N$40)*N(Personal!$T$40),0))</f>
        <v>6077</v>
      </c>
      <c r="H65" s="126">
        <f>IF(Personal!$D$40="","",N(Personal!$M$40)*(1+IF(MONTH(H$7)&gt;=Parameter!$C$28,Personal!$AN$40,0))*IFERROR(Personal!$AD$40/Personal!$R$40,0)+IF(MONTH(H$7)=Parameter!$C$29,N(Personal!$M$40)*N(Personal!$N$40)*N(Personal!$T$40),0))</f>
        <v>6077</v>
      </c>
      <c r="I65" s="126">
        <f>IF(Personal!$D$40="","",N(Personal!$M$40)*(1+IF(MONTH(I$7)&gt;=Parameter!$C$28,Personal!$AN$40,0))*IFERROR(Personal!$AE$40/Personal!$R$40,0)+IF(MONTH(I$7)=Parameter!$C$29,N(Personal!$M$40)*N(Personal!$N$40)*N(Personal!$T$40),0))</f>
        <v>6077</v>
      </c>
      <c r="J65" s="126">
        <f>IF(Personal!$D$40="","",N(Personal!$M$40)*(1+IF(MONTH(J$7)&gt;=Parameter!$C$28,Personal!$AN$40,0))*IFERROR(Personal!$AF$40/Personal!$R$40,0)+IF(MONTH(J$7)=Parameter!$C$29,N(Personal!$M$40)*N(Personal!$N$40)*N(Personal!$T$40),0))</f>
        <v>6077</v>
      </c>
      <c r="K65" s="126">
        <f>IF(Personal!$D$40="","",N(Personal!$M$40)*(1+IF(MONTH(K$7)&gt;=Parameter!$C$28,Personal!$AN$40,0))*IFERROR(Personal!$AG$40/Personal!$R$40,0)+IF(MONTH(K$7)=Parameter!$C$29,N(Personal!$M$40)*N(Personal!$N$40)*N(Personal!$T$40),0))</f>
        <v>6077</v>
      </c>
      <c r="L65" s="126">
        <f>IF(Personal!$D$40="","",N(Personal!$M$40)*(1+IF(MONTH(L$7)&gt;=Parameter!$C$28,Personal!$AN$40,0))*IFERROR(Personal!$AH$40/Personal!$R$40,0)+IF(MONTH(L$7)=Parameter!$C$29,N(Personal!$M$40)*N(Personal!$N$40)*N(Personal!$T$40),0))</f>
        <v>6077</v>
      </c>
      <c r="M65" s="126">
        <f>IF(Personal!$D$40="","",N(Personal!$M$40)*(1+IF(MONTH(M$7)&gt;=Parameter!$C$28,Personal!$AN$40,0))*IFERROR(Personal!$AI$40/Personal!$R$40,0)+IF(MONTH(M$7)=Parameter!$C$29,N(Personal!$M$40)*N(Personal!$N$40)*N(Personal!$T$40),0))</f>
        <v>9027</v>
      </c>
      <c r="N65" s="126">
        <f>IF(Personal!$D$40="","",N(Personal!$M$40)*(1+IF(MONTH(N$7)&gt;=Parameter!$C$28,Personal!$AN$40,0))*IFERROR(Personal!$AJ$40/Personal!$R$40,0)+IF(MONTH(N$7)=Parameter!$C$29,N(Personal!$M$40)*N(Personal!$N$40)*N(Personal!$T$40),0))</f>
        <v>6077</v>
      </c>
      <c r="O65" s="127">
        <f t="shared" ref="O65:O96" si="12">IF($B65="","",SUM(C65:N65))</f>
        <v>75343</v>
      </c>
      <c r="Q65" s="128">
        <f>IF(Personal!$D$40="","",MIN(C65,Parameter!$H$6)*Personal!$AO$40+MIN(C65,Parameter!$H$7)*Personal!$AP$40+C65*Personal!$AQ$40)</f>
        <v>1415.9999999999998</v>
      </c>
      <c r="R65" s="128">
        <f>IF(Personal!$D$40="","",MIN(D65,Parameter!$H$6)*Personal!$AO$40+MIN(D65,Parameter!$H$7)*Personal!$AP$40+D65*Personal!$AQ$40)</f>
        <v>1415.9999999999998</v>
      </c>
      <c r="S65" s="128">
        <f>IF(Personal!$D$40="","",MIN(E65,Parameter!$H$6)*Personal!$AO$40+MIN(E65,Parameter!$H$7)*Personal!$AP$40+E65*Personal!$AQ$40)</f>
        <v>1415.9999999999998</v>
      </c>
      <c r="T65" s="128">
        <f>IF(Personal!$D$40="","",MIN(F65,Parameter!$H$6)*Personal!$AO$40+MIN(F65,Parameter!$H$7)*Personal!$AP$40+F65*Personal!$AQ$40)</f>
        <v>1458.48</v>
      </c>
      <c r="U65" s="128">
        <f>IF(Personal!$D$40="","",MIN(G65,Parameter!$H$6)*Personal!$AO$40+MIN(G65,Parameter!$H$7)*Personal!$AP$40+G65*Personal!$AQ$40)</f>
        <v>1458.48</v>
      </c>
      <c r="V65" s="128">
        <f>IF(Personal!$D$40="","",MIN(H65,Parameter!$H$6)*Personal!$AO$40+MIN(H65,Parameter!$H$7)*Personal!$AP$40+H65*Personal!$AQ$40)</f>
        <v>1458.48</v>
      </c>
      <c r="W65" s="128">
        <f>IF(Personal!$D$40="","",MIN(I65,Parameter!$H$6)*Personal!$AO$40+MIN(I65,Parameter!$H$7)*Personal!$AP$40+I65*Personal!$AQ$40)</f>
        <v>1458.48</v>
      </c>
      <c r="X65" s="128">
        <f>IF(Personal!$D$40="","",MIN(J65,Parameter!$H$6)*Personal!$AO$40+MIN(J65,Parameter!$H$7)*Personal!$AP$40+J65*Personal!$AQ$40)</f>
        <v>1458.48</v>
      </c>
      <c r="Y65" s="128">
        <f>IF(Personal!$D$40="","",MIN(K65,Parameter!$H$6)*Personal!$AO$40+MIN(K65,Parameter!$H$7)*Personal!$AP$40+K65*Personal!$AQ$40)</f>
        <v>1458.48</v>
      </c>
      <c r="Z65" s="128">
        <f>IF(Personal!$D$40="","",MIN(L65,Parameter!$H$6)*Personal!$AO$40+MIN(L65,Parameter!$H$7)*Personal!$AP$40+L65*Personal!$AQ$40)</f>
        <v>1458.48</v>
      </c>
      <c r="AA65" s="128">
        <f>IF(Personal!$D$40="","",MIN(M65,Parameter!$H$6)*Personal!$AO$40+MIN(M65,Parameter!$H$7)*Personal!$AP$40+M65*Personal!$AQ$40)</f>
        <v>1865.0115000000001</v>
      </c>
      <c r="AB65" s="128">
        <f>IF(Personal!$D$40="","",MIN(N65,Parameter!$H$6)*Personal!$AO$40+MIN(N65,Parameter!$H$7)*Personal!$AP$40+N65*Personal!$AQ$40)</f>
        <v>1458.48</v>
      </c>
      <c r="AC65" s="127">
        <f t="shared" ref="AC65:AC96" si="13">IF($B65="","",SUM(Q65:AB65))</f>
        <v>17780.851499999997</v>
      </c>
      <c r="AD65" s="129">
        <f t="shared" ref="AD65:AD96" si="14">IF($B65="","",O65+AC65)</f>
        <v>93123.85149999999</v>
      </c>
      <c r="AE65" s="130" t="str">
        <f>IF($B65="","",Personal!$E$40)</f>
        <v>Personal</v>
      </c>
    </row>
    <row r="66" spans="2:31" ht="16.5" customHeight="1" x14ac:dyDescent="0.25">
      <c r="B66" s="125" t="str">
        <f>IF(Personal!$D$41="","",Personal!$D$41)</f>
        <v>Svenja Otto</v>
      </c>
      <c r="C66" s="126">
        <f>IF(Personal!$D$41="","",N(Personal!$M$41)*(1+IF(MONTH(C$7)&gt;=Parameter!$C$28,Personal!$AN$41,0))*IFERROR(Personal!$Y$41/Personal!$R$41,0)+IF(MONTH(C$7)=Parameter!$C$29,N(Personal!$M$41)*N(Personal!$N$41)*N(Personal!$T$41),0))</f>
        <v>3300</v>
      </c>
      <c r="D66" s="126">
        <f>IF(Personal!$D$41="","",N(Personal!$M$41)*(1+IF(MONTH(D$7)&gt;=Parameter!$C$28,Personal!$AN$41,0))*IFERROR(Personal!$Z$41/Personal!$R$41,0)+IF(MONTH(D$7)=Parameter!$C$29,N(Personal!$M$41)*N(Personal!$N$41)*N(Personal!$T$41),0))</f>
        <v>3300</v>
      </c>
      <c r="E66" s="126">
        <f>IF(Personal!$D$41="","",N(Personal!$M$41)*(1+IF(MONTH(E$7)&gt;=Parameter!$C$28,Personal!$AN$41,0))*IFERROR(Personal!$AA$41/Personal!$R$41,0)+IF(MONTH(E$7)=Parameter!$C$29,N(Personal!$M$41)*N(Personal!$N$41)*N(Personal!$T$41),0))</f>
        <v>3300</v>
      </c>
      <c r="F66" s="126">
        <f>IF(Personal!$D$41="","",N(Personal!$M$41)*(1+IF(MONTH(F$7)&gt;=Parameter!$C$28,Personal!$AN$41,0))*IFERROR(Personal!$AB$41/Personal!$R$41,0)+IF(MONTH(F$7)=Parameter!$C$29,N(Personal!$M$41)*N(Personal!$N$41)*N(Personal!$T$41),0))</f>
        <v>3399</v>
      </c>
      <c r="G66" s="126">
        <f>IF(Personal!$D$41="","",N(Personal!$M$41)*(1+IF(MONTH(G$7)&gt;=Parameter!$C$28,Personal!$AN$41,0))*IFERROR(Personal!$AC$41/Personal!$R$41,0)+IF(MONTH(G$7)=Parameter!$C$29,N(Personal!$M$41)*N(Personal!$N$41)*N(Personal!$T$41),0))</f>
        <v>3399</v>
      </c>
      <c r="H66" s="126">
        <f>IF(Personal!$D$41="","",N(Personal!$M$41)*(1+IF(MONTH(H$7)&gt;=Parameter!$C$28,Personal!$AN$41,0))*IFERROR(Personal!$AD$41/Personal!$R$41,0)+IF(MONTH(H$7)=Parameter!$C$29,N(Personal!$M$41)*N(Personal!$N$41)*N(Personal!$T$41),0))</f>
        <v>3399</v>
      </c>
      <c r="I66" s="126">
        <f>IF(Personal!$D$41="","",N(Personal!$M$41)*(1+IF(MONTH(I$7)&gt;=Parameter!$C$28,Personal!$AN$41,0))*IFERROR(Personal!$AE$41/Personal!$R$41,0)+IF(MONTH(I$7)=Parameter!$C$29,N(Personal!$M$41)*N(Personal!$N$41)*N(Personal!$T$41),0))</f>
        <v>3399</v>
      </c>
      <c r="J66" s="126">
        <f>IF(Personal!$D$41="","",N(Personal!$M$41)*(1+IF(MONTH(J$7)&gt;=Parameter!$C$28,Personal!$AN$41,0))*IFERROR(Personal!$AF$41/Personal!$R$41,0)+IF(MONTH(J$7)=Parameter!$C$29,N(Personal!$M$41)*N(Personal!$N$41)*N(Personal!$T$41),0))</f>
        <v>3399</v>
      </c>
      <c r="K66" s="126">
        <f>IF(Personal!$D$41="","",N(Personal!$M$41)*(1+IF(MONTH(K$7)&gt;=Parameter!$C$28,Personal!$AN$41,0))*IFERROR(Personal!$AG$41/Personal!$R$41,0)+IF(MONTH(K$7)=Parameter!$C$29,N(Personal!$M$41)*N(Personal!$N$41)*N(Personal!$T$41),0))</f>
        <v>3399</v>
      </c>
      <c r="L66" s="126">
        <f>IF(Personal!$D$41="","",N(Personal!$M$41)*(1+IF(MONTH(L$7)&gt;=Parameter!$C$28,Personal!$AN$41,0))*IFERROR(Personal!$AH$41/Personal!$R$41,0)+IF(MONTH(L$7)=Parameter!$C$29,N(Personal!$M$41)*N(Personal!$N$41)*N(Personal!$T$41),0))</f>
        <v>3399</v>
      </c>
      <c r="M66" s="126">
        <f>IF(Personal!$D$41="","",N(Personal!$M$41)*(1+IF(MONTH(M$7)&gt;=Parameter!$C$28,Personal!$AN$41,0))*IFERROR(Personal!$AI$41/Personal!$R$41,0)+IF(MONTH(M$7)=Parameter!$C$29,N(Personal!$M$41)*N(Personal!$N$41)*N(Personal!$T$41),0))</f>
        <v>6699</v>
      </c>
      <c r="N66" s="126">
        <f>IF(Personal!$D$41="","",N(Personal!$M$41)*(1+IF(MONTH(N$7)&gt;=Parameter!$C$28,Personal!$AN$41,0))*IFERROR(Personal!$AJ$41/Personal!$R$41,0)+IF(MONTH(N$7)=Parameter!$C$29,N(Personal!$M$41)*N(Personal!$N$41)*N(Personal!$T$41),0))</f>
        <v>3399</v>
      </c>
      <c r="O66" s="127">
        <f t="shared" si="12"/>
        <v>43791</v>
      </c>
      <c r="Q66" s="128">
        <f>IF(Personal!$D$41="","",MIN(C66,Parameter!$H$6)*Personal!$AO$41+MIN(C66,Parameter!$H$7)*Personal!$AP$41+C66*Personal!$AQ$41)</f>
        <v>792</v>
      </c>
      <c r="R66" s="128">
        <f>IF(Personal!$D$41="","",MIN(D66,Parameter!$H$6)*Personal!$AO$41+MIN(D66,Parameter!$H$7)*Personal!$AP$41+D66*Personal!$AQ$41)</f>
        <v>792</v>
      </c>
      <c r="S66" s="128">
        <f>IF(Personal!$D$41="","",MIN(E66,Parameter!$H$6)*Personal!$AO$41+MIN(E66,Parameter!$H$7)*Personal!$AP$41+E66*Personal!$AQ$41)</f>
        <v>792</v>
      </c>
      <c r="T66" s="128">
        <f>IF(Personal!$D$41="","",MIN(F66,Parameter!$H$6)*Personal!$AO$41+MIN(F66,Parameter!$H$7)*Personal!$AP$41+F66*Personal!$AQ$41)</f>
        <v>815.76</v>
      </c>
      <c r="U66" s="128">
        <f>IF(Personal!$D$41="","",MIN(G66,Parameter!$H$6)*Personal!$AO$41+MIN(G66,Parameter!$H$7)*Personal!$AP$41+G66*Personal!$AQ$41)</f>
        <v>815.76</v>
      </c>
      <c r="V66" s="128">
        <f>IF(Personal!$D$41="","",MIN(H66,Parameter!$H$6)*Personal!$AO$41+MIN(H66,Parameter!$H$7)*Personal!$AP$41+H66*Personal!$AQ$41)</f>
        <v>815.76</v>
      </c>
      <c r="W66" s="128">
        <f>IF(Personal!$D$41="","",MIN(I66,Parameter!$H$6)*Personal!$AO$41+MIN(I66,Parameter!$H$7)*Personal!$AP$41+I66*Personal!$AQ$41)</f>
        <v>815.76</v>
      </c>
      <c r="X66" s="128">
        <f>IF(Personal!$D$41="","",MIN(J66,Parameter!$H$6)*Personal!$AO$41+MIN(J66,Parameter!$H$7)*Personal!$AP$41+J66*Personal!$AQ$41)</f>
        <v>815.76</v>
      </c>
      <c r="Y66" s="128">
        <f>IF(Personal!$D$41="","",MIN(K66,Parameter!$H$6)*Personal!$AO$41+MIN(K66,Parameter!$H$7)*Personal!$AP$41+K66*Personal!$AQ$41)</f>
        <v>815.76</v>
      </c>
      <c r="Z66" s="128">
        <f>IF(Personal!$D$41="","",MIN(L66,Parameter!$H$6)*Personal!$AO$41+MIN(L66,Parameter!$H$7)*Personal!$AP$41+L66*Personal!$AQ$41)</f>
        <v>815.76</v>
      </c>
      <c r="AA66" s="128">
        <f>IF(Personal!$D$41="","",MIN(M66,Parameter!$H$6)*Personal!$AO$41+MIN(M66,Parameter!$H$7)*Personal!$AP$41+M66*Personal!$AQ$41)</f>
        <v>1573.578</v>
      </c>
      <c r="AB66" s="128">
        <f>IF(Personal!$D$41="","",MIN(N66,Parameter!$H$6)*Personal!$AO$41+MIN(N66,Parameter!$H$7)*Personal!$AP$41+N66*Personal!$AQ$41)</f>
        <v>815.76</v>
      </c>
      <c r="AC66" s="127">
        <f t="shared" si="13"/>
        <v>10475.658000000001</v>
      </c>
      <c r="AD66" s="129">
        <f t="shared" si="14"/>
        <v>54266.658000000003</v>
      </c>
      <c r="AE66" s="130" t="str">
        <f>IF($B66="","",Personal!$E$41)</f>
        <v>Personal</v>
      </c>
    </row>
    <row r="67" spans="2:31" ht="16.5" customHeight="1" x14ac:dyDescent="0.25">
      <c r="B67" s="125" t="str">
        <f>IF(Personal!$D$42="","",Personal!$D$42)</f>
        <v>N.N. Key Account Management</v>
      </c>
      <c r="C67" s="126">
        <f>IF(Personal!$D$42="","",N(Personal!$M$42)*(1+IF(MONTH(C$7)&gt;=Parameter!$C$28,Personal!$AN$42,0))*IFERROR(Personal!$Y$42/Personal!$R$42,0)+IF(MONTH(C$7)=Parameter!$C$29,N(Personal!$M$42)*N(Personal!$N$42)*N(Personal!$T$42),0))</f>
        <v>5400</v>
      </c>
      <c r="D67" s="126">
        <f>IF(Personal!$D$42="","",N(Personal!$M$42)*(1+IF(MONTH(D$7)&gt;=Parameter!$C$28,Personal!$AN$42,0))*IFERROR(Personal!$Z$42/Personal!$R$42,0)+IF(MONTH(D$7)=Parameter!$C$29,N(Personal!$M$42)*N(Personal!$N$42)*N(Personal!$T$42),0))</f>
        <v>5400</v>
      </c>
      <c r="E67" s="126">
        <f>IF(Personal!$D$42="","",N(Personal!$M$42)*(1+IF(MONTH(E$7)&gt;=Parameter!$C$28,Personal!$AN$42,0))*IFERROR(Personal!$AA$42/Personal!$R$42,0)+IF(MONTH(E$7)=Parameter!$C$29,N(Personal!$M$42)*N(Personal!$N$42)*N(Personal!$T$42),0))</f>
        <v>5400</v>
      </c>
      <c r="F67" s="126">
        <f>IF(Personal!$D$42="","",N(Personal!$M$42)*(1+IF(MONTH(F$7)&gt;=Parameter!$C$28,Personal!$AN$42,0))*IFERROR(Personal!$AB$42/Personal!$R$42,0)+IF(MONTH(F$7)=Parameter!$C$29,N(Personal!$M$42)*N(Personal!$N$42)*N(Personal!$T$42),0))</f>
        <v>5400</v>
      </c>
      <c r="G67" s="126">
        <f>IF(Personal!$D$42="","",N(Personal!$M$42)*(1+IF(MONTH(G$7)&gt;=Parameter!$C$28,Personal!$AN$42,0))*IFERROR(Personal!$AC$42/Personal!$R$42,0)+IF(MONTH(G$7)=Parameter!$C$29,N(Personal!$M$42)*N(Personal!$N$42)*N(Personal!$T$42),0))</f>
        <v>5400</v>
      </c>
      <c r="H67" s="126">
        <f>IF(Personal!$D$42="","",N(Personal!$M$42)*(1+IF(MONTH(H$7)&gt;=Parameter!$C$28,Personal!$AN$42,0))*IFERROR(Personal!$AD$42/Personal!$R$42,0)+IF(MONTH(H$7)=Parameter!$C$29,N(Personal!$M$42)*N(Personal!$N$42)*N(Personal!$T$42),0))</f>
        <v>5400</v>
      </c>
      <c r="I67" s="126">
        <f>IF(Personal!$D$42="","",N(Personal!$M$42)*(1+IF(MONTH(I$7)&gt;=Parameter!$C$28,Personal!$AN$42,0))*IFERROR(Personal!$AE$42/Personal!$R$42,0)+IF(MONTH(I$7)=Parameter!$C$29,N(Personal!$M$42)*N(Personal!$N$42)*N(Personal!$T$42),0))</f>
        <v>5400</v>
      </c>
      <c r="J67" s="126">
        <f>IF(Personal!$D$42="","",N(Personal!$M$42)*(1+IF(MONTH(J$7)&gt;=Parameter!$C$28,Personal!$AN$42,0))*IFERROR(Personal!$AF$42/Personal!$R$42,0)+IF(MONTH(J$7)=Parameter!$C$29,N(Personal!$M$42)*N(Personal!$N$42)*N(Personal!$T$42),0))</f>
        <v>5400</v>
      </c>
      <c r="K67" s="126">
        <f>IF(Personal!$D$42="","",N(Personal!$M$42)*(1+IF(MONTH(K$7)&gt;=Parameter!$C$28,Personal!$AN$42,0))*IFERROR(Personal!$AG$42/Personal!$R$42,0)+IF(MONTH(K$7)=Parameter!$C$29,N(Personal!$M$42)*N(Personal!$N$42)*N(Personal!$T$42),0))</f>
        <v>5400</v>
      </c>
      <c r="L67" s="126">
        <f>IF(Personal!$D$42="","",N(Personal!$M$42)*(1+IF(MONTH(L$7)&gt;=Parameter!$C$28,Personal!$AN$42,0))*IFERROR(Personal!$AH$42/Personal!$R$42,0)+IF(MONTH(L$7)=Parameter!$C$29,N(Personal!$M$42)*N(Personal!$N$42)*N(Personal!$T$42),0))</f>
        <v>5400</v>
      </c>
      <c r="M67" s="126">
        <f>IF(Personal!$D$42="","",N(Personal!$M$42)*(1+IF(MONTH(M$7)&gt;=Parameter!$C$28,Personal!$AN$42,0))*IFERROR(Personal!$AI$42/Personal!$R$42,0)+IF(MONTH(M$7)=Parameter!$C$29,N(Personal!$M$42)*N(Personal!$N$42)*N(Personal!$T$42),0))</f>
        <v>10800</v>
      </c>
      <c r="N67" s="126">
        <f>IF(Personal!$D$42="","",N(Personal!$M$42)*(1+IF(MONTH(N$7)&gt;=Parameter!$C$28,Personal!$AN$42,0))*IFERROR(Personal!$AJ$42/Personal!$R$42,0)+IF(MONTH(N$7)=Parameter!$C$29,N(Personal!$M$42)*N(Personal!$N$42)*N(Personal!$T$42),0))</f>
        <v>5400</v>
      </c>
      <c r="O67" s="127">
        <f t="shared" si="12"/>
        <v>70200</v>
      </c>
      <c r="Q67" s="128">
        <f>IF(Personal!$D$42="","",MIN(C67,Parameter!$H$6)*Personal!$AO$42+MIN(C67,Parameter!$H$7)*Personal!$AP$42+C67*Personal!$AQ$42)</f>
        <v>1295.9999999999998</v>
      </c>
      <c r="R67" s="128">
        <f>IF(Personal!$D$42="","",MIN(D67,Parameter!$H$6)*Personal!$AO$42+MIN(D67,Parameter!$H$7)*Personal!$AP$42+D67*Personal!$AQ$42)</f>
        <v>1295.9999999999998</v>
      </c>
      <c r="S67" s="128">
        <f>IF(Personal!$D$42="","",MIN(E67,Parameter!$H$6)*Personal!$AO$42+MIN(E67,Parameter!$H$7)*Personal!$AP$42+E67*Personal!$AQ$42)</f>
        <v>1295.9999999999998</v>
      </c>
      <c r="T67" s="128">
        <f>IF(Personal!$D$42="","",MIN(F67,Parameter!$H$6)*Personal!$AO$42+MIN(F67,Parameter!$H$7)*Personal!$AP$42+F67*Personal!$AQ$42)</f>
        <v>1295.9999999999998</v>
      </c>
      <c r="U67" s="128">
        <f>IF(Personal!$D$42="","",MIN(G67,Parameter!$H$6)*Personal!$AO$42+MIN(G67,Parameter!$H$7)*Personal!$AP$42+G67*Personal!$AQ$42)</f>
        <v>1295.9999999999998</v>
      </c>
      <c r="V67" s="128">
        <f>IF(Personal!$D$42="","",MIN(H67,Parameter!$H$6)*Personal!$AO$42+MIN(H67,Parameter!$H$7)*Personal!$AP$42+H67*Personal!$AQ$42)</f>
        <v>1295.9999999999998</v>
      </c>
      <c r="W67" s="128">
        <f>IF(Personal!$D$42="","",MIN(I67,Parameter!$H$6)*Personal!$AO$42+MIN(I67,Parameter!$H$7)*Personal!$AP$42+I67*Personal!$AQ$42)</f>
        <v>1295.9999999999998</v>
      </c>
      <c r="X67" s="128">
        <f>IF(Personal!$D$42="","",MIN(J67,Parameter!$H$6)*Personal!$AO$42+MIN(J67,Parameter!$H$7)*Personal!$AP$42+J67*Personal!$AQ$42)</f>
        <v>1295.9999999999998</v>
      </c>
      <c r="Y67" s="128">
        <f>IF(Personal!$D$42="","",MIN(K67,Parameter!$H$6)*Personal!$AO$42+MIN(K67,Parameter!$H$7)*Personal!$AP$42+K67*Personal!$AQ$42)</f>
        <v>1295.9999999999998</v>
      </c>
      <c r="Z67" s="128">
        <f>IF(Personal!$D$42="","",MIN(L67,Parameter!$H$6)*Personal!$AO$42+MIN(L67,Parameter!$H$7)*Personal!$AP$42+L67*Personal!$AQ$42)</f>
        <v>1295.9999999999998</v>
      </c>
      <c r="AA67" s="128">
        <f>IF(Personal!$D$42="","",MIN(M67,Parameter!$H$6)*Personal!$AO$42+MIN(M67,Parameter!$H$7)*Personal!$AP$42+M67*Personal!$AQ$42)</f>
        <v>1886.2874999999999</v>
      </c>
      <c r="AB67" s="128">
        <f>IF(Personal!$D$42="","",MIN(N67,Parameter!$H$6)*Personal!$AO$42+MIN(N67,Parameter!$H$7)*Personal!$AP$42+N67*Personal!$AQ$42)</f>
        <v>1295.9999999999998</v>
      </c>
      <c r="AC67" s="127">
        <f t="shared" si="13"/>
        <v>16142.287499999999</v>
      </c>
      <c r="AD67" s="129">
        <f t="shared" si="14"/>
        <v>86342.287500000006</v>
      </c>
      <c r="AE67" s="130" t="str">
        <f>IF($B67="","",Personal!$E$42)</f>
        <v>Vertrieb</v>
      </c>
    </row>
    <row r="68" spans="2:31" ht="16.5" customHeight="1" x14ac:dyDescent="0.25">
      <c r="B68" s="125" t="str">
        <f>IF(Personal!$D$43="","",Personal!$D$43)</f>
        <v>N.N. Softwareentwicklung</v>
      </c>
      <c r="C68" s="126">
        <f>IF(Personal!$D$43="","",N(Personal!$M$43)*(1+IF(MONTH(C$7)&gt;=Parameter!$C$28,Personal!$AN$43,0))*IFERROR(Personal!$Y$43/Personal!$R$43,0)+IF(MONTH(C$7)=Parameter!$C$29,N(Personal!$M$43)*N(Personal!$N$43)*N(Personal!$T$43),0))</f>
        <v>0</v>
      </c>
      <c r="D68" s="126">
        <f>IF(Personal!$D$43="","",N(Personal!$M$43)*(1+IF(MONTH(D$7)&gt;=Parameter!$C$28,Personal!$AN$43,0))*IFERROR(Personal!$Z$43/Personal!$R$43,0)+IF(MONTH(D$7)=Parameter!$C$29,N(Personal!$M$43)*N(Personal!$N$43)*N(Personal!$T$43),0))</f>
        <v>6000</v>
      </c>
      <c r="E68" s="126">
        <f>IF(Personal!$D$43="","",N(Personal!$M$43)*(1+IF(MONTH(E$7)&gt;=Parameter!$C$28,Personal!$AN$43,0))*IFERROR(Personal!$AA$43/Personal!$R$43,0)+IF(MONTH(E$7)=Parameter!$C$29,N(Personal!$M$43)*N(Personal!$N$43)*N(Personal!$T$43),0))</f>
        <v>6000</v>
      </c>
      <c r="F68" s="126">
        <f>IF(Personal!$D$43="","",N(Personal!$M$43)*(1+IF(MONTH(F$7)&gt;=Parameter!$C$28,Personal!$AN$43,0))*IFERROR(Personal!$AB$43/Personal!$R$43,0)+IF(MONTH(F$7)=Parameter!$C$29,N(Personal!$M$43)*N(Personal!$N$43)*N(Personal!$T$43),0))</f>
        <v>6000</v>
      </c>
      <c r="G68" s="126">
        <f>IF(Personal!$D$43="","",N(Personal!$M$43)*(1+IF(MONTH(G$7)&gt;=Parameter!$C$28,Personal!$AN$43,0))*IFERROR(Personal!$AC$43/Personal!$R$43,0)+IF(MONTH(G$7)=Parameter!$C$29,N(Personal!$M$43)*N(Personal!$N$43)*N(Personal!$T$43),0))</f>
        <v>6000</v>
      </c>
      <c r="H68" s="126">
        <f>IF(Personal!$D$43="","",N(Personal!$M$43)*(1+IF(MONTH(H$7)&gt;=Parameter!$C$28,Personal!$AN$43,0))*IFERROR(Personal!$AD$43/Personal!$R$43,0)+IF(MONTH(H$7)=Parameter!$C$29,N(Personal!$M$43)*N(Personal!$N$43)*N(Personal!$T$43),0))</f>
        <v>6000</v>
      </c>
      <c r="I68" s="126">
        <f>IF(Personal!$D$43="","",N(Personal!$M$43)*(1+IF(MONTH(I$7)&gt;=Parameter!$C$28,Personal!$AN$43,0))*IFERROR(Personal!$AE$43/Personal!$R$43,0)+IF(MONTH(I$7)=Parameter!$C$29,N(Personal!$M$43)*N(Personal!$N$43)*N(Personal!$T$43),0))</f>
        <v>6000</v>
      </c>
      <c r="J68" s="126">
        <f>IF(Personal!$D$43="","",N(Personal!$M$43)*(1+IF(MONTH(J$7)&gt;=Parameter!$C$28,Personal!$AN$43,0))*IFERROR(Personal!$AF$43/Personal!$R$43,0)+IF(MONTH(J$7)=Parameter!$C$29,N(Personal!$M$43)*N(Personal!$N$43)*N(Personal!$T$43),0))</f>
        <v>6000</v>
      </c>
      <c r="K68" s="126">
        <f>IF(Personal!$D$43="","",N(Personal!$M$43)*(1+IF(MONTH(K$7)&gt;=Parameter!$C$28,Personal!$AN$43,0))*IFERROR(Personal!$AG$43/Personal!$R$43,0)+IF(MONTH(K$7)=Parameter!$C$29,N(Personal!$M$43)*N(Personal!$N$43)*N(Personal!$T$43),0))</f>
        <v>6000</v>
      </c>
      <c r="L68" s="126">
        <f>IF(Personal!$D$43="","",N(Personal!$M$43)*(1+IF(MONTH(L$7)&gt;=Parameter!$C$28,Personal!$AN$43,0))*IFERROR(Personal!$AH$43/Personal!$R$43,0)+IF(MONTH(L$7)=Parameter!$C$29,N(Personal!$M$43)*N(Personal!$N$43)*N(Personal!$T$43),0))</f>
        <v>6000</v>
      </c>
      <c r="M68" s="126">
        <f>IF(Personal!$D$43="","",N(Personal!$M$43)*(1+IF(MONTH(M$7)&gt;=Parameter!$C$28,Personal!$AN$43,0))*IFERROR(Personal!$AI$43/Personal!$R$43,0)+IF(MONTH(M$7)=Parameter!$C$29,N(Personal!$M$43)*N(Personal!$N$43)*N(Personal!$T$43),0))</f>
        <v>11490.410958904111</v>
      </c>
      <c r="N68" s="126">
        <f>IF(Personal!$D$43="","",N(Personal!$M$43)*(1+IF(MONTH(N$7)&gt;=Parameter!$C$28,Personal!$AN$43,0))*IFERROR(Personal!$AJ$43/Personal!$R$43,0)+IF(MONTH(N$7)=Parameter!$C$29,N(Personal!$M$43)*N(Personal!$N$43)*N(Personal!$T$43),0))</f>
        <v>6000</v>
      </c>
      <c r="O68" s="127">
        <f t="shared" si="12"/>
        <v>71490.410958904104</v>
      </c>
      <c r="Q68" s="128">
        <f>IF(Personal!$D$43="","",MIN(C68,Parameter!$H$6)*Personal!$AO$43+MIN(C68,Parameter!$H$7)*Personal!$AP$43+C68*Personal!$AQ$43)</f>
        <v>0</v>
      </c>
      <c r="R68" s="128">
        <f>IF(Personal!$D$43="","",MIN(D68,Parameter!$H$6)*Personal!$AO$43+MIN(D68,Parameter!$H$7)*Personal!$AP$43+D68*Personal!$AQ$43)</f>
        <v>1440</v>
      </c>
      <c r="S68" s="128">
        <f>IF(Personal!$D$43="","",MIN(E68,Parameter!$H$6)*Personal!$AO$43+MIN(E68,Parameter!$H$7)*Personal!$AP$43+E68*Personal!$AQ$43)</f>
        <v>1440</v>
      </c>
      <c r="T68" s="128">
        <f>IF(Personal!$D$43="","",MIN(F68,Parameter!$H$6)*Personal!$AO$43+MIN(F68,Parameter!$H$7)*Personal!$AP$43+F68*Personal!$AQ$43)</f>
        <v>1440</v>
      </c>
      <c r="U68" s="128">
        <f>IF(Personal!$D$43="","",MIN(G68,Parameter!$H$6)*Personal!$AO$43+MIN(G68,Parameter!$H$7)*Personal!$AP$43+G68*Personal!$AQ$43)</f>
        <v>1440</v>
      </c>
      <c r="V68" s="128">
        <f>IF(Personal!$D$43="","",MIN(H68,Parameter!$H$6)*Personal!$AO$43+MIN(H68,Parameter!$H$7)*Personal!$AP$43+H68*Personal!$AQ$43)</f>
        <v>1440</v>
      </c>
      <c r="W68" s="128">
        <f>IF(Personal!$D$43="","",MIN(I68,Parameter!$H$6)*Personal!$AO$43+MIN(I68,Parameter!$H$7)*Personal!$AP$43+I68*Personal!$AQ$43)</f>
        <v>1440</v>
      </c>
      <c r="X68" s="128">
        <f>IF(Personal!$D$43="","",MIN(J68,Parameter!$H$6)*Personal!$AO$43+MIN(J68,Parameter!$H$7)*Personal!$AP$43+J68*Personal!$AQ$43)</f>
        <v>1440</v>
      </c>
      <c r="Y68" s="128">
        <f>IF(Personal!$D$43="","",MIN(K68,Parameter!$H$6)*Personal!$AO$43+MIN(K68,Parameter!$H$7)*Personal!$AP$43+K68*Personal!$AQ$43)</f>
        <v>1440</v>
      </c>
      <c r="Z68" s="128">
        <f>IF(Personal!$D$43="","",MIN(L68,Parameter!$H$6)*Personal!$AO$43+MIN(L68,Parameter!$H$7)*Personal!$AP$43+L68*Personal!$AQ$43)</f>
        <v>1440</v>
      </c>
      <c r="AA68" s="128">
        <f>IF(Personal!$D$43="","",MIN(M68,Parameter!$H$6)*Personal!$AO$43+MIN(M68,Parameter!$H$7)*Personal!$AP$43+M68*Personal!$AQ$43)</f>
        <v>1894.5724315068494</v>
      </c>
      <c r="AB68" s="128">
        <f>IF(Personal!$D$43="","",MIN(N68,Parameter!$H$6)*Personal!$AO$43+MIN(N68,Parameter!$H$7)*Personal!$AP$43+N68*Personal!$AQ$43)</f>
        <v>1440</v>
      </c>
      <c r="AC68" s="127">
        <f t="shared" si="13"/>
        <v>16294.572431506849</v>
      </c>
      <c r="AD68" s="129">
        <f t="shared" si="14"/>
        <v>87784.983390410955</v>
      </c>
      <c r="AE68" s="130" t="str">
        <f>IF($B68="","",Personal!$E$43)</f>
        <v>IT</v>
      </c>
    </row>
    <row r="69" spans="2:31" ht="16.5" customHeight="1" x14ac:dyDescent="0.25">
      <c r="B69" s="125" t="str">
        <f>IF(Personal!$D$44="","",Personal!$D$44)</f>
        <v>N.N. Performance Marketing</v>
      </c>
      <c r="C69" s="126">
        <f>IF(Personal!$D$44="","",N(Personal!$M$44)*(1+IF(MONTH(C$7)&gt;=Parameter!$C$28,Personal!$AN$44,0))*IFERROR(Personal!$Y$44/Personal!$R$44,0)+IF(MONTH(C$7)=Parameter!$C$29,N(Personal!$M$44)*N(Personal!$N$44)*N(Personal!$T$44),0))</f>
        <v>0</v>
      </c>
      <c r="D69" s="126">
        <f>IF(Personal!$D$44="","",N(Personal!$M$44)*(1+IF(MONTH(D$7)&gt;=Parameter!$C$28,Personal!$AN$44,0))*IFERROR(Personal!$Z$44/Personal!$R$44,0)+IF(MONTH(D$7)=Parameter!$C$29,N(Personal!$M$44)*N(Personal!$N$44)*N(Personal!$T$44),0))</f>
        <v>0</v>
      </c>
      <c r="E69" s="126">
        <f>IF(Personal!$D$44="","",N(Personal!$M$44)*(1+IF(MONTH(E$7)&gt;=Parameter!$C$28,Personal!$AN$44,0))*IFERROR(Personal!$AA$44/Personal!$R$44,0)+IF(MONTH(E$7)=Parameter!$C$29,N(Personal!$M$44)*N(Personal!$N$44)*N(Personal!$T$44),0))</f>
        <v>4600</v>
      </c>
      <c r="F69" s="126">
        <f>IF(Personal!$D$44="","",N(Personal!$M$44)*(1+IF(MONTH(F$7)&gt;=Parameter!$C$28,Personal!$AN$44,0))*IFERROR(Personal!$AB$44/Personal!$R$44,0)+IF(MONTH(F$7)=Parameter!$C$29,N(Personal!$M$44)*N(Personal!$N$44)*N(Personal!$T$44),0))</f>
        <v>4600</v>
      </c>
      <c r="G69" s="126">
        <f>IF(Personal!$D$44="","",N(Personal!$M$44)*(1+IF(MONTH(G$7)&gt;=Parameter!$C$28,Personal!$AN$44,0))*IFERROR(Personal!$AC$44/Personal!$R$44,0)+IF(MONTH(G$7)=Parameter!$C$29,N(Personal!$M$44)*N(Personal!$N$44)*N(Personal!$T$44),0))</f>
        <v>4600</v>
      </c>
      <c r="H69" s="126">
        <f>IF(Personal!$D$44="","",N(Personal!$M$44)*(1+IF(MONTH(H$7)&gt;=Parameter!$C$28,Personal!$AN$44,0))*IFERROR(Personal!$AD$44/Personal!$R$44,0)+IF(MONTH(H$7)=Parameter!$C$29,N(Personal!$M$44)*N(Personal!$N$44)*N(Personal!$T$44),0))</f>
        <v>4600</v>
      </c>
      <c r="I69" s="126">
        <f>IF(Personal!$D$44="","",N(Personal!$M$44)*(1+IF(MONTH(I$7)&gt;=Parameter!$C$28,Personal!$AN$44,0))*IFERROR(Personal!$AE$44/Personal!$R$44,0)+IF(MONTH(I$7)=Parameter!$C$29,N(Personal!$M$44)*N(Personal!$N$44)*N(Personal!$T$44),0))</f>
        <v>4600</v>
      </c>
      <c r="J69" s="126">
        <f>IF(Personal!$D$44="","",N(Personal!$M$44)*(1+IF(MONTH(J$7)&gt;=Parameter!$C$28,Personal!$AN$44,0))*IFERROR(Personal!$AF$44/Personal!$R$44,0)+IF(MONTH(J$7)=Parameter!$C$29,N(Personal!$M$44)*N(Personal!$N$44)*N(Personal!$T$44),0))</f>
        <v>4600</v>
      </c>
      <c r="K69" s="126">
        <f>IF(Personal!$D$44="","",N(Personal!$M$44)*(1+IF(MONTH(K$7)&gt;=Parameter!$C$28,Personal!$AN$44,0))*IFERROR(Personal!$AG$44/Personal!$R$44,0)+IF(MONTH(K$7)=Parameter!$C$29,N(Personal!$M$44)*N(Personal!$N$44)*N(Personal!$T$44),0))</f>
        <v>4600</v>
      </c>
      <c r="L69" s="126">
        <f>IF(Personal!$D$44="","",N(Personal!$M$44)*(1+IF(MONTH(L$7)&gt;=Parameter!$C$28,Personal!$AN$44,0))*IFERROR(Personal!$AH$44/Personal!$R$44,0)+IF(MONTH(L$7)=Parameter!$C$29,N(Personal!$M$44)*N(Personal!$N$44)*N(Personal!$T$44),0))</f>
        <v>4600</v>
      </c>
      <c r="M69" s="126">
        <f>IF(Personal!$D$44="","",N(Personal!$M$44)*(1+IF(MONTH(M$7)&gt;=Parameter!$C$28,Personal!$AN$44,0))*IFERROR(Personal!$AI$44/Personal!$R$44,0)+IF(MONTH(M$7)=Parameter!$C$29,N(Personal!$M$44)*N(Personal!$N$44)*N(Personal!$T$44),0))</f>
        <v>8456.4383561643845</v>
      </c>
      <c r="N69" s="126">
        <f>IF(Personal!$D$44="","",N(Personal!$M$44)*(1+IF(MONTH(N$7)&gt;=Parameter!$C$28,Personal!$AN$44,0))*IFERROR(Personal!$AJ$44/Personal!$R$44,0)+IF(MONTH(N$7)=Parameter!$C$29,N(Personal!$M$44)*N(Personal!$N$44)*N(Personal!$T$44),0))</f>
        <v>4600</v>
      </c>
      <c r="O69" s="127">
        <f t="shared" si="12"/>
        <v>49856.438356164384</v>
      </c>
      <c r="Q69" s="128">
        <f>IF(Personal!$D$44="","",MIN(C69,Parameter!$H$6)*Personal!$AO$44+MIN(C69,Parameter!$H$7)*Personal!$AP$44+C69*Personal!$AQ$44)</f>
        <v>0</v>
      </c>
      <c r="R69" s="128">
        <f>IF(Personal!$D$44="","",MIN(D69,Parameter!$H$6)*Personal!$AO$44+MIN(D69,Parameter!$H$7)*Personal!$AP$44+D69*Personal!$AQ$44)</f>
        <v>0</v>
      </c>
      <c r="S69" s="128">
        <f>IF(Personal!$D$44="","",MIN(E69,Parameter!$H$6)*Personal!$AO$44+MIN(E69,Parameter!$H$7)*Personal!$AP$44+E69*Personal!$AQ$44)</f>
        <v>1104</v>
      </c>
      <c r="T69" s="128">
        <f>IF(Personal!$D$44="","",MIN(F69,Parameter!$H$6)*Personal!$AO$44+MIN(F69,Parameter!$H$7)*Personal!$AP$44+F69*Personal!$AQ$44)</f>
        <v>1104</v>
      </c>
      <c r="U69" s="128">
        <f>IF(Personal!$D$44="","",MIN(G69,Parameter!$H$6)*Personal!$AO$44+MIN(G69,Parameter!$H$7)*Personal!$AP$44+G69*Personal!$AQ$44)</f>
        <v>1104</v>
      </c>
      <c r="V69" s="128">
        <f>IF(Personal!$D$44="","",MIN(H69,Parameter!$H$6)*Personal!$AO$44+MIN(H69,Parameter!$H$7)*Personal!$AP$44+H69*Personal!$AQ$44)</f>
        <v>1104</v>
      </c>
      <c r="W69" s="128">
        <f>IF(Personal!$D$44="","",MIN(I69,Parameter!$H$6)*Personal!$AO$44+MIN(I69,Parameter!$H$7)*Personal!$AP$44+I69*Personal!$AQ$44)</f>
        <v>1104</v>
      </c>
      <c r="X69" s="128">
        <f>IF(Personal!$D$44="","",MIN(J69,Parameter!$H$6)*Personal!$AO$44+MIN(J69,Parameter!$H$7)*Personal!$AP$44+J69*Personal!$AQ$44)</f>
        <v>1104</v>
      </c>
      <c r="Y69" s="128">
        <f>IF(Personal!$D$44="","",MIN(K69,Parameter!$H$6)*Personal!$AO$44+MIN(K69,Parameter!$H$7)*Personal!$AP$44+K69*Personal!$AQ$44)</f>
        <v>1104</v>
      </c>
      <c r="Z69" s="128">
        <f>IF(Personal!$D$44="","",MIN(L69,Parameter!$H$6)*Personal!$AO$44+MIN(L69,Parameter!$H$7)*Personal!$AP$44+L69*Personal!$AQ$44)</f>
        <v>1104</v>
      </c>
      <c r="AA69" s="128">
        <f>IF(Personal!$D$44="","",MIN(M69,Parameter!$H$6)*Personal!$AO$44+MIN(M69,Parameter!$H$7)*Personal!$AP$44+M69*Personal!$AQ$44)</f>
        <v>1809.9534589041098</v>
      </c>
      <c r="AB69" s="128">
        <f>IF(Personal!$D$44="","",MIN(N69,Parameter!$H$6)*Personal!$AO$44+MIN(N69,Parameter!$H$7)*Personal!$AP$44+N69*Personal!$AQ$44)</f>
        <v>1104</v>
      </c>
      <c r="AC69" s="127">
        <f t="shared" si="13"/>
        <v>11745.95345890411</v>
      </c>
      <c r="AD69" s="129">
        <f t="shared" si="14"/>
        <v>61602.391815068491</v>
      </c>
      <c r="AE69" s="130" t="str">
        <f>IF($B69="","",Personal!$E$44)</f>
        <v>Marketing</v>
      </c>
    </row>
    <row r="70" spans="2:31" ht="16.5" customHeight="1" x14ac:dyDescent="0.25">
      <c r="B70" s="125" t="str">
        <f>IF(Personal!$D$45="","",Personal!$D$45)</f>
        <v>N.N. Sachbearbeitung</v>
      </c>
      <c r="C70" s="126">
        <f>IF(Personal!$D$45="","",N(Personal!$M$45)*(1+IF(MONTH(C$7)&gt;=Parameter!$C$28,Personal!$AN$45,0))*IFERROR(Personal!$Y$45/Personal!$R$45,0)+IF(MONTH(C$7)=Parameter!$C$29,N(Personal!$M$45)*N(Personal!$N$45)*N(Personal!$T$45),0))</f>
        <v>0</v>
      </c>
      <c r="D70" s="126">
        <f>IF(Personal!$D$45="","",N(Personal!$M$45)*(1+IF(MONTH(D$7)&gt;=Parameter!$C$28,Personal!$AN$45,0))*IFERROR(Personal!$Z$45/Personal!$R$45,0)+IF(MONTH(D$7)=Parameter!$C$29,N(Personal!$M$45)*N(Personal!$N$45)*N(Personal!$T$45),0))</f>
        <v>0</v>
      </c>
      <c r="E70" s="126">
        <f>IF(Personal!$D$45="","",N(Personal!$M$45)*(1+IF(MONTH(E$7)&gt;=Parameter!$C$28,Personal!$AN$45,0))*IFERROR(Personal!$AA$45/Personal!$R$45,0)+IF(MONTH(E$7)=Parameter!$C$29,N(Personal!$M$45)*N(Personal!$N$45)*N(Personal!$T$45),0))</f>
        <v>0</v>
      </c>
      <c r="F70" s="126">
        <f>IF(Personal!$D$45="","",N(Personal!$M$45)*(1+IF(MONTH(F$7)&gt;=Parameter!$C$28,Personal!$AN$45,0))*IFERROR(Personal!$AB$45/Personal!$R$45,0)+IF(MONTH(F$7)=Parameter!$C$29,N(Personal!$M$45)*N(Personal!$N$45)*N(Personal!$T$45),0))</f>
        <v>0</v>
      </c>
      <c r="G70" s="126">
        <f>IF(Personal!$D$45="","",N(Personal!$M$45)*(1+IF(MONTH(G$7)&gt;=Parameter!$C$28,Personal!$AN$45,0))*IFERROR(Personal!$AC$45/Personal!$R$45,0)+IF(MONTH(G$7)=Parameter!$C$29,N(Personal!$M$45)*N(Personal!$N$45)*N(Personal!$T$45),0))</f>
        <v>0</v>
      </c>
      <c r="H70" s="126">
        <f>IF(Personal!$D$45="","",N(Personal!$M$45)*(1+IF(MONTH(H$7)&gt;=Parameter!$C$28,Personal!$AN$45,0))*IFERROR(Personal!$AD$45/Personal!$R$45,0)+IF(MONTH(H$7)=Parameter!$C$29,N(Personal!$M$45)*N(Personal!$N$45)*N(Personal!$T$45),0))</f>
        <v>0</v>
      </c>
      <c r="I70" s="126">
        <f>IF(Personal!$D$45="","",N(Personal!$M$45)*(1+IF(MONTH(I$7)&gt;=Parameter!$C$28,Personal!$AN$45,0))*IFERROR(Personal!$AE$45/Personal!$R$45,0)+IF(MONTH(I$7)=Parameter!$C$29,N(Personal!$M$45)*N(Personal!$N$45)*N(Personal!$T$45),0))</f>
        <v>0</v>
      </c>
      <c r="J70" s="126">
        <f>IF(Personal!$D$45="","",N(Personal!$M$45)*(1+IF(MONTH(J$7)&gt;=Parameter!$C$28,Personal!$AN$45,0))*IFERROR(Personal!$AF$45/Personal!$R$45,0)+IF(MONTH(J$7)=Parameter!$C$29,N(Personal!$M$45)*N(Personal!$N$45)*N(Personal!$T$45),0))</f>
        <v>0</v>
      </c>
      <c r="K70" s="126">
        <f>IF(Personal!$D$45="","",N(Personal!$M$45)*(1+IF(MONTH(K$7)&gt;=Parameter!$C$28,Personal!$AN$45,0))*IFERROR(Personal!$AG$45/Personal!$R$45,0)+IF(MONTH(K$7)=Parameter!$C$29,N(Personal!$M$45)*N(Personal!$N$45)*N(Personal!$T$45),0))</f>
        <v>0</v>
      </c>
      <c r="L70" s="126">
        <f>IF(Personal!$D$45="","",N(Personal!$M$45)*(1+IF(MONTH(L$7)&gt;=Parameter!$C$28,Personal!$AN$45,0))*IFERROR(Personal!$AH$45/Personal!$R$45,0)+IF(MONTH(L$7)=Parameter!$C$29,N(Personal!$M$45)*N(Personal!$N$45)*N(Personal!$T$45),0))</f>
        <v>0</v>
      </c>
      <c r="M70" s="126">
        <f>IF(Personal!$D$45="","",N(Personal!$M$45)*(1+IF(MONTH(M$7)&gt;=Parameter!$C$28,Personal!$AN$45,0))*IFERROR(Personal!$AI$45/Personal!$R$45,0)+IF(MONTH(M$7)=Parameter!$C$29,N(Personal!$M$45)*N(Personal!$N$45)*N(Personal!$T$45),0))</f>
        <v>0</v>
      </c>
      <c r="N70" s="126">
        <f>IF(Personal!$D$45="","",N(Personal!$M$45)*(1+IF(MONTH(N$7)&gt;=Parameter!$C$28,Personal!$AN$45,0))*IFERROR(Personal!$AJ$45/Personal!$R$45,0)+IF(MONTH(N$7)=Parameter!$C$29,N(Personal!$M$45)*N(Personal!$N$45)*N(Personal!$T$45),0))</f>
        <v>0</v>
      </c>
      <c r="O70" s="127">
        <f t="shared" si="12"/>
        <v>0</v>
      </c>
      <c r="Q70" s="128">
        <f>IF(Personal!$D$45="","",MIN(C70,Parameter!$H$6)*Personal!$AO$45+MIN(C70,Parameter!$H$7)*Personal!$AP$45+C70*Personal!$AQ$45)</f>
        <v>0</v>
      </c>
      <c r="R70" s="128">
        <f>IF(Personal!$D$45="","",MIN(D70,Parameter!$H$6)*Personal!$AO$45+MIN(D70,Parameter!$H$7)*Personal!$AP$45+D70*Personal!$AQ$45)</f>
        <v>0</v>
      </c>
      <c r="S70" s="128">
        <f>IF(Personal!$D$45="","",MIN(E70,Parameter!$H$6)*Personal!$AO$45+MIN(E70,Parameter!$H$7)*Personal!$AP$45+E70*Personal!$AQ$45)</f>
        <v>0</v>
      </c>
      <c r="T70" s="128">
        <f>IF(Personal!$D$45="","",MIN(F70,Parameter!$H$6)*Personal!$AO$45+MIN(F70,Parameter!$H$7)*Personal!$AP$45+F70*Personal!$AQ$45)</f>
        <v>0</v>
      </c>
      <c r="U70" s="128">
        <f>IF(Personal!$D$45="","",MIN(G70,Parameter!$H$6)*Personal!$AO$45+MIN(G70,Parameter!$H$7)*Personal!$AP$45+G70*Personal!$AQ$45)</f>
        <v>0</v>
      </c>
      <c r="V70" s="128">
        <f>IF(Personal!$D$45="","",MIN(H70,Parameter!$H$6)*Personal!$AO$45+MIN(H70,Parameter!$H$7)*Personal!$AP$45+H70*Personal!$AQ$45)</f>
        <v>0</v>
      </c>
      <c r="W70" s="128">
        <f>IF(Personal!$D$45="","",MIN(I70,Parameter!$H$6)*Personal!$AO$45+MIN(I70,Parameter!$H$7)*Personal!$AP$45+I70*Personal!$AQ$45)</f>
        <v>0</v>
      </c>
      <c r="X70" s="128">
        <f>IF(Personal!$D$45="","",MIN(J70,Parameter!$H$6)*Personal!$AO$45+MIN(J70,Parameter!$H$7)*Personal!$AP$45+J70*Personal!$AQ$45)</f>
        <v>0</v>
      </c>
      <c r="Y70" s="128">
        <f>IF(Personal!$D$45="","",MIN(K70,Parameter!$H$6)*Personal!$AO$45+MIN(K70,Parameter!$H$7)*Personal!$AP$45+K70*Personal!$AQ$45)</f>
        <v>0</v>
      </c>
      <c r="Z70" s="128">
        <f>IF(Personal!$D$45="","",MIN(L70,Parameter!$H$6)*Personal!$AO$45+MIN(L70,Parameter!$H$7)*Personal!$AP$45+L70*Personal!$AQ$45)</f>
        <v>0</v>
      </c>
      <c r="AA70" s="128">
        <f>IF(Personal!$D$45="","",MIN(M70,Parameter!$H$6)*Personal!$AO$45+MIN(M70,Parameter!$H$7)*Personal!$AP$45+M70*Personal!$AQ$45)</f>
        <v>0</v>
      </c>
      <c r="AB70" s="128">
        <f>IF(Personal!$D$45="","",MIN(N70,Parameter!$H$6)*Personal!$AO$45+MIN(N70,Parameter!$H$7)*Personal!$AP$45+N70*Personal!$AQ$45)</f>
        <v>0</v>
      </c>
      <c r="AC70" s="127">
        <f t="shared" si="13"/>
        <v>0</v>
      </c>
      <c r="AD70" s="129">
        <f t="shared" si="14"/>
        <v>0</v>
      </c>
      <c r="AE70" s="130" t="str">
        <f>IF($B70="","",Personal!$E$45)</f>
        <v>Operations</v>
      </c>
    </row>
    <row r="71" spans="2:31" ht="16.5" customHeight="1" x14ac:dyDescent="0.25">
      <c r="B71" s="125" t="str">
        <f>IF(Personal!$D$46="","",Personal!$D$46)</f>
        <v>N.N. Außendienst (Nachfolge)</v>
      </c>
      <c r="C71" s="126">
        <f>IF(Personal!$D$46="","",N(Personal!$M$46)*(1+IF(MONTH(C$7)&gt;=Parameter!$C$28,Personal!$AN$46,0))*IFERROR(Personal!$Y$46/Personal!$R$46,0)+IF(MONTH(C$7)=Parameter!$C$29,N(Personal!$M$46)*N(Personal!$N$46)*N(Personal!$T$46),0))</f>
        <v>0</v>
      </c>
      <c r="D71" s="126">
        <f>IF(Personal!$D$46="","",N(Personal!$M$46)*(1+IF(MONTH(D$7)&gt;=Parameter!$C$28,Personal!$AN$46,0))*IFERROR(Personal!$Z$46/Personal!$R$46,0)+IF(MONTH(D$7)=Parameter!$C$29,N(Personal!$M$46)*N(Personal!$N$46)*N(Personal!$T$46),0))</f>
        <v>0</v>
      </c>
      <c r="E71" s="126">
        <f>IF(Personal!$D$46="","",N(Personal!$M$46)*(1+IF(MONTH(E$7)&gt;=Parameter!$C$28,Personal!$AN$46,0))*IFERROR(Personal!$AA$46/Personal!$R$46,0)+IF(MONTH(E$7)=Parameter!$C$29,N(Personal!$M$46)*N(Personal!$N$46)*N(Personal!$T$46),0))</f>
        <v>0</v>
      </c>
      <c r="F71" s="126">
        <f>IF(Personal!$D$46="","",N(Personal!$M$46)*(1+IF(MONTH(F$7)&gt;=Parameter!$C$28,Personal!$AN$46,0))*IFERROR(Personal!$AB$46/Personal!$R$46,0)+IF(MONTH(F$7)=Parameter!$C$29,N(Personal!$M$46)*N(Personal!$N$46)*N(Personal!$T$46),0))</f>
        <v>0</v>
      </c>
      <c r="G71" s="126">
        <f>IF(Personal!$D$46="","",N(Personal!$M$46)*(1+IF(MONTH(G$7)&gt;=Parameter!$C$28,Personal!$AN$46,0))*IFERROR(Personal!$AC$46/Personal!$R$46,0)+IF(MONTH(G$7)=Parameter!$C$29,N(Personal!$M$46)*N(Personal!$N$46)*N(Personal!$T$46),0))</f>
        <v>0</v>
      </c>
      <c r="H71" s="126">
        <f>IF(Personal!$D$46="","",N(Personal!$M$46)*(1+IF(MONTH(H$7)&gt;=Parameter!$C$28,Personal!$AN$46,0))*IFERROR(Personal!$AD$46/Personal!$R$46,0)+IF(MONTH(H$7)=Parameter!$C$29,N(Personal!$M$46)*N(Personal!$N$46)*N(Personal!$T$46),0))</f>
        <v>0</v>
      </c>
      <c r="I71" s="126">
        <f>IF(Personal!$D$46="","",N(Personal!$M$46)*(1+IF(MONTH(I$7)&gt;=Parameter!$C$28,Personal!$AN$46,0))*IFERROR(Personal!$AE$46/Personal!$R$46,0)+IF(MONTH(I$7)=Parameter!$C$29,N(Personal!$M$46)*N(Personal!$N$46)*N(Personal!$T$46),0))</f>
        <v>4800</v>
      </c>
      <c r="J71" s="126">
        <f>IF(Personal!$D$46="","",N(Personal!$M$46)*(1+IF(MONTH(J$7)&gt;=Parameter!$C$28,Personal!$AN$46,0))*IFERROR(Personal!$AF$46/Personal!$R$46,0)+IF(MONTH(J$7)=Parameter!$C$29,N(Personal!$M$46)*N(Personal!$N$46)*N(Personal!$T$46),0))</f>
        <v>4800</v>
      </c>
      <c r="K71" s="126">
        <f>IF(Personal!$D$46="","",N(Personal!$M$46)*(1+IF(MONTH(K$7)&gt;=Parameter!$C$28,Personal!$AN$46,0))*IFERROR(Personal!$AG$46/Personal!$R$46,0)+IF(MONTH(K$7)=Parameter!$C$29,N(Personal!$M$46)*N(Personal!$N$46)*N(Personal!$T$46),0))</f>
        <v>4800</v>
      </c>
      <c r="L71" s="126">
        <f>IF(Personal!$D$46="","",N(Personal!$M$46)*(1+IF(MONTH(L$7)&gt;=Parameter!$C$28,Personal!$AN$46,0))*IFERROR(Personal!$AH$46/Personal!$R$46,0)+IF(MONTH(L$7)=Parameter!$C$29,N(Personal!$M$46)*N(Personal!$N$46)*N(Personal!$T$46),0))</f>
        <v>4800</v>
      </c>
      <c r="M71" s="126">
        <f>IF(Personal!$D$46="","",N(Personal!$M$46)*(1+IF(MONTH(M$7)&gt;=Parameter!$C$28,Personal!$AN$46,0))*IFERROR(Personal!$AI$46/Personal!$R$46,0)+IF(MONTH(M$7)=Parameter!$C$29,N(Personal!$M$46)*N(Personal!$N$46)*N(Personal!$T$46),0))</f>
        <v>7219.7260273972606</v>
      </c>
      <c r="N71" s="126">
        <f>IF(Personal!$D$46="","",N(Personal!$M$46)*(1+IF(MONTH(N$7)&gt;=Parameter!$C$28,Personal!$AN$46,0))*IFERROR(Personal!$AJ$46/Personal!$R$46,0)+IF(MONTH(N$7)=Parameter!$C$29,N(Personal!$M$46)*N(Personal!$N$46)*N(Personal!$T$46),0))</f>
        <v>4800</v>
      </c>
      <c r="O71" s="127">
        <f t="shared" si="12"/>
        <v>31219.726027397261</v>
      </c>
      <c r="Q71" s="128">
        <f>IF(Personal!$D$46="","",MIN(C71,Parameter!$H$6)*Personal!$AO$46+MIN(C71,Parameter!$H$7)*Personal!$AP$46+C71*Personal!$AQ$46)</f>
        <v>0</v>
      </c>
      <c r="R71" s="128">
        <f>IF(Personal!$D$46="","",MIN(D71,Parameter!$H$6)*Personal!$AO$46+MIN(D71,Parameter!$H$7)*Personal!$AP$46+D71*Personal!$AQ$46)</f>
        <v>0</v>
      </c>
      <c r="S71" s="128">
        <f>IF(Personal!$D$46="","",MIN(E71,Parameter!$H$6)*Personal!$AO$46+MIN(E71,Parameter!$H$7)*Personal!$AP$46+E71*Personal!$AQ$46)</f>
        <v>0</v>
      </c>
      <c r="T71" s="128">
        <f>IF(Personal!$D$46="","",MIN(F71,Parameter!$H$6)*Personal!$AO$46+MIN(F71,Parameter!$H$7)*Personal!$AP$46+F71*Personal!$AQ$46)</f>
        <v>0</v>
      </c>
      <c r="U71" s="128">
        <f>IF(Personal!$D$46="","",MIN(G71,Parameter!$H$6)*Personal!$AO$46+MIN(G71,Parameter!$H$7)*Personal!$AP$46+G71*Personal!$AQ$46)</f>
        <v>0</v>
      </c>
      <c r="V71" s="128">
        <f>IF(Personal!$D$46="","",MIN(H71,Parameter!$H$6)*Personal!$AO$46+MIN(H71,Parameter!$H$7)*Personal!$AP$46+H71*Personal!$AQ$46)</f>
        <v>0</v>
      </c>
      <c r="W71" s="128">
        <f>IF(Personal!$D$46="","",MIN(I71,Parameter!$H$6)*Personal!$AO$46+MIN(I71,Parameter!$H$7)*Personal!$AP$46+I71*Personal!$AQ$46)</f>
        <v>1152</v>
      </c>
      <c r="X71" s="128">
        <f>IF(Personal!$D$46="","",MIN(J71,Parameter!$H$6)*Personal!$AO$46+MIN(J71,Parameter!$H$7)*Personal!$AP$46+J71*Personal!$AQ$46)</f>
        <v>1152</v>
      </c>
      <c r="Y71" s="128">
        <f>IF(Personal!$D$46="","",MIN(K71,Parameter!$H$6)*Personal!$AO$46+MIN(K71,Parameter!$H$7)*Personal!$AP$46+K71*Personal!$AQ$46)</f>
        <v>1152</v>
      </c>
      <c r="Z71" s="128">
        <f>IF(Personal!$D$46="","",MIN(L71,Parameter!$H$6)*Personal!$AO$46+MIN(L71,Parameter!$H$7)*Personal!$AP$46+L71*Personal!$AQ$46)</f>
        <v>1152</v>
      </c>
      <c r="AA71" s="128">
        <f>IF(Personal!$D$46="","",MIN(M71,Parameter!$H$6)*Personal!$AO$46+MIN(M71,Parameter!$H$7)*Personal!$AP$46+M71*Personal!$AQ$46)</f>
        <v>1643.6156506849316</v>
      </c>
      <c r="AB71" s="128">
        <f>IF(Personal!$D$46="","",MIN(N71,Parameter!$H$6)*Personal!$AO$46+MIN(N71,Parameter!$H$7)*Personal!$AP$46+N71*Personal!$AQ$46)</f>
        <v>1152</v>
      </c>
      <c r="AC71" s="127">
        <f t="shared" si="13"/>
        <v>7403.6156506849311</v>
      </c>
      <c r="AD71" s="129">
        <f t="shared" si="14"/>
        <v>38623.341678082194</v>
      </c>
      <c r="AE71" s="130" t="str">
        <f>IF($B71="","",Personal!$E$46)</f>
        <v>Vertrieb</v>
      </c>
    </row>
    <row r="72" spans="2:31" ht="16.5" customHeight="1" x14ac:dyDescent="0.25">
      <c r="B72" s="125" t="str">
        <f>IF(Personal!$D$47="","",Personal!$D$47)</f>
        <v>N.N. Kundenberatung (Nachfolge)</v>
      </c>
      <c r="C72" s="126">
        <f>IF(Personal!$D$47="","",N(Personal!$M$47)*(1+IF(MONTH(C$7)&gt;=Parameter!$C$28,Personal!$AN$47,0))*IFERROR(Personal!$Y$47/Personal!$R$47,0)+IF(MONTH(C$7)=Parameter!$C$29,N(Personal!$M$47)*N(Personal!$N$47)*N(Personal!$T$47),0))</f>
        <v>0</v>
      </c>
      <c r="D72" s="126">
        <f>IF(Personal!$D$47="","",N(Personal!$M$47)*(1+IF(MONTH(D$7)&gt;=Parameter!$C$28,Personal!$AN$47,0))*IFERROR(Personal!$Z$47/Personal!$R$47,0)+IF(MONTH(D$7)=Parameter!$C$29,N(Personal!$M$47)*N(Personal!$N$47)*N(Personal!$T$47),0))</f>
        <v>0</v>
      </c>
      <c r="E72" s="126">
        <f>IF(Personal!$D$47="","",N(Personal!$M$47)*(1+IF(MONTH(E$7)&gt;=Parameter!$C$28,Personal!$AN$47,0))*IFERROR(Personal!$AA$47/Personal!$R$47,0)+IF(MONTH(E$7)=Parameter!$C$29,N(Personal!$M$47)*N(Personal!$N$47)*N(Personal!$T$47),0))</f>
        <v>0</v>
      </c>
      <c r="F72" s="126">
        <f>IF(Personal!$D$47="","",N(Personal!$M$47)*(1+IF(MONTH(F$7)&gt;=Parameter!$C$28,Personal!$AN$47,0))*IFERROR(Personal!$AB$47/Personal!$R$47,0)+IF(MONTH(F$7)=Parameter!$C$29,N(Personal!$M$47)*N(Personal!$N$47)*N(Personal!$T$47),0))</f>
        <v>0</v>
      </c>
      <c r="G72" s="126">
        <f>IF(Personal!$D$47="","",N(Personal!$M$47)*(1+IF(MONTH(G$7)&gt;=Parameter!$C$28,Personal!$AN$47,0))*IFERROR(Personal!$AC$47/Personal!$R$47,0)+IF(MONTH(G$7)=Parameter!$C$29,N(Personal!$M$47)*N(Personal!$N$47)*N(Personal!$T$47),0))</f>
        <v>0</v>
      </c>
      <c r="H72" s="126">
        <f>IF(Personal!$D$47="","",N(Personal!$M$47)*(1+IF(MONTH(H$7)&gt;=Parameter!$C$28,Personal!$AN$47,0))*IFERROR(Personal!$AD$47/Personal!$R$47,0)+IF(MONTH(H$7)=Parameter!$C$29,N(Personal!$M$47)*N(Personal!$N$47)*N(Personal!$T$47),0))</f>
        <v>0</v>
      </c>
      <c r="I72" s="126">
        <f>IF(Personal!$D$47="","",N(Personal!$M$47)*(1+IF(MONTH(I$7)&gt;=Parameter!$C$28,Personal!$AN$47,0))*IFERROR(Personal!$AE$47/Personal!$R$47,0)+IF(MONTH(I$7)=Parameter!$C$29,N(Personal!$M$47)*N(Personal!$N$47)*N(Personal!$T$47),0))</f>
        <v>0</v>
      </c>
      <c r="J72" s="126">
        <f>IF(Personal!$D$47="","",N(Personal!$M$47)*(1+IF(MONTH(J$7)&gt;=Parameter!$C$28,Personal!$AN$47,0))*IFERROR(Personal!$AF$47/Personal!$R$47,0)+IF(MONTH(J$7)=Parameter!$C$29,N(Personal!$M$47)*N(Personal!$N$47)*N(Personal!$T$47),0))</f>
        <v>0</v>
      </c>
      <c r="K72" s="126">
        <f>IF(Personal!$D$47="","",N(Personal!$M$47)*(1+IF(MONTH(K$7)&gt;=Parameter!$C$28,Personal!$AN$47,0))*IFERROR(Personal!$AG$47/Personal!$R$47,0)+IF(MONTH(K$7)=Parameter!$C$29,N(Personal!$M$47)*N(Personal!$N$47)*N(Personal!$T$47),0))</f>
        <v>3350</v>
      </c>
      <c r="L72" s="126">
        <f>IF(Personal!$D$47="","",N(Personal!$M$47)*(1+IF(MONTH(L$7)&gt;=Parameter!$C$28,Personal!$AN$47,0))*IFERROR(Personal!$AH$47/Personal!$R$47,0)+IF(MONTH(L$7)=Parameter!$C$29,N(Personal!$M$47)*N(Personal!$N$47)*N(Personal!$T$47),0))</f>
        <v>3350</v>
      </c>
      <c r="M72" s="126">
        <f>IF(Personal!$D$47="","",N(Personal!$M$47)*(1+IF(MONTH(M$7)&gt;=Parameter!$C$28,Personal!$AN$47,0))*IFERROR(Personal!$AI$47/Personal!$R$47,0)+IF(MONTH(M$7)=Parameter!$C$29,N(Personal!$M$47)*N(Personal!$N$47)*N(Personal!$T$47),0))</f>
        <v>4469.7260273972606</v>
      </c>
      <c r="N72" s="126">
        <f>IF(Personal!$D$47="","",N(Personal!$M$47)*(1+IF(MONTH(N$7)&gt;=Parameter!$C$28,Personal!$AN$47,0))*IFERROR(Personal!$AJ$47/Personal!$R$47,0)+IF(MONTH(N$7)=Parameter!$C$29,N(Personal!$M$47)*N(Personal!$N$47)*N(Personal!$T$47),0))</f>
        <v>3350</v>
      </c>
      <c r="O72" s="127">
        <f t="shared" si="12"/>
        <v>14519.726027397261</v>
      </c>
      <c r="Q72" s="128">
        <f>IF(Personal!$D$47="","",MIN(C72,Parameter!$H$6)*Personal!$AO$47+MIN(C72,Parameter!$H$7)*Personal!$AP$47+C72*Personal!$AQ$47)</f>
        <v>0</v>
      </c>
      <c r="R72" s="128">
        <f>IF(Personal!$D$47="","",MIN(D72,Parameter!$H$6)*Personal!$AO$47+MIN(D72,Parameter!$H$7)*Personal!$AP$47+D72*Personal!$AQ$47)</f>
        <v>0</v>
      </c>
      <c r="S72" s="128">
        <f>IF(Personal!$D$47="","",MIN(E72,Parameter!$H$6)*Personal!$AO$47+MIN(E72,Parameter!$H$7)*Personal!$AP$47+E72*Personal!$AQ$47)</f>
        <v>0</v>
      </c>
      <c r="T72" s="128">
        <f>IF(Personal!$D$47="","",MIN(F72,Parameter!$H$6)*Personal!$AO$47+MIN(F72,Parameter!$H$7)*Personal!$AP$47+F72*Personal!$AQ$47)</f>
        <v>0</v>
      </c>
      <c r="U72" s="128">
        <f>IF(Personal!$D$47="","",MIN(G72,Parameter!$H$6)*Personal!$AO$47+MIN(G72,Parameter!$H$7)*Personal!$AP$47+G72*Personal!$AQ$47)</f>
        <v>0</v>
      </c>
      <c r="V72" s="128">
        <f>IF(Personal!$D$47="","",MIN(H72,Parameter!$H$6)*Personal!$AO$47+MIN(H72,Parameter!$H$7)*Personal!$AP$47+H72*Personal!$AQ$47)</f>
        <v>0</v>
      </c>
      <c r="W72" s="128">
        <f>IF(Personal!$D$47="","",MIN(I72,Parameter!$H$6)*Personal!$AO$47+MIN(I72,Parameter!$H$7)*Personal!$AP$47+I72*Personal!$AQ$47)</f>
        <v>0</v>
      </c>
      <c r="X72" s="128">
        <f>IF(Personal!$D$47="","",MIN(J72,Parameter!$H$6)*Personal!$AO$47+MIN(J72,Parameter!$H$7)*Personal!$AP$47+J72*Personal!$AQ$47)</f>
        <v>0</v>
      </c>
      <c r="Y72" s="128">
        <f>IF(Personal!$D$47="","",MIN(K72,Parameter!$H$6)*Personal!$AO$47+MIN(K72,Parameter!$H$7)*Personal!$AP$47+K72*Personal!$AQ$47)</f>
        <v>804</v>
      </c>
      <c r="Z72" s="128">
        <f>IF(Personal!$D$47="","",MIN(L72,Parameter!$H$6)*Personal!$AO$47+MIN(L72,Parameter!$H$7)*Personal!$AP$47+L72*Personal!$AQ$47)</f>
        <v>804</v>
      </c>
      <c r="AA72" s="128">
        <f>IF(Personal!$D$47="","",MIN(M72,Parameter!$H$6)*Personal!$AO$47+MIN(M72,Parameter!$H$7)*Personal!$AP$47+M72*Personal!$AQ$47)</f>
        <v>1072.7342465753425</v>
      </c>
      <c r="AB72" s="128">
        <f>IF(Personal!$D$47="","",MIN(N72,Parameter!$H$6)*Personal!$AO$47+MIN(N72,Parameter!$H$7)*Personal!$AP$47+N72*Personal!$AQ$47)</f>
        <v>804</v>
      </c>
      <c r="AC72" s="127">
        <f t="shared" si="13"/>
        <v>3484.7342465753427</v>
      </c>
      <c r="AD72" s="129">
        <f t="shared" si="14"/>
        <v>18004.460273972603</v>
      </c>
      <c r="AE72" s="130" t="str">
        <f>IF($B72="","",Personal!$E$47)</f>
        <v>Kundenservice</v>
      </c>
    </row>
    <row r="73" spans="2:31" ht="16.5" customHeight="1" x14ac:dyDescent="0.25">
      <c r="B73" s="125" t="str">
        <f>IF(Personal!$D$48="","",Personal!$D$48)</f>
        <v>N.N. Lohnbuchhaltung</v>
      </c>
      <c r="C73" s="126">
        <f>IF(Personal!$D$48="","",N(Personal!$M$48)*(1+IF(MONTH(C$7)&gt;=Parameter!$C$28,Personal!$AN$48,0))*IFERROR(Personal!$Y$48/Personal!$R$48,0)+IF(MONTH(C$7)=Parameter!$C$29,N(Personal!$M$48)*N(Personal!$N$48)*N(Personal!$T$48),0))</f>
        <v>0</v>
      </c>
      <c r="D73" s="126">
        <f>IF(Personal!$D$48="","",N(Personal!$M$48)*(1+IF(MONTH(D$7)&gt;=Parameter!$C$28,Personal!$AN$48,0))*IFERROR(Personal!$Z$48/Personal!$R$48,0)+IF(MONTH(D$7)=Parameter!$C$29,N(Personal!$M$48)*N(Personal!$N$48)*N(Personal!$T$48),0))</f>
        <v>0</v>
      </c>
      <c r="E73" s="126">
        <f>IF(Personal!$D$48="","",N(Personal!$M$48)*(1+IF(MONTH(E$7)&gt;=Parameter!$C$28,Personal!$AN$48,0))*IFERROR(Personal!$AA$48/Personal!$R$48,0)+IF(MONTH(E$7)=Parameter!$C$29,N(Personal!$M$48)*N(Personal!$N$48)*N(Personal!$T$48),0))</f>
        <v>0</v>
      </c>
      <c r="F73" s="126">
        <f>IF(Personal!$D$48="","",N(Personal!$M$48)*(1+IF(MONTH(F$7)&gt;=Parameter!$C$28,Personal!$AN$48,0))*IFERROR(Personal!$AB$48/Personal!$R$48,0)+IF(MONTH(F$7)=Parameter!$C$29,N(Personal!$M$48)*N(Personal!$N$48)*N(Personal!$T$48),0))</f>
        <v>0</v>
      </c>
      <c r="G73" s="126">
        <f>IF(Personal!$D$48="","",N(Personal!$M$48)*(1+IF(MONTH(G$7)&gt;=Parameter!$C$28,Personal!$AN$48,0))*IFERROR(Personal!$AC$48/Personal!$R$48,0)+IF(MONTH(G$7)=Parameter!$C$29,N(Personal!$M$48)*N(Personal!$N$48)*N(Personal!$T$48),0))</f>
        <v>0</v>
      </c>
      <c r="H73" s="126">
        <f>IF(Personal!$D$48="","",N(Personal!$M$48)*(1+IF(MONTH(H$7)&gt;=Parameter!$C$28,Personal!$AN$48,0))*IFERROR(Personal!$AD$48/Personal!$R$48,0)+IF(MONTH(H$7)=Parameter!$C$29,N(Personal!$M$48)*N(Personal!$N$48)*N(Personal!$T$48),0))</f>
        <v>0</v>
      </c>
      <c r="I73" s="126">
        <f>IF(Personal!$D$48="","",N(Personal!$M$48)*(1+IF(MONTH(I$7)&gt;=Parameter!$C$28,Personal!$AN$48,0))*IFERROR(Personal!$AE$48/Personal!$R$48,0)+IF(MONTH(I$7)=Parameter!$C$29,N(Personal!$M$48)*N(Personal!$N$48)*N(Personal!$T$48),0))</f>
        <v>0</v>
      </c>
      <c r="J73" s="126">
        <f>IF(Personal!$D$48="","",N(Personal!$M$48)*(1+IF(MONTH(J$7)&gt;=Parameter!$C$28,Personal!$AN$48,0))*IFERROR(Personal!$AF$48/Personal!$R$48,0)+IF(MONTH(J$7)=Parameter!$C$29,N(Personal!$M$48)*N(Personal!$N$48)*N(Personal!$T$48),0))</f>
        <v>0</v>
      </c>
      <c r="K73" s="126">
        <f>IF(Personal!$D$48="","",N(Personal!$M$48)*(1+IF(MONTH(K$7)&gt;=Parameter!$C$28,Personal!$AN$48,0))*IFERROR(Personal!$AG$48/Personal!$R$48,0)+IF(MONTH(K$7)=Parameter!$C$29,N(Personal!$M$48)*N(Personal!$N$48)*N(Personal!$T$48),0))</f>
        <v>0</v>
      </c>
      <c r="L73" s="126">
        <f>IF(Personal!$D$48="","",N(Personal!$M$48)*(1+IF(MONTH(L$7)&gt;=Parameter!$C$28,Personal!$AN$48,0))*IFERROR(Personal!$AH$48/Personal!$R$48,0)+IF(MONTH(L$7)=Parameter!$C$29,N(Personal!$M$48)*N(Personal!$N$48)*N(Personal!$T$48),0))</f>
        <v>2300</v>
      </c>
      <c r="M73" s="126">
        <f>IF(Personal!$D$48="","",N(Personal!$M$48)*(1+IF(MONTH(M$7)&gt;=Parameter!$C$28,Personal!$AN$48,0))*IFERROR(Personal!$AI$48/Personal!$R$48,0)+IF(MONTH(M$7)=Parameter!$C$29,N(Personal!$M$48)*N(Personal!$N$48)*N(Personal!$T$48),0))</f>
        <v>2879.7260273972602</v>
      </c>
      <c r="N73" s="126">
        <f>IF(Personal!$D$48="","",N(Personal!$M$48)*(1+IF(MONTH(N$7)&gt;=Parameter!$C$28,Personal!$AN$48,0))*IFERROR(Personal!$AJ$48/Personal!$R$48,0)+IF(MONTH(N$7)=Parameter!$C$29,N(Personal!$M$48)*N(Personal!$N$48)*N(Personal!$T$48),0))</f>
        <v>2300</v>
      </c>
      <c r="O73" s="127">
        <f t="shared" si="12"/>
        <v>7479.7260273972606</v>
      </c>
      <c r="Q73" s="128">
        <f>IF(Personal!$D$48="","",MIN(C73,Parameter!$H$6)*Personal!$AO$48+MIN(C73,Parameter!$H$7)*Personal!$AP$48+C73*Personal!$AQ$48)</f>
        <v>0</v>
      </c>
      <c r="R73" s="128">
        <f>IF(Personal!$D$48="","",MIN(D73,Parameter!$H$6)*Personal!$AO$48+MIN(D73,Parameter!$H$7)*Personal!$AP$48+D73*Personal!$AQ$48)</f>
        <v>0</v>
      </c>
      <c r="S73" s="128">
        <f>IF(Personal!$D$48="","",MIN(E73,Parameter!$H$6)*Personal!$AO$48+MIN(E73,Parameter!$H$7)*Personal!$AP$48+E73*Personal!$AQ$48)</f>
        <v>0</v>
      </c>
      <c r="T73" s="128">
        <f>IF(Personal!$D$48="","",MIN(F73,Parameter!$H$6)*Personal!$AO$48+MIN(F73,Parameter!$H$7)*Personal!$AP$48+F73*Personal!$AQ$48)</f>
        <v>0</v>
      </c>
      <c r="U73" s="128">
        <f>IF(Personal!$D$48="","",MIN(G73,Parameter!$H$6)*Personal!$AO$48+MIN(G73,Parameter!$H$7)*Personal!$AP$48+G73*Personal!$AQ$48)</f>
        <v>0</v>
      </c>
      <c r="V73" s="128">
        <f>IF(Personal!$D$48="","",MIN(H73,Parameter!$H$6)*Personal!$AO$48+MIN(H73,Parameter!$H$7)*Personal!$AP$48+H73*Personal!$AQ$48)</f>
        <v>0</v>
      </c>
      <c r="W73" s="128">
        <f>IF(Personal!$D$48="","",MIN(I73,Parameter!$H$6)*Personal!$AO$48+MIN(I73,Parameter!$H$7)*Personal!$AP$48+I73*Personal!$AQ$48)</f>
        <v>0</v>
      </c>
      <c r="X73" s="128">
        <f>IF(Personal!$D$48="","",MIN(J73,Parameter!$H$6)*Personal!$AO$48+MIN(J73,Parameter!$H$7)*Personal!$AP$48+J73*Personal!$AQ$48)</f>
        <v>0</v>
      </c>
      <c r="Y73" s="128">
        <f>IF(Personal!$D$48="","",MIN(K73,Parameter!$H$6)*Personal!$AO$48+MIN(K73,Parameter!$H$7)*Personal!$AP$48+K73*Personal!$AQ$48)</f>
        <v>0</v>
      </c>
      <c r="Z73" s="128">
        <f>IF(Personal!$D$48="","",MIN(L73,Parameter!$H$6)*Personal!$AO$48+MIN(L73,Parameter!$H$7)*Personal!$AP$48+L73*Personal!$AQ$48)</f>
        <v>552</v>
      </c>
      <c r="AA73" s="128">
        <f>IF(Personal!$D$48="","",MIN(M73,Parameter!$H$6)*Personal!$AO$48+MIN(M73,Parameter!$H$7)*Personal!$AP$48+M73*Personal!$AQ$48)</f>
        <v>691.13424657534244</v>
      </c>
      <c r="AB73" s="128">
        <f>IF(Personal!$D$48="","",MIN(N73,Parameter!$H$6)*Personal!$AO$48+MIN(N73,Parameter!$H$7)*Personal!$AP$48+N73*Personal!$AQ$48)</f>
        <v>552</v>
      </c>
      <c r="AC73" s="127">
        <f t="shared" si="13"/>
        <v>1795.1342465753423</v>
      </c>
      <c r="AD73" s="129">
        <f t="shared" si="14"/>
        <v>9274.860273972603</v>
      </c>
      <c r="AE73" s="130" t="str">
        <f>IF($B73="","",Personal!$E$48)</f>
        <v>Personal</v>
      </c>
    </row>
    <row r="74" spans="2:31" ht="16.5" customHeight="1" x14ac:dyDescent="0.25">
      <c r="B74" s="125" t="str">
        <f>IF(Personal!$D$49="","",Personal!$D$49)</f>
        <v/>
      </c>
      <c r="C74" s="126" t="str">
        <f>IF(Personal!$D$49="","",N(Personal!$M$49)*(1+IF(MONTH(C$7)&gt;=Parameter!$C$28,Personal!$AN$49,0))*IFERROR(Personal!$Y$49/Personal!$R$49,0)+IF(MONTH(C$7)=Parameter!$C$29,N(Personal!$M$49)*N(Personal!$N$49)*N(Personal!$T$49),0))</f>
        <v/>
      </c>
      <c r="D74" s="126" t="str">
        <f>IF(Personal!$D$49="","",N(Personal!$M$49)*(1+IF(MONTH(D$7)&gt;=Parameter!$C$28,Personal!$AN$49,0))*IFERROR(Personal!$Z$49/Personal!$R$49,0)+IF(MONTH(D$7)=Parameter!$C$29,N(Personal!$M$49)*N(Personal!$N$49)*N(Personal!$T$49),0))</f>
        <v/>
      </c>
      <c r="E74" s="126" t="str">
        <f>IF(Personal!$D$49="","",N(Personal!$M$49)*(1+IF(MONTH(E$7)&gt;=Parameter!$C$28,Personal!$AN$49,0))*IFERROR(Personal!$AA$49/Personal!$R$49,0)+IF(MONTH(E$7)=Parameter!$C$29,N(Personal!$M$49)*N(Personal!$N$49)*N(Personal!$T$49),0))</f>
        <v/>
      </c>
      <c r="F74" s="126" t="str">
        <f>IF(Personal!$D$49="","",N(Personal!$M$49)*(1+IF(MONTH(F$7)&gt;=Parameter!$C$28,Personal!$AN$49,0))*IFERROR(Personal!$AB$49/Personal!$R$49,0)+IF(MONTH(F$7)=Parameter!$C$29,N(Personal!$M$49)*N(Personal!$N$49)*N(Personal!$T$49),0))</f>
        <v/>
      </c>
      <c r="G74" s="126" t="str">
        <f>IF(Personal!$D$49="","",N(Personal!$M$49)*(1+IF(MONTH(G$7)&gt;=Parameter!$C$28,Personal!$AN$49,0))*IFERROR(Personal!$AC$49/Personal!$R$49,0)+IF(MONTH(G$7)=Parameter!$C$29,N(Personal!$M$49)*N(Personal!$N$49)*N(Personal!$T$49),0))</f>
        <v/>
      </c>
      <c r="H74" s="126" t="str">
        <f>IF(Personal!$D$49="","",N(Personal!$M$49)*(1+IF(MONTH(H$7)&gt;=Parameter!$C$28,Personal!$AN$49,0))*IFERROR(Personal!$AD$49/Personal!$R$49,0)+IF(MONTH(H$7)=Parameter!$C$29,N(Personal!$M$49)*N(Personal!$N$49)*N(Personal!$T$49),0))</f>
        <v/>
      </c>
      <c r="I74" s="126" t="str">
        <f>IF(Personal!$D$49="","",N(Personal!$M$49)*(1+IF(MONTH(I$7)&gt;=Parameter!$C$28,Personal!$AN$49,0))*IFERROR(Personal!$AE$49/Personal!$R$49,0)+IF(MONTH(I$7)=Parameter!$C$29,N(Personal!$M$49)*N(Personal!$N$49)*N(Personal!$T$49),0))</f>
        <v/>
      </c>
      <c r="J74" s="126" t="str">
        <f>IF(Personal!$D$49="","",N(Personal!$M$49)*(1+IF(MONTH(J$7)&gt;=Parameter!$C$28,Personal!$AN$49,0))*IFERROR(Personal!$AF$49/Personal!$R$49,0)+IF(MONTH(J$7)=Parameter!$C$29,N(Personal!$M$49)*N(Personal!$N$49)*N(Personal!$T$49),0))</f>
        <v/>
      </c>
      <c r="K74" s="126" t="str">
        <f>IF(Personal!$D$49="","",N(Personal!$M$49)*(1+IF(MONTH(K$7)&gt;=Parameter!$C$28,Personal!$AN$49,0))*IFERROR(Personal!$AG$49/Personal!$R$49,0)+IF(MONTH(K$7)=Parameter!$C$29,N(Personal!$M$49)*N(Personal!$N$49)*N(Personal!$T$49),0))</f>
        <v/>
      </c>
      <c r="L74" s="126" t="str">
        <f>IF(Personal!$D$49="","",N(Personal!$M$49)*(1+IF(MONTH(L$7)&gt;=Parameter!$C$28,Personal!$AN$49,0))*IFERROR(Personal!$AH$49/Personal!$R$49,0)+IF(MONTH(L$7)=Parameter!$C$29,N(Personal!$M$49)*N(Personal!$N$49)*N(Personal!$T$49),0))</f>
        <v/>
      </c>
      <c r="M74" s="126" t="str">
        <f>IF(Personal!$D$49="","",N(Personal!$M$49)*(1+IF(MONTH(M$7)&gt;=Parameter!$C$28,Personal!$AN$49,0))*IFERROR(Personal!$AI$49/Personal!$R$49,0)+IF(MONTH(M$7)=Parameter!$C$29,N(Personal!$M$49)*N(Personal!$N$49)*N(Personal!$T$49),0))</f>
        <v/>
      </c>
      <c r="N74" s="126" t="str">
        <f>IF(Personal!$D$49="","",N(Personal!$M$49)*(1+IF(MONTH(N$7)&gt;=Parameter!$C$28,Personal!$AN$49,0))*IFERROR(Personal!$AJ$49/Personal!$R$49,0)+IF(MONTH(N$7)=Parameter!$C$29,N(Personal!$M$49)*N(Personal!$N$49)*N(Personal!$T$49),0))</f>
        <v/>
      </c>
      <c r="O74" s="127" t="str">
        <f t="shared" si="12"/>
        <v/>
      </c>
      <c r="Q74" s="128" t="str">
        <f>IF(Personal!$D$49="","",MIN(C74,Parameter!$H$6)*Personal!$AO$49+MIN(C74,Parameter!$H$7)*Personal!$AP$49+C74*Personal!$AQ$49)</f>
        <v/>
      </c>
      <c r="R74" s="128" t="str">
        <f>IF(Personal!$D$49="","",MIN(D74,Parameter!$H$6)*Personal!$AO$49+MIN(D74,Parameter!$H$7)*Personal!$AP$49+D74*Personal!$AQ$49)</f>
        <v/>
      </c>
      <c r="S74" s="128" t="str">
        <f>IF(Personal!$D$49="","",MIN(E74,Parameter!$H$6)*Personal!$AO$49+MIN(E74,Parameter!$H$7)*Personal!$AP$49+E74*Personal!$AQ$49)</f>
        <v/>
      </c>
      <c r="T74" s="128" t="str">
        <f>IF(Personal!$D$49="","",MIN(F74,Parameter!$H$6)*Personal!$AO$49+MIN(F74,Parameter!$H$7)*Personal!$AP$49+F74*Personal!$AQ$49)</f>
        <v/>
      </c>
      <c r="U74" s="128" t="str">
        <f>IF(Personal!$D$49="","",MIN(G74,Parameter!$H$6)*Personal!$AO$49+MIN(G74,Parameter!$H$7)*Personal!$AP$49+G74*Personal!$AQ$49)</f>
        <v/>
      </c>
      <c r="V74" s="128" t="str">
        <f>IF(Personal!$D$49="","",MIN(H74,Parameter!$H$6)*Personal!$AO$49+MIN(H74,Parameter!$H$7)*Personal!$AP$49+H74*Personal!$AQ$49)</f>
        <v/>
      </c>
      <c r="W74" s="128" t="str">
        <f>IF(Personal!$D$49="","",MIN(I74,Parameter!$H$6)*Personal!$AO$49+MIN(I74,Parameter!$H$7)*Personal!$AP$49+I74*Personal!$AQ$49)</f>
        <v/>
      </c>
      <c r="X74" s="128" t="str">
        <f>IF(Personal!$D$49="","",MIN(J74,Parameter!$H$6)*Personal!$AO$49+MIN(J74,Parameter!$H$7)*Personal!$AP$49+J74*Personal!$AQ$49)</f>
        <v/>
      </c>
      <c r="Y74" s="128" t="str">
        <f>IF(Personal!$D$49="","",MIN(K74,Parameter!$H$6)*Personal!$AO$49+MIN(K74,Parameter!$H$7)*Personal!$AP$49+K74*Personal!$AQ$49)</f>
        <v/>
      </c>
      <c r="Z74" s="128" t="str">
        <f>IF(Personal!$D$49="","",MIN(L74,Parameter!$H$6)*Personal!$AO$49+MIN(L74,Parameter!$H$7)*Personal!$AP$49+L74*Personal!$AQ$49)</f>
        <v/>
      </c>
      <c r="AA74" s="128" t="str">
        <f>IF(Personal!$D$49="","",MIN(M74,Parameter!$H$6)*Personal!$AO$49+MIN(M74,Parameter!$H$7)*Personal!$AP$49+M74*Personal!$AQ$49)</f>
        <v/>
      </c>
      <c r="AB74" s="128" t="str">
        <f>IF(Personal!$D$49="","",MIN(N74,Parameter!$H$6)*Personal!$AO$49+MIN(N74,Parameter!$H$7)*Personal!$AP$49+N74*Personal!$AQ$49)</f>
        <v/>
      </c>
      <c r="AC74" s="127" t="str">
        <f t="shared" si="13"/>
        <v/>
      </c>
      <c r="AD74" s="129" t="str">
        <f t="shared" si="14"/>
        <v/>
      </c>
      <c r="AE74" s="130" t="str">
        <f>IF($B74="","",Personal!$E$49)</f>
        <v/>
      </c>
    </row>
    <row r="75" spans="2:31" ht="16.5" customHeight="1" x14ac:dyDescent="0.25">
      <c r="B75" s="125" t="str">
        <f>IF(Personal!$D$50="","",Personal!$D$50)</f>
        <v/>
      </c>
      <c r="C75" s="126" t="str">
        <f>IF(Personal!$D$50="","",N(Personal!$M$50)*(1+IF(MONTH(C$7)&gt;=Parameter!$C$28,Personal!$AN$50,0))*IFERROR(Personal!$Y$50/Personal!$R$50,0)+IF(MONTH(C$7)=Parameter!$C$29,N(Personal!$M$50)*N(Personal!$N$50)*N(Personal!$T$50),0))</f>
        <v/>
      </c>
      <c r="D75" s="126" t="str">
        <f>IF(Personal!$D$50="","",N(Personal!$M$50)*(1+IF(MONTH(D$7)&gt;=Parameter!$C$28,Personal!$AN$50,0))*IFERROR(Personal!$Z$50/Personal!$R$50,0)+IF(MONTH(D$7)=Parameter!$C$29,N(Personal!$M$50)*N(Personal!$N$50)*N(Personal!$T$50),0))</f>
        <v/>
      </c>
      <c r="E75" s="126" t="str">
        <f>IF(Personal!$D$50="","",N(Personal!$M$50)*(1+IF(MONTH(E$7)&gt;=Parameter!$C$28,Personal!$AN$50,0))*IFERROR(Personal!$AA$50/Personal!$R$50,0)+IF(MONTH(E$7)=Parameter!$C$29,N(Personal!$M$50)*N(Personal!$N$50)*N(Personal!$T$50),0))</f>
        <v/>
      </c>
      <c r="F75" s="126" t="str">
        <f>IF(Personal!$D$50="","",N(Personal!$M$50)*(1+IF(MONTH(F$7)&gt;=Parameter!$C$28,Personal!$AN$50,0))*IFERROR(Personal!$AB$50/Personal!$R$50,0)+IF(MONTH(F$7)=Parameter!$C$29,N(Personal!$M$50)*N(Personal!$N$50)*N(Personal!$T$50),0))</f>
        <v/>
      </c>
      <c r="G75" s="126" t="str">
        <f>IF(Personal!$D$50="","",N(Personal!$M$50)*(1+IF(MONTH(G$7)&gt;=Parameter!$C$28,Personal!$AN$50,0))*IFERROR(Personal!$AC$50/Personal!$R$50,0)+IF(MONTH(G$7)=Parameter!$C$29,N(Personal!$M$50)*N(Personal!$N$50)*N(Personal!$T$50),0))</f>
        <v/>
      </c>
      <c r="H75" s="126" t="str">
        <f>IF(Personal!$D$50="","",N(Personal!$M$50)*(1+IF(MONTH(H$7)&gt;=Parameter!$C$28,Personal!$AN$50,0))*IFERROR(Personal!$AD$50/Personal!$R$50,0)+IF(MONTH(H$7)=Parameter!$C$29,N(Personal!$M$50)*N(Personal!$N$50)*N(Personal!$T$50),0))</f>
        <v/>
      </c>
      <c r="I75" s="126" t="str">
        <f>IF(Personal!$D$50="","",N(Personal!$M$50)*(1+IF(MONTH(I$7)&gt;=Parameter!$C$28,Personal!$AN$50,0))*IFERROR(Personal!$AE$50/Personal!$R$50,0)+IF(MONTH(I$7)=Parameter!$C$29,N(Personal!$M$50)*N(Personal!$N$50)*N(Personal!$T$50),0))</f>
        <v/>
      </c>
      <c r="J75" s="126" t="str">
        <f>IF(Personal!$D$50="","",N(Personal!$M$50)*(1+IF(MONTH(J$7)&gt;=Parameter!$C$28,Personal!$AN$50,0))*IFERROR(Personal!$AF$50/Personal!$R$50,0)+IF(MONTH(J$7)=Parameter!$C$29,N(Personal!$M$50)*N(Personal!$N$50)*N(Personal!$T$50),0))</f>
        <v/>
      </c>
      <c r="K75" s="126" t="str">
        <f>IF(Personal!$D$50="","",N(Personal!$M$50)*(1+IF(MONTH(K$7)&gt;=Parameter!$C$28,Personal!$AN$50,0))*IFERROR(Personal!$AG$50/Personal!$R$50,0)+IF(MONTH(K$7)=Parameter!$C$29,N(Personal!$M$50)*N(Personal!$N$50)*N(Personal!$T$50),0))</f>
        <v/>
      </c>
      <c r="L75" s="126" t="str">
        <f>IF(Personal!$D$50="","",N(Personal!$M$50)*(1+IF(MONTH(L$7)&gt;=Parameter!$C$28,Personal!$AN$50,0))*IFERROR(Personal!$AH$50/Personal!$R$50,0)+IF(MONTH(L$7)=Parameter!$C$29,N(Personal!$M$50)*N(Personal!$N$50)*N(Personal!$T$50),0))</f>
        <v/>
      </c>
      <c r="M75" s="126" t="str">
        <f>IF(Personal!$D$50="","",N(Personal!$M$50)*(1+IF(MONTH(M$7)&gt;=Parameter!$C$28,Personal!$AN$50,0))*IFERROR(Personal!$AI$50/Personal!$R$50,0)+IF(MONTH(M$7)=Parameter!$C$29,N(Personal!$M$50)*N(Personal!$N$50)*N(Personal!$T$50),0))</f>
        <v/>
      </c>
      <c r="N75" s="126" t="str">
        <f>IF(Personal!$D$50="","",N(Personal!$M$50)*(1+IF(MONTH(N$7)&gt;=Parameter!$C$28,Personal!$AN$50,0))*IFERROR(Personal!$AJ$50/Personal!$R$50,0)+IF(MONTH(N$7)=Parameter!$C$29,N(Personal!$M$50)*N(Personal!$N$50)*N(Personal!$T$50),0))</f>
        <v/>
      </c>
      <c r="O75" s="127" t="str">
        <f t="shared" si="12"/>
        <v/>
      </c>
      <c r="Q75" s="128" t="str">
        <f>IF(Personal!$D$50="","",MIN(C75,Parameter!$H$6)*Personal!$AO$50+MIN(C75,Parameter!$H$7)*Personal!$AP$50+C75*Personal!$AQ$50)</f>
        <v/>
      </c>
      <c r="R75" s="128" t="str">
        <f>IF(Personal!$D$50="","",MIN(D75,Parameter!$H$6)*Personal!$AO$50+MIN(D75,Parameter!$H$7)*Personal!$AP$50+D75*Personal!$AQ$50)</f>
        <v/>
      </c>
      <c r="S75" s="128" t="str">
        <f>IF(Personal!$D$50="","",MIN(E75,Parameter!$H$6)*Personal!$AO$50+MIN(E75,Parameter!$H$7)*Personal!$AP$50+E75*Personal!$AQ$50)</f>
        <v/>
      </c>
      <c r="T75" s="128" t="str">
        <f>IF(Personal!$D$50="","",MIN(F75,Parameter!$H$6)*Personal!$AO$50+MIN(F75,Parameter!$H$7)*Personal!$AP$50+F75*Personal!$AQ$50)</f>
        <v/>
      </c>
      <c r="U75" s="128" t="str">
        <f>IF(Personal!$D$50="","",MIN(G75,Parameter!$H$6)*Personal!$AO$50+MIN(G75,Parameter!$H$7)*Personal!$AP$50+G75*Personal!$AQ$50)</f>
        <v/>
      </c>
      <c r="V75" s="128" t="str">
        <f>IF(Personal!$D$50="","",MIN(H75,Parameter!$H$6)*Personal!$AO$50+MIN(H75,Parameter!$H$7)*Personal!$AP$50+H75*Personal!$AQ$50)</f>
        <v/>
      </c>
      <c r="W75" s="128" t="str">
        <f>IF(Personal!$D$50="","",MIN(I75,Parameter!$H$6)*Personal!$AO$50+MIN(I75,Parameter!$H$7)*Personal!$AP$50+I75*Personal!$AQ$50)</f>
        <v/>
      </c>
      <c r="X75" s="128" t="str">
        <f>IF(Personal!$D$50="","",MIN(J75,Parameter!$H$6)*Personal!$AO$50+MIN(J75,Parameter!$H$7)*Personal!$AP$50+J75*Personal!$AQ$50)</f>
        <v/>
      </c>
      <c r="Y75" s="128" t="str">
        <f>IF(Personal!$D$50="","",MIN(K75,Parameter!$H$6)*Personal!$AO$50+MIN(K75,Parameter!$H$7)*Personal!$AP$50+K75*Personal!$AQ$50)</f>
        <v/>
      </c>
      <c r="Z75" s="128" t="str">
        <f>IF(Personal!$D$50="","",MIN(L75,Parameter!$H$6)*Personal!$AO$50+MIN(L75,Parameter!$H$7)*Personal!$AP$50+L75*Personal!$AQ$50)</f>
        <v/>
      </c>
      <c r="AA75" s="128" t="str">
        <f>IF(Personal!$D$50="","",MIN(M75,Parameter!$H$6)*Personal!$AO$50+MIN(M75,Parameter!$H$7)*Personal!$AP$50+M75*Personal!$AQ$50)</f>
        <v/>
      </c>
      <c r="AB75" s="128" t="str">
        <f>IF(Personal!$D$50="","",MIN(N75,Parameter!$H$6)*Personal!$AO$50+MIN(N75,Parameter!$H$7)*Personal!$AP$50+N75*Personal!$AQ$50)</f>
        <v/>
      </c>
      <c r="AC75" s="127" t="str">
        <f t="shared" si="13"/>
        <v/>
      </c>
      <c r="AD75" s="129" t="str">
        <f t="shared" si="14"/>
        <v/>
      </c>
      <c r="AE75" s="130" t="str">
        <f>IF($B75="","",Personal!$E$50)</f>
        <v/>
      </c>
    </row>
    <row r="76" spans="2:31" ht="16.5" customHeight="1" x14ac:dyDescent="0.25">
      <c r="B76" s="125" t="str">
        <f>IF(Personal!$D$51="","",Personal!$D$51)</f>
        <v/>
      </c>
      <c r="C76" s="126" t="str">
        <f>IF(Personal!$D$51="","",N(Personal!$M$51)*(1+IF(MONTH(C$7)&gt;=Parameter!$C$28,Personal!$AN$51,0))*IFERROR(Personal!$Y$51/Personal!$R$51,0)+IF(MONTH(C$7)=Parameter!$C$29,N(Personal!$M$51)*N(Personal!$N$51)*N(Personal!$T$51),0))</f>
        <v/>
      </c>
      <c r="D76" s="126" t="str">
        <f>IF(Personal!$D$51="","",N(Personal!$M$51)*(1+IF(MONTH(D$7)&gt;=Parameter!$C$28,Personal!$AN$51,0))*IFERROR(Personal!$Z$51/Personal!$R$51,0)+IF(MONTH(D$7)=Parameter!$C$29,N(Personal!$M$51)*N(Personal!$N$51)*N(Personal!$T$51),0))</f>
        <v/>
      </c>
      <c r="E76" s="126" t="str">
        <f>IF(Personal!$D$51="","",N(Personal!$M$51)*(1+IF(MONTH(E$7)&gt;=Parameter!$C$28,Personal!$AN$51,0))*IFERROR(Personal!$AA$51/Personal!$R$51,0)+IF(MONTH(E$7)=Parameter!$C$29,N(Personal!$M$51)*N(Personal!$N$51)*N(Personal!$T$51),0))</f>
        <v/>
      </c>
      <c r="F76" s="126" t="str">
        <f>IF(Personal!$D$51="","",N(Personal!$M$51)*(1+IF(MONTH(F$7)&gt;=Parameter!$C$28,Personal!$AN$51,0))*IFERROR(Personal!$AB$51/Personal!$R$51,0)+IF(MONTH(F$7)=Parameter!$C$29,N(Personal!$M$51)*N(Personal!$N$51)*N(Personal!$T$51),0))</f>
        <v/>
      </c>
      <c r="G76" s="126" t="str">
        <f>IF(Personal!$D$51="","",N(Personal!$M$51)*(1+IF(MONTH(G$7)&gt;=Parameter!$C$28,Personal!$AN$51,0))*IFERROR(Personal!$AC$51/Personal!$R$51,0)+IF(MONTH(G$7)=Parameter!$C$29,N(Personal!$M$51)*N(Personal!$N$51)*N(Personal!$T$51),0))</f>
        <v/>
      </c>
      <c r="H76" s="126" t="str">
        <f>IF(Personal!$D$51="","",N(Personal!$M$51)*(1+IF(MONTH(H$7)&gt;=Parameter!$C$28,Personal!$AN$51,0))*IFERROR(Personal!$AD$51/Personal!$R$51,0)+IF(MONTH(H$7)=Parameter!$C$29,N(Personal!$M$51)*N(Personal!$N$51)*N(Personal!$T$51),0))</f>
        <v/>
      </c>
      <c r="I76" s="126" t="str">
        <f>IF(Personal!$D$51="","",N(Personal!$M$51)*(1+IF(MONTH(I$7)&gt;=Parameter!$C$28,Personal!$AN$51,0))*IFERROR(Personal!$AE$51/Personal!$R$51,0)+IF(MONTH(I$7)=Parameter!$C$29,N(Personal!$M$51)*N(Personal!$N$51)*N(Personal!$T$51),0))</f>
        <v/>
      </c>
      <c r="J76" s="126" t="str">
        <f>IF(Personal!$D$51="","",N(Personal!$M$51)*(1+IF(MONTH(J$7)&gt;=Parameter!$C$28,Personal!$AN$51,0))*IFERROR(Personal!$AF$51/Personal!$R$51,0)+IF(MONTH(J$7)=Parameter!$C$29,N(Personal!$M$51)*N(Personal!$N$51)*N(Personal!$T$51),0))</f>
        <v/>
      </c>
      <c r="K76" s="126" t="str">
        <f>IF(Personal!$D$51="","",N(Personal!$M$51)*(1+IF(MONTH(K$7)&gt;=Parameter!$C$28,Personal!$AN$51,0))*IFERROR(Personal!$AG$51/Personal!$R$51,0)+IF(MONTH(K$7)=Parameter!$C$29,N(Personal!$M$51)*N(Personal!$N$51)*N(Personal!$T$51),0))</f>
        <v/>
      </c>
      <c r="L76" s="126" t="str">
        <f>IF(Personal!$D$51="","",N(Personal!$M$51)*(1+IF(MONTH(L$7)&gt;=Parameter!$C$28,Personal!$AN$51,0))*IFERROR(Personal!$AH$51/Personal!$R$51,0)+IF(MONTH(L$7)=Parameter!$C$29,N(Personal!$M$51)*N(Personal!$N$51)*N(Personal!$T$51),0))</f>
        <v/>
      </c>
      <c r="M76" s="126" t="str">
        <f>IF(Personal!$D$51="","",N(Personal!$M$51)*(1+IF(MONTH(M$7)&gt;=Parameter!$C$28,Personal!$AN$51,0))*IFERROR(Personal!$AI$51/Personal!$R$51,0)+IF(MONTH(M$7)=Parameter!$C$29,N(Personal!$M$51)*N(Personal!$N$51)*N(Personal!$T$51),0))</f>
        <v/>
      </c>
      <c r="N76" s="126" t="str">
        <f>IF(Personal!$D$51="","",N(Personal!$M$51)*(1+IF(MONTH(N$7)&gt;=Parameter!$C$28,Personal!$AN$51,0))*IFERROR(Personal!$AJ$51/Personal!$R$51,0)+IF(MONTH(N$7)=Parameter!$C$29,N(Personal!$M$51)*N(Personal!$N$51)*N(Personal!$T$51),0))</f>
        <v/>
      </c>
      <c r="O76" s="127" t="str">
        <f t="shared" si="12"/>
        <v/>
      </c>
      <c r="Q76" s="128" t="str">
        <f>IF(Personal!$D$51="","",MIN(C76,Parameter!$H$6)*Personal!$AO$51+MIN(C76,Parameter!$H$7)*Personal!$AP$51+C76*Personal!$AQ$51)</f>
        <v/>
      </c>
      <c r="R76" s="128" t="str">
        <f>IF(Personal!$D$51="","",MIN(D76,Parameter!$H$6)*Personal!$AO$51+MIN(D76,Parameter!$H$7)*Personal!$AP$51+D76*Personal!$AQ$51)</f>
        <v/>
      </c>
      <c r="S76" s="128" t="str">
        <f>IF(Personal!$D$51="","",MIN(E76,Parameter!$H$6)*Personal!$AO$51+MIN(E76,Parameter!$H$7)*Personal!$AP$51+E76*Personal!$AQ$51)</f>
        <v/>
      </c>
      <c r="T76" s="128" t="str">
        <f>IF(Personal!$D$51="","",MIN(F76,Parameter!$H$6)*Personal!$AO$51+MIN(F76,Parameter!$H$7)*Personal!$AP$51+F76*Personal!$AQ$51)</f>
        <v/>
      </c>
      <c r="U76" s="128" t="str">
        <f>IF(Personal!$D$51="","",MIN(G76,Parameter!$H$6)*Personal!$AO$51+MIN(G76,Parameter!$H$7)*Personal!$AP$51+G76*Personal!$AQ$51)</f>
        <v/>
      </c>
      <c r="V76" s="128" t="str">
        <f>IF(Personal!$D$51="","",MIN(H76,Parameter!$H$6)*Personal!$AO$51+MIN(H76,Parameter!$H$7)*Personal!$AP$51+H76*Personal!$AQ$51)</f>
        <v/>
      </c>
      <c r="W76" s="128" t="str">
        <f>IF(Personal!$D$51="","",MIN(I76,Parameter!$H$6)*Personal!$AO$51+MIN(I76,Parameter!$H$7)*Personal!$AP$51+I76*Personal!$AQ$51)</f>
        <v/>
      </c>
      <c r="X76" s="128" t="str">
        <f>IF(Personal!$D$51="","",MIN(J76,Parameter!$H$6)*Personal!$AO$51+MIN(J76,Parameter!$H$7)*Personal!$AP$51+J76*Personal!$AQ$51)</f>
        <v/>
      </c>
      <c r="Y76" s="128" t="str">
        <f>IF(Personal!$D$51="","",MIN(K76,Parameter!$H$6)*Personal!$AO$51+MIN(K76,Parameter!$H$7)*Personal!$AP$51+K76*Personal!$AQ$51)</f>
        <v/>
      </c>
      <c r="Z76" s="128" t="str">
        <f>IF(Personal!$D$51="","",MIN(L76,Parameter!$H$6)*Personal!$AO$51+MIN(L76,Parameter!$H$7)*Personal!$AP$51+L76*Personal!$AQ$51)</f>
        <v/>
      </c>
      <c r="AA76" s="128" t="str">
        <f>IF(Personal!$D$51="","",MIN(M76,Parameter!$H$6)*Personal!$AO$51+MIN(M76,Parameter!$H$7)*Personal!$AP$51+M76*Personal!$AQ$51)</f>
        <v/>
      </c>
      <c r="AB76" s="128" t="str">
        <f>IF(Personal!$D$51="","",MIN(N76,Parameter!$H$6)*Personal!$AO$51+MIN(N76,Parameter!$H$7)*Personal!$AP$51+N76*Personal!$AQ$51)</f>
        <v/>
      </c>
      <c r="AC76" s="127" t="str">
        <f t="shared" si="13"/>
        <v/>
      </c>
      <c r="AD76" s="129" t="str">
        <f t="shared" si="14"/>
        <v/>
      </c>
      <c r="AE76" s="130" t="str">
        <f>IF($B76="","",Personal!$E$51)</f>
        <v/>
      </c>
    </row>
    <row r="77" spans="2:31" ht="16.5" customHeight="1" x14ac:dyDescent="0.25">
      <c r="B77" s="125" t="str">
        <f>IF(Personal!$D$52="","",Personal!$D$52)</f>
        <v/>
      </c>
      <c r="C77" s="126" t="str">
        <f>IF(Personal!$D$52="","",N(Personal!$M$52)*(1+IF(MONTH(C$7)&gt;=Parameter!$C$28,Personal!$AN$52,0))*IFERROR(Personal!$Y$52/Personal!$R$52,0)+IF(MONTH(C$7)=Parameter!$C$29,N(Personal!$M$52)*N(Personal!$N$52)*N(Personal!$T$52),0))</f>
        <v/>
      </c>
      <c r="D77" s="126" t="str">
        <f>IF(Personal!$D$52="","",N(Personal!$M$52)*(1+IF(MONTH(D$7)&gt;=Parameter!$C$28,Personal!$AN$52,0))*IFERROR(Personal!$Z$52/Personal!$R$52,0)+IF(MONTH(D$7)=Parameter!$C$29,N(Personal!$M$52)*N(Personal!$N$52)*N(Personal!$T$52),0))</f>
        <v/>
      </c>
      <c r="E77" s="126" t="str">
        <f>IF(Personal!$D$52="","",N(Personal!$M$52)*(1+IF(MONTH(E$7)&gt;=Parameter!$C$28,Personal!$AN$52,0))*IFERROR(Personal!$AA$52/Personal!$R$52,0)+IF(MONTH(E$7)=Parameter!$C$29,N(Personal!$M$52)*N(Personal!$N$52)*N(Personal!$T$52),0))</f>
        <v/>
      </c>
      <c r="F77" s="126" t="str">
        <f>IF(Personal!$D$52="","",N(Personal!$M$52)*(1+IF(MONTH(F$7)&gt;=Parameter!$C$28,Personal!$AN$52,0))*IFERROR(Personal!$AB$52/Personal!$R$52,0)+IF(MONTH(F$7)=Parameter!$C$29,N(Personal!$M$52)*N(Personal!$N$52)*N(Personal!$T$52),0))</f>
        <v/>
      </c>
      <c r="G77" s="126" t="str">
        <f>IF(Personal!$D$52="","",N(Personal!$M$52)*(1+IF(MONTH(G$7)&gt;=Parameter!$C$28,Personal!$AN$52,0))*IFERROR(Personal!$AC$52/Personal!$R$52,0)+IF(MONTH(G$7)=Parameter!$C$29,N(Personal!$M$52)*N(Personal!$N$52)*N(Personal!$T$52),0))</f>
        <v/>
      </c>
      <c r="H77" s="126" t="str">
        <f>IF(Personal!$D$52="","",N(Personal!$M$52)*(1+IF(MONTH(H$7)&gt;=Parameter!$C$28,Personal!$AN$52,0))*IFERROR(Personal!$AD$52/Personal!$R$52,0)+IF(MONTH(H$7)=Parameter!$C$29,N(Personal!$M$52)*N(Personal!$N$52)*N(Personal!$T$52),0))</f>
        <v/>
      </c>
      <c r="I77" s="126" t="str">
        <f>IF(Personal!$D$52="","",N(Personal!$M$52)*(1+IF(MONTH(I$7)&gt;=Parameter!$C$28,Personal!$AN$52,0))*IFERROR(Personal!$AE$52/Personal!$R$52,0)+IF(MONTH(I$7)=Parameter!$C$29,N(Personal!$M$52)*N(Personal!$N$52)*N(Personal!$T$52),0))</f>
        <v/>
      </c>
      <c r="J77" s="126" t="str">
        <f>IF(Personal!$D$52="","",N(Personal!$M$52)*(1+IF(MONTH(J$7)&gt;=Parameter!$C$28,Personal!$AN$52,0))*IFERROR(Personal!$AF$52/Personal!$R$52,0)+IF(MONTH(J$7)=Parameter!$C$29,N(Personal!$M$52)*N(Personal!$N$52)*N(Personal!$T$52),0))</f>
        <v/>
      </c>
      <c r="K77" s="126" t="str">
        <f>IF(Personal!$D$52="","",N(Personal!$M$52)*(1+IF(MONTH(K$7)&gt;=Parameter!$C$28,Personal!$AN$52,0))*IFERROR(Personal!$AG$52/Personal!$R$52,0)+IF(MONTH(K$7)=Parameter!$C$29,N(Personal!$M$52)*N(Personal!$N$52)*N(Personal!$T$52),0))</f>
        <v/>
      </c>
      <c r="L77" s="126" t="str">
        <f>IF(Personal!$D$52="","",N(Personal!$M$52)*(1+IF(MONTH(L$7)&gt;=Parameter!$C$28,Personal!$AN$52,0))*IFERROR(Personal!$AH$52/Personal!$R$52,0)+IF(MONTH(L$7)=Parameter!$C$29,N(Personal!$M$52)*N(Personal!$N$52)*N(Personal!$T$52),0))</f>
        <v/>
      </c>
      <c r="M77" s="126" t="str">
        <f>IF(Personal!$D$52="","",N(Personal!$M$52)*(1+IF(MONTH(M$7)&gt;=Parameter!$C$28,Personal!$AN$52,0))*IFERROR(Personal!$AI$52/Personal!$R$52,0)+IF(MONTH(M$7)=Parameter!$C$29,N(Personal!$M$52)*N(Personal!$N$52)*N(Personal!$T$52),0))</f>
        <v/>
      </c>
      <c r="N77" s="126" t="str">
        <f>IF(Personal!$D$52="","",N(Personal!$M$52)*(1+IF(MONTH(N$7)&gt;=Parameter!$C$28,Personal!$AN$52,0))*IFERROR(Personal!$AJ$52/Personal!$R$52,0)+IF(MONTH(N$7)=Parameter!$C$29,N(Personal!$M$52)*N(Personal!$N$52)*N(Personal!$T$52),0))</f>
        <v/>
      </c>
      <c r="O77" s="127" t="str">
        <f t="shared" si="12"/>
        <v/>
      </c>
      <c r="Q77" s="128" t="str">
        <f>IF(Personal!$D$52="","",MIN(C77,Parameter!$H$6)*Personal!$AO$52+MIN(C77,Parameter!$H$7)*Personal!$AP$52+C77*Personal!$AQ$52)</f>
        <v/>
      </c>
      <c r="R77" s="128" t="str">
        <f>IF(Personal!$D$52="","",MIN(D77,Parameter!$H$6)*Personal!$AO$52+MIN(D77,Parameter!$H$7)*Personal!$AP$52+D77*Personal!$AQ$52)</f>
        <v/>
      </c>
      <c r="S77" s="128" t="str">
        <f>IF(Personal!$D$52="","",MIN(E77,Parameter!$H$6)*Personal!$AO$52+MIN(E77,Parameter!$H$7)*Personal!$AP$52+E77*Personal!$AQ$52)</f>
        <v/>
      </c>
      <c r="T77" s="128" t="str">
        <f>IF(Personal!$D$52="","",MIN(F77,Parameter!$H$6)*Personal!$AO$52+MIN(F77,Parameter!$H$7)*Personal!$AP$52+F77*Personal!$AQ$52)</f>
        <v/>
      </c>
      <c r="U77" s="128" t="str">
        <f>IF(Personal!$D$52="","",MIN(G77,Parameter!$H$6)*Personal!$AO$52+MIN(G77,Parameter!$H$7)*Personal!$AP$52+G77*Personal!$AQ$52)</f>
        <v/>
      </c>
      <c r="V77" s="128" t="str">
        <f>IF(Personal!$D$52="","",MIN(H77,Parameter!$H$6)*Personal!$AO$52+MIN(H77,Parameter!$H$7)*Personal!$AP$52+H77*Personal!$AQ$52)</f>
        <v/>
      </c>
      <c r="W77" s="128" t="str">
        <f>IF(Personal!$D$52="","",MIN(I77,Parameter!$H$6)*Personal!$AO$52+MIN(I77,Parameter!$H$7)*Personal!$AP$52+I77*Personal!$AQ$52)</f>
        <v/>
      </c>
      <c r="X77" s="128" t="str">
        <f>IF(Personal!$D$52="","",MIN(J77,Parameter!$H$6)*Personal!$AO$52+MIN(J77,Parameter!$H$7)*Personal!$AP$52+J77*Personal!$AQ$52)</f>
        <v/>
      </c>
      <c r="Y77" s="128" t="str">
        <f>IF(Personal!$D$52="","",MIN(K77,Parameter!$H$6)*Personal!$AO$52+MIN(K77,Parameter!$H$7)*Personal!$AP$52+K77*Personal!$AQ$52)</f>
        <v/>
      </c>
      <c r="Z77" s="128" t="str">
        <f>IF(Personal!$D$52="","",MIN(L77,Parameter!$H$6)*Personal!$AO$52+MIN(L77,Parameter!$H$7)*Personal!$AP$52+L77*Personal!$AQ$52)</f>
        <v/>
      </c>
      <c r="AA77" s="128" t="str">
        <f>IF(Personal!$D$52="","",MIN(M77,Parameter!$H$6)*Personal!$AO$52+MIN(M77,Parameter!$H$7)*Personal!$AP$52+M77*Personal!$AQ$52)</f>
        <v/>
      </c>
      <c r="AB77" s="128" t="str">
        <f>IF(Personal!$D$52="","",MIN(N77,Parameter!$H$6)*Personal!$AO$52+MIN(N77,Parameter!$H$7)*Personal!$AP$52+N77*Personal!$AQ$52)</f>
        <v/>
      </c>
      <c r="AC77" s="127" t="str">
        <f t="shared" si="13"/>
        <v/>
      </c>
      <c r="AD77" s="129" t="str">
        <f t="shared" si="14"/>
        <v/>
      </c>
      <c r="AE77" s="130" t="str">
        <f>IF($B77="","",Personal!$E$52)</f>
        <v/>
      </c>
    </row>
    <row r="78" spans="2:31" ht="16.5" customHeight="1" x14ac:dyDescent="0.25">
      <c r="B78" s="125" t="str">
        <f>IF(Personal!$D$53="","",Personal!$D$53)</f>
        <v/>
      </c>
      <c r="C78" s="126" t="str">
        <f>IF(Personal!$D$53="","",N(Personal!$M$53)*(1+IF(MONTH(C$7)&gt;=Parameter!$C$28,Personal!$AN$53,0))*IFERROR(Personal!$Y$53/Personal!$R$53,0)+IF(MONTH(C$7)=Parameter!$C$29,N(Personal!$M$53)*N(Personal!$N$53)*N(Personal!$T$53),0))</f>
        <v/>
      </c>
      <c r="D78" s="126" t="str">
        <f>IF(Personal!$D$53="","",N(Personal!$M$53)*(1+IF(MONTH(D$7)&gt;=Parameter!$C$28,Personal!$AN$53,0))*IFERROR(Personal!$Z$53/Personal!$R$53,0)+IF(MONTH(D$7)=Parameter!$C$29,N(Personal!$M$53)*N(Personal!$N$53)*N(Personal!$T$53),0))</f>
        <v/>
      </c>
      <c r="E78" s="126" t="str">
        <f>IF(Personal!$D$53="","",N(Personal!$M$53)*(1+IF(MONTH(E$7)&gt;=Parameter!$C$28,Personal!$AN$53,0))*IFERROR(Personal!$AA$53/Personal!$R$53,0)+IF(MONTH(E$7)=Parameter!$C$29,N(Personal!$M$53)*N(Personal!$N$53)*N(Personal!$T$53),0))</f>
        <v/>
      </c>
      <c r="F78" s="126" t="str">
        <f>IF(Personal!$D$53="","",N(Personal!$M$53)*(1+IF(MONTH(F$7)&gt;=Parameter!$C$28,Personal!$AN$53,0))*IFERROR(Personal!$AB$53/Personal!$R$53,0)+IF(MONTH(F$7)=Parameter!$C$29,N(Personal!$M$53)*N(Personal!$N$53)*N(Personal!$T$53),0))</f>
        <v/>
      </c>
      <c r="G78" s="126" t="str">
        <f>IF(Personal!$D$53="","",N(Personal!$M$53)*(1+IF(MONTH(G$7)&gt;=Parameter!$C$28,Personal!$AN$53,0))*IFERROR(Personal!$AC$53/Personal!$R$53,0)+IF(MONTH(G$7)=Parameter!$C$29,N(Personal!$M$53)*N(Personal!$N$53)*N(Personal!$T$53),0))</f>
        <v/>
      </c>
      <c r="H78" s="126" t="str">
        <f>IF(Personal!$D$53="","",N(Personal!$M$53)*(1+IF(MONTH(H$7)&gt;=Parameter!$C$28,Personal!$AN$53,0))*IFERROR(Personal!$AD$53/Personal!$R$53,0)+IF(MONTH(H$7)=Parameter!$C$29,N(Personal!$M$53)*N(Personal!$N$53)*N(Personal!$T$53),0))</f>
        <v/>
      </c>
      <c r="I78" s="126" t="str">
        <f>IF(Personal!$D$53="","",N(Personal!$M$53)*(1+IF(MONTH(I$7)&gt;=Parameter!$C$28,Personal!$AN$53,0))*IFERROR(Personal!$AE$53/Personal!$R$53,0)+IF(MONTH(I$7)=Parameter!$C$29,N(Personal!$M$53)*N(Personal!$N$53)*N(Personal!$T$53),0))</f>
        <v/>
      </c>
      <c r="J78" s="126" t="str">
        <f>IF(Personal!$D$53="","",N(Personal!$M$53)*(1+IF(MONTH(J$7)&gt;=Parameter!$C$28,Personal!$AN$53,0))*IFERROR(Personal!$AF$53/Personal!$R$53,0)+IF(MONTH(J$7)=Parameter!$C$29,N(Personal!$M$53)*N(Personal!$N$53)*N(Personal!$T$53),0))</f>
        <v/>
      </c>
      <c r="K78" s="126" t="str">
        <f>IF(Personal!$D$53="","",N(Personal!$M$53)*(1+IF(MONTH(K$7)&gt;=Parameter!$C$28,Personal!$AN$53,0))*IFERROR(Personal!$AG$53/Personal!$R$53,0)+IF(MONTH(K$7)=Parameter!$C$29,N(Personal!$M$53)*N(Personal!$N$53)*N(Personal!$T$53),0))</f>
        <v/>
      </c>
      <c r="L78" s="126" t="str">
        <f>IF(Personal!$D$53="","",N(Personal!$M$53)*(1+IF(MONTH(L$7)&gt;=Parameter!$C$28,Personal!$AN$53,0))*IFERROR(Personal!$AH$53/Personal!$R$53,0)+IF(MONTH(L$7)=Parameter!$C$29,N(Personal!$M$53)*N(Personal!$N$53)*N(Personal!$T$53),0))</f>
        <v/>
      </c>
      <c r="M78" s="126" t="str">
        <f>IF(Personal!$D$53="","",N(Personal!$M$53)*(1+IF(MONTH(M$7)&gt;=Parameter!$C$28,Personal!$AN$53,0))*IFERROR(Personal!$AI$53/Personal!$R$53,0)+IF(MONTH(M$7)=Parameter!$C$29,N(Personal!$M$53)*N(Personal!$N$53)*N(Personal!$T$53),0))</f>
        <v/>
      </c>
      <c r="N78" s="126" t="str">
        <f>IF(Personal!$D$53="","",N(Personal!$M$53)*(1+IF(MONTH(N$7)&gt;=Parameter!$C$28,Personal!$AN$53,0))*IFERROR(Personal!$AJ$53/Personal!$R$53,0)+IF(MONTH(N$7)=Parameter!$C$29,N(Personal!$M$53)*N(Personal!$N$53)*N(Personal!$T$53),0))</f>
        <v/>
      </c>
      <c r="O78" s="127" t="str">
        <f t="shared" si="12"/>
        <v/>
      </c>
      <c r="Q78" s="128" t="str">
        <f>IF(Personal!$D$53="","",MIN(C78,Parameter!$H$6)*Personal!$AO$53+MIN(C78,Parameter!$H$7)*Personal!$AP$53+C78*Personal!$AQ$53)</f>
        <v/>
      </c>
      <c r="R78" s="128" t="str">
        <f>IF(Personal!$D$53="","",MIN(D78,Parameter!$H$6)*Personal!$AO$53+MIN(D78,Parameter!$H$7)*Personal!$AP$53+D78*Personal!$AQ$53)</f>
        <v/>
      </c>
      <c r="S78" s="128" t="str">
        <f>IF(Personal!$D$53="","",MIN(E78,Parameter!$H$6)*Personal!$AO$53+MIN(E78,Parameter!$H$7)*Personal!$AP$53+E78*Personal!$AQ$53)</f>
        <v/>
      </c>
      <c r="T78" s="128" t="str">
        <f>IF(Personal!$D$53="","",MIN(F78,Parameter!$H$6)*Personal!$AO$53+MIN(F78,Parameter!$H$7)*Personal!$AP$53+F78*Personal!$AQ$53)</f>
        <v/>
      </c>
      <c r="U78" s="128" t="str">
        <f>IF(Personal!$D$53="","",MIN(G78,Parameter!$H$6)*Personal!$AO$53+MIN(G78,Parameter!$H$7)*Personal!$AP$53+G78*Personal!$AQ$53)</f>
        <v/>
      </c>
      <c r="V78" s="128" t="str">
        <f>IF(Personal!$D$53="","",MIN(H78,Parameter!$H$6)*Personal!$AO$53+MIN(H78,Parameter!$H$7)*Personal!$AP$53+H78*Personal!$AQ$53)</f>
        <v/>
      </c>
      <c r="W78" s="128" t="str">
        <f>IF(Personal!$D$53="","",MIN(I78,Parameter!$H$6)*Personal!$AO$53+MIN(I78,Parameter!$H$7)*Personal!$AP$53+I78*Personal!$AQ$53)</f>
        <v/>
      </c>
      <c r="X78" s="128" t="str">
        <f>IF(Personal!$D$53="","",MIN(J78,Parameter!$H$6)*Personal!$AO$53+MIN(J78,Parameter!$H$7)*Personal!$AP$53+J78*Personal!$AQ$53)</f>
        <v/>
      </c>
      <c r="Y78" s="128" t="str">
        <f>IF(Personal!$D$53="","",MIN(K78,Parameter!$H$6)*Personal!$AO$53+MIN(K78,Parameter!$H$7)*Personal!$AP$53+K78*Personal!$AQ$53)</f>
        <v/>
      </c>
      <c r="Z78" s="128" t="str">
        <f>IF(Personal!$D$53="","",MIN(L78,Parameter!$H$6)*Personal!$AO$53+MIN(L78,Parameter!$H$7)*Personal!$AP$53+L78*Personal!$AQ$53)</f>
        <v/>
      </c>
      <c r="AA78" s="128" t="str">
        <f>IF(Personal!$D$53="","",MIN(M78,Parameter!$H$6)*Personal!$AO$53+MIN(M78,Parameter!$H$7)*Personal!$AP$53+M78*Personal!$AQ$53)</f>
        <v/>
      </c>
      <c r="AB78" s="128" t="str">
        <f>IF(Personal!$D$53="","",MIN(N78,Parameter!$H$6)*Personal!$AO$53+MIN(N78,Parameter!$H$7)*Personal!$AP$53+N78*Personal!$AQ$53)</f>
        <v/>
      </c>
      <c r="AC78" s="127" t="str">
        <f t="shared" si="13"/>
        <v/>
      </c>
      <c r="AD78" s="129" t="str">
        <f t="shared" si="14"/>
        <v/>
      </c>
      <c r="AE78" s="130" t="str">
        <f>IF($B78="","",Personal!$E$53)</f>
        <v/>
      </c>
    </row>
    <row r="79" spans="2:31" ht="16.5" customHeight="1" x14ac:dyDescent="0.25">
      <c r="B79" s="125" t="str">
        <f>IF(Personal!$D$54="","",Personal!$D$54)</f>
        <v/>
      </c>
      <c r="C79" s="126" t="str">
        <f>IF(Personal!$D$54="","",N(Personal!$M$54)*(1+IF(MONTH(C$7)&gt;=Parameter!$C$28,Personal!$AN$54,0))*IFERROR(Personal!$Y$54/Personal!$R$54,0)+IF(MONTH(C$7)=Parameter!$C$29,N(Personal!$M$54)*N(Personal!$N$54)*N(Personal!$T$54),0))</f>
        <v/>
      </c>
      <c r="D79" s="126" t="str">
        <f>IF(Personal!$D$54="","",N(Personal!$M$54)*(1+IF(MONTH(D$7)&gt;=Parameter!$C$28,Personal!$AN$54,0))*IFERROR(Personal!$Z$54/Personal!$R$54,0)+IF(MONTH(D$7)=Parameter!$C$29,N(Personal!$M$54)*N(Personal!$N$54)*N(Personal!$T$54),0))</f>
        <v/>
      </c>
      <c r="E79" s="126" t="str">
        <f>IF(Personal!$D$54="","",N(Personal!$M$54)*(1+IF(MONTH(E$7)&gt;=Parameter!$C$28,Personal!$AN$54,0))*IFERROR(Personal!$AA$54/Personal!$R$54,0)+IF(MONTH(E$7)=Parameter!$C$29,N(Personal!$M$54)*N(Personal!$N$54)*N(Personal!$T$54),0))</f>
        <v/>
      </c>
      <c r="F79" s="126" t="str">
        <f>IF(Personal!$D$54="","",N(Personal!$M$54)*(1+IF(MONTH(F$7)&gt;=Parameter!$C$28,Personal!$AN$54,0))*IFERROR(Personal!$AB$54/Personal!$R$54,0)+IF(MONTH(F$7)=Parameter!$C$29,N(Personal!$M$54)*N(Personal!$N$54)*N(Personal!$T$54),0))</f>
        <v/>
      </c>
      <c r="G79" s="126" t="str">
        <f>IF(Personal!$D$54="","",N(Personal!$M$54)*(1+IF(MONTH(G$7)&gt;=Parameter!$C$28,Personal!$AN$54,0))*IFERROR(Personal!$AC$54/Personal!$R$54,0)+IF(MONTH(G$7)=Parameter!$C$29,N(Personal!$M$54)*N(Personal!$N$54)*N(Personal!$T$54),0))</f>
        <v/>
      </c>
      <c r="H79" s="126" t="str">
        <f>IF(Personal!$D$54="","",N(Personal!$M$54)*(1+IF(MONTH(H$7)&gt;=Parameter!$C$28,Personal!$AN$54,0))*IFERROR(Personal!$AD$54/Personal!$R$54,0)+IF(MONTH(H$7)=Parameter!$C$29,N(Personal!$M$54)*N(Personal!$N$54)*N(Personal!$T$54),0))</f>
        <v/>
      </c>
      <c r="I79" s="126" t="str">
        <f>IF(Personal!$D$54="","",N(Personal!$M$54)*(1+IF(MONTH(I$7)&gt;=Parameter!$C$28,Personal!$AN$54,0))*IFERROR(Personal!$AE$54/Personal!$R$54,0)+IF(MONTH(I$7)=Parameter!$C$29,N(Personal!$M$54)*N(Personal!$N$54)*N(Personal!$T$54),0))</f>
        <v/>
      </c>
      <c r="J79" s="126" t="str">
        <f>IF(Personal!$D$54="","",N(Personal!$M$54)*(1+IF(MONTH(J$7)&gt;=Parameter!$C$28,Personal!$AN$54,0))*IFERROR(Personal!$AF$54/Personal!$R$54,0)+IF(MONTH(J$7)=Parameter!$C$29,N(Personal!$M$54)*N(Personal!$N$54)*N(Personal!$T$54),0))</f>
        <v/>
      </c>
      <c r="K79" s="126" t="str">
        <f>IF(Personal!$D$54="","",N(Personal!$M$54)*(1+IF(MONTH(K$7)&gt;=Parameter!$C$28,Personal!$AN$54,0))*IFERROR(Personal!$AG$54/Personal!$R$54,0)+IF(MONTH(K$7)=Parameter!$C$29,N(Personal!$M$54)*N(Personal!$N$54)*N(Personal!$T$54),0))</f>
        <v/>
      </c>
      <c r="L79" s="126" t="str">
        <f>IF(Personal!$D$54="","",N(Personal!$M$54)*(1+IF(MONTH(L$7)&gt;=Parameter!$C$28,Personal!$AN$54,0))*IFERROR(Personal!$AH$54/Personal!$R$54,0)+IF(MONTH(L$7)=Parameter!$C$29,N(Personal!$M$54)*N(Personal!$N$54)*N(Personal!$T$54),0))</f>
        <v/>
      </c>
      <c r="M79" s="126" t="str">
        <f>IF(Personal!$D$54="","",N(Personal!$M$54)*(1+IF(MONTH(M$7)&gt;=Parameter!$C$28,Personal!$AN$54,0))*IFERROR(Personal!$AI$54/Personal!$R$54,0)+IF(MONTH(M$7)=Parameter!$C$29,N(Personal!$M$54)*N(Personal!$N$54)*N(Personal!$T$54),0))</f>
        <v/>
      </c>
      <c r="N79" s="126" t="str">
        <f>IF(Personal!$D$54="","",N(Personal!$M$54)*(1+IF(MONTH(N$7)&gt;=Parameter!$C$28,Personal!$AN$54,0))*IFERROR(Personal!$AJ$54/Personal!$R$54,0)+IF(MONTH(N$7)=Parameter!$C$29,N(Personal!$M$54)*N(Personal!$N$54)*N(Personal!$T$54),0))</f>
        <v/>
      </c>
      <c r="O79" s="127" t="str">
        <f t="shared" si="12"/>
        <v/>
      </c>
      <c r="Q79" s="128" t="str">
        <f>IF(Personal!$D$54="","",MIN(C79,Parameter!$H$6)*Personal!$AO$54+MIN(C79,Parameter!$H$7)*Personal!$AP$54+C79*Personal!$AQ$54)</f>
        <v/>
      </c>
      <c r="R79" s="128" t="str">
        <f>IF(Personal!$D$54="","",MIN(D79,Parameter!$H$6)*Personal!$AO$54+MIN(D79,Parameter!$H$7)*Personal!$AP$54+D79*Personal!$AQ$54)</f>
        <v/>
      </c>
      <c r="S79" s="128" t="str">
        <f>IF(Personal!$D$54="","",MIN(E79,Parameter!$H$6)*Personal!$AO$54+MIN(E79,Parameter!$H$7)*Personal!$AP$54+E79*Personal!$AQ$54)</f>
        <v/>
      </c>
      <c r="T79" s="128" t="str">
        <f>IF(Personal!$D$54="","",MIN(F79,Parameter!$H$6)*Personal!$AO$54+MIN(F79,Parameter!$H$7)*Personal!$AP$54+F79*Personal!$AQ$54)</f>
        <v/>
      </c>
      <c r="U79" s="128" t="str">
        <f>IF(Personal!$D$54="","",MIN(G79,Parameter!$H$6)*Personal!$AO$54+MIN(G79,Parameter!$H$7)*Personal!$AP$54+G79*Personal!$AQ$54)</f>
        <v/>
      </c>
      <c r="V79" s="128" t="str">
        <f>IF(Personal!$D$54="","",MIN(H79,Parameter!$H$6)*Personal!$AO$54+MIN(H79,Parameter!$H$7)*Personal!$AP$54+H79*Personal!$AQ$54)</f>
        <v/>
      </c>
      <c r="W79" s="128" t="str">
        <f>IF(Personal!$D$54="","",MIN(I79,Parameter!$H$6)*Personal!$AO$54+MIN(I79,Parameter!$H$7)*Personal!$AP$54+I79*Personal!$AQ$54)</f>
        <v/>
      </c>
      <c r="X79" s="128" t="str">
        <f>IF(Personal!$D$54="","",MIN(J79,Parameter!$H$6)*Personal!$AO$54+MIN(J79,Parameter!$H$7)*Personal!$AP$54+J79*Personal!$AQ$54)</f>
        <v/>
      </c>
      <c r="Y79" s="128" t="str">
        <f>IF(Personal!$D$54="","",MIN(K79,Parameter!$H$6)*Personal!$AO$54+MIN(K79,Parameter!$H$7)*Personal!$AP$54+K79*Personal!$AQ$54)</f>
        <v/>
      </c>
      <c r="Z79" s="128" t="str">
        <f>IF(Personal!$D$54="","",MIN(L79,Parameter!$H$6)*Personal!$AO$54+MIN(L79,Parameter!$H$7)*Personal!$AP$54+L79*Personal!$AQ$54)</f>
        <v/>
      </c>
      <c r="AA79" s="128" t="str">
        <f>IF(Personal!$D$54="","",MIN(M79,Parameter!$H$6)*Personal!$AO$54+MIN(M79,Parameter!$H$7)*Personal!$AP$54+M79*Personal!$AQ$54)</f>
        <v/>
      </c>
      <c r="AB79" s="128" t="str">
        <f>IF(Personal!$D$54="","",MIN(N79,Parameter!$H$6)*Personal!$AO$54+MIN(N79,Parameter!$H$7)*Personal!$AP$54+N79*Personal!$AQ$54)</f>
        <v/>
      </c>
      <c r="AC79" s="127" t="str">
        <f t="shared" si="13"/>
        <v/>
      </c>
      <c r="AD79" s="129" t="str">
        <f t="shared" si="14"/>
        <v/>
      </c>
      <c r="AE79" s="130" t="str">
        <f>IF($B79="","",Personal!$E$54)</f>
        <v/>
      </c>
    </row>
    <row r="80" spans="2:31" ht="16.5" customHeight="1" x14ac:dyDescent="0.25">
      <c r="B80" s="125" t="str">
        <f>IF(Personal!$D$55="","",Personal!$D$55)</f>
        <v/>
      </c>
      <c r="C80" s="126" t="str">
        <f>IF(Personal!$D$55="","",N(Personal!$M$55)*(1+IF(MONTH(C$7)&gt;=Parameter!$C$28,Personal!$AN$55,0))*IFERROR(Personal!$Y$55/Personal!$R$55,0)+IF(MONTH(C$7)=Parameter!$C$29,N(Personal!$M$55)*N(Personal!$N$55)*N(Personal!$T$55),0))</f>
        <v/>
      </c>
      <c r="D80" s="126" t="str">
        <f>IF(Personal!$D$55="","",N(Personal!$M$55)*(1+IF(MONTH(D$7)&gt;=Parameter!$C$28,Personal!$AN$55,0))*IFERROR(Personal!$Z$55/Personal!$R$55,0)+IF(MONTH(D$7)=Parameter!$C$29,N(Personal!$M$55)*N(Personal!$N$55)*N(Personal!$T$55),0))</f>
        <v/>
      </c>
      <c r="E80" s="126" t="str">
        <f>IF(Personal!$D$55="","",N(Personal!$M$55)*(1+IF(MONTH(E$7)&gt;=Parameter!$C$28,Personal!$AN$55,0))*IFERROR(Personal!$AA$55/Personal!$R$55,0)+IF(MONTH(E$7)=Parameter!$C$29,N(Personal!$M$55)*N(Personal!$N$55)*N(Personal!$T$55),0))</f>
        <v/>
      </c>
      <c r="F80" s="126" t="str">
        <f>IF(Personal!$D$55="","",N(Personal!$M$55)*(1+IF(MONTH(F$7)&gt;=Parameter!$C$28,Personal!$AN$55,0))*IFERROR(Personal!$AB$55/Personal!$R$55,0)+IF(MONTH(F$7)=Parameter!$C$29,N(Personal!$M$55)*N(Personal!$N$55)*N(Personal!$T$55),0))</f>
        <v/>
      </c>
      <c r="G80" s="126" t="str">
        <f>IF(Personal!$D$55="","",N(Personal!$M$55)*(1+IF(MONTH(G$7)&gt;=Parameter!$C$28,Personal!$AN$55,0))*IFERROR(Personal!$AC$55/Personal!$R$55,0)+IF(MONTH(G$7)=Parameter!$C$29,N(Personal!$M$55)*N(Personal!$N$55)*N(Personal!$T$55),0))</f>
        <v/>
      </c>
      <c r="H80" s="126" t="str">
        <f>IF(Personal!$D$55="","",N(Personal!$M$55)*(1+IF(MONTH(H$7)&gt;=Parameter!$C$28,Personal!$AN$55,0))*IFERROR(Personal!$AD$55/Personal!$R$55,0)+IF(MONTH(H$7)=Parameter!$C$29,N(Personal!$M$55)*N(Personal!$N$55)*N(Personal!$T$55),0))</f>
        <v/>
      </c>
      <c r="I80" s="126" t="str">
        <f>IF(Personal!$D$55="","",N(Personal!$M$55)*(1+IF(MONTH(I$7)&gt;=Parameter!$C$28,Personal!$AN$55,0))*IFERROR(Personal!$AE$55/Personal!$R$55,0)+IF(MONTH(I$7)=Parameter!$C$29,N(Personal!$M$55)*N(Personal!$N$55)*N(Personal!$T$55),0))</f>
        <v/>
      </c>
      <c r="J80" s="126" t="str">
        <f>IF(Personal!$D$55="","",N(Personal!$M$55)*(1+IF(MONTH(J$7)&gt;=Parameter!$C$28,Personal!$AN$55,0))*IFERROR(Personal!$AF$55/Personal!$R$55,0)+IF(MONTH(J$7)=Parameter!$C$29,N(Personal!$M$55)*N(Personal!$N$55)*N(Personal!$T$55),0))</f>
        <v/>
      </c>
      <c r="K80" s="126" t="str">
        <f>IF(Personal!$D$55="","",N(Personal!$M$55)*(1+IF(MONTH(K$7)&gt;=Parameter!$C$28,Personal!$AN$55,0))*IFERROR(Personal!$AG$55/Personal!$R$55,0)+IF(MONTH(K$7)=Parameter!$C$29,N(Personal!$M$55)*N(Personal!$N$55)*N(Personal!$T$55),0))</f>
        <v/>
      </c>
      <c r="L80" s="126" t="str">
        <f>IF(Personal!$D$55="","",N(Personal!$M$55)*(1+IF(MONTH(L$7)&gt;=Parameter!$C$28,Personal!$AN$55,0))*IFERROR(Personal!$AH$55/Personal!$R$55,0)+IF(MONTH(L$7)=Parameter!$C$29,N(Personal!$M$55)*N(Personal!$N$55)*N(Personal!$T$55),0))</f>
        <v/>
      </c>
      <c r="M80" s="126" t="str">
        <f>IF(Personal!$D$55="","",N(Personal!$M$55)*(1+IF(MONTH(M$7)&gt;=Parameter!$C$28,Personal!$AN$55,0))*IFERROR(Personal!$AI$55/Personal!$R$55,0)+IF(MONTH(M$7)=Parameter!$C$29,N(Personal!$M$55)*N(Personal!$N$55)*N(Personal!$T$55),0))</f>
        <v/>
      </c>
      <c r="N80" s="126" t="str">
        <f>IF(Personal!$D$55="","",N(Personal!$M$55)*(1+IF(MONTH(N$7)&gt;=Parameter!$C$28,Personal!$AN$55,0))*IFERROR(Personal!$AJ$55/Personal!$R$55,0)+IF(MONTH(N$7)=Parameter!$C$29,N(Personal!$M$55)*N(Personal!$N$55)*N(Personal!$T$55),0))</f>
        <v/>
      </c>
      <c r="O80" s="127" t="str">
        <f t="shared" si="12"/>
        <v/>
      </c>
      <c r="Q80" s="128" t="str">
        <f>IF(Personal!$D$55="","",MIN(C80,Parameter!$H$6)*Personal!$AO$55+MIN(C80,Parameter!$H$7)*Personal!$AP$55+C80*Personal!$AQ$55)</f>
        <v/>
      </c>
      <c r="R80" s="128" t="str">
        <f>IF(Personal!$D$55="","",MIN(D80,Parameter!$H$6)*Personal!$AO$55+MIN(D80,Parameter!$H$7)*Personal!$AP$55+D80*Personal!$AQ$55)</f>
        <v/>
      </c>
      <c r="S80" s="128" t="str">
        <f>IF(Personal!$D$55="","",MIN(E80,Parameter!$H$6)*Personal!$AO$55+MIN(E80,Parameter!$H$7)*Personal!$AP$55+E80*Personal!$AQ$55)</f>
        <v/>
      </c>
      <c r="T80" s="128" t="str">
        <f>IF(Personal!$D$55="","",MIN(F80,Parameter!$H$6)*Personal!$AO$55+MIN(F80,Parameter!$H$7)*Personal!$AP$55+F80*Personal!$AQ$55)</f>
        <v/>
      </c>
      <c r="U80" s="128" t="str">
        <f>IF(Personal!$D$55="","",MIN(G80,Parameter!$H$6)*Personal!$AO$55+MIN(G80,Parameter!$H$7)*Personal!$AP$55+G80*Personal!$AQ$55)</f>
        <v/>
      </c>
      <c r="V80" s="128" t="str">
        <f>IF(Personal!$D$55="","",MIN(H80,Parameter!$H$6)*Personal!$AO$55+MIN(H80,Parameter!$H$7)*Personal!$AP$55+H80*Personal!$AQ$55)</f>
        <v/>
      </c>
      <c r="W80" s="128" t="str">
        <f>IF(Personal!$D$55="","",MIN(I80,Parameter!$H$6)*Personal!$AO$55+MIN(I80,Parameter!$H$7)*Personal!$AP$55+I80*Personal!$AQ$55)</f>
        <v/>
      </c>
      <c r="X80" s="128" t="str">
        <f>IF(Personal!$D$55="","",MIN(J80,Parameter!$H$6)*Personal!$AO$55+MIN(J80,Parameter!$H$7)*Personal!$AP$55+J80*Personal!$AQ$55)</f>
        <v/>
      </c>
      <c r="Y80" s="128" t="str">
        <f>IF(Personal!$D$55="","",MIN(K80,Parameter!$H$6)*Personal!$AO$55+MIN(K80,Parameter!$H$7)*Personal!$AP$55+K80*Personal!$AQ$55)</f>
        <v/>
      </c>
      <c r="Z80" s="128" t="str">
        <f>IF(Personal!$D$55="","",MIN(L80,Parameter!$H$6)*Personal!$AO$55+MIN(L80,Parameter!$H$7)*Personal!$AP$55+L80*Personal!$AQ$55)</f>
        <v/>
      </c>
      <c r="AA80" s="128" t="str">
        <f>IF(Personal!$D$55="","",MIN(M80,Parameter!$H$6)*Personal!$AO$55+MIN(M80,Parameter!$H$7)*Personal!$AP$55+M80*Personal!$AQ$55)</f>
        <v/>
      </c>
      <c r="AB80" s="128" t="str">
        <f>IF(Personal!$D$55="","",MIN(N80,Parameter!$H$6)*Personal!$AO$55+MIN(N80,Parameter!$H$7)*Personal!$AP$55+N80*Personal!$AQ$55)</f>
        <v/>
      </c>
      <c r="AC80" s="127" t="str">
        <f t="shared" si="13"/>
        <v/>
      </c>
      <c r="AD80" s="129" t="str">
        <f t="shared" si="14"/>
        <v/>
      </c>
      <c r="AE80" s="130" t="str">
        <f>IF($B80="","",Personal!$E$55)</f>
        <v/>
      </c>
    </row>
    <row r="81" spans="2:31" ht="16.5" customHeight="1" x14ac:dyDescent="0.25">
      <c r="B81" s="125" t="str">
        <f>IF(Personal!$D$56="","",Personal!$D$56)</f>
        <v/>
      </c>
      <c r="C81" s="126" t="str">
        <f>IF(Personal!$D$56="","",N(Personal!$M$56)*(1+IF(MONTH(C$7)&gt;=Parameter!$C$28,Personal!$AN$56,0))*IFERROR(Personal!$Y$56/Personal!$R$56,0)+IF(MONTH(C$7)=Parameter!$C$29,N(Personal!$M$56)*N(Personal!$N$56)*N(Personal!$T$56),0))</f>
        <v/>
      </c>
      <c r="D81" s="126" t="str">
        <f>IF(Personal!$D$56="","",N(Personal!$M$56)*(1+IF(MONTH(D$7)&gt;=Parameter!$C$28,Personal!$AN$56,0))*IFERROR(Personal!$Z$56/Personal!$R$56,0)+IF(MONTH(D$7)=Parameter!$C$29,N(Personal!$M$56)*N(Personal!$N$56)*N(Personal!$T$56),0))</f>
        <v/>
      </c>
      <c r="E81" s="126" t="str">
        <f>IF(Personal!$D$56="","",N(Personal!$M$56)*(1+IF(MONTH(E$7)&gt;=Parameter!$C$28,Personal!$AN$56,0))*IFERROR(Personal!$AA$56/Personal!$R$56,0)+IF(MONTH(E$7)=Parameter!$C$29,N(Personal!$M$56)*N(Personal!$N$56)*N(Personal!$T$56),0))</f>
        <v/>
      </c>
      <c r="F81" s="126" t="str">
        <f>IF(Personal!$D$56="","",N(Personal!$M$56)*(1+IF(MONTH(F$7)&gt;=Parameter!$C$28,Personal!$AN$56,0))*IFERROR(Personal!$AB$56/Personal!$R$56,0)+IF(MONTH(F$7)=Parameter!$C$29,N(Personal!$M$56)*N(Personal!$N$56)*N(Personal!$T$56),0))</f>
        <v/>
      </c>
      <c r="G81" s="126" t="str">
        <f>IF(Personal!$D$56="","",N(Personal!$M$56)*(1+IF(MONTH(G$7)&gt;=Parameter!$C$28,Personal!$AN$56,0))*IFERROR(Personal!$AC$56/Personal!$R$56,0)+IF(MONTH(G$7)=Parameter!$C$29,N(Personal!$M$56)*N(Personal!$N$56)*N(Personal!$T$56),0))</f>
        <v/>
      </c>
      <c r="H81" s="126" t="str">
        <f>IF(Personal!$D$56="","",N(Personal!$M$56)*(1+IF(MONTH(H$7)&gt;=Parameter!$C$28,Personal!$AN$56,0))*IFERROR(Personal!$AD$56/Personal!$R$56,0)+IF(MONTH(H$7)=Parameter!$C$29,N(Personal!$M$56)*N(Personal!$N$56)*N(Personal!$T$56),0))</f>
        <v/>
      </c>
      <c r="I81" s="126" t="str">
        <f>IF(Personal!$D$56="","",N(Personal!$M$56)*(1+IF(MONTH(I$7)&gt;=Parameter!$C$28,Personal!$AN$56,0))*IFERROR(Personal!$AE$56/Personal!$R$56,0)+IF(MONTH(I$7)=Parameter!$C$29,N(Personal!$M$56)*N(Personal!$N$56)*N(Personal!$T$56),0))</f>
        <v/>
      </c>
      <c r="J81" s="126" t="str">
        <f>IF(Personal!$D$56="","",N(Personal!$M$56)*(1+IF(MONTH(J$7)&gt;=Parameter!$C$28,Personal!$AN$56,0))*IFERROR(Personal!$AF$56/Personal!$R$56,0)+IF(MONTH(J$7)=Parameter!$C$29,N(Personal!$M$56)*N(Personal!$N$56)*N(Personal!$T$56),0))</f>
        <v/>
      </c>
      <c r="K81" s="126" t="str">
        <f>IF(Personal!$D$56="","",N(Personal!$M$56)*(1+IF(MONTH(K$7)&gt;=Parameter!$C$28,Personal!$AN$56,0))*IFERROR(Personal!$AG$56/Personal!$R$56,0)+IF(MONTH(K$7)=Parameter!$C$29,N(Personal!$M$56)*N(Personal!$N$56)*N(Personal!$T$56),0))</f>
        <v/>
      </c>
      <c r="L81" s="126" t="str">
        <f>IF(Personal!$D$56="","",N(Personal!$M$56)*(1+IF(MONTH(L$7)&gt;=Parameter!$C$28,Personal!$AN$56,0))*IFERROR(Personal!$AH$56/Personal!$R$56,0)+IF(MONTH(L$7)=Parameter!$C$29,N(Personal!$M$56)*N(Personal!$N$56)*N(Personal!$T$56),0))</f>
        <v/>
      </c>
      <c r="M81" s="126" t="str">
        <f>IF(Personal!$D$56="","",N(Personal!$M$56)*(1+IF(MONTH(M$7)&gt;=Parameter!$C$28,Personal!$AN$56,0))*IFERROR(Personal!$AI$56/Personal!$R$56,0)+IF(MONTH(M$7)=Parameter!$C$29,N(Personal!$M$56)*N(Personal!$N$56)*N(Personal!$T$56),0))</f>
        <v/>
      </c>
      <c r="N81" s="126" t="str">
        <f>IF(Personal!$D$56="","",N(Personal!$M$56)*(1+IF(MONTH(N$7)&gt;=Parameter!$C$28,Personal!$AN$56,0))*IFERROR(Personal!$AJ$56/Personal!$R$56,0)+IF(MONTH(N$7)=Parameter!$C$29,N(Personal!$M$56)*N(Personal!$N$56)*N(Personal!$T$56),0))</f>
        <v/>
      </c>
      <c r="O81" s="127" t="str">
        <f t="shared" si="12"/>
        <v/>
      </c>
      <c r="Q81" s="128" t="str">
        <f>IF(Personal!$D$56="","",MIN(C81,Parameter!$H$6)*Personal!$AO$56+MIN(C81,Parameter!$H$7)*Personal!$AP$56+C81*Personal!$AQ$56)</f>
        <v/>
      </c>
      <c r="R81" s="128" t="str">
        <f>IF(Personal!$D$56="","",MIN(D81,Parameter!$H$6)*Personal!$AO$56+MIN(D81,Parameter!$H$7)*Personal!$AP$56+D81*Personal!$AQ$56)</f>
        <v/>
      </c>
      <c r="S81" s="128" t="str">
        <f>IF(Personal!$D$56="","",MIN(E81,Parameter!$H$6)*Personal!$AO$56+MIN(E81,Parameter!$H$7)*Personal!$AP$56+E81*Personal!$AQ$56)</f>
        <v/>
      </c>
      <c r="T81" s="128" t="str">
        <f>IF(Personal!$D$56="","",MIN(F81,Parameter!$H$6)*Personal!$AO$56+MIN(F81,Parameter!$H$7)*Personal!$AP$56+F81*Personal!$AQ$56)</f>
        <v/>
      </c>
      <c r="U81" s="128" t="str">
        <f>IF(Personal!$D$56="","",MIN(G81,Parameter!$H$6)*Personal!$AO$56+MIN(G81,Parameter!$H$7)*Personal!$AP$56+G81*Personal!$AQ$56)</f>
        <v/>
      </c>
      <c r="V81" s="128" t="str">
        <f>IF(Personal!$D$56="","",MIN(H81,Parameter!$H$6)*Personal!$AO$56+MIN(H81,Parameter!$H$7)*Personal!$AP$56+H81*Personal!$AQ$56)</f>
        <v/>
      </c>
      <c r="W81" s="128" t="str">
        <f>IF(Personal!$D$56="","",MIN(I81,Parameter!$H$6)*Personal!$AO$56+MIN(I81,Parameter!$H$7)*Personal!$AP$56+I81*Personal!$AQ$56)</f>
        <v/>
      </c>
      <c r="X81" s="128" t="str">
        <f>IF(Personal!$D$56="","",MIN(J81,Parameter!$H$6)*Personal!$AO$56+MIN(J81,Parameter!$H$7)*Personal!$AP$56+J81*Personal!$AQ$56)</f>
        <v/>
      </c>
      <c r="Y81" s="128" t="str">
        <f>IF(Personal!$D$56="","",MIN(K81,Parameter!$H$6)*Personal!$AO$56+MIN(K81,Parameter!$H$7)*Personal!$AP$56+K81*Personal!$AQ$56)</f>
        <v/>
      </c>
      <c r="Z81" s="128" t="str">
        <f>IF(Personal!$D$56="","",MIN(L81,Parameter!$H$6)*Personal!$AO$56+MIN(L81,Parameter!$H$7)*Personal!$AP$56+L81*Personal!$AQ$56)</f>
        <v/>
      </c>
      <c r="AA81" s="128" t="str">
        <f>IF(Personal!$D$56="","",MIN(M81,Parameter!$H$6)*Personal!$AO$56+MIN(M81,Parameter!$H$7)*Personal!$AP$56+M81*Personal!$AQ$56)</f>
        <v/>
      </c>
      <c r="AB81" s="128" t="str">
        <f>IF(Personal!$D$56="","",MIN(N81,Parameter!$H$6)*Personal!$AO$56+MIN(N81,Parameter!$H$7)*Personal!$AP$56+N81*Personal!$AQ$56)</f>
        <v/>
      </c>
      <c r="AC81" s="127" t="str">
        <f t="shared" si="13"/>
        <v/>
      </c>
      <c r="AD81" s="129" t="str">
        <f t="shared" si="14"/>
        <v/>
      </c>
      <c r="AE81" s="130" t="str">
        <f>IF($B81="","",Personal!$E$56)</f>
        <v/>
      </c>
    </row>
    <row r="82" spans="2:31" ht="16.5" customHeight="1" x14ac:dyDescent="0.25">
      <c r="B82" s="125" t="str">
        <f>IF(Personal!$D$57="","",Personal!$D$57)</f>
        <v/>
      </c>
      <c r="C82" s="126" t="str">
        <f>IF(Personal!$D$57="","",N(Personal!$M$57)*(1+IF(MONTH(C$7)&gt;=Parameter!$C$28,Personal!$AN$57,0))*IFERROR(Personal!$Y$57/Personal!$R$57,0)+IF(MONTH(C$7)=Parameter!$C$29,N(Personal!$M$57)*N(Personal!$N$57)*N(Personal!$T$57),0))</f>
        <v/>
      </c>
      <c r="D82" s="126" t="str">
        <f>IF(Personal!$D$57="","",N(Personal!$M$57)*(1+IF(MONTH(D$7)&gt;=Parameter!$C$28,Personal!$AN$57,0))*IFERROR(Personal!$Z$57/Personal!$R$57,0)+IF(MONTH(D$7)=Parameter!$C$29,N(Personal!$M$57)*N(Personal!$N$57)*N(Personal!$T$57),0))</f>
        <v/>
      </c>
      <c r="E82" s="126" t="str">
        <f>IF(Personal!$D$57="","",N(Personal!$M$57)*(1+IF(MONTH(E$7)&gt;=Parameter!$C$28,Personal!$AN$57,0))*IFERROR(Personal!$AA$57/Personal!$R$57,0)+IF(MONTH(E$7)=Parameter!$C$29,N(Personal!$M$57)*N(Personal!$N$57)*N(Personal!$T$57),0))</f>
        <v/>
      </c>
      <c r="F82" s="126" t="str">
        <f>IF(Personal!$D$57="","",N(Personal!$M$57)*(1+IF(MONTH(F$7)&gt;=Parameter!$C$28,Personal!$AN$57,0))*IFERROR(Personal!$AB$57/Personal!$R$57,0)+IF(MONTH(F$7)=Parameter!$C$29,N(Personal!$M$57)*N(Personal!$N$57)*N(Personal!$T$57),0))</f>
        <v/>
      </c>
      <c r="G82" s="126" t="str">
        <f>IF(Personal!$D$57="","",N(Personal!$M$57)*(1+IF(MONTH(G$7)&gt;=Parameter!$C$28,Personal!$AN$57,0))*IFERROR(Personal!$AC$57/Personal!$R$57,0)+IF(MONTH(G$7)=Parameter!$C$29,N(Personal!$M$57)*N(Personal!$N$57)*N(Personal!$T$57),0))</f>
        <v/>
      </c>
      <c r="H82" s="126" t="str">
        <f>IF(Personal!$D$57="","",N(Personal!$M$57)*(1+IF(MONTH(H$7)&gt;=Parameter!$C$28,Personal!$AN$57,0))*IFERROR(Personal!$AD$57/Personal!$R$57,0)+IF(MONTH(H$7)=Parameter!$C$29,N(Personal!$M$57)*N(Personal!$N$57)*N(Personal!$T$57),0))</f>
        <v/>
      </c>
      <c r="I82" s="126" t="str">
        <f>IF(Personal!$D$57="","",N(Personal!$M$57)*(1+IF(MONTH(I$7)&gt;=Parameter!$C$28,Personal!$AN$57,0))*IFERROR(Personal!$AE$57/Personal!$R$57,0)+IF(MONTH(I$7)=Parameter!$C$29,N(Personal!$M$57)*N(Personal!$N$57)*N(Personal!$T$57),0))</f>
        <v/>
      </c>
      <c r="J82" s="126" t="str">
        <f>IF(Personal!$D$57="","",N(Personal!$M$57)*(1+IF(MONTH(J$7)&gt;=Parameter!$C$28,Personal!$AN$57,0))*IFERROR(Personal!$AF$57/Personal!$R$57,0)+IF(MONTH(J$7)=Parameter!$C$29,N(Personal!$M$57)*N(Personal!$N$57)*N(Personal!$T$57),0))</f>
        <v/>
      </c>
      <c r="K82" s="126" t="str">
        <f>IF(Personal!$D$57="","",N(Personal!$M$57)*(1+IF(MONTH(K$7)&gt;=Parameter!$C$28,Personal!$AN$57,0))*IFERROR(Personal!$AG$57/Personal!$R$57,0)+IF(MONTH(K$7)=Parameter!$C$29,N(Personal!$M$57)*N(Personal!$N$57)*N(Personal!$T$57),0))</f>
        <v/>
      </c>
      <c r="L82" s="126" t="str">
        <f>IF(Personal!$D$57="","",N(Personal!$M$57)*(1+IF(MONTH(L$7)&gt;=Parameter!$C$28,Personal!$AN$57,0))*IFERROR(Personal!$AH$57/Personal!$R$57,0)+IF(MONTH(L$7)=Parameter!$C$29,N(Personal!$M$57)*N(Personal!$N$57)*N(Personal!$T$57),0))</f>
        <v/>
      </c>
      <c r="M82" s="126" t="str">
        <f>IF(Personal!$D$57="","",N(Personal!$M$57)*(1+IF(MONTH(M$7)&gt;=Parameter!$C$28,Personal!$AN$57,0))*IFERROR(Personal!$AI$57/Personal!$R$57,0)+IF(MONTH(M$7)=Parameter!$C$29,N(Personal!$M$57)*N(Personal!$N$57)*N(Personal!$T$57),0))</f>
        <v/>
      </c>
      <c r="N82" s="126" t="str">
        <f>IF(Personal!$D$57="","",N(Personal!$M$57)*(1+IF(MONTH(N$7)&gt;=Parameter!$C$28,Personal!$AN$57,0))*IFERROR(Personal!$AJ$57/Personal!$R$57,0)+IF(MONTH(N$7)=Parameter!$C$29,N(Personal!$M$57)*N(Personal!$N$57)*N(Personal!$T$57),0))</f>
        <v/>
      </c>
      <c r="O82" s="127" t="str">
        <f t="shared" si="12"/>
        <v/>
      </c>
      <c r="Q82" s="128" t="str">
        <f>IF(Personal!$D$57="","",MIN(C82,Parameter!$H$6)*Personal!$AO$57+MIN(C82,Parameter!$H$7)*Personal!$AP$57+C82*Personal!$AQ$57)</f>
        <v/>
      </c>
      <c r="R82" s="128" t="str">
        <f>IF(Personal!$D$57="","",MIN(D82,Parameter!$H$6)*Personal!$AO$57+MIN(D82,Parameter!$H$7)*Personal!$AP$57+D82*Personal!$AQ$57)</f>
        <v/>
      </c>
      <c r="S82" s="128" t="str">
        <f>IF(Personal!$D$57="","",MIN(E82,Parameter!$H$6)*Personal!$AO$57+MIN(E82,Parameter!$H$7)*Personal!$AP$57+E82*Personal!$AQ$57)</f>
        <v/>
      </c>
      <c r="T82" s="128" t="str">
        <f>IF(Personal!$D$57="","",MIN(F82,Parameter!$H$6)*Personal!$AO$57+MIN(F82,Parameter!$H$7)*Personal!$AP$57+F82*Personal!$AQ$57)</f>
        <v/>
      </c>
      <c r="U82" s="128" t="str">
        <f>IF(Personal!$D$57="","",MIN(G82,Parameter!$H$6)*Personal!$AO$57+MIN(G82,Parameter!$H$7)*Personal!$AP$57+G82*Personal!$AQ$57)</f>
        <v/>
      </c>
      <c r="V82" s="128" t="str">
        <f>IF(Personal!$D$57="","",MIN(H82,Parameter!$H$6)*Personal!$AO$57+MIN(H82,Parameter!$H$7)*Personal!$AP$57+H82*Personal!$AQ$57)</f>
        <v/>
      </c>
      <c r="W82" s="128" t="str">
        <f>IF(Personal!$D$57="","",MIN(I82,Parameter!$H$6)*Personal!$AO$57+MIN(I82,Parameter!$H$7)*Personal!$AP$57+I82*Personal!$AQ$57)</f>
        <v/>
      </c>
      <c r="X82" s="128" t="str">
        <f>IF(Personal!$D$57="","",MIN(J82,Parameter!$H$6)*Personal!$AO$57+MIN(J82,Parameter!$H$7)*Personal!$AP$57+J82*Personal!$AQ$57)</f>
        <v/>
      </c>
      <c r="Y82" s="128" t="str">
        <f>IF(Personal!$D$57="","",MIN(K82,Parameter!$H$6)*Personal!$AO$57+MIN(K82,Parameter!$H$7)*Personal!$AP$57+K82*Personal!$AQ$57)</f>
        <v/>
      </c>
      <c r="Z82" s="128" t="str">
        <f>IF(Personal!$D$57="","",MIN(L82,Parameter!$H$6)*Personal!$AO$57+MIN(L82,Parameter!$H$7)*Personal!$AP$57+L82*Personal!$AQ$57)</f>
        <v/>
      </c>
      <c r="AA82" s="128" t="str">
        <f>IF(Personal!$D$57="","",MIN(M82,Parameter!$H$6)*Personal!$AO$57+MIN(M82,Parameter!$H$7)*Personal!$AP$57+M82*Personal!$AQ$57)</f>
        <v/>
      </c>
      <c r="AB82" s="128" t="str">
        <f>IF(Personal!$D$57="","",MIN(N82,Parameter!$H$6)*Personal!$AO$57+MIN(N82,Parameter!$H$7)*Personal!$AP$57+N82*Personal!$AQ$57)</f>
        <v/>
      </c>
      <c r="AC82" s="127" t="str">
        <f t="shared" si="13"/>
        <v/>
      </c>
      <c r="AD82" s="129" t="str">
        <f t="shared" si="14"/>
        <v/>
      </c>
      <c r="AE82" s="130" t="str">
        <f>IF($B82="","",Personal!$E$57)</f>
        <v/>
      </c>
    </row>
    <row r="83" spans="2:31" ht="16.5" customHeight="1" x14ac:dyDescent="0.25">
      <c r="B83" s="125" t="str">
        <f>IF(Personal!$D$58="","",Personal!$D$58)</f>
        <v/>
      </c>
      <c r="C83" s="126" t="str">
        <f>IF(Personal!$D$58="","",N(Personal!$M$58)*(1+IF(MONTH(C$7)&gt;=Parameter!$C$28,Personal!$AN$58,0))*IFERROR(Personal!$Y$58/Personal!$R$58,0)+IF(MONTH(C$7)=Parameter!$C$29,N(Personal!$M$58)*N(Personal!$N$58)*N(Personal!$T$58),0))</f>
        <v/>
      </c>
      <c r="D83" s="126" t="str">
        <f>IF(Personal!$D$58="","",N(Personal!$M$58)*(1+IF(MONTH(D$7)&gt;=Parameter!$C$28,Personal!$AN$58,0))*IFERROR(Personal!$Z$58/Personal!$R$58,0)+IF(MONTH(D$7)=Parameter!$C$29,N(Personal!$M$58)*N(Personal!$N$58)*N(Personal!$T$58),0))</f>
        <v/>
      </c>
      <c r="E83" s="126" t="str">
        <f>IF(Personal!$D$58="","",N(Personal!$M$58)*(1+IF(MONTH(E$7)&gt;=Parameter!$C$28,Personal!$AN$58,0))*IFERROR(Personal!$AA$58/Personal!$R$58,0)+IF(MONTH(E$7)=Parameter!$C$29,N(Personal!$M$58)*N(Personal!$N$58)*N(Personal!$T$58),0))</f>
        <v/>
      </c>
      <c r="F83" s="126" t="str">
        <f>IF(Personal!$D$58="","",N(Personal!$M$58)*(1+IF(MONTH(F$7)&gt;=Parameter!$C$28,Personal!$AN$58,0))*IFERROR(Personal!$AB$58/Personal!$R$58,0)+IF(MONTH(F$7)=Parameter!$C$29,N(Personal!$M$58)*N(Personal!$N$58)*N(Personal!$T$58),0))</f>
        <v/>
      </c>
      <c r="G83" s="126" t="str">
        <f>IF(Personal!$D$58="","",N(Personal!$M$58)*(1+IF(MONTH(G$7)&gt;=Parameter!$C$28,Personal!$AN$58,0))*IFERROR(Personal!$AC$58/Personal!$R$58,0)+IF(MONTH(G$7)=Parameter!$C$29,N(Personal!$M$58)*N(Personal!$N$58)*N(Personal!$T$58),0))</f>
        <v/>
      </c>
      <c r="H83" s="126" t="str">
        <f>IF(Personal!$D$58="","",N(Personal!$M$58)*(1+IF(MONTH(H$7)&gt;=Parameter!$C$28,Personal!$AN$58,0))*IFERROR(Personal!$AD$58/Personal!$R$58,0)+IF(MONTH(H$7)=Parameter!$C$29,N(Personal!$M$58)*N(Personal!$N$58)*N(Personal!$T$58),0))</f>
        <v/>
      </c>
      <c r="I83" s="126" t="str">
        <f>IF(Personal!$D$58="","",N(Personal!$M$58)*(1+IF(MONTH(I$7)&gt;=Parameter!$C$28,Personal!$AN$58,0))*IFERROR(Personal!$AE$58/Personal!$R$58,0)+IF(MONTH(I$7)=Parameter!$C$29,N(Personal!$M$58)*N(Personal!$N$58)*N(Personal!$T$58),0))</f>
        <v/>
      </c>
      <c r="J83" s="126" t="str">
        <f>IF(Personal!$D$58="","",N(Personal!$M$58)*(1+IF(MONTH(J$7)&gt;=Parameter!$C$28,Personal!$AN$58,0))*IFERROR(Personal!$AF$58/Personal!$R$58,0)+IF(MONTH(J$7)=Parameter!$C$29,N(Personal!$M$58)*N(Personal!$N$58)*N(Personal!$T$58),0))</f>
        <v/>
      </c>
      <c r="K83" s="126" t="str">
        <f>IF(Personal!$D$58="","",N(Personal!$M$58)*(1+IF(MONTH(K$7)&gt;=Parameter!$C$28,Personal!$AN$58,0))*IFERROR(Personal!$AG$58/Personal!$R$58,0)+IF(MONTH(K$7)=Parameter!$C$29,N(Personal!$M$58)*N(Personal!$N$58)*N(Personal!$T$58),0))</f>
        <v/>
      </c>
      <c r="L83" s="126" t="str">
        <f>IF(Personal!$D$58="","",N(Personal!$M$58)*(1+IF(MONTH(L$7)&gt;=Parameter!$C$28,Personal!$AN$58,0))*IFERROR(Personal!$AH$58/Personal!$R$58,0)+IF(MONTH(L$7)=Parameter!$C$29,N(Personal!$M$58)*N(Personal!$N$58)*N(Personal!$T$58),0))</f>
        <v/>
      </c>
      <c r="M83" s="126" t="str">
        <f>IF(Personal!$D$58="","",N(Personal!$M$58)*(1+IF(MONTH(M$7)&gt;=Parameter!$C$28,Personal!$AN$58,0))*IFERROR(Personal!$AI$58/Personal!$R$58,0)+IF(MONTH(M$7)=Parameter!$C$29,N(Personal!$M$58)*N(Personal!$N$58)*N(Personal!$T$58),0))</f>
        <v/>
      </c>
      <c r="N83" s="126" t="str">
        <f>IF(Personal!$D$58="","",N(Personal!$M$58)*(1+IF(MONTH(N$7)&gt;=Parameter!$C$28,Personal!$AN$58,0))*IFERROR(Personal!$AJ$58/Personal!$R$58,0)+IF(MONTH(N$7)=Parameter!$C$29,N(Personal!$M$58)*N(Personal!$N$58)*N(Personal!$T$58),0))</f>
        <v/>
      </c>
      <c r="O83" s="127" t="str">
        <f t="shared" si="12"/>
        <v/>
      </c>
      <c r="Q83" s="128" t="str">
        <f>IF(Personal!$D$58="","",MIN(C83,Parameter!$H$6)*Personal!$AO$58+MIN(C83,Parameter!$H$7)*Personal!$AP$58+C83*Personal!$AQ$58)</f>
        <v/>
      </c>
      <c r="R83" s="128" t="str">
        <f>IF(Personal!$D$58="","",MIN(D83,Parameter!$H$6)*Personal!$AO$58+MIN(D83,Parameter!$H$7)*Personal!$AP$58+D83*Personal!$AQ$58)</f>
        <v/>
      </c>
      <c r="S83" s="128" t="str">
        <f>IF(Personal!$D$58="","",MIN(E83,Parameter!$H$6)*Personal!$AO$58+MIN(E83,Parameter!$H$7)*Personal!$AP$58+E83*Personal!$AQ$58)</f>
        <v/>
      </c>
      <c r="T83" s="128" t="str">
        <f>IF(Personal!$D$58="","",MIN(F83,Parameter!$H$6)*Personal!$AO$58+MIN(F83,Parameter!$H$7)*Personal!$AP$58+F83*Personal!$AQ$58)</f>
        <v/>
      </c>
      <c r="U83" s="128" t="str">
        <f>IF(Personal!$D$58="","",MIN(G83,Parameter!$H$6)*Personal!$AO$58+MIN(G83,Parameter!$H$7)*Personal!$AP$58+G83*Personal!$AQ$58)</f>
        <v/>
      </c>
      <c r="V83" s="128" t="str">
        <f>IF(Personal!$D$58="","",MIN(H83,Parameter!$H$6)*Personal!$AO$58+MIN(H83,Parameter!$H$7)*Personal!$AP$58+H83*Personal!$AQ$58)</f>
        <v/>
      </c>
      <c r="W83" s="128" t="str">
        <f>IF(Personal!$D$58="","",MIN(I83,Parameter!$H$6)*Personal!$AO$58+MIN(I83,Parameter!$H$7)*Personal!$AP$58+I83*Personal!$AQ$58)</f>
        <v/>
      </c>
      <c r="X83" s="128" t="str">
        <f>IF(Personal!$D$58="","",MIN(J83,Parameter!$H$6)*Personal!$AO$58+MIN(J83,Parameter!$H$7)*Personal!$AP$58+J83*Personal!$AQ$58)</f>
        <v/>
      </c>
      <c r="Y83" s="128" t="str">
        <f>IF(Personal!$D$58="","",MIN(K83,Parameter!$H$6)*Personal!$AO$58+MIN(K83,Parameter!$H$7)*Personal!$AP$58+K83*Personal!$AQ$58)</f>
        <v/>
      </c>
      <c r="Z83" s="128" t="str">
        <f>IF(Personal!$D$58="","",MIN(L83,Parameter!$H$6)*Personal!$AO$58+MIN(L83,Parameter!$H$7)*Personal!$AP$58+L83*Personal!$AQ$58)</f>
        <v/>
      </c>
      <c r="AA83" s="128" t="str">
        <f>IF(Personal!$D$58="","",MIN(M83,Parameter!$H$6)*Personal!$AO$58+MIN(M83,Parameter!$H$7)*Personal!$AP$58+M83*Personal!$AQ$58)</f>
        <v/>
      </c>
      <c r="AB83" s="128" t="str">
        <f>IF(Personal!$D$58="","",MIN(N83,Parameter!$H$6)*Personal!$AO$58+MIN(N83,Parameter!$H$7)*Personal!$AP$58+N83*Personal!$AQ$58)</f>
        <v/>
      </c>
      <c r="AC83" s="127" t="str">
        <f t="shared" si="13"/>
        <v/>
      </c>
      <c r="AD83" s="129" t="str">
        <f t="shared" si="14"/>
        <v/>
      </c>
      <c r="AE83" s="130" t="str">
        <f>IF($B83="","",Personal!$E$58)</f>
        <v/>
      </c>
    </row>
    <row r="84" spans="2:31" ht="16.5" customHeight="1" x14ac:dyDescent="0.25">
      <c r="B84" s="125" t="str">
        <f>IF(Personal!$D$59="","",Personal!$D$59)</f>
        <v/>
      </c>
      <c r="C84" s="126" t="str">
        <f>IF(Personal!$D$59="","",N(Personal!$M$59)*(1+IF(MONTH(C$7)&gt;=Parameter!$C$28,Personal!$AN$59,0))*IFERROR(Personal!$Y$59/Personal!$R$59,0)+IF(MONTH(C$7)=Parameter!$C$29,N(Personal!$M$59)*N(Personal!$N$59)*N(Personal!$T$59),0))</f>
        <v/>
      </c>
      <c r="D84" s="126" t="str">
        <f>IF(Personal!$D$59="","",N(Personal!$M$59)*(1+IF(MONTH(D$7)&gt;=Parameter!$C$28,Personal!$AN$59,0))*IFERROR(Personal!$Z$59/Personal!$R$59,0)+IF(MONTH(D$7)=Parameter!$C$29,N(Personal!$M$59)*N(Personal!$N$59)*N(Personal!$T$59),0))</f>
        <v/>
      </c>
      <c r="E84" s="126" t="str">
        <f>IF(Personal!$D$59="","",N(Personal!$M$59)*(1+IF(MONTH(E$7)&gt;=Parameter!$C$28,Personal!$AN$59,0))*IFERROR(Personal!$AA$59/Personal!$R$59,0)+IF(MONTH(E$7)=Parameter!$C$29,N(Personal!$M$59)*N(Personal!$N$59)*N(Personal!$T$59),0))</f>
        <v/>
      </c>
      <c r="F84" s="126" t="str">
        <f>IF(Personal!$D$59="","",N(Personal!$M$59)*(1+IF(MONTH(F$7)&gt;=Parameter!$C$28,Personal!$AN$59,0))*IFERROR(Personal!$AB$59/Personal!$R$59,0)+IF(MONTH(F$7)=Parameter!$C$29,N(Personal!$M$59)*N(Personal!$N$59)*N(Personal!$T$59),0))</f>
        <v/>
      </c>
      <c r="G84" s="126" t="str">
        <f>IF(Personal!$D$59="","",N(Personal!$M$59)*(1+IF(MONTH(G$7)&gt;=Parameter!$C$28,Personal!$AN$59,0))*IFERROR(Personal!$AC$59/Personal!$R$59,0)+IF(MONTH(G$7)=Parameter!$C$29,N(Personal!$M$59)*N(Personal!$N$59)*N(Personal!$T$59),0))</f>
        <v/>
      </c>
      <c r="H84" s="126" t="str">
        <f>IF(Personal!$D$59="","",N(Personal!$M$59)*(1+IF(MONTH(H$7)&gt;=Parameter!$C$28,Personal!$AN$59,0))*IFERROR(Personal!$AD$59/Personal!$R$59,0)+IF(MONTH(H$7)=Parameter!$C$29,N(Personal!$M$59)*N(Personal!$N$59)*N(Personal!$T$59),0))</f>
        <v/>
      </c>
      <c r="I84" s="126" t="str">
        <f>IF(Personal!$D$59="","",N(Personal!$M$59)*(1+IF(MONTH(I$7)&gt;=Parameter!$C$28,Personal!$AN$59,0))*IFERROR(Personal!$AE$59/Personal!$R$59,0)+IF(MONTH(I$7)=Parameter!$C$29,N(Personal!$M$59)*N(Personal!$N$59)*N(Personal!$T$59),0))</f>
        <v/>
      </c>
      <c r="J84" s="126" t="str">
        <f>IF(Personal!$D$59="","",N(Personal!$M$59)*(1+IF(MONTH(J$7)&gt;=Parameter!$C$28,Personal!$AN$59,0))*IFERROR(Personal!$AF$59/Personal!$R$59,0)+IF(MONTH(J$7)=Parameter!$C$29,N(Personal!$M$59)*N(Personal!$N$59)*N(Personal!$T$59),0))</f>
        <v/>
      </c>
      <c r="K84" s="126" t="str">
        <f>IF(Personal!$D$59="","",N(Personal!$M$59)*(1+IF(MONTH(K$7)&gt;=Parameter!$C$28,Personal!$AN$59,0))*IFERROR(Personal!$AG$59/Personal!$R$59,0)+IF(MONTH(K$7)=Parameter!$C$29,N(Personal!$M$59)*N(Personal!$N$59)*N(Personal!$T$59),0))</f>
        <v/>
      </c>
      <c r="L84" s="126" t="str">
        <f>IF(Personal!$D$59="","",N(Personal!$M$59)*(1+IF(MONTH(L$7)&gt;=Parameter!$C$28,Personal!$AN$59,0))*IFERROR(Personal!$AH$59/Personal!$R$59,0)+IF(MONTH(L$7)=Parameter!$C$29,N(Personal!$M$59)*N(Personal!$N$59)*N(Personal!$T$59),0))</f>
        <v/>
      </c>
      <c r="M84" s="126" t="str">
        <f>IF(Personal!$D$59="","",N(Personal!$M$59)*(1+IF(MONTH(M$7)&gt;=Parameter!$C$28,Personal!$AN$59,0))*IFERROR(Personal!$AI$59/Personal!$R$59,0)+IF(MONTH(M$7)=Parameter!$C$29,N(Personal!$M$59)*N(Personal!$N$59)*N(Personal!$T$59),0))</f>
        <v/>
      </c>
      <c r="N84" s="126" t="str">
        <f>IF(Personal!$D$59="","",N(Personal!$M$59)*(1+IF(MONTH(N$7)&gt;=Parameter!$C$28,Personal!$AN$59,0))*IFERROR(Personal!$AJ$59/Personal!$R$59,0)+IF(MONTH(N$7)=Parameter!$C$29,N(Personal!$M$59)*N(Personal!$N$59)*N(Personal!$T$59),0))</f>
        <v/>
      </c>
      <c r="O84" s="127" t="str">
        <f t="shared" si="12"/>
        <v/>
      </c>
      <c r="Q84" s="128" t="str">
        <f>IF(Personal!$D$59="","",MIN(C84,Parameter!$H$6)*Personal!$AO$59+MIN(C84,Parameter!$H$7)*Personal!$AP$59+C84*Personal!$AQ$59)</f>
        <v/>
      </c>
      <c r="R84" s="128" t="str">
        <f>IF(Personal!$D$59="","",MIN(D84,Parameter!$H$6)*Personal!$AO$59+MIN(D84,Parameter!$H$7)*Personal!$AP$59+D84*Personal!$AQ$59)</f>
        <v/>
      </c>
      <c r="S84" s="128" t="str">
        <f>IF(Personal!$D$59="","",MIN(E84,Parameter!$H$6)*Personal!$AO$59+MIN(E84,Parameter!$H$7)*Personal!$AP$59+E84*Personal!$AQ$59)</f>
        <v/>
      </c>
      <c r="T84" s="128" t="str">
        <f>IF(Personal!$D$59="","",MIN(F84,Parameter!$H$6)*Personal!$AO$59+MIN(F84,Parameter!$H$7)*Personal!$AP$59+F84*Personal!$AQ$59)</f>
        <v/>
      </c>
      <c r="U84" s="128" t="str">
        <f>IF(Personal!$D$59="","",MIN(G84,Parameter!$H$6)*Personal!$AO$59+MIN(G84,Parameter!$H$7)*Personal!$AP$59+G84*Personal!$AQ$59)</f>
        <v/>
      </c>
      <c r="V84" s="128" t="str">
        <f>IF(Personal!$D$59="","",MIN(H84,Parameter!$H$6)*Personal!$AO$59+MIN(H84,Parameter!$H$7)*Personal!$AP$59+H84*Personal!$AQ$59)</f>
        <v/>
      </c>
      <c r="W84" s="128" t="str">
        <f>IF(Personal!$D$59="","",MIN(I84,Parameter!$H$6)*Personal!$AO$59+MIN(I84,Parameter!$H$7)*Personal!$AP$59+I84*Personal!$AQ$59)</f>
        <v/>
      </c>
      <c r="X84" s="128" t="str">
        <f>IF(Personal!$D$59="","",MIN(J84,Parameter!$H$6)*Personal!$AO$59+MIN(J84,Parameter!$H$7)*Personal!$AP$59+J84*Personal!$AQ$59)</f>
        <v/>
      </c>
      <c r="Y84" s="128" t="str">
        <f>IF(Personal!$D$59="","",MIN(K84,Parameter!$H$6)*Personal!$AO$59+MIN(K84,Parameter!$H$7)*Personal!$AP$59+K84*Personal!$AQ$59)</f>
        <v/>
      </c>
      <c r="Z84" s="128" t="str">
        <f>IF(Personal!$D$59="","",MIN(L84,Parameter!$H$6)*Personal!$AO$59+MIN(L84,Parameter!$H$7)*Personal!$AP$59+L84*Personal!$AQ$59)</f>
        <v/>
      </c>
      <c r="AA84" s="128" t="str">
        <f>IF(Personal!$D$59="","",MIN(M84,Parameter!$H$6)*Personal!$AO$59+MIN(M84,Parameter!$H$7)*Personal!$AP$59+M84*Personal!$AQ$59)</f>
        <v/>
      </c>
      <c r="AB84" s="128" t="str">
        <f>IF(Personal!$D$59="","",MIN(N84,Parameter!$H$6)*Personal!$AO$59+MIN(N84,Parameter!$H$7)*Personal!$AP$59+N84*Personal!$AQ$59)</f>
        <v/>
      </c>
      <c r="AC84" s="127" t="str">
        <f t="shared" si="13"/>
        <v/>
      </c>
      <c r="AD84" s="129" t="str">
        <f t="shared" si="14"/>
        <v/>
      </c>
      <c r="AE84" s="130" t="str">
        <f>IF($B84="","",Personal!$E$59)</f>
        <v/>
      </c>
    </row>
    <row r="85" spans="2:31" ht="16.5" customHeight="1" x14ac:dyDescent="0.25">
      <c r="B85" s="125" t="str">
        <f>IF(Personal!$D$60="","",Personal!$D$60)</f>
        <v/>
      </c>
      <c r="C85" s="126" t="str">
        <f>IF(Personal!$D$60="","",N(Personal!$M$60)*(1+IF(MONTH(C$7)&gt;=Parameter!$C$28,Personal!$AN$60,0))*IFERROR(Personal!$Y$60/Personal!$R$60,0)+IF(MONTH(C$7)=Parameter!$C$29,N(Personal!$M$60)*N(Personal!$N$60)*N(Personal!$T$60),0))</f>
        <v/>
      </c>
      <c r="D85" s="126" t="str">
        <f>IF(Personal!$D$60="","",N(Personal!$M$60)*(1+IF(MONTH(D$7)&gt;=Parameter!$C$28,Personal!$AN$60,0))*IFERROR(Personal!$Z$60/Personal!$R$60,0)+IF(MONTH(D$7)=Parameter!$C$29,N(Personal!$M$60)*N(Personal!$N$60)*N(Personal!$T$60),0))</f>
        <v/>
      </c>
      <c r="E85" s="126" t="str">
        <f>IF(Personal!$D$60="","",N(Personal!$M$60)*(1+IF(MONTH(E$7)&gt;=Parameter!$C$28,Personal!$AN$60,0))*IFERROR(Personal!$AA$60/Personal!$R$60,0)+IF(MONTH(E$7)=Parameter!$C$29,N(Personal!$M$60)*N(Personal!$N$60)*N(Personal!$T$60),0))</f>
        <v/>
      </c>
      <c r="F85" s="126" t="str">
        <f>IF(Personal!$D$60="","",N(Personal!$M$60)*(1+IF(MONTH(F$7)&gt;=Parameter!$C$28,Personal!$AN$60,0))*IFERROR(Personal!$AB$60/Personal!$R$60,0)+IF(MONTH(F$7)=Parameter!$C$29,N(Personal!$M$60)*N(Personal!$N$60)*N(Personal!$T$60),0))</f>
        <v/>
      </c>
      <c r="G85" s="126" t="str">
        <f>IF(Personal!$D$60="","",N(Personal!$M$60)*(1+IF(MONTH(G$7)&gt;=Parameter!$C$28,Personal!$AN$60,0))*IFERROR(Personal!$AC$60/Personal!$R$60,0)+IF(MONTH(G$7)=Parameter!$C$29,N(Personal!$M$60)*N(Personal!$N$60)*N(Personal!$T$60),0))</f>
        <v/>
      </c>
      <c r="H85" s="126" t="str">
        <f>IF(Personal!$D$60="","",N(Personal!$M$60)*(1+IF(MONTH(H$7)&gt;=Parameter!$C$28,Personal!$AN$60,0))*IFERROR(Personal!$AD$60/Personal!$R$60,0)+IF(MONTH(H$7)=Parameter!$C$29,N(Personal!$M$60)*N(Personal!$N$60)*N(Personal!$T$60),0))</f>
        <v/>
      </c>
      <c r="I85" s="126" t="str">
        <f>IF(Personal!$D$60="","",N(Personal!$M$60)*(1+IF(MONTH(I$7)&gt;=Parameter!$C$28,Personal!$AN$60,0))*IFERROR(Personal!$AE$60/Personal!$R$60,0)+IF(MONTH(I$7)=Parameter!$C$29,N(Personal!$M$60)*N(Personal!$N$60)*N(Personal!$T$60),0))</f>
        <v/>
      </c>
      <c r="J85" s="126" t="str">
        <f>IF(Personal!$D$60="","",N(Personal!$M$60)*(1+IF(MONTH(J$7)&gt;=Parameter!$C$28,Personal!$AN$60,0))*IFERROR(Personal!$AF$60/Personal!$R$60,0)+IF(MONTH(J$7)=Parameter!$C$29,N(Personal!$M$60)*N(Personal!$N$60)*N(Personal!$T$60),0))</f>
        <v/>
      </c>
      <c r="K85" s="126" t="str">
        <f>IF(Personal!$D$60="","",N(Personal!$M$60)*(1+IF(MONTH(K$7)&gt;=Parameter!$C$28,Personal!$AN$60,0))*IFERROR(Personal!$AG$60/Personal!$R$60,0)+IF(MONTH(K$7)=Parameter!$C$29,N(Personal!$M$60)*N(Personal!$N$60)*N(Personal!$T$60),0))</f>
        <v/>
      </c>
      <c r="L85" s="126" t="str">
        <f>IF(Personal!$D$60="","",N(Personal!$M$60)*(1+IF(MONTH(L$7)&gt;=Parameter!$C$28,Personal!$AN$60,0))*IFERROR(Personal!$AH$60/Personal!$R$60,0)+IF(MONTH(L$7)=Parameter!$C$29,N(Personal!$M$60)*N(Personal!$N$60)*N(Personal!$T$60),0))</f>
        <v/>
      </c>
      <c r="M85" s="126" t="str">
        <f>IF(Personal!$D$60="","",N(Personal!$M$60)*(1+IF(MONTH(M$7)&gt;=Parameter!$C$28,Personal!$AN$60,0))*IFERROR(Personal!$AI$60/Personal!$R$60,0)+IF(MONTH(M$7)=Parameter!$C$29,N(Personal!$M$60)*N(Personal!$N$60)*N(Personal!$T$60),0))</f>
        <v/>
      </c>
      <c r="N85" s="126" t="str">
        <f>IF(Personal!$D$60="","",N(Personal!$M$60)*(1+IF(MONTH(N$7)&gt;=Parameter!$C$28,Personal!$AN$60,0))*IFERROR(Personal!$AJ$60/Personal!$R$60,0)+IF(MONTH(N$7)=Parameter!$C$29,N(Personal!$M$60)*N(Personal!$N$60)*N(Personal!$T$60),0))</f>
        <v/>
      </c>
      <c r="O85" s="127" t="str">
        <f t="shared" si="12"/>
        <v/>
      </c>
      <c r="Q85" s="128" t="str">
        <f>IF(Personal!$D$60="","",MIN(C85,Parameter!$H$6)*Personal!$AO$60+MIN(C85,Parameter!$H$7)*Personal!$AP$60+C85*Personal!$AQ$60)</f>
        <v/>
      </c>
      <c r="R85" s="128" t="str">
        <f>IF(Personal!$D$60="","",MIN(D85,Parameter!$H$6)*Personal!$AO$60+MIN(D85,Parameter!$H$7)*Personal!$AP$60+D85*Personal!$AQ$60)</f>
        <v/>
      </c>
      <c r="S85" s="128" t="str">
        <f>IF(Personal!$D$60="","",MIN(E85,Parameter!$H$6)*Personal!$AO$60+MIN(E85,Parameter!$H$7)*Personal!$AP$60+E85*Personal!$AQ$60)</f>
        <v/>
      </c>
      <c r="T85" s="128" t="str">
        <f>IF(Personal!$D$60="","",MIN(F85,Parameter!$H$6)*Personal!$AO$60+MIN(F85,Parameter!$H$7)*Personal!$AP$60+F85*Personal!$AQ$60)</f>
        <v/>
      </c>
      <c r="U85" s="128" t="str">
        <f>IF(Personal!$D$60="","",MIN(G85,Parameter!$H$6)*Personal!$AO$60+MIN(G85,Parameter!$H$7)*Personal!$AP$60+G85*Personal!$AQ$60)</f>
        <v/>
      </c>
      <c r="V85" s="128" t="str">
        <f>IF(Personal!$D$60="","",MIN(H85,Parameter!$H$6)*Personal!$AO$60+MIN(H85,Parameter!$H$7)*Personal!$AP$60+H85*Personal!$AQ$60)</f>
        <v/>
      </c>
      <c r="W85" s="128" t="str">
        <f>IF(Personal!$D$60="","",MIN(I85,Parameter!$H$6)*Personal!$AO$60+MIN(I85,Parameter!$H$7)*Personal!$AP$60+I85*Personal!$AQ$60)</f>
        <v/>
      </c>
      <c r="X85" s="128" t="str">
        <f>IF(Personal!$D$60="","",MIN(J85,Parameter!$H$6)*Personal!$AO$60+MIN(J85,Parameter!$H$7)*Personal!$AP$60+J85*Personal!$AQ$60)</f>
        <v/>
      </c>
      <c r="Y85" s="128" t="str">
        <f>IF(Personal!$D$60="","",MIN(K85,Parameter!$H$6)*Personal!$AO$60+MIN(K85,Parameter!$H$7)*Personal!$AP$60+K85*Personal!$AQ$60)</f>
        <v/>
      </c>
      <c r="Z85" s="128" t="str">
        <f>IF(Personal!$D$60="","",MIN(L85,Parameter!$H$6)*Personal!$AO$60+MIN(L85,Parameter!$H$7)*Personal!$AP$60+L85*Personal!$AQ$60)</f>
        <v/>
      </c>
      <c r="AA85" s="128" t="str">
        <f>IF(Personal!$D$60="","",MIN(M85,Parameter!$H$6)*Personal!$AO$60+MIN(M85,Parameter!$H$7)*Personal!$AP$60+M85*Personal!$AQ$60)</f>
        <v/>
      </c>
      <c r="AB85" s="128" t="str">
        <f>IF(Personal!$D$60="","",MIN(N85,Parameter!$H$6)*Personal!$AO$60+MIN(N85,Parameter!$H$7)*Personal!$AP$60+N85*Personal!$AQ$60)</f>
        <v/>
      </c>
      <c r="AC85" s="127" t="str">
        <f t="shared" si="13"/>
        <v/>
      </c>
      <c r="AD85" s="129" t="str">
        <f t="shared" si="14"/>
        <v/>
      </c>
      <c r="AE85" s="130" t="str">
        <f>IF($B85="","",Personal!$E$60)</f>
        <v/>
      </c>
    </row>
    <row r="86" spans="2:31" ht="16.5" customHeight="1" x14ac:dyDescent="0.25">
      <c r="B86" s="125" t="str">
        <f>IF(Personal!$D$61="","",Personal!$D$61)</f>
        <v/>
      </c>
      <c r="C86" s="126" t="str">
        <f>IF(Personal!$D$61="","",N(Personal!$M$61)*(1+IF(MONTH(C$7)&gt;=Parameter!$C$28,Personal!$AN$61,0))*IFERROR(Personal!$Y$61/Personal!$R$61,0)+IF(MONTH(C$7)=Parameter!$C$29,N(Personal!$M$61)*N(Personal!$N$61)*N(Personal!$T$61),0))</f>
        <v/>
      </c>
      <c r="D86" s="126" t="str">
        <f>IF(Personal!$D$61="","",N(Personal!$M$61)*(1+IF(MONTH(D$7)&gt;=Parameter!$C$28,Personal!$AN$61,0))*IFERROR(Personal!$Z$61/Personal!$R$61,0)+IF(MONTH(D$7)=Parameter!$C$29,N(Personal!$M$61)*N(Personal!$N$61)*N(Personal!$T$61),0))</f>
        <v/>
      </c>
      <c r="E86" s="126" t="str">
        <f>IF(Personal!$D$61="","",N(Personal!$M$61)*(1+IF(MONTH(E$7)&gt;=Parameter!$C$28,Personal!$AN$61,0))*IFERROR(Personal!$AA$61/Personal!$R$61,0)+IF(MONTH(E$7)=Parameter!$C$29,N(Personal!$M$61)*N(Personal!$N$61)*N(Personal!$T$61),0))</f>
        <v/>
      </c>
      <c r="F86" s="126" t="str">
        <f>IF(Personal!$D$61="","",N(Personal!$M$61)*(1+IF(MONTH(F$7)&gt;=Parameter!$C$28,Personal!$AN$61,0))*IFERROR(Personal!$AB$61/Personal!$R$61,0)+IF(MONTH(F$7)=Parameter!$C$29,N(Personal!$M$61)*N(Personal!$N$61)*N(Personal!$T$61),0))</f>
        <v/>
      </c>
      <c r="G86" s="126" t="str">
        <f>IF(Personal!$D$61="","",N(Personal!$M$61)*(1+IF(MONTH(G$7)&gt;=Parameter!$C$28,Personal!$AN$61,0))*IFERROR(Personal!$AC$61/Personal!$R$61,0)+IF(MONTH(G$7)=Parameter!$C$29,N(Personal!$M$61)*N(Personal!$N$61)*N(Personal!$T$61),0))</f>
        <v/>
      </c>
      <c r="H86" s="126" t="str">
        <f>IF(Personal!$D$61="","",N(Personal!$M$61)*(1+IF(MONTH(H$7)&gt;=Parameter!$C$28,Personal!$AN$61,0))*IFERROR(Personal!$AD$61/Personal!$R$61,0)+IF(MONTH(H$7)=Parameter!$C$29,N(Personal!$M$61)*N(Personal!$N$61)*N(Personal!$T$61),0))</f>
        <v/>
      </c>
      <c r="I86" s="126" t="str">
        <f>IF(Personal!$D$61="","",N(Personal!$M$61)*(1+IF(MONTH(I$7)&gt;=Parameter!$C$28,Personal!$AN$61,0))*IFERROR(Personal!$AE$61/Personal!$R$61,0)+IF(MONTH(I$7)=Parameter!$C$29,N(Personal!$M$61)*N(Personal!$N$61)*N(Personal!$T$61),0))</f>
        <v/>
      </c>
      <c r="J86" s="126" t="str">
        <f>IF(Personal!$D$61="","",N(Personal!$M$61)*(1+IF(MONTH(J$7)&gt;=Parameter!$C$28,Personal!$AN$61,0))*IFERROR(Personal!$AF$61/Personal!$R$61,0)+IF(MONTH(J$7)=Parameter!$C$29,N(Personal!$M$61)*N(Personal!$N$61)*N(Personal!$T$61),0))</f>
        <v/>
      </c>
      <c r="K86" s="126" t="str">
        <f>IF(Personal!$D$61="","",N(Personal!$M$61)*(1+IF(MONTH(K$7)&gt;=Parameter!$C$28,Personal!$AN$61,0))*IFERROR(Personal!$AG$61/Personal!$R$61,0)+IF(MONTH(K$7)=Parameter!$C$29,N(Personal!$M$61)*N(Personal!$N$61)*N(Personal!$T$61),0))</f>
        <v/>
      </c>
      <c r="L86" s="126" t="str">
        <f>IF(Personal!$D$61="","",N(Personal!$M$61)*(1+IF(MONTH(L$7)&gt;=Parameter!$C$28,Personal!$AN$61,0))*IFERROR(Personal!$AH$61/Personal!$R$61,0)+IF(MONTH(L$7)=Parameter!$C$29,N(Personal!$M$61)*N(Personal!$N$61)*N(Personal!$T$61),0))</f>
        <v/>
      </c>
      <c r="M86" s="126" t="str">
        <f>IF(Personal!$D$61="","",N(Personal!$M$61)*(1+IF(MONTH(M$7)&gt;=Parameter!$C$28,Personal!$AN$61,0))*IFERROR(Personal!$AI$61/Personal!$R$61,0)+IF(MONTH(M$7)=Parameter!$C$29,N(Personal!$M$61)*N(Personal!$N$61)*N(Personal!$T$61),0))</f>
        <v/>
      </c>
      <c r="N86" s="126" t="str">
        <f>IF(Personal!$D$61="","",N(Personal!$M$61)*(1+IF(MONTH(N$7)&gt;=Parameter!$C$28,Personal!$AN$61,0))*IFERROR(Personal!$AJ$61/Personal!$R$61,0)+IF(MONTH(N$7)=Parameter!$C$29,N(Personal!$M$61)*N(Personal!$N$61)*N(Personal!$T$61),0))</f>
        <v/>
      </c>
      <c r="O86" s="127" t="str">
        <f t="shared" si="12"/>
        <v/>
      </c>
      <c r="Q86" s="128" t="str">
        <f>IF(Personal!$D$61="","",MIN(C86,Parameter!$H$6)*Personal!$AO$61+MIN(C86,Parameter!$H$7)*Personal!$AP$61+C86*Personal!$AQ$61)</f>
        <v/>
      </c>
      <c r="R86" s="128" t="str">
        <f>IF(Personal!$D$61="","",MIN(D86,Parameter!$H$6)*Personal!$AO$61+MIN(D86,Parameter!$H$7)*Personal!$AP$61+D86*Personal!$AQ$61)</f>
        <v/>
      </c>
      <c r="S86" s="128" t="str">
        <f>IF(Personal!$D$61="","",MIN(E86,Parameter!$H$6)*Personal!$AO$61+MIN(E86,Parameter!$H$7)*Personal!$AP$61+E86*Personal!$AQ$61)</f>
        <v/>
      </c>
      <c r="T86" s="128" t="str">
        <f>IF(Personal!$D$61="","",MIN(F86,Parameter!$H$6)*Personal!$AO$61+MIN(F86,Parameter!$H$7)*Personal!$AP$61+F86*Personal!$AQ$61)</f>
        <v/>
      </c>
      <c r="U86" s="128" t="str">
        <f>IF(Personal!$D$61="","",MIN(G86,Parameter!$H$6)*Personal!$AO$61+MIN(G86,Parameter!$H$7)*Personal!$AP$61+G86*Personal!$AQ$61)</f>
        <v/>
      </c>
      <c r="V86" s="128" t="str">
        <f>IF(Personal!$D$61="","",MIN(H86,Parameter!$H$6)*Personal!$AO$61+MIN(H86,Parameter!$H$7)*Personal!$AP$61+H86*Personal!$AQ$61)</f>
        <v/>
      </c>
      <c r="W86" s="128" t="str">
        <f>IF(Personal!$D$61="","",MIN(I86,Parameter!$H$6)*Personal!$AO$61+MIN(I86,Parameter!$H$7)*Personal!$AP$61+I86*Personal!$AQ$61)</f>
        <v/>
      </c>
      <c r="X86" s="128" t="str">
        <f>IF(Personal!$D$61="","",MIN(J86,Parameter!$H$6)*Personal!$AO$61+MIN(J86,Parameter!$H$7)*Personal!$AP$61+J86*Personal!$AQ$61)</f>
        <v/>
      </c>
      <c r="Y86" s="128" t="str">
        <f>IF(Personal!$D$61="","",MIN(K86,Parameter!$H$6)*Personal!$AO$61+MIN(K86,Parameter!$H$7)*Personal!$AP$61+K86*Personal!$AQ$61)</f>
        <v/>
      </c>
      <c r="Z86" s="128" t="str">
        <f>IF(Personal!$D$61="","",MIN(L86,Parameter!$H$6)*Personal!$AO$61+MIN(L86,Parameter!$H$7)*Personal!$AP$61+L86*Personal!$AQ$61)</f>
        <v/>
      </c>
      <c r="AA86" s="128" t="str">
        <f>IF(Personal!$D$61="","",MIN(M86,Parameter!$H$6)*Personal!$AO$61+MIN(M86,Parameter!$H$7)*Personal!$AP$61+M86*Personal!$AQ$61)</f>
        <v/>
      </c>
      <c r="AB86" s="128" t="str">
        <f>IF(Personal!$D$61="","",MIN(N86,Parameter!$H$6)*Personal!$AO$61+MIN(N86,Parameter!$H$7)*Personal!$AP$61+N86*Personal!$AQ$61)</f>
        <v/>
      </c>
      <c r="AC86" s="127" t="str">
        <f t="shared" si="13"/>
        <v/>
      </c>
      <c r="AD86" s="129" t="str">
        <f t="shared" si="14"/>
        <v/>
      </c>
      <c r="AE86" s="130" t="str">
        <f>IF($B86="","",Personal!$E$61)</f>
        <v/>
      </c>
    </row>
    <row r="87" spans="2:31" ht="16.5" customHeight="1" x14ac:dyDescent="0.25">
      <c r="B87" s="125" t="str">
        <f>IF(Personal!$D$62="","",Personal!$D$62)</f>
        <v/>
      </c>
      <c r="C87" s="126" t="str">
        <f>IF(Personal!$D$62="","",N(Personal!$M$62)*(1+IF(MONTH(C$7)&gt;=Parameter!$C$28,Personal!$AN$62,0))*IFERROR(Personal!$Y$62/Personal!$R$62,0)+IF(MONTH(C$7)=Parameter!$C$29,N(Personal!$M$62)*N(Personal!$N$62)*N(Personal!$T$62),0))</f>
        <v/>
      </c>
      <c r="D87" s="126" t="str">
        <f>IF(Personal!$D$62="","",N(Personal!$M$62)*(1+IF(MONTH(D$7)&gt;=Parameter!$C$28,Personal!$AN$62,0))*IFERROR(Personal!$Z$62/Personal!$R$62,0)+IF(MONTH(D$7)=Parameter!$C$29,N(Personal!$M$62)*N(Personal!$N$62)*N(Personal!$T$62),0))</f>
        <v/>
      </c>
      <c r="E87" s="126" t="str">
        <f>IF(Personal!$D$62="","",N(Personal!$M$62)*(1+IF(MONTH(E$7)&gt;=Parameter!$C$28,Personal!$AN$62,0))*IFERROR(Personal!$AA$62/Personal!$R$62,0)+IF(MONTH(E$7)=Parameter!$C$29,N(Personal!$M$62)*N(Personal!$N$62)*N(Personal!$T$62),0))</f>
        <v/>
      </c>
      <c r="F87" s="126" t="str">
        <f>IF(Personal!$D$62="","",N(Personal!$M$62)*(1+IF(MONTH(F$7)&gt;=Parameter!$C$28,Personal!$AN$62,0))*IFERROR(Personal!$AB$62/Personal!$R$62,0)+IF(MONTH(F$7)=Parameter!$C$29,N(Personal!$M$62)*N(Personal!$N$62)*N(Personal!$T$62),0))</f>
        <v/>
      </c>
      <c r="G87" s="126" t="str">
        <f>IF(Personal!$D$62="","",N(Personal!$M$62)*(1+IF(MONTH(G$7)&gt;=Parameter!$C$28,Personal!$AN$62,0))*IFERROR(Personal!$AC$62/Personal!$R$62,0)+IF(MONTH(G$7)=Parameter!$C$29,N(Personal!$M$62)*N(Personal!$N$62)*N(Personal!$T$62),0))</f>
        <v/>
      </c>
      <c r="H87" s="126" t="str">
        <f>IF(Personal!$D$62="","",N(Personal!$M$62)*(1+IF(MONTH(H$7)&gt;=Parameter!$C$28,Personal!$AN$62,0))*IFERROR(Personal!$AD$62/Personal!$R$62,0)+IF(MONTH(H$7)=Parameter!$C$29,N(Personal!$M$62)*N(Personal!$N$62)*N(Personal!$T$62),0))</f>
        <v/>
      </c>
      <c r="I87" s="126" t="str">
        <f>IF(Personal!$D$62="","",N(Personal!$M$62)*(1+IF(MONTH(I$7)&gt;=Parameter!$C$28,Personal!$AN$62,0))*IFERROR(Personal!$AE$62/Personal!$R$62,0)+IF(MONTH(I$7)=Parameter!$C$29,N(Personal!$M$62)*N(Personal!$N$62)*N(Personal!$T$62),0))</f>
        <v/>
      </c>
      <c r="J87" s="126" t="str">
        <f>IF(Personal!$D$62="","",N(Personal!$M$62)*(1+IF(MONTH(J$7)&gt;=Parameter!$C$28,Personal!$AN$62,0))*IFERROR(Personal!$AF$62/Personal!$R$62,0)+IF(MONTH(J$7)=Parameter!$C$29,N(Personal!$M$62)*N(Personal!$N$62)*N(Personal!$T$62),0))</f>
        <v/>
      </c>
      <c r="K87" s="126" t="str">
        <f>IF(Personal!$D$62="","",N(Personal!$M$62)*(1+IF(MONTH(K$7)&gt;=Parameter!$C$28,Personal!$AN$62,0))*IFERROR(Personal!$AG$62/Personal!$R$62,0)+IF(MONTH(K$7)=Parameter!$C$29,N(Personal!$M$62)*N(Personal!$N$62)*N(Personal!$T$62),0))</f>
        <v/>
      </c>
      <c r="L87" s="126" t="str">
        <f>IF(Personal!$D$62="","",N(Personal!$M$62)*(1+IF(MONTH(L$7)&gt;=Parameter!$C$28,Personal!$AN$62,0))*IFERROR(Personal!$AH$62/Personal!$R$62,0)+IF(MONTH(L$7)=Parameter!$C$29,N(Personal!$M$62)*N(Personal!$N$62)*N(Personal!$T$62),0))</f>
        <v/>
      </c>
      <c r="M87" s="126" t="str">
        <f>IF(Personal!$D$62="","",N(Personal!$M$62)*(1+IF(MONTH(M$7)&gt;=Parameter!$C$28,Personal!$AN$62,0))*IFERROR(Personal!$AI$62/Personal!$R$62,0)+IF(MONTH(M$7)=Parameter!$C$29,N(Personal!$M$62)*N(Personal!$N$62)*N(Personal!$T$62),0))</f>
        <v/>
      </c>
      <c r="N87" s="126" t="str">
        <f>IF(Personal!$D$62="","",N(Personal!$M$62)*(1+IF(MONTH(N$7)&gt;=Parameter!$C$28,Personal!$AN$62,0))*IFERROR(Personal!$AJ$62/Personal!$R$62,0)+IF(MONTH(N$7)=Parameter!$C$29,N(Personal!$M$62)*N(Personal!$N$62)*N(Personal!$T$62),0))</f>
        <v/>
      </c>
      <c r="O87" s="127" t="str">
        <f t="shared" si="12"/>
        <v/>
      </c>
      <c r="Q87" s="128" t="str">
        <f>IF(Personal!$D$62="","",MIN(C87,Parameter!$H$6)*Personal!$AO$62+MIN(C87,Parameter!$H$7)*Personal!$AP$62+C87*Personal!$AQ$62)</f>
        <v/>
      </c>
      <c r="R87" s="128" t="str">
        <f>IF(Personal!$D$62="","",MIN(D87,Parameter!$H$6)*Personal!$AO$62+MIN(D87,Parameter!$H$7)*Personal!$AP$62+D87*Personal!$AQ$62)</f>
        <v/>
      </c>
      <c r="S87" s="128" t="str">
        <f>IF(Personal!$D$62="","",MIN(E87,Parameter!$H$6)*Personal!$AO$62+MIN(E87,Parameter!$H$7)*Personal!$AP$62+E87*Personal!$AQ$62)</f>
        <v/>
      </c>
      <c r="T87" s="128" t="str">
        <f>IF(Personal!$D$62="","",MIN(F87,Parameter!$H$6)*Personal!$AO$62+MIN(F87,Parameter!$H$7)*Personal!$AP$62+F87*Personal!$AQ$62)</f>
        <v/>
      </c>
      <c r="U87" s="128" t="str">
        <f>IF(Personal!$D$62="","",MIN(G87,Parameter!$H$6)*Personal!$AO$62+MIN(G87,Parameter!$H$7)*Personal!$AP$62+G87*Personal!$AQ$62)</f>
        <v/>
      </c>
      <c r="V87" s="128" t="str">
        <f>IF(Personal!$D$62="","",MIN(H87,Parameter!$H$6)*Personal!$AO$62+MIN(H87,Parameter!$H$7)*Personal!$AP$62+H87*Personal!$AQ$62)</f>
        <v/>
      </c>
      <c r="W87" s="128" t="str">
        <f>IF(Personal!$D$62="","",MIN(I87,Parameter!$H$6)*Personal!$AO$62+MIN(I87,Parameter!$H$7)*Personal!$AP$62+I87*Personal!$AQ$62)</f>
        <v/>
      </c>
      <c r="X87" s="128" t="str">
        <f>IF(Personal!$D$62="","",MIN(J87,Parameter!$H$6)*Personal!$AO$62+MIN(J87,Parameter!$H$7)*Personal!$AP$62+J87*Personal!$AQ$62)</f>
        <v/>
      </c>
      <c r="Y87" s="128" t="str">
        <f>IF(Personal!$D$62="","",MIN(K87,Parameter!$H$6)*Personal!$AO$62+MIN(K87,Parameter!$H$7)*Personal!$AP$62+K87*Personal!$AQ$62)</f>
        <v/>
      </c>
      <c r="Z87" s="128" t="str">
        <f>IF(Personal!$D$62="","",MIN(L87,Parameter!$H$6)*Personal!$AO$62+MIN(L87,Parameter!$H$7)*Personal!$AP$62+L87*Personal!$AQ$62)</f>
        <v/>
      </c>
      <c r="AA87" s="128" t="str">
        <f>IF(Personal!$D$62="","",MIN(M87,Parameter!$H$6)*Personal!$AO$62+MIN(M87,Parameter!$H$7)*Personal!$AP$62+M87*Personal!$AQ$62)</f>
        <v/>
      </c>
      <c r="AB87" s="128" t="str">
        <f>IF(Personal!$D$62="","",MIN(N87,Parameter!$H$6)*Personal!$AO$62+MIN(N87,Parameter!$H$7)*Personal!$AP$62+N87*Personal!$AQ$62)</f>
        <v/>
      </c>
      <c r="AC87" s="127" t="str">
        <f t="shared" si="13"/>
        <v/>
      </c>
      <c r="AD87" s="129" t="str">
        <f t="shared" si="14"/>
        <v/>
      </c>
      <c r="AE87" s="130" t="str">
        <f>IF($B87="","",Personal!$E$62)</f>
        <v/>
      </c>
    </row>
    <row r="88" spans="2:31" ht="16.5" customHeight="1" x14ac:dyDescent="0.25">
      <c r="B88" s="125" t="str">
        <f>IF(Personal!$D$63="","",Personal!$D$63)</f>
        <v/>
      </c>
      <c r="C88" s="126" t="str">
        <f>IF(Personal!$D$63="","",N(Personal!$M$63)*(1+IF(MONTH(C$7)&gt;=Parameter!$C$28,Personal!$AN$63,0))*IFERROR(Personal!$Y$63/Personal!$R$63,0)+IF(MONTH(C$7)=Parameter!$C$29,N(Personal!$M$63)*N(Personal!$N$63)*N(Personal!$T$63),0))</f>
        <v/>
      </c>
      <c r="D88" s="126" t="str">
        <f>IF(Personal!$D$63="","",N(Personal!$M$63)*(1+IF(MONTH(D$7)&gt;=Parameter!$C$28,Personal!$AN$63,0))*IFERROR(Personal!$Z$63/Personal!$R$63,0)+IF(MONTH(D$7)=Parameter!$C$29,N(Personal!$M$63)*N(Personal!$N$63)*N(Personal!$T$63),0))</f>
        <v/>
      </c>
      <c r="E88" s="126" t="str">
        <f>IF(Personal!$D$63="","",N(Personal!$M$63)*(1+IF(MONTH(E$7)&gt;=Parameter!$C$28,Personal!$AN$63,0))*IFERROR(Personal!$AA$63/Personal!$R$63,0)+IF(MONTH(E$7)=Parameter!$C$29,N(Personal!$M$63)*N(Personal!$N$63)*N(Personal!$T$63),0))</f>
        <v/>
      </c>
      <c r="F88" s="126" t="str">
        <f>IF(Personal!$D$63="","",N(Personal!$M$63)*(1+IF(MONTH(F$7)&gt;=Parameter!$C$28,Personal!$AN$63,0))*IFERROR(Personal!$AB$63/Personal!$R$63,0)+IF(MONTH(F$7)=Parameter!$C$29,N(Personal!$M$63)*N(Personal!$N$63)*N(Personal!$T$63),0))</f>
        <v/>
      </c>
      <c r="G88" s="126" t="str">
        <f>IF(Personal!$D$63="","",N(Personal!$M$63)*(1+IF(MONTH(G$7)&gt;=Parameter!$C$28,Personal!$AN$63,0))*IFERROR(Personal!$AC$63/Personal!$R$63,0)+IF(MONTH(G$7)=Parameter!$C$29,N(Personal!$M$63)*N(Personal!$N$63)*N(Personal!$T$63),0))</f>
        <v/>
      </c>
      <c r="H88" s="126" t="str">
        <f>IF(Personal!$D$63="","",N(Personal!$M$63)*(1+IF(MONTH(H$7)&gt;=Parameter!$C$28,Personal!$AN$63,0))*IFERROR(Personal!$AD$63/Personal!$R$63,0)+IF(MONTH(H$7)=Parameter!$C$29,N(Personal!$M$63)*N(Personal!$N$63)*N(Personal!$T$63),0))</f>
        <v/>
      </c>
      <c r="I88" s="126" t="str">
        <f>IF(Personal!$D$63="","",N(Personal!$M$63)*(1+IF(MONTH(I$7)&gt;=Parameter!$C$28,Personal!$AN$63,0))*IFERROR(Personal!$AE$63/Personal!$R$63,0)+IF(MONTH(I$7)=Parameter!$C$29,N(Personal!$M$63)*N(Personal!$N$63)*N(Personal!$T$63),0))</f>
        <v/>
      </c>
      <c r="J88" s="126" t="str">
        <f>IF(Personal!$D$63="","",N(Personal!$M$63)*(1+IF(MONTH(J$7)&gt;=Parameter!$C$28,Personal!$AN$63,0))*IFERROR(Personal!$AF$63/Personal!$R$63,0)+IF(MONTH(J$7)=Parameter!$C$29,N(Personal!$M$63)*N(Personal!$N$63)*N(Personal!$T$63),0))</f>
        <v/>
      </c>
      <c r="K88" s="126" t="str">
        <f>IF(Personal!$D$63="","",N(Personal!$M$63)*(1+IF(MONTH(K$7)&gt;=Parameter!$C$28,Personal!$AN$63,0))*IFERROR(Personal!$AG$63/Personal!$R$63,0)+IF(MONTH(K$7)=Parameter!$C$29,N(Personal!$M$63)*N(Personal!$N$63)*N(Personal!$T$63),0))</f>
        <v/>
      </c>
      <c r="L88" s="126" t="str">
        <f>IF(Personal!$D$63="","",N(Personal!$M$63)*(1+IF(MONTH(L$7)&gt;=Parameter!$C$28,Personal!$AN$63,0))*IFERROR(Personal!$AH$63/Personal!$R$63,0)+IF(MONTH(L$7)=Parameter!$C$29,N(Personal!$M$63)*N(Personal!$N$63)*N(Personal!$T$63),0))</f>
        <v/>
      </c>
      <c r="M88" s="126" t="str">
        <f>IF(Personal!$D$63="","",N(Personal!$M$63)*(1+IF(MONTH(M$7)&gt;=Parameter!$C$28,Personal!$AN$63,0))*IFERROR(Personal!$AI$63/Personal!$R$63,0)+IF(MONTH(M$7)=Parameter!$C$29,N(Personal!$M$63)*N(Personal!$N$63)*N(Personal!$T$63),0))</f>
        <v/>
      </c>
      <c r="N88" s="126" t="str">
        <f>IF(Personal!$D$63="","",N(Personal!$M$63)*(1+IF(MONTH(N$7)&gt;=Parameter!$C$28,Personal!$AN$63,0))*IFERROR(Personal!$AJ$63/Personal!$R$63,0)+IF(MONTH(N$7)=Parameter!$C$29,N(Personal!$M$63)*N(Personal!$N$63)*N(Personal!$T$63),0))</f>
        <v/>
      </c>
      <c r="O88" s="127" t="str">
        <f t="shared" si="12"/>
        <v/>
      </c>
      <c r="Q88" s="128" t="str">
        <f>IF(Personal!$D$63="","",MIN(C88,Parameter!$H$6)*Personal!$AO$63+MIN(C88,Parameter!$H$7)*Personal!$AP$63+C88*Personal!$AQ$63)</f>
        <v/>
      </c>
      <c r="R88" s="128" t="str">
        <f>IF(Personal!$D$63="","",MIN(D88,Parameter!$H$6)*Personal!$AO$63+MIN(D88,Parameter!$H$7)*Personal!$AP$63+D88*Personal!$AQ$63)</f>
        <v/>
      </c>
      <c r="S88" s="128" t="str">
        <f>IF(Personal!$D$63="","",MIN(E88,Parameter!$H$6)*Personal!$AO$63+MIN(E88,Parameter!$H$7)*Personal!$AP$63+E88*Personal!$AQ$63)</f>
        <v/>
      </c>
      <c r="T88" s="128" t="str">
        <f>IF(Personal!$D$63="","",MIN(F88,Parameter!$H$6)*Personal!$AO$63+MIN(F88,Parameter!$H$7)*Personal!$AP$63+F88*Personal!$AQ$63)</f>
        <v/>
      </c>
      <c r="U88" s="128" t="str">
        <f>IF(Personal!$D$63="","",MIN(G88,Parameter!$H$6)*Personal!$AO$63+MIN(G88,Parameter!$H$7)*Personal!$AP$63+G88*Personal!$AQ$63)</f>
        <v/>
      </c>
      <c r="V88" s="128" t="str">
        <f>IF(Personal!$D$63="","",MIN(H88,Parameter!$H$6)*Personal!$AO$63+MIN(H88,Parameter!$H$7)*Personal!$AP$63+H88*Personal!$AQ$63)</f>
        <v/>
      </c>
      <c r="W88" s="128" t="str">
        <f>IF(Personal!$D$63="","",MIN(I88,Parameter!$H$6)*Personal!$AO$63+MIN(I88,Parameter!$H$7)*Personal!$AP$63+I88*Personal!$AQ$63)</f>
        <v/>
      </c>
      <c r="X88" s="128" t="str">
        <f>IF(Personal!$D$63="","",MIN(J88,Parameter!$H$6)*Personal!$AO$63+MIN(J88,Parameter!$H$7)*Personal!$AP$63+J88*Personal!$AQ$63)</f>
        <v/>
      </c>
      <c r="Y88" s="128" t="str">
        <f>IF(Personal!$D$63="","",MIN(K88,Parameter!$H$6)*Personal!$AO$63+MIN(K88,Parameter!$H$7)*Personal!$AP$63+K88*Personal!$AQ$63)</f>
        <v/>
      </c>
      <c r="Z88" s="128" t="str">
        <f>IF(Personal!$D$63="","",MIN(L88,Parameter!$H$6)*Personal!$AO$63+MIN(L88,Parameter!$H$7)*Personal!$AP$63+L88*Personal!$AQ$63)</f>
        <v/>
      </c>
      <c r="AA88" s="128" t="str">
        <f>IF(Personal!$D$63="","",MIN(M88,Parameter!$H$6)*Personal!$AO$63+MIN(M88,Parameter!$H$7)*Personal!$AP$63+M88*Personal!$AQ$63)</f>
        <v/>
      </c>
      <c r="AB88" s="128" t="str">
        <f>IF(Personal!$D$63="","",MIN(N88,Parameter!$H$6)*Personal!$AO$63+MIN(N88,Parameter!$H$7)*Personal!$AP$63+N88*Personal!$AQ$63)</f>
        <v/>
      </c>
      <c r="AC88" s="127" t="str">
        <f t="shared" si="13"/>
        <v/>
      </c>
      <c r="AD88" s="129" t="str">
        <f t="shared" si="14"/>
        <v/>
      </c>
      <c r="AE88" s="130" t="str">
        <f>IF($B88="","",Personal!$E$63)</f>
        <v/>
      </c>
    </row>
    <row r="89" spans="2:31" ht="16.5" customHeight="1" x14ac:dyDescent="0.25">
      <c r="B89" s="125" t="str">
        <f>IF(Personal!$D$64="","",Personal!$D$64)</f>
        <v/>
      </c>
      <c r="C89" s="126" t="str">
        <f>IF(Personal!$D$64="","",N(Personal!$M$64)*(1+IF(MONTH(C$7)&gt;=Parameter!$C$28,Personal!$AN$64,0))*IFERROR(Personal!$Y$64/Personal!$R$64,0)+IF(MONTH(C$7)=Parameter!$C$29,N(Personal!$M$64)*N(Personal!$N$64)*N(Personal!$T$64),0))</f>
        <v/>
      </c>
      <c r="D89" s="126" t="str">
        <f>IF(Personal!$D$64="","",N(Personal!$M$64)*(1+IF(MONTH(D$7)&gt;=Parameter!$C$28,Personal!$AN$64,0))*IFERROR(Personal!$Z$64/Personal!$R$64,0)+IF(MONTH(D$7)=Parameter!$C$29,N(Personal!$M$64)*N(Personal!$N$64)*N(Personal!$T$64),0))</f>
        <v/>
      </c>
      <c r="E89" s="126" t="str">
        <f>IF(Personal!$D$64="","",N(Personal!$M$64)*(1+IF(MONTH(E$7)&gt;=Parameter!$C$28,Personal!$AN$64,0))*IFERROR(Personal!$AA$64/Personal!$R$64,0)+IF(MONTH(E$7)=Parameter!$C$29,N(Personal!$M$64)*N(Personal!$N$64)*N(Personal!$T$64),0))</f>
        <v/>
      </c>
      <c r="F89" s="126" t="str">
        <f>IF(Personal!$D$64="","",N(Personal!$M$64)*(1+IF(MONTH(F$7)&gt;=Parameter!$C$28,Personal!$AN$64,0))*IFERROR(Personal!$AB$64/Personal!$R$64,0)+IF(MONTH(F$7)=Parameter!$C$29,N(Personal!$M$64)*N(Personal!$N$64)*N(Personal!$T$64),0))</f>
        <v/>
      </c>
      <c r="G89" s="126" t="str">
        <f>IF(Personal!$D$64="","",N(Personal!$M$64)*(1+IF(MONTH(G$7)&gt;=Parameter!$C$28,Personal!$AN$64,0))*IFERROR(Personal!$AC$64/Personal!$R$64,0)+IF(MONTH(G$7)=Parameter!$C$29,N(Personal!$M$64)*N(Personal!$N$64)*N(Personal!$T$64),0))</f>
        <v/>
      </c>
      <c r="H89" s="126" t="str">
        <f>IF(Personal!$D$64="","",N(Personal!$M$64)*(1+IF(MONTH(H$7)&gt;=Parameter!$C$28,Personal!$AN$64,0))*IFERROR(Personal!$AD$64/Personal!$R$64,0)+IF(MONTH(H$7)=Parameter!$C$29,N(Personal!$M$64)*N(Personal!$N$64)*N(Personal!$T$64),0))</f>
        <v/>
      </c>
      <c r="I89" s="126" t="str">
        <f>IF(Personal!$D$64="","",N(Personal!$M$64)*(1+IF(MONTH(I$7)&gt;=Parameter!$C$28,Personal!$AN$64,0))*IFERROR(Personal!$AE$64/Personal!$R$64,0)+IF(MONTH(I$7)=Parameter!$C$29,N(Personal!$M$64)*N(Personal!$N$64)*N(Personal!$T$64),0))</f>
        <v/>
      </c>
      <c r="J89" s="126" t="str">
        <f>IF(Personal!$D$64="","",N(Personal!$M$64)*(1+IF(MONTH(J$7)&gt;=Parameter!$C$28,Personal!$AN$64,0))*IFERROR(Personal!$AF$64/Personal!$R$64,0)+IF(MONTH(J$7)=Parameter!$C$29,N(Personal!$M$64)*N(Personal!$N$64)*N(Personal!$T$64),0))</f>
        <v/>
      </c>
      <c r="K89" s="126" t="str">
        <f>IF(Personal!$D$64="","",N(Personal!$M$64)*(1+IF(MONTH(K$7)&gt;=Parameter!$C$28,Personal!$AN$64,0))*IFERROR(Personal!$AG$64/Personal!$R$64,0)+IF(MONTH(K$7)=Parameter!$C$29,N(Personal!$M$64)*N(Personal!$N$64)*N(Personal!$T$64),0))</f>
        <v/>
      </c>
      <c r="L89" s="126" t="str">
        <f>IF(Personal!$D$64="","",N(Personal!$M$64)*(1+IF(MONTH(L$7)&gt;=Parameter!$C$28,Personal!$AN$64,0))*IFERROR(Personal!$AH$64/Personal!$R$64,0)+IF(MONTH(L$7)=Parameter!$C$29,N(Personal!$M$64)*N(Personal!$N$64)*N(Personal!$T$64),0))</f>
        <v/>
      </c>
      <c r="M89" s="126" t="str">
        <f>IF(Personal!$D$64="","",N(Personal!$M$64)*(1+IF(MONTH(M$7)&gt;=Parameter!$C$28,Personal!$AN$64,0))*IFERROR(Personal!$AI$64/Personal!$R$64,0)+IF(MONTH(M$7)=Parameter!$C$29,N(Personal!$M$64)*N(Personal!$N$64)*N(Personal!$T$64),0))</f>
        <v/>
      </c>
      <c r="N89" s="126" t="str">
        <f>IF(Personal!$D$64="","",N(Personal!$M$64)*(1+IF(MONTH(N$7)&gt;=Parameter!$C$28,Personal!$AN$64,0))*IFERROR(Personal!$AJ$64/Personal!$R$64,0)+IF(MONTH(N$7)=Parameter!$C$29,N(Personal!$M$64)*N(Personal!$N$64)*N(Personal!$T$64),0))</f>
        <v/>
      </c>
      <c r="O89" s="127" t="str">
        <f t="shared" si="12"/>
        <v/>
      </c>
      <c r="Q89" s="128" t="str">
        <f>IF(Personal!$D$64="","",MIN(C89,Parameter!$H$6)*Personal!$AO$64+MIN(C89,Parameter!$H$7)*Personal!$AP$64+C89*Personal!$AQ$64)</f>
        <v/>
      </c>
      <c r="R89" s="128" t="str">
        <f>IF(Personal!$D$64="","",MIN(D89,Parameter!$H$6)*Personal!$AO$64+MIN(D89,Parameter!$H$7)*Personal!$AP$64+D89*Personal!$AQ$64)</f>
        <v/>
      </c>
      <c r="S89" s="128" t="str">
        <f>IF(Personal!$D$64="","",MIN(E89,Parameter!$H$6)*Personal!$AO$64+MIN(E89,Parameter!$H$7)*Personal!$AP$64+E89*Personal!$AQ$64)</f>
        <v/>
      </c>
      <c r="T89" s="128" t="str">
        <f>IF(Personal!$D$64="","",MIN(F89,Parameter!$H$6)*Personal!$AO$64+MIN(F89,Parameter!$H$7)*Personal!$AP$64+F89*Personal!$AQ$64)</f>
        <v/>
      </c>
      <c r="U89" s="128" t="str">
        <f>IF(Personal!$D$64="","",MIN(G89,Parameter!$H$6)*Personal!$AO$64+MIN(G89,Parameter!$H$7)*Personal!$AP$64+G89*Personal!$AQ$64)</f>
        <v/>
      </c>
      <c r="V89" s="128" t="str">
        <f>IF(Personal!$D$64="","",MIN(H89,Parameter!$H$6)*Personal!$AO$64+MIN(H89,Parameter!$H$7)*Personal!$AP$64+H89*Personal!$AQ$64)</f>
        <v/>
      </c>
      <c r="W89" s="128" t="str">
        <f>IF(Personal!$D$64="","",MIN(I89,Parameter!$H$6)*Personal!$AO$64+MIN(I89,Parameter!$H$7)*Personal!$AP$64+I89*Personal!$AQ$64)</f>
        <v/>
      </c>
      <c r="X89" s="128" t="str">
        <f>IF(Personal!$D$64="","",MIN(J89,Parameter!$H$6)*Personal!$AO$64+MIN(J89,Parameter!$H$7)*Personal!$AP$64+J89*Personal!$AQ$64)</f>
        <v/>
      </c>
      <c r="Y89" s="128" t="str">
        <f>IF(Personal!$D$64="","",MIN(K89,Parameter!$H$6)*Personal!$AO$64+MIN(K89,Parameter!$H$7)*Personal!$AP$64+K89*Personal!$AQ$64)</f>
        <v/>
      </c>
      <c r="Z89" s="128" t="str">
        <f>IF(Personal!$D$64="","",MIN(L89,Parameter!$H$6)*Personal!$AO$64+MIN(L89,Parameter!$H$7)*Personal!$AP$64+L89*Personal!$AQ$64)</f>
        <v/>
      </c>
      <c r="AA89" s="128" t="str">
        <f>IF(Personal!$D$64="","",MIN(M89,Parameter!$H$6)*Personal!$AO$64+MIN(M89,Parameter!$H$7)*Personal!$AP$64+M89*Personal!$AQ$64)</f>
        <v/>
      </c>
      <c r="AB89" s="128" t="str">
        <f>IF(Personal!$D$64="","",MIN(N89,Parameter!$H$6)*Personal!$AO$64+MIN(N89,Parameter!$H$7)*Personal!$AP$64+N89*Personal!$AQ$64)</f>
        <v/>
      </c>
      <c r="AC89" s="127" t="str">
        <f t="shared" si="13"/>
        <v/>
      </c>
      <c r="AD89" s="129" t="str">
        <f t="shared" si="14"/>
        <v/>
      </c>
      <c r="AE89" s="130" t="str">
        <f>IF($B89="","",Personal!$E$64)</f>
        <v/>
      </c>
    </row>
    <row r="90" spans="2:31" ht="16.5" customHeight="1" x14ac:dyDescent="0.25">
      <c r="B90" s="125" t="str">
        <f>IF(Personal!$D$65="","",Personal!$D$65)</f>
        <v/>
      </c>
      <c r="C90" s="126" t="str">
        <f>IF(Personal!$D$65="","",N(Personal!$M$65)*(1+IF(MONTH(C$7)&gt;=Parameter!$C$28,Personal!$AN$65,0))*IFERROR(Personal!$Y$65/Personal!$R$65,0)+IF(MONTH(C$7)=Parameter!$C$29,N(Personal!$M$65)*N(Personal!$N$65)*N(Personal!$T$65),0))</f>
        <v/>
      </c>
      <c r="D90" s="126" t="str">
        <f>IF(Personal!$D$65="","",N(Personal!$M$65)*(1+IF(MONTH(D$7)&gt;=Parameter!$C$28,Personal!$AN$65,0))*IFERROR(Personal!$Z$65/Personal!$R$65,0)+IF(MONTH(D$7)=Parameter!$C$29,N(Personal!$M$65)*N(Personal!$N$65)*N(Personal!$T$65),0))</f>
        <v/>
      </c>
      <c r="E90" s="126" t="str">
        <f>IF(Personal!$D$65="","",N(Personal!$M$65)*(1+IF(MONTH(E$7)&gt;=Parameter!$C$28,Personal!$AN$65,0))*IFERROR(Personal!$AA$65/Personal!$R$65,0)+IF(MONTH(E$7)=Parameter!$C$29,N(Personal!$M$65)*N(Personal!$N$65)*N(Personal!$T$65),0))</f>
        <v/>
      </c>
      <c r="F90" s="126" t="str">
        <f>IF(Personal!$D$65="","",N(Personal!$M$65)*(1+IF(MONTH(F$7)&gt;=Parameter!$C$28,Personal!$AN$65,0))*IFERROR(Personal!$AB$65/Personal!$R$65,0)+IF(MONTH(F$7)=Parameter!$C$29,N(Personal!$M$65)*N(Personal!$N$65)*N(Personal!$T$65),0))</f>
        <v/>
      </c>
      <c r="G90" s="126" t="str">
        <f>IF(Personal!$D$65="","",N(Personal!$M$65)*(1+IF(MONTH(G$7)&gt;=Parameter!$C$28,Personal!$AN$65,0))*IFERROR(Personal!$AC$65/Personal!$R$65,0)+IF(MONTH(G$7)=Parameter!$C$29,N(Personal!$M$65)*N(Personal!$N$65)*N(Personal!$T$65),0))</f>
        <v/>
      </c>
      <c r="H90" s="126" t="str">
        <f>IF(Personal!$D$65="","",N(Personal!$M$65)*(1+IF(MONTH(H$7)&gt;=Parameter!$C$28,Personal!$AN$65,0))*IFERROR(Personal!$AD$65/Personal!$R$65,0)+IF(MONTH(H$7)=Parameter!$C$29,N(Personal!$M$65)*N(Personal!$N$65)*N(Personal!$T$65),0))</f>
        <v/>
      </c>
      <c r="I90" s="126" t="str">
        <f>IF(Personal!$D$65="","",N(Personal!$M$65)*(1+IF(MONTH(I$7)&gt;=Parameter!$C$28,Personal!$AN$65,0))*IFERROR(Personal!$AE$65/Personal!$R$65,0)+IF(MONTH(I$7)=Parameter!$C$29,N(Personal!$M$65)*N(Personal!$N$65)*N(Personal!$T$65),0))</f>
        <v/>
      </c>
      <c r="J90" s="126" t="str">
        <f>IF(Personal!$D$65="","",N(Personal!$M$65)*(1+IF(MONTH(J$7)&gt;=Parameter!$C$28,Personal!$AN$65,0))*IFERROR(Personal!$AF$65/Personal!$R$65,0)+IF(MONTH(J$7)=Parameter!$C$29,N(Personal!$M$65)*N(Personal!$N$65)*N(Personal!$T$65),0))</f>
        <v/>
      </c>
      <c r="K90" s="126" t="str">
        <f>IF(Personal!$D$65="","",N(Personal!$M$65)*(1+IF(MONTH(K$7)&gt;=Parameter!$C$28,Personal!$AN$65,0))*IFERROR(Personal!$AG$65/Personal!$R$65,0)+IF(MONTH(K$7)=Parameter!$C$29,N(Personal!$M$65)*N(Personal!$N$65)*N(Personal!$T$65),0))</f>
        <v/>
      </c>
      <c r="L90" s="126" t="str">
        <f>IF(Personal!$D$65="","",N(Personal!$M$65)*(1+IF(MONTH(L$7)&gt;=Parameter!$C$28,Personal!$AN$65,0))*IFERROR(Personal!$AH$65/Personal!$R$65,0)+IF(MONTH(L$7)=Parameter!$C$29,N(Personal!$M$65)*N(Personal!$N$65)*N(Personal!$T$65),0))</f>
        <v/>
      </c>
      <c r="M90" s="126" t="str">
        <f>IF(Personal!$D$65="","",N(Personal!$M$65)*(1+IF(MONTH(M$7)&gt;=Parameter!$C$28,Personal!$AN$65,0))*IFERROR(Personal!$AI$65/Personal!$R$65,0)+IF(MONTH(M$7)=Parameter!$C$29,N(Personal!$M$65)*N(Personal!$N$65)*N(Personal!$T$65),0))</f>
        <v/>
      </c>
      <c r="N90" s="126" t="str">
        <f>IF(Personal!$D$65="","",N(Personal!$M$65)*(1+IF(MONTH(N$7)&gt;=Parameter!$C$28,Personal!$AN$65,0))*IFERROR(Personal!$AJ$65/Personal!$R$65,0)+IF(MONTH(N$7)=Parameter!$C$29,N(Personal!$M$65)*N(Personal!$N$65)*N(Personal!$T$65),0))</f>
        <v/>
      </c>
      <c r="O90" s="127" t="str">
        <f t="shared" si="12"/>
        <v/>
      </c>
      <c r="Q90" s="128" t="str">
        <f>IF(Personal!$D$65="","",MIN(C90,Parameter!$H$6)*Personal!$AO$65+MIN(C90,Parameter!$H$7)*Personal!$AP$65+C90*Personal!$AQ$65)</f>
        <v/>
      </c>
      <c r="R90" s="128" t="str">
        <f>IF(Personal!$D$65="","",MIN(D90,Parameter!$H$6)*Personal!$AO$65+MIN(D90,Parameter!$H$7)*Personal!$AP$65+D90*Personal!$AQ$65)</f>
        <v/>
      </c>
      <c r="S90" s="128" t="str">
        <f>IF(Personal!$D$65="","",MIN(E90,Parameter!$H$6)*Personal!$AO$65+MIN(E90,Parameter!$H$7)*Personal!$AP$65+E90*Personal!$AQ$65)</f>
        <v/>
      </c>
      <c r="T90" s="128" t="str">
        <f>IF(Personal!$D$65="","",MIN(F90,Parameter!$H$6)*Personal!$AO$65+MIN(F90,Parameter!$H$7)*Personal!$AP$65+F90*Personal!$AQ$65)</f>
        <v/>
      </c>
      <c r="U90" s="128" t="str">
        <f>IF(Personal!$D$65="","",MIN(G90,Parameter!$H$6)*Personal!$AO$65+MIN(G90,Parameter!$H$7)*Personal!$AP$65+G90*Personal!$AQ$65)</f>
        <v/>
      </c>
      <c r="V90" s="128" t="str">
        <f>IF(Personal!$D$65="","",MIN(H90,Parameter!$H$6)*Personal!$AO$65+MIN(H90,Parameter!$H$7)*Personal!$AP$65+H90*Personal!$AQ$65)</f>
        <v/>
      </c>
      <c r="W90" s="128" t="str">
        <f>IF(Personal!$D$65="","",MIN(I90,Parameter!$H$6)*Personal!$AO$65+MIN(I90,Parameter!$H$7)*Personal!$AP$65+I90*Personal!$AQ$65)</f>
        <v/>
      </c>
      <c r="X90" s="128" t="str">
        <f>IF(Personal!$D$65="","",MIN(J90,Parameter!$H$6)*Personal!$AO$65+MIN(J90,Parameter!$H$7)*Personal!$AP$65+J90*Personal!$AQ$65)</f>
        <v/>
      </c>
      <c r="Y90" s="128" t="str">
        <f>IF(Personal!$D$65="","",MIN(K90,Parameter!$H$6)*Personal!$AO$65+MIN(K90,Parameter!$H$7)*Personal!$AP$65+K90*Personal!$AQ$65)</f>
        <v/>
      </c>
      <c r="Z90" s="128" t="str">
        <f>IF(Personal!$D$65="","",MIN(L90,Parameter!$H$6)*Personal!$AO$65+MIN(L90,Parameter!$H$7)*Personal!$AP$65+L90*Personal!$AQ$65)</f>
        <v/>
      </c>
      <c r="AA90" s="128" t="str">
        <f>IF(Personal!$D$65="","",MIN(M90,Parameter!$H$6)*Personal!$AO$65+MIN(M90,Parameter!$H$7)*Personal!$AP$65+M90*Personal!$AQ$65)</f>
        <v/>
      </c>
      <c r="AB90" s="128" t="str">
        <f>IF(Personal!$D$65="","",MIN(N90,Parameter!$H$6)*Personal!$AO$65+MIN(N90,Parameter!$H$7)*Personal!$AP$65+N90*Personal!$AQ$65)</f>
        <v/>
      </c>
      <c r="AC90" s="127" t="str">
        <f t="shared" si="13"/>
        <v/>
      </c>
      <c r="AD90" s="129" t="str">
        <f t="shared" si="14"/>
        <v/>
      </c>
      <c r="AE90" s="130" t="str">
        <f>IF($B90="","",Personal!$E$65)</f>
        <v/>
      </c>
    </row>
    <row r="91" spans="2:31" ht="16.5" customHeight="1" x14ac:dyDescent="0.25">
      <c r="B91" s="125" t="str">
        <f>IF(Personal!$D$66="","",Personal!$D$66)</f>
        <v/>
      </c>
      <c r="C91" s="126" t="str">
        <f>IF(Personal!$D$66="","",N(Personal!$M$66)*(1+IF(MONTH(C$7)&gt;=Parameter!$C$28,Personal!$AN$66,0))*IFERROR(Personal!$Y$66/Personal!$R$66,0)+IF(MONTH(C$7)=Parameter!$C$29,N(Personal!$M$66)*N(Personal!$N$66)*N(Personal!$T$66),0))</f>
        <v/>
      </c>
      <c r="D91" s="126" t="str">
        <f>IF(Personal!$D$66="","",N(Personal!$M$66)*(1+IF(MONTH(D$7)&gt;=Parameter!$C$28,Personal!$AN$66,0))*IFERROR(Personal!$Z$66/Personal!$R$66,0)+IF(MONTH(D$7)=Parameter!$C$29,N(Personal!$M$66)*N(Personal!$N$66)*N(Personal!$T$66),0))</f>
        <v/>
      </c>
      <c r="E91" s="126" t="str">
        <f>IF(Personal!$D$66="","",N(Personal!$M$66)*(1+IF(MONTH(E$7)&gt;=Parameter!$C$28,Personal!$AN$66,0))*IFERROR(Personal!$AA$66/Personal!$R$66,0)+IF(MONTH(E$7)=Parameter!$C$29,N(Personal!$M$66)*N(Personal!$N$66)*N(Personal!$T$66),0))</f>
        <v/>
      </c>
      <c r="F91" s="126" t="str">
        <f>IF(Personal!$D$66="","",N(Personal!$M$66)*(1+IF(MONTH(F$7)&gt;=Parameter!$C$28,Personal!$AN$66,0))*IFERROR(Personal!$AB$66/Personal!$R$66,0)+IF(MONTH(F$7)=Parameter!$C$29,N(Personal!$M$66)*N(Personal!$N$66)*N(Personal!$T$66),0))</f>
        <v/>
      </c>
      <c r="G91" s="126" t="str">
        <f>IF(Personal!$D$66="","",N(Personal!$M$66)*(1+IF(MONTH(G$7)&gt;=Parameter!$C$28,Personal!$AN$66,0))*IFERROR(Personal!$AC$66/Personal!$R$66,0)+IF(MONTH(G$7)=Parameter!$C$29,N(Personal!$M$66)*N(Personal!$N$66)*N(Personal!$T$66),0))</f>
        <v/>
      </c>
      <c r="H91" s="126" t="str">
        <f>IF(Personal!$D$66="","",N(Personal!$M$66)*(1+IF(MONTH(H$7)&gt;=Parameter!$C$28,Personal!$AN$66,0))*IFERROR(Personal!$AD$66/Personal!$R$66,0)+IF(MONTH(H$7)=Parameter!$C$29,N(Personal!$M$66)*N(Personal!$N$66)*N(Personal!$T$66),0))</f>
        <v/>
      </c>
      <c r="I91" s="126" t="str">
        <f>IF(Personal!$D$66="","",N(Personal!$M$66)*(1+IF(MONTH(I$7)&gt;=Parameter!$C$28,Personal!$AN$66,0))*IFERROR(Personal!$AE$66/Personal!$R$66,0)+IF(MONTH(I$7)=Parameter!$C$29,N(Personal!$M$66)*N(Personal!$N$66)*N(Personal!$T$66),0))</f>
        <v/>
      </c>
      <c r="J91" s="126" t="str">
        <f>IF(Personal!$D$66="","",N(Personal!$M$66)*(1+IF(MONTH(J$7)&gt;=Parameter!$C$28,Personal!$AN$66,0))*IFERROR(Personal!$AF$66/Personal!$R$66,0)+IF(MONTH(J$7)=Parameter!$C$29,N(Personal!$M$66)*N(Personal!$N$66)*N(Personal!$T$66),0))</f>
        <v/>
      </c>
      <c r="K91" s="126" t="str">
        <f>IF(Personal!$D$66="","",N(Personal!$M$66)*(1+IF(MONTH(K$7)&gt;=Parameter!$C$28,Personal!$AN$66,0))*IFERROR(Personal!$AG$66/Personal!$R$66,0)+IF(MONTH(K$7)=Parameter!$C$29,N(Personal!$M$66)*N(Personal!$N$66)*N(Personal!$T$66),0))</f>
        <v/>
      </c>
      <c r="L91" s="126" t="str">
        <f>IF(Personal!$D$66="","",N(Personal!$M$66)*(1+IF(MONTH(L$7)&gt;=Parameter!$C$28,Personal!$AN$66,0))*IFERROR(Personal!$AH$66/Personal!$R$66,0)+IF(MONTH(L$7)=Parameter!$C$29,N(Personal!$M$66)*N(Personal!$N$66)*N(Personal!$T$66),0))</f>
        <v/>
      </c>
      <c r="M91" s="126" t="str">
        <f>IF(Personal!$D$66="","",N(Personal!$M$66)*(1+IF(MONTH(M$7)&gt;=Parameter!$C$28,Personal!$AN$66,0))*IFERROR(Personal!$AI$66/Personal!$R$66,0)+IF(MONTH(M$7)=Parameter!$C$29,N(Personal!$M$66)*N(Personal!$N$66)*N(Personal!$T$66),0))</f>
        <v/>
      </c>
      <c r="N91" s="126" t="str">
        <f>IF(Personal!$D$66="","",N(Personal!$M$66)*(1+IF(MONTH(N$7)&gt;=Parameter!$C$28,Personal!$AN$66,0))*IFERROR(Personal!$AJ$66/Personal!$R$66,0)+IF(MONTH(N$7)=Parameter!$C$29,N(Personal!$M$66)*N(Personal!$N$66)*N(Personal!$T$66),0))</f>
        <v/>
      </c>
      <c r="O91" s="127" t="str">
        <f t="shared" si="12"/>
        <v/>
      </c>
      <c r="Q91" s="128" t="str">
        <f>IF(Personal!$D$66="","",MIN(C91,Parameter!$H$6)*Personal!$AO$66+MIN(C91,Parameter!$H$7)*Personal!$AP$66+C91*Personal!$AQ$66)</f>
        <v/>
      </c>
      <c r="R91" s="128" t="str">
        <f>IF(Personal!$D$66="","",MIN(D91,Parameter!$H$6)*Personal!$AO$66+MIN(D91,Parameter!$H$7)*Personal!$AP$66+D91*Personal!$AQ$66)</f>
        <v/>
      </c>
      <c r="S91" s="128" t="str">
        <f>IF(Personal!$D$66="","",MIN(E91,Parameter!$H$6)*Personal!$AO$66+MIN(E91,Parameter!$H$7)*Personal!$AP$66+E91*Personal!$AQ$66)</f>
        <v/>
      </c>
      <c r="T91" s="128" t="str">
        <f>IF(Personal!$D$66="","",MIN(F91,Parameter!$H$6)*Personal!$AO$66+MIN(F91,Parameter!$H$7)*Personal!$AP$66+F91*Personal!$AQ$66)</f>
        <v/>
      </c>
      <c r="U91" s="128" t="str">
        <f>IF(Personal!$D$66="","",MIN(G91,Parameter!$H$6)*Personal!$AO$66+MIN(G91,Parameter!$H$7)*Personal!$AP$66+G91*Personal!$AQ$66)</f>
        <v/>
      </c>
      <c r="V91" s="128" t="str">
        <f>IF(Personal!$D$66="","",MIN(H91,Parameter!$H$6)*Personal!$AO$66+MIN(H91,Parameter!$H$7)*Personal!$AP$66+H91*Personal!$AQ$66)</f>
        <v/>
      </c>
      <c r="W91" s="128" t="str">
        <f>IF(Personal!$D$66="","",MIN(I91,Parameter!$H$6)*Personal!$AO$66+MIN(I91,Parameter!$H$7)*Personal!$AP$66+I91*Personal!$AQ$66)</f>
        <v/>
      </c>
      <c r="X91" s="128" t="str">
        <f>IF(Personal!$D$66="","",MIN(J91,Parameter!$H$6)*Personal!$AO$66+MIN(J91,Parameter!$H$7)*Personal!$AP$66+J91*Personal!$AQ$66)</f>
        <v/>
      </c>
      <c r="Y91" s="128" t="str">
        <f>IF(Personal!$D$66="","",MIN(K91,Parameter!$H$6)*Personal!$AO$66+MIN(K91,Parameter!$H$7)*Personal!$AP$66+K91*Personal!$AQ$66)</f>
        <v/>
      </c>
      <c r="Z91" s="128" t="str">
        <f>IF(Personal!$D$66="","",MIN(L91,Parameter!$H$6)*Personal!$AO$66+MIN(L91,Parameter!$H$7)*Personal!$AP$66+L91*Personal!$AQ$66)</f>
        <v/>
      </c>
      <c r="AA91" s="128" t="str">
        <f>IF(Personal!$D$66="","",MIN(M91,Parameter!$H$6)*Personal!$AO$66+MIN(M91,Parameter!$H$7)*Personal!$AP$66+M91*Personal!$AQ$66)</f>
        <v/>
      </c>
      <c r="AB91" s="128" t="str">
        <f>IF(Personal!$D$66="","",MIN(N91,Parameter!$H$6)*Personal!$AO$66+MIN(N91,Parameter!$H$7)*Personal!$AP$66+N91*Personal!$AQ$66)</f>
        <v/>
      </c>
      <c r="AC91" s="127" t="str">
        <f t="shared" si="13"/>
        <v/>
      </c>
      <c r="AD91" s="129" t="str">
        <f t="shared" si="14"/>
        <v/>
      </c>
      <c r="AE91" s="130" t="str">
        <f>IF($B91="","",Personal!$E$66)</f>
        <v/>
      </c>
    </row>
    <row r="92" spans="2:31" ht="16.5" customHeight="1" x14ac:dyDescent="0.25">
      <c r="B92" s="125" t="str">
        <f>IF(Personal!$D$67="","",Personal!$D$67)</f>
        <v/>
      </c>
      <c r="C92" s="126" t="str">
        <f>IF(Personal!$D$67="","",N(Personal!$M$67)*(1+IF(MONTH(C$7)&gt;=Parameter!$C$28,Personal!$AN$67,0))*IFERROR(Personal!$Y$67/Personal!$R$67,0)+IF(MONTH(C$7)=Parameter!$C$29,N(Personal!$M$67)*N(Personal!$N$67)*N(Personal!$T$67),0))</f>
        <v/>
      </c>
      <c r="D92" s="126" t="str">
        <f>IF(Personal!$D$67="","",N(Personal!$M$67)*(1+IF(MONTH(D$7)&gt;=Parameter!$C$28,Personal!$AN$67,0))*IFERROR(Personal!$Z$67/Personal!$R$67,0)+IF(MONTH(D$7)=Parameter!$C$29,N(Personal!$M$67)*N(Personal!$N$67)*N(Personal!$T$67),0))</f>
        <v/>
      </c>
      <c r="E92" s="126" t="str">
        <f>IF(Personal!$D$67="","",N(Personal!$M$67)*(1+IF(MONTH(E$7)&gt;=Parameter!$C$28,Personal!$AN$67,0))*IFERROR(Personal!$AA$67/Personal!$R$67,0)+IF(MONTH(E$7)=Parameter!$C$29,N(Personal!$M$67)*N(Personal!$N$67)*N(Personal!$T$67),0))</f>
        <v/>
      </c>
      <c r="F92" s="126" t="str">
        <f>IF(Personal!$D$67="","",N(Personal!$M$67)*(1+IF(MONTH(F$7)&gt;=Parameter!$C$28,Personal!$AN$67,0))*IFERROR(Personal!$AB$67/Personal!$R$67,0)+IF(MONTH(F$7)=Parameter!$C$29,N(Personal!$M$67)*N(Personal!$N$67)*N(Personal!$T$67),0))</f>
        <v/>
      </c>
      <c r="G92" s="126" t="str">
        <f>IF(Personal!$D$67="","",N(Personal!$M$67)*(1+IF(MONTH(G$7)&gt;=Parameter!$C$28,Personal!$AN$67,0))*IFERROR(Personal!$AC$67/Personal!$R$67,0)+IF(MONTH(G$7)=Parameter!$C$29,N(Personal!$M$67)*N(Personal!$N$67)*N(Personal!$T$67),0))</f>
        <v/>
      </c>
      <c r="H92" s="126" t="str">
        <f>IF(Personal!$D$67="","",N(Personal!$M$67)*(1+IF(MONTH(H$7)&gt;=Parameter!$C$28,Personal!$AN$67,0))*IFERROR(Personal!$AD$67/Personal!$R$67,0)+IF(MONTH(H$7)=Parameter!$C$29,N(Personal!$M$67)*N(Personal!$N$67)*N(Personal!$T$67),0))</f>
        <v/>
      </c>
      <c r="I92" s="126" t="str">
        <f>IF(Personal!$D$67="","",N(Personal!$M$67)*(1+IF(MONTH(I$7)&gt;=Parameter!$C$28,Personal!$AN$67,0))*IFERROR(Personal!$AE$67/Personal!$R$67,0)+IF(MONTH(I$7)=Parameter!$C$29,N(Personal!$M$67)*N(Personal!$N$67)*N(Personal!$T$67),0))</f>
        <v/>
      </c>
      <c r="J92" s="126" t="str">
        <f>IF(Personal!$D$67="","",N(Personal!$M$67)*(1+IF(MONTH(J$7)&gt;=Parameter!$C$28,Personal!$AN$67,0))*IFERROR(Personal!$AF$67/Personal!$R$67,0)+IF(MONTH(J$7)=Parameter!$C$29,N(Personal!$M$67)*N(Personal!$N$67)*N(Personal!$T$67),0))</f>
        <v/>
      </c>
      <c r="K92" s="126" t="str">
        <f>IF(Personal!$D$67="","",N(Personal!$M$67)*(1+IF(MONTH(K$7)&gt;=Parameter!$C$28,Personal!$AN$67,0))*IFERROR(Personal!$AG$67/Personal!$R$67,0)+IF(MONTH(K$7)=Parameter!$C$29,N(Personal!$M$67)*N(Personal!$N$67)*N(Personal!$T$67),0))</f>
        <v/>
      </c>
      <c r="L92" s="126" t="str">
        <f>IF(Personal!$D$67="","",N(Personal!$M$67)*(1+IF(MONTH(L$7)&gt;=Parameter!$C$28,Personal!$AN$67,0))*IFERROR(Personal!$AH$67/Personal!$R$67,0)+IF(MONTH(L$7)=Parameter!$C$29,N(Personal!$M$67)*N(Personal!$N$67)*N(Personal!$T$67),0))</f>
        <v/>
      </c>
      <c r="M92" s="126" t="str">
        <f>IF(Personal!$D$67="","",N(Personal!$M$67)*(1+IF(MONTH(M$7)&gt;=Parameter!$C$28,Personal!$AN$67,0))*IFERROR(Personal!$AI$67/Personal!$R$67,0)+IF(MONTH(M$7)=Parameter!$C$29,N(Personal!$M$67)*N(Personal!$N$67)*N(Personal!$T$67),0))</f>
        <v/>
      </c>
      <c r="N92" s="126" t="str">
        <f>IF(Personal!$D$67="","",N(Personal!$M$67)*(1+IF(MONTH(N$7)&gt;=Parameter!$C$28,Personal!$AN$67,0))*IFERROR(Personal!$AJ$67/Personal!$R$67,0)+IF(MONTH(N$7)=Parameter!$C$29,N(Personal!$M$67)*N(Personal!$N$67)*N(Personal!$T$67),0))</f>
        <v/>
      </c>
      <c r="O92" s="127" t="str">
        <f t="shared" si="12"/>
        <v/>
      </c>
      <c r="Q92" s="128" t="str">
        <f>IF(Personal!$D$67="","",MIN(C92,Parameter!$H$6)*Personal!$AO$67+MIN(C92,Parameter!$H$7)*Personal!$AP$67+C92*Personal!$AQ$67)</f>
        <v/>
      </c>
      <c r="R92" s="128" t="str">
        <f>IF(Personal!$D$67="","",MIN(D92,Parameter!$H$6)*Personal!$AO$67+MIN(D92,Parameter!$H$7)*Personal!$AP$67+D92*Personal!$AQ$67)</f>
        <v/>
      </c>
      <c r="S92" s="128" t="str">
        <f>IF(Personal!$D$67="","",MIN(E92,Parameter!$H$6)*Personal!$AO$67+MIN(E92,Parameter!$H$7)*Personal!$AP$67+E92*Personal!$AQ$67)</f>
        <v/>
      </c>
      <c r="T92" s="128" t="str">
        <f>IF(Personal!$D$67="","",MIN(F92,Parameter!$H$6)*Personal!$AO$67+MIN(F92,Parameter!$H$7)*Personal!$AP$67+F92*Personal!$AQ$67)</f>
        <v/>
      </c>
      <c r="U92" s="128" t="str">
        <f>IF(Personal!$D$67="","",MIN(G92,Parameter!$H$6)*Personal!$AO$67+MIN(G92,Parameter!$H$7)*Personal!$AP$67+G92*Personal!$AQ$67)</f>
        <v/>
      </c>
      <c r="V92" s="128" t="str">
        <f>IF(Personal!$D$67="","",MIN(H92,Parameter!$H$6)*Personal!$AO$67+MIN(H92,Parameter!$H$7)*Personal!$AP$67+H92*Personal!$AQ$67)</f>
        <v/>
      </c>
      <c r="W92" s="128" t="str">
        <f>IF(Personal!$D$67="","",MIN(I92,Parameter!$H$6)*Personal!$AO$67+MIN(I92,Parameter!$H$7)*Personal!$AP$67+I92*Personal!$AQ$67)</f>
        <v/>
      </c>
      <c r="X92" s="128" t="str">
        <f>IF(Personal!$D$67="","",MIN(J92,Parameter!$H$6)*Personal!$AO$67+MIN(J92,Parameter!$H$7)*Personal!$AP$67+J92*Personal!$AQ$67)</f>
        <v/>
      </c>
      <c r="Y92" s="128" t="str">
        <f>IF(Personal!$D$67="","",MIN(K92,Parameter!$H$6)*Personal!$AO$67+MIN(K92,Parameter!$H$7)*Personal!$AP$67+K92*Personal!$AQ$67)</f>
        <v/>
      </c>
      <c r="Z92" s="128" t="str">
        <f>IF(Personal!$D$67="","",MIN(L92,Parameter!$H$6)*Personal!$AO$67+MIN(L92,Parameter!$H$7)*Personal!$AP$67+L92*Personal!$AQ$67)</f>
        <v/>
      </c>
      <c r="AA92" s="128" t="str">
        <f>IF(Personal!$D$67="","",MIN(M92,Parameter!$H$6)*Personal!$AO$67+MIN(M92,Parameter!$H$7)*Personal!$AP$67+M92*Personal!$AQ$67)</f>
        <v/>
      </c>
      <c r="AB92" s="128" t="str">
        <f>IF(Personal!$D$67="","",MIN(N92,Parameter!$H$6)*Personal!$AO$67+MIN(N92,Parameter!$H$7)*Personal!$AP$67+N92*Personal!$AQ$67)</f>
        <v/>
      </c>
      <c r="AC92" s="127" t="str">
        <f t="shared" si="13"/>
        <v/>
      </c>
      <c r="AD92" s="129" t="str">
        <f t="shared" si="14"/>
        <v/>
      </c>
      <c r="AE92" s="130" t="str">
        <f>IF($B92="","",Personal!$E$67)</f>
        <v/>
      </c>
    </row>
  </sheetData>
  <mergeCells count="4">
    <mergeCell ref="Q8:AA14"/>
    <mergeCell ref="C31:O31"/>
    <mergeCell ref="Q31:AC31"/>
    <mergeCell ref="AD31:AE31"/>
  </mergeCells>
  <conditionalFormatting sqref="C13:O13">
    <cfRule type="expression" dxfId="1" priority="2">
      <formula>AND(ISNUMBER(C13),C13&lt;0)</formula>
    </cfRule>
    <cfRule type="expression" dxfId="0" priority="3">
      <formula>AND(ISNUMBER(C13),C13&gt;=0)</formula>
    </cfRule>
  </conditionalFormatting>
  <conditionalFormatting sqref="C14:O14">
    <cfRule type="dataBar" priority="4">
      <dataBar>
        <cfvo type="num" val="0.8"/>
        <cfvo type="num" val="1.1000000000000001"/>
        <color rgb="FFC9828A"/>
      </dataBar>
      <extLst>
        <ext xmlns:x14="http://schemas.microsoft.com/office/spreadsheetml/2009/9/main" uri="{B025F937-C7B1-47D3-B67F-A62EFF666E3E}">
          <x14:id>{6AC39678-BA41-4E6A-8E19-CCA6542910A5}</x14:id>
        </ext>
      </extLst>
    </cfRule>
  </conditionalFormatting>
  <pageMargins left="0.4" right="0.4" top="1" bottom="1" header="0.511811023622047" footer="0.511811023622047"/>
  <pageSetup paperSize="9"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expression" priority="5" id="{00000000-000E-0000-0500-000005000000}">
            <xm:f>AND(ISNUMBER(C33),MONTH(C$7)=Parameter!$C$29,C33&gt;0)</xm:f>
            <x14:dxf>
              <fill>
                <patternFill>
                  <bgColor rgb="FFF3E3E5"/>
                </patternFill>
              </fill>
            </x14:dxf>
          </x14:cfRule>
          <xm:sqref>C33:N92</xm:sqref>
        </x14:conditionalFormatting>
        <x14:conditionalFormatting xmlns:xm="http://schemas.microsoft.com/office/excel/2006/main">
          <x14:cfRule type="dataBar" id="{6AC39678-BA41-4E6A-8E19-CCA6542910A5}">
            <x14:dataBar axisPosition="none">
              <x14:cfvo type="num">
                <xm:f>0.8</xm:f>
              </x14:cfvo>
              <x14:cfvo type="num">
                <xm:f>1.1000000000000001</xm:f>
              </x14:cfvo>
              <x14:negativeFillColor rgb="FFC9828A"/>
            </x14:dataBar>
          </x14:cfRule>
          <xm:sqref>C14:O14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Anleitung</vt:lpstr>
      <vt:lpstr>Übersicht</vt:lpstr>
      <vt:lpstr>Parameter</vt:lpstr>
      <vt:lpstr>Personal</vt:lpstr>
      <vt:lpstr>Bedarfsplanung</vt:lpstr>
      <vt:lpstr>Personalkosten</vt:lpstr>
      <vt:lpstr>Personal!Drucktitel</vt:lpstr>
      <vt:lpstr>Personalkosten!Drucktitel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2026-10-14T10:27:02Z</dcterms:created>
  <dcterms:modified xsi:type="dcterms:W3CDTF">2026-10-14T10:37:28Z</dcterms:modified>
  <dc:language>en-US</dc:language>
</cp:coreProperties>
</file>