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041A78A-8B7C-40B7-BFED-93093718693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Belegungsplan" sheetId="2" r:id="rId1"/>
    <sheet name="Buchungen" sheetId="3" r:id="rId2"/>
    <sheet name="Teamplan" sheetId="4" r:id="rId3"/>
    <sheet name="Auswertung" sheetId="5" r:id="rId4"/>
    <sheet name="Stammdaten" sheetId="6" r:id="rId5"/>
    <sheet name="Anleitung" sheetId="1" r:id="rId6"/>
  </sheets>
  <definedNames>
    <definedName name="_xlnm._FilterDatabase" localSheetId="0" hidden="1">Belegungsplan!$B$9:$E$49</definedName>
    <definedName name="_xlnm._FilterDatabase" localSheetId="1" hidden="1">Buchungen!$B$5:$M$605</definedName>
    <definedName name="_xlnm._FilterDatabase" localSheetId="2" hidden="1">Teamplan!$B$9:$E$69</definedName>
    <definedName name="_xlnm.Print_Titles" localSheetId="0">Belegungsplan!$7:$9</definedName>
    <definedName name="_xlnm.Print_Titles" localSheetId="1">Buchungen!$5:$5</definedName>
    <definedName name="_xlnm.Print_Titles" localSheetId="2">Teamplan!$7:$9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69" i="6" l="1"/>
  <c r="S69" i="6"/>
  <c r="O69" i="6"/>
  <c r="T68" i="6"/>
  <c r="S68" i="6"/>
  <c r="O68" i="6"/>
  <c r="T67" i="6"/>
  <c r="S67" i="6"/>
  <c r="O67" i="6"/>
  <c r="T66" i="6"/>
  <c r="S66" i="6"/>
  <c r="O66" i="6"/>
  <c r="T65" i="6"/>
  <c r="S65" i="6"/>
  <c r="O65" i="6"/>
  <c r="T64" i="6"/>
  <c r="S64" i="6"/>
  <c r="O64" i="6"/>
  <c r="T63" i="6"/>
  <c r="S63" i="6"/>
  <c r="O63" i="6"/>
  <c r="T62" i="6"/>
  <c r="S62" i="6"/>
  <c r="O62" i="6"/>
  <c r="T61" i="6"/>
  <c r="S61" i="6"/>
  <c r="O61" i="6"/>
  <c r="T60" i="6"/>
  <c r="S60" i="6"/>
  <c r="O60" i="6"/>
  <c r="T59" i="6"/>
  <c r="S59" i="6"/>
  <c r="O59" i="6"/>
  <c r="T58" i="6"/>
  <c r="S58" i="6"/>
  <c r="O58" i="6"/>
  <c r="T57" i="6"/>
  <c r="S57" i="6"/>
  <c r="O57" i="6"/>
  <c r="T56" i="6"/>
  <c r="S56" i="6"/>
  <c r="O56" i="6"/>
  <c r="T55" i="6"/>
  <c r="S55" i="6"/>
  <c r="O55" i="6"/>
  <c r="T54" i="6"/>
  <c r="S54" i="6"/>
  <c r="O54" i="6"/>
  <c r="T53" i="6"/>
  <c r="S53" i="6"/>
  <c r="O53" i="6"/>
  <c r="T52" i="6"/>
  <c r="S52" i="6"/>
  <c r="O52" i="6"/>
  <c r="T51" i="6"/>
  <c r="S51" i="6"/>
  <c r="O51" i="6"/>
  <c r="T50" i="6"/>
  <c r="S50" i="6"/>
  <c r="O50" i="6"/>
  <c r="T49" i="6"/>
  <c r="S49" i="6"/>
  <c r="O49" i="6"/>
  <c r="L49" i="6"/>
  <c r="K49" i="6"/>
  <c r="T48" i="6"/>
  <c r="S48" i="6"/>
  <c r="O48" i="6"/>
  <c r="L48" i="6"/>
  <c r="K48" i="6"/>
  <c r="T47" i="6"/>
  <c r="S47" i="6"/>
  <c r="O47" i="6"/>
  <c r="L47" i="6"/>
  <c r="K47" i="6"/>
  <c r="T46" i="6"/>
  <c r="S46" i="6"/>
  <c r="O46" i="6"/>
  <c r="L46" i="6"/>
  <c r="K46" i="6"/>
  <c r="T45" i="6"/>
  <c r="S45" i="6"/>
  <c r="O45" i="6"/>
  <c r="L45" i="6"/>
  <c r="K45" i="6"/>
  <c r="T44" i="6"/>
  <c r="S44" i="6"/>
  <c r="O44" i="6"/>
  <c r="L44" i="6"/>
  <c r="K44" i="6"/>
  <c r="O43" i="6"/>
  <c r="L43" i="6"/>
  <c r="K43" i="6"/>
  <c r="O42" i="6"/>
  <c r="L42" i="6"/>
  <c r="K42" i="6"/>
  <c r="O41" i="6"/>
  <c r="L41" i="6"/>
  <c r="K41" i="6"/>
  <c r="O40" i="6"/>
  <c r="L40" i="6"/>
  <c r="K40" i="6"/>
  <c r="O39" i="6"/>
  <c r="L39" i="6"/>
  <c r="K39" i="6"/>
  <c r="O38" i="6"/>
  <c r="L38" i="6"/>
  <c r="K38" i="6"/>
  <c r="O37" i="6"/>
  <c r="L37" i="6"/>
  <c r="K37" i="6"/>
  <c r="O36" i="6"/>
  <c r="L36" i="6"/>
  <c r="K36" i="6"/>
  <c r="O35" i="6"/>
  <c r="L35" i="6"/>
  <c r="K35" i="6"/>
  <c r="O34" i="6"/>
  <c r="L34" i="6"/>
  <c r="K34" i="6"/>
  <c r="O33" i="6"/>
  <c r="O32" i="6"/>
  <c r="O31" i="6"/>
  <c r="O30" i="6"/>
  <c r="O29" i="6"/>
  <c r="O28" i="6"/>
  <c r="L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B3" i="6"/>
  <c r="G62" i="5"/>
  <c r="G59" i="5"/>
  <c r="G56" i="5"/>
  <c r="G55" i="5"/>
  <c r="H43" i="5"/>
  <c r="F43" i="5"/>
  <c r="D43" i="5"/>
  <c r="C43" i="5"/>
  <c r="B43" i="5"/>
  <c r="E43" i="5" s="1"/>
  <c r="H42" i="5"/>
  <c r="F42" i="5"/>
  <c r="E42" i="5"/>
  <c r="C42" i="5"/>
  <c r="B42" i="5"/>
  <c r="G42" i="5" s="1"/>
  <c r="C41" i="5"/>
  <c r="B41" i="5"/>
  <c r="B40" i="5"/>
  <c r="D39" i="5"/>
  <c r="B39" i="5"/>
  <c r="D38" i="5"/>
  <c r="C38" i="5"/>
  <c r="B38" i="5"/>
  <c r="D37" i="5"/>
  <c r="C37" i="5"/>
  <c r="B37" i="5"/>
  <c r="G37" i="5" s="1"/>
  <c r="C36" i="5"/>
  <c r="B36" i="5"/>
  <c r="F31" i="5"/>
  <c r="E31" i="5"/>
  <c r="D31" i="5"/>
  <c r="C31" i="5"/>
  <c r="B31" i="5"/>
  <c r="G31" i="5" s="1"/>
  <c r="B30" i="5"/>
  <c r="C29" i="5"/>
  <c r="B29" i="5"/>
  <c r="D29" i="5" s="1"/>
  <c r="B28" i="5"/>
  <c r="C27" i="5"/>
  <c r="B27" i="5"/>
  <c r="C26" i="5"/>
  <c r="D26" i="5" s="1"/>
  <c r="B26" i="5"/>
  <c r="D19" i="5"/>
  <c r="C19" i="5"/>
  <c r="D18" i="5"/>
  <c r="C18" i="5"/>
  <c r="D17" i="5"/>
  <c r="C17" i="5"/>
  <c r="C16" i="5"/>
  <c r="D16" i="5" s="1"/>
  <c r="C15" i="5"/>
  <c r="D15" i="5" s="1"/>
  <c r="L11" i="5"/>
  <c r="J11" i="5"/>
  <c r="H11" i="5"/>
  <c r="D11" i="5"/>
  <c r="B11" i="5"/>
  <c r="J9" i="5"/>
  <c r="D9" i="5"/>
  <c r="G54" i="5" s="1"/>
  <c r="B9" i="5"/>
  <c r="I5" i="5"/>
  <c r="B3" i="5"/>
  <c r="S69" i="4"/>
  <c r="M69" i="4"/>
  <c r="J69" i="4"/>
  <c r="H69" i="4"/>
  <c r="G69" i="4"/>
  <c r="F69" i="4"/>
  <c r="E69" i="4"/>
  <c r="D69" i="4"/>
  <c r="C69" i="4"/>
  <c r="B69" i="4"/>
  <c r="L69" i="4" s="1"/>
  <c r="D68" i="4"/>
  <c r="B68" i="4"/>
  <c r="T67" i="4"/>
  <c r="S67" i="4"/>
  <c r="O67" i="4"/>
  <c r="M67" i="4"/>
  <c r="L67" i="4"/>
  <c r="I67" i="4"/>
  <c r="B67" i="4"/>
  <c r="T66" i="4"/>
  <c r="S66" i="4"/>
  <c r="R66" i="4"/>
  <c r="P66" i="4"/>
  <c r="O66" i="4"/>
  <c r="N66" i="4"/>
  <c r="M66" i="4"/>
  <c r="L66" i="4"/>
  <c r="J66" i="4"/>
  <c r="I66" i="4"/>
  <c r="H66" i="4"/>
  <c r="G66" i="4"/>
  <c r="F66" i="4"/>
  <c r="E66" i="4"/>
  <c r="D66" i="4"/>
  <c r="C66" i="4"/>
  <c r="B66" i="4"/>
  <c r="S65" i="4"/>
  <c r="L65" i="4"/>
  <c r="E65" i="4"/>
  <c r="D65" i="4"/>
  <c r="B65" i="4"/>
  <c r="N64" i="4"/>
  <c r="M64" i="4"/>
  <c r="J64" i="4"/>
  <c r="I64" i="4"/>
  <c r="H64" i="4"/>
  <c r="G64" i="4"/>
  <c r="F64" i="4"/>
  <c r="E64" i="4"/>
  <c r="C64" i="4"/>
  <c r="B64" i="4"/>
  <c r="R64" i="4" s="1"/>
  <c r="H63" i="4"/>
  <c r="D63" i="4"/>
  <c r="C63" i="4"/>
  <c r="B63" i="4"/>
  <c r="O62" i="4"/>
  <c r="E62" i="4"/>
  <c r="D62" i="4"/>
  <c r="B62" i="4"/>
  <c r="T61" i="4"/>
  <c r="S61" i="4"/>
  <c r="R61" i="4"/>
  <c r="P61" i="4"/>
  <c r="O61" i="4"/>
  <c r="N61" i="4"/>
  <c r="M61" i="4"/>
  <c r="L61" i="4"/>
  <c r="J61" i="4"/>
  <c r="I61" i="4"/>
  <c r="F61" i="4"/>
  <c r="D61" i="4"/>
  <c r="B61" i="4"/>
  <c r="G61" i="4" s="1"/>
  <c r="T60" i="4"/>
  <c r="S60" i="4"/>
  <c r="P60" i="4"/>
  <c r="O60" i="4"/>
  <c r="N60" i="4"/>
  <c r="M60" i="4"/>
  <c r="L60" i="4"/>
  <c r="H60" i="4"/>
  <c r="F60" i="4"/>
  <c r="E60" i="4"/>
  <c r="B60" i="4"/>
  <c r="J59" i="4"/>
  <c r="G59" i="4"/>
  <c r="D59" i="4"/>
  <c r="B59" i="4"/>
  <c r="S58" i="4"/>
  <c r="P58" i="4"/>
  <c r="J58" i="4"/>
  <c r="I58" i="4"/>
  <c r="G58" i="4"/>
  <c r="F58" i="4"/>
  <c r="E58" i="4"/>
  <c r="D58" i="4"/>
  <c r="C58" i="4"/>
  <c r="B58" i="4"/>
  <c r="T58" i="4" s="1"/>
  <c r="B57" i="4"/>
  <c r="G56" i="4"/>
  <c r="B56" i="4"/>
  <c r="T55" i="4"/>
  <c r="S55" i="4"/>
  <c r="R55" i="4"/>
  <c r="P55" i="4"/>
  <c r="O55" i="4"/>
  <c r="N55" i="4"/>
  <c r="M55" i="4"/>
  <c r="L55" i="4"/>
  <c r="J55" i="4"/>
  <c r="H55" i="4"/>
  <c r="G55" i="4"/>
  <c r="F55" i="4"/>
  <c r="E55" i="4"/>
  <c r="C55" i="4"/>
  <c r="B55" i="4"/>
  <c r="I55" i="4" s="1"/>
  <c r="P54" i="4"/>
  <c r="O54" i="4"/>
  <c r="M54" i="4"/>
  <c r="L54" i="4"/>
  <c r="J54" i="4"/>
  <c r="I54" i="4"/>
  <c r="H54" i="4"/>
  <c r="G54" i="4"/>
  <c r="D54" i="4"/>
  <c r="B54" i="4"/>
  <c r="B53" i="4"/>
  <c r="S52" i="4"/>
  <c r="P52" i="4"/>
  <c r="O52" i="4"/>
  <c r="M52" i="4"/>
  <c r="G52" i="4"/>
  <c r="F52" i="4"/>
  <c r="D52" i="4"/>
  <c r="C52" i="4"/>
  <c r="B52" i="4"/>
  <c r="C51" i="4"/>
  <c r="B51" i="4"/>
  <c r="T50" i="4"/>
  <c r="S50" i="4"/>
  <c r="R50" i="4"/>
  <c r="P50" i="4"/>
  <c r="N50" i="4"/>
  <c r="M50" i="4"/>
  <c r="L50" i="4"/>
  <c r="J50" i="4"/>
  <c r="I50" i="4"/>
  <c r="H50" i="4"/>
  <c r="G50" i="4"/>
  <c r="F50" i="4"/>
  <c r="D50" i="4"/>
  <c r="B50" i="4"/>
  <c r="O50" i="4" s="1"/>
  <c r="E49" i="4"/>
  <c r="B49" i="4"/>
  <c r="S48" i="4"/>
  <c r="M48" i="4"/>
  <c r="L48" i="4"/>
  <c r="I48" i="4"/>
  <c r="G48" i="4"/>
  <c r="F48" i="4"/>
  <c r="E48" i="4"/>
  <c r="D48" i="4"/>
  <c r="C48" i="4"/>
  <c r="B48" i="4"/>
  <c r="H48" i="4" s="1"/>
  <c r="N47" i="4"/>
  <c r="D47" i="4"/>
  <c r="C47" i="4"/>
  <c r="B47" i="4"/>
  <c r="T46" i="4"/>
  <c r="S46" i="4"/>
  <c r="R46" i="4"/>
  <c r="P46" i="4"/>
  <c r="O46" i="4"/>
  <c r="N46" i="4"/>
  <c r="M46" i="4"/>
  <c r="L46" i="4"/>
  <c r="J46" i="4"/>
  <c r="I46" i="4"/>
  <c r="H46" i="4"/>
  <c r="G46" i="4"/>
  <c r="F46" i="4"/>
  <c r="E46" i="4"/>
  <c r="D46" i="4"/>
  <c r="C46" i="4"/>
  <c r="B46" i="4"/>
  <c r="T45" i="4"/>
  <c r="S45" i="4"/>
  <c r="R45" i="4"/>
  <c r="P45" i="4"/>
  <c r="O45" i="4"/>
  <c r="N45" i="4"/>
  <c r="M45" i="4"/>
  <c r="L45" i="4"/>
  <c r="J45" i="4"/>
  <c r="I45" i="4"/>
  <c r="H45" i="4"/>
  <c r="F45" i="4"/>
  <c r="D45" i="4"/>
  <c r="B45" i="4"/>
  <c r="G45" i="4" s="1"/>
  <c r="D44" i="4"/>
  <c r="B44" i="4"/>
  <c r="E43" i="4"/>
  <c r="C43" i="4"/>
  <c r="B43" i="4"/>
  <c r="C42" i="4"/>
  <c r="B42" i="4"/>
  <c r="D41" i="4"/>
  <c r="B41" i="4"/>
  <c r="S40" i="4"/>
  <c r="E40" i="4"/>
  <c r="B40" i="4"/>
  <c r="D40" i="4" s="1"/>
  <c r="S39" i="4"/>
  <c r="E39" i="4"/>
  <c r="C39" i="4"/>
  <c r="B39" i="4"/>
  <c r="D39" i="4" s="1"/>
  <c r="D38" i="4"/>
  <c r="B38" i="4"/>
  <c r="D37" i="4"/>
  <c r="C37" i="4"/>
  <c r="B37" i="4"/>
  <c r="C36" i="4"/>
  <c r="B36" i="4"/>
  <c r="B35" i="4"/>
  <c r="E34" i="4"/>
  <c r="C34" i="4"/>
  <c r="B34" i="4"/>
  <c r="B33" i="4"/>
  <c r="E32" i="4"/>
  <c r="D32" i="4"/>
  <c r="C32" i="4"/>
  <c r="B32" i="4"/>
  <c r="S32" i="4" s="1"/>
  <c r="E31" i="4"/>
  <c r="D31" i="4"/>
  <c r="B31" i="4"/>
  <c r="B30" i="4"/>
  <c r="D29" i="4"/>
  <c r="S29" i="4" s="1"/>
  <c r="B29" i="4"/>
  <c r="E28" i="4"/>
  <c r="B28" i="4"/>
  <c r="D27" i="4"/>
  <c r="S27" i="4" s="1"/>
  <c r="C27" i="4"/>
  <c r="B27" i="4"/>
  <c r="E27" i="4" s="1"/>
  <c r="E26" i="4"/>
  <c r="D26" i="4"/>
  <c r="S26" i="4" s="1"/>
  <c r="C26" i="4"/>
  <c r="B26" i="4"/>
  <c r="C25" i="4"/>
  <c r="B25" i="4"/>
  <c r="S24" i="4"/>
  <c r="D24" i="4"/>
  <c r="B24" i="4"/>
  <c r="B23" i="4"/>
  <c r="E22" i="4"/>
  <c r="C22" i="4"/>
  <c r="B22" i="4"/>
  <c r="B21" i="4"/>
  <c r="E20" i="4"/>
  <c r="B20" i="4"/>
  <c r="B19" i="4"/>
  <c r="E18" i="4"/>
  <c r="C18" i="4"/>
  <c r="B18" i="4"/>
  <c r="D17" i="4"/>
  <c r="C17" i="4"/>
  <c r="B17" i="4"/>
  <c r="E16" i="4"/>
  <c r="D16" i="4"/>
  <c r="C16" i="4"/>
  <c r="B16" i="4"/>
  <c r="B15" i="4"/>
  <c r="B14" i="4"/>
  <c r="D13" i="4"/>
  <c r="S13" i="4" s="1"/>
  <c r="B13" i="4"/>
  <c r="C13" i="4" s="1"/>
  <c r="B12" i="4"/>
  <c r="E11" i="4"/>
  <c r="D11" i="4"/>
  <c r="C11" i="4"/>
  <c r="B11" i="4"/>
  <c r="E10" i="4"/>
  <c r="D10" i="4"/>
  <c r="C10" i="4"/>
  <c r="B10" i="4"/>
  <c r="B3" i="4"/>
  <c r="U605" i="3"/>
  <c r="T605" i="3"/>
  <c r="S605" i="3"/>
  <c r="R605" i="3"/>
  <c r="Q605" i="3"/>
  <c r="P605" i="3"/>
  <c r="O605" i="3"/>
  <c r="M605" i="3"/>
  <c r="L605" i="3"/>
  <c r="K605" i="3"/>
  <c r="E605" i="3"/>
  <c r="D605" i="3"/>
  <c r="B605" i="3"/>
  <c r="U604" i="3"/>
  <c r="T604" i="3"/>
  <c r="S604" i="3"/>
  <c r="R604" i="3"/>
  <c r="Q604" i="3"/>
  <c r="P604" i="3"/>
  <c r="O604" i="3"/>
  <c r="M604" i="3"/>
  <c r="L604" i="3"/>
  <c r="K604" i="3"/>
  <c r="E604" i="3"/>
  <c r="D604" i="3"/>
  <c r="B604" i="3"/>
  <c r="U603" i="3"/>
  <c r="T603" i="3"/>
  <c r="S603" i="3"/>
  <c r="R603" i="3"/>
  <c r="Q603" i="3"/>
  <c r="P603" i="3"/>
  <c r="O603" i="3"/>
  <c r="M603" i="3"/>
  <c r="L603" i="3"/>
  <c r="K603" i="3"/>
  <c r="E603" i="3"/>
  <c r="D603" i="3"/>
  <c r="B603" i="3"/>
  <c r="U602" i="3"/>
  <c r="T602" i="3"/>
  <c r="S602" i="3"/>
  <c r="R602" i="3"/>
  <c r="P602" i="3"/>
  <c r="Q602" i="3" s="1"/>
  <c r="O602" i="3"/>
  <c r="M602" i="3"/>
  <c r="L602" i="3"/>
  <c r="K602" i="3"/>
  <c r="E602" i="3"/>
  <c r="D602" i="3"/>
  <c r="B602" i="3"/>
  <c r="U601" i="3"/>
  <c r="T601" i="3"/>
  <c r="R601" i="3"/>
  <c r="S601" i="3" s="1"/>
  <c r="Q601" i="3"/>
  <c r="P601" i="3"/>
  <c r="M601" i="3"/>
  <c r="O601" i="3" s="1"/>
  <c r="L601" i="3"/>
  <c r="K601" i="3"/>
  <c r="E601" i="3"/>
  <c r="D601" i="3"/>
  <c r="B601" i="3"/>
  <c r="U600" i="3"/>
  <c r="T600" i="3"/>
  <c r="S600" i="3"/>
  <c r="R600" i="3"/>
  <c r="Q600" i="3"/>
  <c r="P600" i="3"/>
  <c r="M600" i="3"/>
  <c r="O600" i="3" s="1"/>
  <c r="L600" i="3"/>
  <c r="K600" i="3"/>
  <c r="E600" i="3"/>
  <c r="D600" i="3"/>
  <c r="B600" i="3"/>
  <c r="U599" i="3"/>
  <c r="T599" i="3"/>
  <c r="S599" i="3"/>
  <c r="R599" i="3"/>
  <c r="Q599" i="3"/>
  <c r="P599" i="3"/>
  <c r="M599" i="3"/>
  <c r="O599" i="3" s="1"/>
  <c r="L599" i="3"/>
  <c r="K599" i="3"/>
  <c r="E599" i="3"/>
  <c r="D599" i="3"/>
  <c r="B599" i="3"/>
  <c r="U598" i="3"/>
  <c r="T598" i="3"/>
  <c r="S598" i="3"/>
  <c r="R598" i="3"/>
  <c r="P598" i="3"/>
  <c r="Q598" i="3" s="1"/>
  <c r="M598" i="3"/>
  <c r="O598" i="3" s="1"/>
  <c r="L598" i="3"/>
  <c r="K598" i="3"/>
  <c r="E598" i="3"/>
  <c r="D598" i="3"/>
  <c r="B598" i="3"/>
  <c r="U597" i="3"/>
  <c r="T597" i="3"/>
  <c r="R597" i="3"/>
  <c r="S597" i="3" s="1"/>
  <c r="P597" i="3"/>
  <c r="Q597" i="3" s="1"/>
  <c r="M597" i="3"/>
  <c r="O597" i="3" s="1"/>
  <c r="L597" i="3"/>
  <c r="K597" i="3"/>
  <c r="E597" i="3"/>
  <c r="D597" i="3"/>
  <c r="B597" i="3"/>
  <c r="U596" i="3"/>
  <c r="T596" i="3"/>
  <c r="S596" i="3"/>
  <c r="R596" i="3"/>
  <c r="P596" i="3"/>
  <c r="Q596" i="3" s="1"/>
  <c r="M596" i="3"/>
  <c r="O596" i="3" s="1"/>
  <c r="L596" i="3"/>
  <c r="K596" i="3"/>
  <c r="E596" i="3"/>
  <c r="D596" i="3"/>
  <c r="B596" i="3"/>
  <c r="U595" i="3"/>
  <c r="T595" i="3"/>
  <c r="R595" i="3"/>
  <c r="S595" i="3" s="1"/>
  <c r="Q595" i="3"/>
  <c r="P595" i="3"/>
  <c r="M595" i="3"/>
  <c r="O595" i="3" s="1"/>
  <c r="L595" i="3"/>
  <c r="K595" i="3"/>
  <c r="E595" i="3"/>
  <c r="D595" i="3"/>
  <c r="B595" i="3"/>
  <c r="U594" i="3"/>
  <c r="T594" i="3"/>
  <c r="R594" i="3"/>
  <c r="S594" i="3" s="1"/>
  <c r="P594" i="3"/>
  <c r="Q594" i="3" s="1"/>
  <c r="M594" i="3"/>
  <c r="O594" i="3" s="1"/>
  <c r="L594" i="3"/>
  <c r="K594" i="3"/>
  <c r="E594" i="3"/>
  <c r="D594" i="3"/>
  <c r="B594" i="3"/>
  <c r="U593" i="3"/>
  <c r="T593" i="3"/>
  <c r="R593" i="3"/>
  <c r="S593" i="3" s="1"/>
  <c r="Q593" i="3"/>
  <c r="P593" i="3"/>
  <c r="O593" i="3"/>
  <c r="M593" i="3"/>
  <c r="L593" i="3"/>
  <c r="K593" i="3"/>
  <c r="E593" i="3"/>
  <c r="D593" i="3"/>
  <c r="B593" i="3"/>
  <c r="U592" i="3"/>
  <c r="T592" i="3"/>
  <c r="R592" i="3"/>
  <c r="S592" i="3" s="1"/>
  <c r="Q592" i="3"/>
  <c r="P592" i="3"/>
  <c r="M592" i="3"/>
  <c r="O592" i="3" s="1"/>
  <c r="L592" i="3"/>
  <c r="K592" i="3"/>
  <c r="E592" i="3"/>
  <c r="D592" i="3"/>
  <c r="B592" i="3"/>
  <c r="U591" i="3"/>
  <c r="T591" i="3"/>
  <c r="S591" i="3"/>
  <c r="R591" i="3"/>
  <c r="Q591" i="3"/>
  <c r="P591" i="3"/>
  <c r="O591" i="3"/>
  <c r="M591" i="3"/>
  <c r="L591" i="3"/>
  <c r="K591" i="3"/>
  <c r="E591" i="3"/>
  <c r="D591" i="3"/>
  <c r="B591" i="3"/>
  <c r="U590" i="3"/>
  <c r="T590" i="3"/>
  <c r="S590" i="3"/>
  <c r="R590" i="3"/>
  <c r="P590" i="3"/>
  <c r="Q590" i="3" s="1"/>
  <c r="O590" i="3"/>
  <c r="M590" i="3"/>
  <c r="L590" i="3"/>
  <c r="K590" i="3"/>
  <c r="E590" i="3"/>
  <c r="D590" i="3"/>
  <c r="B590" i="3"/>
  <c r="U589" i="3"/>
  <c r="T589" i="3"/>
  <c r="S589" i="3"/>
  <c r="R589" i="3"/>
  <c r="P589" i="3"/>
  <c r="Q589" i="3" s="1"/>
  <c r="M589" i="3"/>
  <c r="O589" i="3" s="1"/>
  <c r="L589" i="3"/>
  <c r="K589" i="3"/>
  <c r="E589" i="3"/>
  <c r="D589" i="3"/>
  <c r="B589" i="3"/>
  <c r="U588" i="3"/>
  <c r="T588" i="3"/>
  <c r="R588" i="3"/>
  <c r="S588" i="3" s="1"/>
  <c r="Q588" i="3"/>
  <c r="P588" i="3"/>
  <c r="O588" i="3"/>
  <c r="M588" i="3"/>
  <c r="L588" i="3"/>
  <c r="K588" i="3"/>
  <c r="E588" i="3"/>
  <c r="D588" i="3"/>
  <c r="B588" i="3"/>
  <c r="U587" i="3"/>
  <c r="T587" i="3"/>
  <c r="R587" i="3"/>
  <c r="S587" i="3" s="1"/>
  <c r="Q587" i="3"/>
  <c r="P587" i="3"/>
  <c r="M587" i="3"/>
  <c r="O587" i="3" s="1"/>
  <c r="L587" i="3"/>
  <c r="K587" i="3"/>
  <c r="E587" i="3"/>
  <c r="D587" i="3"/>
  <c r="B587" i="3"/>
  <c r="U586" i="3"/>
  <c r="T586" i="3"/>
  <c r="S586" i="3"/>
  <c r="R586" i="3"/>
  <c r="Q586" i="3"/>
  <c r="P586" i="3"/>
  <c r="M586" i="3"/>
  <c r="O586" i="3" s="1"/>
  <c r="L586" i="3"/>
  <c r="K586" i="3"/>
  <c r="E586" i="3"/>
  <c r="D586" i="3"/>
  <c r="B586" i="3"/>
  <c r="U585" i="3"/>
  <c r="T585" i="3"/>
  <c r="S585" i="3"/>
  <c r="R585" i="3"/>
  <c r="P585" i="3"/>
  <c r="Q585" i="3" s="1"/>
  <c r="M585" i="3"/>
  <c r="O585" i="3" s="1"/>
  <c r="L585" i="3"/>
  <c r="K585" i="3"/>
  <c r="E585" i="3"/>
  <c r="D585" i="3"/>
  <c r="B585" i="3"/>
  <c r="U584" i="3"/>
  <c r="T584" i="3"/>
  <c r="R584" i="3"/>
  <c r="S584" i="3" s="1"/>
  <c r="Q584" i="3"/>
  <c r="P584" i="3"/>
  <c r="M584" i="3"/>
  <c r="O584" i="3" s="1"/>
  <c r="L584" i="3"/>
  <c r="K584" i="3"/>
  <c r="E584" i="3"/>
  <c r="D584" i="3"/>
  <c r="B584" i="3"/>
  <c r="U583" i="3"/>
  <c r="T583" i="3"/>
  <c r="R583" i="3"/>
  <c r="S583" i="3" s="1"/>
  <c r="P583" i="3"/>
  <c r="Q583" i="3" s="1"/>
  <c r="M583" i="3"/>
  <c r="O583" i="3" s="1"/>
  <c r="L583" i="3"/>
  <c r="K583" i="3"/>
  <c r="E583" i="3"/>
  <c r="D583" i="3"/>
  <c r="B583" i="3"/>
  <c r="U582" i="3"/>
  <c r="T582" i="3"/>
  <c r="S582" i="3"/>
  <c r="R582" i="3"/>
  <c r="P582" i="3"/>
  <c r="Q582" i="3" s="1"/>
  <c r="O582" i="3"/>
  <c r="M582" i="3"/>
  <c r="L582" i="3"/>
  <c r="K582" i="3"/>
  <c r="E582" i="3"/>
  <c r="D582" i="3"/>
  <c r="B582" i="3"/>
  <c r="U581" i="3"/>
  <c r="T581" i="3"/>
  <c r="S581" i="3"/>
  <c r="R581" i="3"/>
  <c r="P581" i="3"/>
  <c r="Q581" i="3" s="1"/>
  <c r="O581" i="3"/>
  <c r="M581" i="3"/>
  <c r="L581" i="3"/>
  <c r="K581" i="3"/>
  <c r="E581" i="3"/>
  <c r="D581" i="3"/>
  <c r="B581" i="3"/>
  <c r="U580" i="3"/>
  <c r="T580" i="3"/>
  <c r="R580" i="3"/>
  <c r="S580" i="3" s="1"/>
  <c r="P580" i="3"/>
  <c r="Q580" i="3" s="1"/>
  <c r="M580" i="3"/>
  <c r="O580" i="3" s="1"/>
  <c r="L580" i="3"/>
  <c r="K580" i="3"/>
  <c r="E580" i="3"/>
  <c r="D580" i="3"/>
  <c r="B580" i="3"/>
  <c r="U579" i="3"/>
  <c r="T579" i="3"/>
  <c r="S579" i="3"/>
  <c r="R579" i="3"/>
  <c r="Q579" i="3"/>
  <c r="P579" i="3"/>
  <c r="M579" i="3"/>
  <c r="O579" i="3" s="1"/>
  <c r="L579" i="3"/>
  <c r="K579" i="3"/>
  <c r="E579" i="3"/>
  <c r="D579" i="3"/>
  <c r="B579" i="3"/>
  <c r="U578" i="3"/>
  <c r="T578" i="3"/>
  <c r="R578" i="3"/>
  <c r="S578" i="3" s="1"/>
  <c r="Q578" i="3"/>
  <c r="P578" i="3"/>
  <c r="M578" i="3"/>
  <c r="O578" i="3" s="1"/>
  <c r="L578" i="3"/>
  <c r="K578" i="3"/>
  <c r="E578" i="3"/>
  <c r="D578" i="3"/>
  <c r="B578" i="3"/>
  <c r="U577" i="3"/>
  <c r="T577" i="3"/>
  <c r="S577" i="3"/>
  <c r="R577" i="3"/>
  <c r="Q577" i="3"/>
  <c r="P577" i="3"/>
  <c r="O577" i="3"/>
  <c r="M577" i="3"/>
  <c r="L577" i="3"/>
  <c r="K577" i="3"/>
  <c r="E577" i="3"/>
  <c r="D577" i="3"/>
  <c r="B577" i="3"/>
  <c r="U576" i="3"/>
  <c r="T576" i="3"/>
  <c r="S576" i="3"/>
  <c r="R576" i="3"/>
  <c r="P576" i="3"/>
  <c r="Q576" i="3" s="1"/>
  <c r="M576" i="3"/>
  <c r="O576" i="3" s="1"/>
  <c r="L576" i="3"/>
  <c r="K576" i="3"/>
  <c r="E576" i="3"/>
  <c r="D576" i="3"/>
  <c r="B576" i="3"/>
  <c r="U575" i="3"/>
  <c r="T575" i="3"/>
  <c r="R575" i="3"/>
  <c r="S575" i="3" s="1"/>
  <c r="P575" i="3"/>
  <c r="Q575" i="3" s="1"/>
  <c r="O575" i="3"/>
  <c r="M575" i="3"/>
  <c r="L575" i="3"/>
  <c r="K575" i="3"/>
  <c r="E575" i="3"/>
  <c r="D575" i="3"/>
  <c r="B575" i="3"/>
  <c r="U574" i="3"/>
  <c r="T574" i="3"/>
  <c r="R574" i="3"/>
  <c r="S574" i="3" s="1"/>
  <c r="P574" i="3"/>
  <c r="Q574" i="3" s="1"/>
  <c r="O574" i="3"/>
  <c r="M574" i="3"/>
  <c r="L574" i="3"/>
  <c r="K574" i="3"/>
  <c r="E574" i="3"/>
  <c r="D574" i="3"/>
  <c r="B574" i="3"/>
  <c r="U573" i="3"/>
  <c r="T573" i="3"/>
  <c r="R573" i="3"/>
  <c r="S573" i="3" s="1"/>
  <c r="P573" i="3"/>
  <c r="Q573" i="3" s="1"/>
  <c r="O573" i="3"/>
  <c r="M573" i="3"/>
  <c r="L573" i="3"/>
  <c r="K573" i="3"/>
  <c r="E573" i="3"/>
  <c r="D573" i="3"/>
  <c r="B573" i="3"/>
  <c r="U572" i="3"/>
  <c r="T572" i="3"/>
  <c r="S572" i="3"/>
  <c r="R572" i="3"/>
  <c r="Q572" i="3"/>
  <c r="P572" i="3"/>
  <c r="M572" i="3"/>
  <c r="O572" i="3" s="1"/>
  <c r="L572" i="3"/>
  <c r="K572" i="3"/>
  <c r="E572" i="3"/>
  <c r="D572" i="3"/>
  <c r="B572" i="3"/>
  <c r="U571" i="3"/>
  <c r="T571" i="3"/>
  <c r="S571" i="3"/>
  <c r="R571" i="3"/>
  <c r="Q571" i="3"/>
  <c r="P571" i="3"/>
  <c r="M571" i="3"/>
  <c r="O571" i="3" s="1"/>
  <c r="L571" i="3"/>
  <c r="K571" i="3"/>
  <c r="E571" i="3"/>
  <c r="D571" i="3"/>
  <c r="B571" i="3"/>
  <c r="U570" i="3"/>
  <c r="T570" i="3"/>
  <c r="S570" i="3"/>
  <c r="R570" i="3"/>
  <c r="Q570" i="3"/>
  <c r="P570" i="3"/>
  <c r="M570" i="3"/>
  <c r="O570" i="3" s="1"/>
  <c r="L570" i="3"/>
  <c r="K570" i="3"/>
  <c r="E570" i="3"/>
  <c r="D570" i="3"/>
  <c r="B570" i="3"/>
  <c r="U569" i="3"/>
  <c r="T569" i="3"/>
  <c r="R569" i="3"/>
  <c r="S569" i="3" s="1"/>
  <c r="P569" i="3"/>
  <c r="Q569" i="3" s="1"/>
  <c r="M569" i="3"/>
  <c r="O569" i="3" s="1"/>
  <c r="L569" i="3"/>
  <c r="K569" i="3"/>
  <c r="E569" i="3"/>
  <c r="D569" i="3"/>
  <c r="B569" i="3"/>
  <c r="U568" i="3"/>
  <c r="T568" i="3"/>
  <c r="R568" i="3"/>
  <c r="S568" i="3" s="1"/>
  <c r="Q568" i="3"/>
  <c r="P568" i="3"/>
  <c r="O568" i="3"/>
  <c r="M568" i="3"/>
  <c r="L568" i="3"/>
  <c r="K568" i="3"/>
  <c r="E568" i="3"/>
  <c r="D568" i="3"/>
  <c r="B568" i="3"/>
  <c r="U567" i="3"/>
  <c r="T567" i="3"/>
  <c r="R567" i="3"/>
  <c r="S567" i="3" s="1"/>
  <c r="Q567" i="3"/>
  <c r="P567" i="3"/>
  <c r="M567" i="3"/>
  <c r="O567" i="3" s="1"/>
  <c r="L567" i="3"/>
  <c r="K567" i="3"/>
  <c r="E567" i="3"/>
  <c r="D567" i="3"/>
  <c r="B567" i="3"/>
  <c r="U566" i="3"/>
  <c r="T566" i="3"/>
  <c r="R566" i="3"/>
  <c r="S566" i="3" s="1"/>
  <c r="P566" i="3"/>
  <c r="Q566" i="3" s="1"/>
  <c r="M566" i="3"/>
  <c r="O566" i="3" s="1"/>
  <c r="L566" i="3"/>
  <c r="K566" i="3"/>
  <c r="E566" i="3"/>
  <c r="D566" i="3"/>
  <c r="B566" i="3"/>
  <c r="U565" i="3"/>
  <c r="T565" i="3"/>
  <c r="S565" i="3"/>
  <c r="R565" i="3"/>
  <c r="P565" i="3"/>
  <c r="Q565" i="3" s="1"/>
  <c r="M565" i="3"/>
  <c r="O565" i="3" s="1"/>
  <c r="L565" i="3"/>
  <c r="K565" i="3"/>
  <c r="E565" i="3"/>
  <c r="D565" i="3"/>
  <c r="B565" i="3"/>
  <c r="U564" i="3"/>
  <c r="T564" i="3"/>
  <c r="R564" i="3"/>
  <c r="S564" i="3" s="1"/>
  <c r="Q564" i="3"/>
  <c r="P564" i="3"/>
  <c r="M564" i="3"/>
  <c r="O564" i="3" s="1"/>
  <c r="L564" i="3"/>
  <c r="K564" i="3"/>
  <c r="E564" i="3"/>
  <c r="D564" i="3"/>
  <c r="B564" i="3"/>
  <c r="U563" i="3"/>
  <c r="T563" i="3"/>
  <c r="R563" i="3"/>
  <c r="S563" i="3" s="1"/>
  <c r="Q563" i="3"/>
  <c r="P563" i="3"/>
  <c r="O563" i="3"/>
  <c r="M563" i="3"/>
  <c r="L563" i="3"/>
  <c r="K563" i="3"/>
  <c r="E563" i="3"/>
  <c r="D563" i="3"/>
  <c r="B563" i="3"/>
  <c r="U562" i="3"/>
  <c r="T562" i="3"/>
  <c r="S562" i="3"/>
  <c r="R562" i="3"/>
  <c r="P562" i="3"/>
  <c r="Q562" i="3" s="1"/>
  <c r="M562" i="3"/>
  <c r="O562" i="3" s="1"/>
  <c r="L562" i="3"/>
  <c r="K562" i="3"/>
  <c r="E562" i="3"/>
  <c r="D562" i="3"/>
  <c r="B562" i="3"/>
  <c r="U561" i="3"/>
  <c r="T561" i="3"/>
  <c r="R561" i="3"/>
  <c r="S561" i="3" s="1"/>
  <c r="P561" i="3"/>
  <c r="Q561" i="3" s="1"/>
  <c r="M561" i="3"/>
  <c r="O561" i="3" s="1"/>
  <c r="L561" i="3"/>
  <c r="K561" i="3"/>
  <c r="E561" i="3"/>
  <c r="D561" i="3"/>
  <c r="B561" i="3"/>
  <c r="U560" i="3"/>
  <c r="T560" i="3"/>
  <c r="R560" i="3"/>
  <c r="S560" i="3" s="1"/>
  <c r="Q560" i="3"/>
  <c r="P560" i="3"/>
  <c r="O560" i="3"/>
  <c r="M560" i="3"/>
  <c r="L560" i="3"/>
  <c r="K560" i="3"/>
  <c r="E560" i="3"/>
  <c r="D560" i="3"/>
  <c r="B560" i="3"/>
  <c r="U559" i="3"/>
  <c r="T559" i="3"/>
  <c r="R559" i="3"/>
  <c r="S559" i="3" s="1"/>
  <c r="Q559" i="3"/>
  <c r="P559" i="3"/>
  <c r="M559" i="3"/>
  <c r="O559" i="3" s="1"/>
  <c r="L559" i="3"/>
  <c r="K559" i="3"/>
  <c r="E559" i="3"/>
  <c r="D559" i="3"/>
  <c r="B559" i="3"/>
  <c r="U558" i="3"/>
  <c r="T558" i="3"/>
  <c r="S558" i="3"/>
  <c r="R558" i="3"/>
  <c r="Q558" i="3"/>
  <c r="P558" i="3"/>
  <c r="M558" i="3"/>
  <c r="O558" i="3" s="1"/>
  <c r="L558" i="3"/>
  <c r="K558" i="3"/>
  <c r="E558" i="3"/>
  <c r="D558" i="3"/>
  <c r="B558" i="3"/>
  <c r="U557" i="3"/>
  <c r="T557" i="3"/>
  <c r="S557" i="3"/>
  <c r="R557" i="3"/>
  <c r="P557" i="3"/>
  <c r="Q557" i="3" s="1"/>
  <c r="M557" i="3"/>
  <c r="O557" i="3" s="1"/>
  <c r="L557" i="3"/>
  <c r="K557" i="3"/>
  <c r="E557" i="3"/>
  <c r="D557" i="3"/>
  <c r="B557" i="3"/>
  <c r="U556" i="3"/>
  <c r="T556" i="3"/>
  <c r="R556" i="3"/>
  <c r="S556" i="3" s="1"/>
  <c r="Q556" i="3"/>
  <c r="P556" i="3"/>
  <c r="M556" i="3"/>
  <c r="O556" i="3" s="1"/>
  <c r="L556" i="3"/>
  <c r="K556" i="3"/>
  <c r="E556" i="3"/>
  <c r="D556" i="3"/>
  <c r="B556" i="3"/>
  <c r="U555" i="3"/>
  <c r="T555" i="3"/>
  <c r="S555" i="3"/>
  <c r="R555" i="3"/>
  <c r="Q555" i="3"/>
  <c r="P555" i="3"/>
  <c r="O555" i="3"/>
  <c r="M555" i="3"/>
  <c r="L555" i="3"/>
  <c r="K555" i="3"/>
  <c r="E555" i="3"/>
  <c r="D555" i="3"/>
  <c r="B555" i="3"/>
  <c r="U554" i="3"/>
  <c r="T554" i="3"/>
  <c r="R554" i="3"/>
  <c r="S554" i="3" s="1"/>
  <c r="Q554" i="3"/>
  <c r="P554" i="3"/>
  <c r="M554" i="3"/>
  <c r="O554" i="3" s="1"/>
  <c r="L554" i="3"/>
  <c r="K554" i="3"/>
  <c r="E554" i="3"/>
  <c r="D554" i="3"/>
  <c r="B554" i="3"/>
  <c r="U553" i="3"/>
  <c r="T553" i="3"/>
  <c r="R553" i="3"/>
  <c r="S553" i="3" s="1"/>
  <c r="P553" i="3"/>
  <c r="Q553" i="3" s="1"/>
  <c r="O553" i="3"/>
  <c r="M553" i="3"/>
  <c r="L553" i="3"/>
  <c r="K553" i="3"/>
  <c r="E553" i="3"/>
  <c r="D553" i="3"/>
  <c r="B553" i="3"/>
  <c r="U552" i="3"/>
  <c r="T552" i="3"/>
  <c r="R552" i="3"/>
  <c r="S552" i="3" s="1"/>
  <c r="P552" i="3"/>
  <c r="Q552" i="3" s="1"/>
  <c r="M552" i="3"/>
  <c r="O552" i="3" s="1"/>
  <c r="L552" i="3"/>
  <c r="K552" i="3"/>
  <c r="E552" i="3"/>
  <c r="D552" i="3"/>
  <c r="B552" i="3"/>
  <c r="U551" i="3"/>
  <c r="T551" i="3"/>
  <c r="S551" i="3"/>
  <c r="R551" i="3"/>
  <c r="P551" i="3"/>
  <c r="Q551" i="3" s="1"/>
  <c r="O551" i="3"/>
  <c r="M551" i="3"/>
  <c r="L551" i="3"/>
  <c r="K551" i="3"/>
  <c r="E551" i="3"/>
  <c r="D551" i="3"/>
  <c r="B551" i="3"/>
  <c r="U550" i="3"/>
  <c r="T550" i="3"/>
  <c r="R550" i="3"/>
  <c r="S550" i="3" s="1"/>
  <c r="Q550" i="3"/>
  <c r="P550" i="3"/>
  <c r="O550" i="3"/>
  <c r="M550" i="3"/>
  <c r="L550" i="3"/>
  <c r="K550" i="3"/>
  <c r="E550" i="3"/>
  <c r="D550" i="3"/>
  <c r="B550" i="3"/>
  <c r="U549" i="3"/>
  <c r="T549" i="3"/>
  <c r="S549" i="3"/>
  <c r="R549" i="3"/>
  <c r="Q549" i="3"/>
  <c r="P549" i="3"/>
  <c r="O549" i="3"/>
  <c r="M549" i="3"/>
  <c r="L549" i="3"/>
  <c r="K549" i="3"/>
  <c r="E549" i="3"/>
  <c r="D549" i="3"/>
  <c r="B549" i="3"/>
  <c r="U548" i="3"/>
  <c r="T548" i="3"/>
  <c r="R548" i="3"/>
  <c r="S548" i="3" s="1"/>
  <c r="P548" i="3"/>
  <c r="Q548" i="3" s="1"/>
  <c r="M548" i="3"/>
  <c r="O548" i="3" s="1"/>
  <c r="L548" i="3"/>
  <c r="K548" i="3"/>
  <c r="E548" i="3"/>
  <c r="D548" i="3"/>
  <c r="B548" i="3"/>
  <c r="U547" i="3"/>
  <c r="T547" i="3"/>
  <c r="R547" i="3"/>
  <c r="S547" i="3" s="1"/>
  <c r="P547" i="3"/>
  <c r="Q547" i="3" s="1"/>
  <c r="M547" i="3"/>
  <c r="O547" i="3" s="1"/>
  <c r="L547" i="3"/>
  <c r="K547" i="3"/>
  <c r="E547" i="3"/>
  <c r="D547" i="3"/>
  <c r="B547" i="3"/>
  <c r="U546" i="3"/>
  <c r="T546" i="3"/>
  <c r="R546" i="3"/>
  <c r="S546" i="3" s="1"/>
  <c r="P546" i="3"/>
  <c r="Q546" i="3" s="1"/>
  <c r="O546" i="3"/>
  <c r="M546" i="3"/>
  <c r="L546" i="3"/>
  <c r="K546" i="3"/>
  <c r="E546" i="3"/>
  <c r="D546" i="3"/>
  <c r="B546" i="3"/>
  <c r="U545" i="3"/>
  <c r="T545" i="3"/>
  <c r="S545" i="3"/>
  <c r="R545" i="3"/>
  <c r="Q545" i="3"/>
  <c r="P545" i="3"/>
  <c r="M545" i="3"/>
  <c r="O545" i="3" s="1"/>
  <c r="L545" i="3"/>
  <c r="K545" i="3"/>
  <c r="E545" i="3"/>
  <c r="D545" i="3"/>
  <c r="B545" i="3"/>
  <c r="U544" i="3"/>
  <c r="T544" i="3"/>
  <c r="S544" i="3"/>
  <c r="R544" i="3"/>
  <c r="Q544" i="3"/>
  <c r="P544" i="3"/>
  <c r="M544" i="3"/>
  <c r="O544" i="3" s="1"/>
  <c r="L544" i="3"/>
  <c r="K544" i="3"/>
  <c r="E544" i="3"/>
  <c r="D544" i="3"/>
  <c r="B544" i="3"/>
  <c r="U543" i="3"/>
  <c r="T543" i="3"/>
  <c r="S543" i="3"/>
  <c r="R543" i="3"/>
  <c r="Q543" i="3"/>
  <c r="P543" i="3"/>
  <c r="O543" i="3"/>
  <c r="M543" i="3"/>
  <c r="L543" i="3"/>
  <c r="K543" i="3"/>
  <c r="E543" i="3"/>
  <c r="D543" i="3"/>
  <c r="B543" i="3"/>
  <c r="U542" i="3"/>
  <c r="T542" i="3"/>
  <c r="R542" i="3"/>
  <c r="S542" i="3" s="1"/>
  <c r="P542" i="3"/>
  <c r="Q542" i="3" s="1"/>
  <c r="O542" i="3"/>
  <c r="M542" i="3"/>
  <c r="L542" i="3"/>
  <c r="K542" i="3"/>
  <c r="E542" i="3"/>
  <c r="D542" i="3"/>
  <c r="B542" i="3"/>
  <c r="U541" i="3"/>
  <c r="T541" i="3"/>
  <c r="S541" i="3"/>
  <c r="R541" i="3"/>
  <c r="Q541" i="3"/>
  <c r="P541" i="3"/>
  <c r="O541" i="3"/>
  <c r="M541" i="3"/>
  <c r="L541" i="3"/>
  <c r="K541" i="3"/>
  <c r="E541" i="3"/>
  <c r="D541" i="3"/>
  <c r="B541" i="3"/>
  <c r="U540" i="3"/>
  <c r="T540" i="3"/>
  <c r="R540" i="3"/>
  <c r="S540" i="3" s="1"/>
  <c r="Q540" i="3"/>
  <c r="P540" i="3"/>
  <c r="O540" i="3"/>
  <c r="M540" i="3"/>
  <c r="L540" i="3"/>
  <c r="K540" i="3"/>
  <c r="E540" i="3"/>
  <c r="D540" i="3"/>
  <c r="B540" i="3"/>
  <c r="U539" i="3"/>
  <c r="T539" i="3"/>
  <c r="R539" i="3"/>
  <c r="S539" i="3" s="1"/>
  <c r="Q539" i="3"/>
  <c r="P539" i="3"/>
  <c r="M539" i="3"/>
  <c r="O539" i="3" s="1"/>
  <c r="L539" i="3"/>
  <c r="K539" i="3"/>
  <c r="E539" i="3"/>
  <c r="D539" i="3"/>
  <c r="B539" i="3"/>
  <c r="U538" i="3"/>
  <c r="T538" i="3"/>
  <c r="S538" i="3"/>
  <c r="R538" i="3"/>
  <c r="P538" i="3"/>
  <c r="Q538" i="3" s="1"/>
  <c r="M538" i="3"/>
  <c r="O538" i="3" s="1"/>
  <c r="L538" i="3"/>
  <c r="K538" i="3"/>
  <c r="E538" i="3"/>
  <c r="D538" i="3"/>
  <c r="B538" i="3"/>
  <c r="U537" i="3"/>
  <c r="T537" i="3"/>
  <c r="R537" i="3"/>
  <c r="S537" i="3" s="1"/>
  <c r="Q537" i="3"/>
  <c r="P537" i="3"/>
  <c r="M537" i="3"/>
  <c r="O537" i="3" s="1"/>
  <c r="L537" i="3"/>
  <c r="K537" i="3"/>
  <c r="E537" i="3"/>
  <c r="D537" i="3"/>
  <c r="B537" i="3"/>
  <c r="U536" i="3"/>
  <c r="T536" i="3"/>
  <c r="R536" i="3"/>
  <c r="S536" i="3" s="1"/>
  <c r="P536" i="3"/>
  <c r="Q536" i="3" s="1"/>
  <c r="M536" i="3"/>
  <c r="O536" i="3" s="1"/>
  <c r="L536" i="3"/>
  <c r="K536" i="3"/>
  <c r="E536" i="3"/>
  <c r="D536" i="3"/>
  <c r="B536" i="3"/>
  <c r="U535" i="3"/>
  <c r="T535" i="3"/>
  <c r="R535" i="3"/>
  <c r="S535" i="3" s="1"/>
  <c r="Q535" i="3"/>
  <c r="P535" i="3"/>
  <c r="M535" i="3"/>
  <c r="O535" i="3" s="1"/>
  <c r="L535" i="3"/>
  <c r="K535" i="3"/>
  <c r="E535" i="3"/>
  <c r="D535" i="3"/>
  <c r="B535" i="3"/>
  <c r="U534" i="3"/>
  <c r="T534" i="3"/>
  <c r="R534" i="3"/>
  <c r="S534" i="3" s="1"/>
  <c r="P534" i="3"/>
  <c r="Q534" i="3" s="1"/>
  <c r="M534" i="3"/>
  <c r="O534" i="3" s="1"/>
  <c r="L534" i="3"/>
  <c r="K534" i="3"/>
  <c r="E534" i="3"/>
  <c r="D534" i="3"/>
  <c r="B534" i="3"/>
  <c r="U533" i="3"/>
  <c r="T533" i="3"/>
  <c r="R533" i="3"/>
  <c r="S533" i="3" s="1"/>
  <c r="P533" i="3"/>
  <c r="Q533" i="3" s="1"/>
  <c r="O533" i="3"/>
  <c r="M533" i="3"/>
  <c r="L533" i="3"/>
  <c r="K533" i="3"/>
  <c r="E533" i="3"/>
  <c r="D533" i="3"/>
  <c r="B533" i="3"/>
  <c r="U532" i="3"/>
  <c r="T532" i="3"/>
  <c r="R532" i="3"/>
  <c r="S532" i="3" s="1"/>
  <c r="Q532" i="3"/>
  <c r="P532" i="3"/>
  <c r="O532" i="3"/>
  <c r="M532" i="3"/>
  <c r="L532" i="3"/>
  <c r="K532" i="3"/>
  <c r="E532" i="3"/>
  <c r="D532" i="3"/>
  <c r="B532" i="3"/>
  <c r="U531" i="3"/>
  <c r="T531" i="3"/>
  <c r="R531" i="3"/>
  <c r="S531" i="3" s="1"/>
  <c r="Q531" i="3"/>
  <c r="P531" i="3"/>
  <c r="M531" i="3"/>
  <c r="O531" i="3" s="1"/>
  <c r="L531" i="3"/>
  <c r="K531" i="3"/>
  <c r="E531" i="3"/>
  <c r="D531" i="3"/>
  <c r="B531" i="3"/>
  <c r="U530" i="3"/>
  <c r="T530" i="3"/>
  <c r="S530" i="3"/>
  <c r="R530" i="3"/>
  <c r="Q530" i="3"/>
  <c r="P530" i="3"/>
  <c r="O530" i="3"/>
  <c r="M530" i="3"/>
  <c r="L530" i="3"/>
  <c r="K530" i="3"/>
  <c r="E530" i="3"/>
  <c r="D530" i="3"/>
  <c r="B530" i="3"/>
  <c r="U529" i="3"/>
  <c r="T529" i="3"/>
  <c r="S529" i="3"/>
  <c r="R529" i="3"/>
  <c r="Q529" i="3"/>
  <c r="P529" i="3"/>
  <c r="M529" i="3"/>
  <c r="O529" i="3" s="1"/>
  <c r="L529" i="3"/>
  <c r="K529" i="3"/>
  <c r="E529" i="3"/>
  <c r="D529" i="3"/>
  <c r="B529" i="3"/>
  <c r="U528" i="3"/>
  <c r="T528" i="3"/>
  <c r="R528" i="3"/>
  <c r="S528" i="3" s="1"/>
  <c r="P528" i="3"/>
  <c r="Q528" i="3" s="1"/>
  <c r="O528" i="3"/>
  <c r="M528" i="3"/>
  <c r="L528" i="3"/>
  <c r="K528" i="3"/>
  <c r="E528" i="3"/>
  <c r="D528" i="3"/>
  <c r="B528" i="3"/>
  <c r="U527" i="3"/>
  <c r="T527" i="3"/>
  <c r="S527" i="3"/>
  <c r="R527" i="3"/>
  <c r="Q527" i="3"/>
  <c r="P527" i="3"/>
  <c r="O527" i="3"/>
  <c r="M527" i="3"/>
  <c r="L527" i="3"/>
  <c r="K527" i="3"/>
  <c r="E527" i="3"/>
  <c r="D527" i="3"/>
  <c r="B527" i="3"/>
  <c r="U526" i="3"/>
  <c r="T526" i="3"/>
  <c r="R526" i="3"/>
  <c r="S526" i="3" s="1"/>
  <c r="Q526" i="3"/>
  <c r="P526" i="3"/>
  <c r="O526" i="3"/>
  <c r="M526" i="3"/>
  <c r="L526" i="3"/>
  <c r="K526" i="3"/>
  <c r="E526" i="3"/>
  <c r="D526" i="3"/>
  <c r="B526" i="3"/>
  <c r="U525" i="3"/>
  <c r="T525" i="3"/>
  <c r="S525" i="3"/>
  <c r="R525" i="3"/>
  <c r="Q525" i="3"/>
  <c r="P525" i="3"/>
  <c r="M525" i="3"/>
  <c r="O525" i="3" s="1"/>
  <c r="L525" i="3"/>
  <c r="K525" i="3"/>
  <c r="E525" i="3"/>
  <c r="D525" i="3"/>
  <c r="B525" i="3"/>
  <c r="U524" i="3"/>
  <c r="T524" i="3"/>
  <c r="R524" i="3"/>
  <c r="S524" i="3" s="1"/>
  <c r="P524" i="3"/>
  <c r="Q524" i="3" s="1"/>
  <c r="M524" i="3"/>
  <c r="O524" i="3" s="1"/>
  <c r="L524" i="3"/>
  <c r="K524" i="3"/>
  <c r="E524" i="3"/>
  <c r="D524" i="3"/>
  <c r="B524" i="3"/>
  <c r="U523" i="3"/>
  <c r="T523" i="3"/>
  <c r="R523" i="3"/>
  <c r="S523" i="3" s="1"/>
  <c r="P523" i="3"/>
  <c r="Q523" i="3" s="1"/>
  <c r="M523" i="3"/>
  <c r="O523" i="3" s="1"/>
  <c r="L523" i="3"/>
  <c r="K523" i="3"/>
  <c r="E523" i="3"/>
  <c r="D523" i="3"/>
  <c r="B523" i="3"/>
  <c r="U522" i="3"/>
  <c r="T522" i="3"/>
  <c r="R522" i="3"/>
  <c r="S522" i="3" s="1"/>
  <c r="P522" i="3"/>
  <c r="Q522" i="3" s="1"/>
  <c r="O522" i="3"/>
  <c r="M522" i="3"/>
  <c r="L522" i="3"/>
  <c r="K522" i="3"/>
  <c r="E522" i="3"/>
  <c r="D522" i="3"/>
  <c r="B522" i="3"/>
  <c r="U521" i="3"/>
  <c r="T521" i="3"/>
  <c r="R521" i="3"/>
  <c r="S521" i="3" s="1"/>
  <c r="P521" i="3"/>
  <c r="Q521" i="3" s="1"/>
  <c r="M521" i="3"/>
  <c r="O521" i="3" s="1"/>
  <c r="L521" i="3"/>
  <c r="K521" i="3"/>
  <c r="E521" i="3"/>
  <c r="D521" i="3"/>
  <c r="B521" i="3"/>
  <c r="U520" i="3"/>
  <c r="T520" i="3"/>
  <c r="S520" i="3"/>
  <c r="R520" i="3"/>
  <c r="Q520" i="3"/>
  <c r="P520" i="3"/>
  <c r="M520" i="3"/>
  <c r="O520" i="3" s="1"/>
  <c r="L520" i="3"/>
  <c r="K520" i="3"/>
  <c r="E520" i="3"/>
  <c r="D520" i="3"/>
  <c r="B520" i="3"/>
  <c r="U519" i="3"/>
  <c r="T519" i="3"/>
  <c r="R519" i="3"/>
  <c r="S519" i="3" s="1"/>
  <c r="Q519" i="3"/>
  <c r="P519" i="3"/>
  <c r="O519" i="3"/>
  <c r="M519" i="3"/>
  <c r="L519" i="3"/>
  <c r="K519" i="3"/>
  <c r="E519" i="3"/>
  <c r="D519" i="3"/>
  <c r="B519" i="3"/>
  <c r="U518" i="3"/>
  <c r="T518" i="3"/>
  <c r="S518" i="3"/>
  <c r="R518" i="3"/>
  <c r="P518" i="3"/>
  <c r="Q518" i="3" s="1"/>
  <c r="O518" i="3"/>
  <c r="M518" i="3"/>
  <c r="L518" i="3"/>
  <c r="K518" i="3"/>
  <c r="E518" i="3"/>
  <c r="D518" i="3"/>
  <c r="B518" i="3"/>
  <c r="U517" i="3"/>
  <c r="T517" i="3"/>
  <c r="R517" i="3"/>
  <c r="S517" i="3" s="1"/>
  <c r="Q517" i="3"/>
  <c r="P517" i="3"/>
  <c r="O517" i="3"/>
  <c r="M517" i="3"/>
  <c r="L517" i="3"/>
  <c r="K517" i="3"/>
  <c r="E517" i="3"/>
  <c r="D517" i="3"/>
  <c r="B517" i="3"/>
  <c r="U516" i="3"/>
  <c r="T516" i="3"/>
  <c r="S516" i="3"/>
  <c r="R516" i="3"/>
  <c r="Q516" i="3"/>
  <c r="P516" i="3"/>
  <c r="M516" i="3"/>
  <c r="O516" i="3" s="1"/>
  <c r="L516" i="3"/>
  <c r="K516" i="3"/>
  <c r="E516" i="3"/>
  <c r="D516" i="3"/>
  <c r="B516" i="3"/>
  <c r="U515" i="3"/>
  <c r="T515" i="3"/>
  <c r="R515" i="3"/>
  <c r="S515" i="3" s="1"/>
  <c r="Q515" i="3"/>
  <c r="P515" i="3"/>
  <c r="M515" i="3"/>
  <c r="O515" i="3" s="1"/>
  <c r="L515" i="3"/>
  <c r="K515" i="3"/>
  <c r="E515" i="3"/>
  <c r="D515" i="3"/>
  <c r="B515" i="3"/>
  <c r="U514" i="3"/>
  <c r="T514" i="3"/>
  <c r="S514" i="3"/>
  <c r="R514" i="3"/>
  <c r="P514" i="3"/>
  <c r="Q514" i="3" s="1"/>
  <c r="O514" i="3"/>
  <c r="M514" i="3"/>
  <c r="L514" i="3"/>
  <c r="K514" i="3"/>
  <c r="E514" i="3"/>
  <c r="D514" i="3"/>
  <c r="B514" i="3"/>
  <c r="U513" i="3"/>
  <c r="T513" i="3"/>
  <c r="S513" i="3"/>
  <c r="R513" i="3"/>
  <c r="Q513" i="3"/>
  <c r="P513" i="3"/>
  <c r="O513" i="3"/>
  <c r="M513" i="3"/>
  <c r="L513" i="3"/>
  <c r="K513" i="3"/>
  <c r="E513" i="3"/>
  <c r="D513" i="3"/>
  <c r="B513" i="3"/>
  <c r="U512" i="3"/>
  <c r="T512" i="3"/>
  <c r="S512" i="3"/>
  <c r="R512" i="3"/>
  <c r="P512" i="3"/>
  <c r="Q512" i="3" s="1"/>
  <c r="M512" i="3"/>
  <c r="O512" i="3" s="1"/>
  <c r="L512" i="3"/>
  <c r="K512" i="3"/>
  <c r="E512" i="3"/>
  <c r="D512" i="3"/>
  <c r="B512" i="3"/>
  <c r="U511" i="3"/>
  <c r="T511" i="3"/>
  <c r="R511" i="3"/>
  <c r="S511" i="3" s="1"/>
  <c r="Q511" i="3"/>
  <c r="P511" i="3"/>
  <c r="O511" i="3"/>
  <c r="M511" i="3"/>
  <c r="L511" i="3"/>
  <c r="K511" i="3"/>
  <c r="E511" i="3"/>
  <c r="D511" i="3"/>
  <c r="B511" i="3"/>
  <c r="U510" i="3"/>
  <c r="T510" i="3"/>
  <c r="S510" i="3"/>
  <c r="R510" i="3"/>
  <c r="P510" i="3"/>
  <c r="Q510" i="3" s="1"/>
  <c r="M510" i="3"/>
  <c r="O510" i="3" s="1"/>
  <c r="L510" i="3"/>
  <c r="K510" i="3"/>
  <c r="E510" i="3"/>
  <c r="D510" i="3"/>
  <c r="B510" i="3"/>
  <c r="U509" i="3"/>
  <c r="T509" i="3"/>
  <c r="S509" i="3"/>
  <c r="R509" i="3"/>
  <c r="P509" i="3"/>
  <c r="Q509" i="3" s="1"/>
  <c r="M509" i="3"/>
  <c r="O509" i="3" s="1"/>
  <c r="L509" i="3"/>
  <c r="K509" i="3"/>
  <c r="E509" i="3"/>
  <c r="D509" i="3"/>
  <c r="B509" i="3"/>
  <c r="U508" i="3"/>
  <c r="T508" i="3"/>
  <c r="R508" i="3"/>
  <c r="S508" i="3" s="1"/>
  <c r="P508" i="3"/>
  <c r="Q508" i="3" s="1"/>
  <c r="M508" i="3"/>
  <c r="O508" i="3" s="1"/>
  <c r="L508" i="3"/>
  <c r="K508" i="3"/>
  <c r="E508" i="3"/>
  <c r="D508" i="3"/>
  <c r="B508" i="3"/>
  <c r="U507" i="3"/>
  <c r="T507" i="3"/>
  <c r="R507" i="3"/>
  <c r="S507" i="3" s="1"/>
  <c r="P507" i="3"/>
  <c r="Q507" i="3" s="1"/>
  <c r="M507" i="3"/>
  <c r="O507" i="3" s="1"/>
  <c r="L507" i="3"/>
  <c r="K507" i="3"/>
  <c r="E507" i="3"/>
  <c r="D507" i="3"/>
  <c r="B507" i="3"/>
  <c r="U506" i="3"/>
  <c r="T506" i="3"/>
  <c r="S506" i="3"/>
  <c r="R506" i="3"/>
  <c r="P506" i="3"/>
  <c r="Q506" i="3" s="1"/>
  <c r="O506" i="3"/>
  <c r="M506" i="3"/>
  <c r="L506" i="3"/>
  <c r="K506" i="3"/>
  <c r="E506" i="3"/>
  <c r="D506" i="3"/>
  <c r="B506" i="3"/>
  <c r="U505" i="3"/>
  <c r="T505" i="3"/>
  <c r="S505" i="3"/>
  <c r="R505" i="3"/>
  <c r="P505" i="3"/>
  <c r="Q505" i="3" s="1"/>
  <c r="O505" i="3"/>
  <c r="M505" i="3"/>
  <c r="L505" i="3"/>
  <c r="K505" i="3"/>
  <c r="E505" i="3"/>
  <c r="D505" i="3"/>
  <c r="B505" i="3"/>
  <c r="U504" i="3"/>
  <c r="T504" i="3"/>
  <c r="R504" i="3"/>
  <c r="S504" i="3" s="1"/>
  <c r="P504" i="3"/>
  <c r="Q504" i="3" s="1"/>
  <c r="O504" i="3"/>
  <c r="M504" i="3"/>
  <c r="L504" i="3"/>
  <c r="K504" i="3"/>
  <c r="E504" i="3"/>
  <c r="D504" i="3"/>
  <c r="B504" i="3"/>
  <c r="U503" i="3"/>
  <c r="T503" i="3"/>
  <c r="R503" i="3"/>
  <c r="S503" i="3" s="1"/>
  <c r="Q503" i="3"/>
  <c r="P503" i="3"/>
  <c r="M503" i="3"/>
  <c r="O503" i="3" s="1"/>
  <c r="L503" i="3"/>
  <c r="K503" i="3"/>
  <c r="E503" i="3"/>
  <c r="D503" i="3"/>
  <c r="B503" i="3"/>
  <c r="U502" i="3"/>
  <c r="T502" i="3"/>
  <c r="S502" i="3"/>
  <c r="R502" i="3"/>
  <c r="P502" i="3"/>
  <c r="Q502" i="3" s="1"/>
  <c r="M502" i="3"/>
  <c r="O502" i="3" s="1"/>
  <c r="L502" i="3"/>
  <c r="K502" i="3"/>
  <c r="E502" i="3"/>
  <c r="D502" i="3"/>
  <c r="B502" i="3"/>
  <c r="U501" i="3"/>
  <c r="T501" i="3"/>
  <c r="R501" i="3"/>
  <c r="S501" i="3" s="1"/>
  <c r="Q501" i="3"/>
  <c r="P501" i="3"/>
  <c r="O501" i="3"/>
  <c r="M501" i="3"/>
  <c r="L501" i="3"/>
  <c r="K501" i="3"/>
  <c r="E501" i="3"/>
  <c r="D501" i="3"/>
  <c r="B501" i="3"/>
  <c r="U500" i="3"/>
  <c r="T500" i="3"/>
  <c r="S500" i="3"/>
  <c r="R500" i="3"/>
  <c r="P500" i="3"/>
  <c r="Q500" i="3" s="1"/>
  <c r="M500" i="3"/>
  <c r="O500" i="3" s="1"/>
  <c r="L500" i="3"/>
  <c r="K500" i="3"/>
  <c r="E500" i="3"/>
  <c r="D500" i="3"/>
  <c r="B500" i="3"/>
  <c r="U499" i="3"/>
  <c r="T499" i="3"/>
  <c r="S499" i="3"/>
  <c r="R499" i="3"/>
  <c r="Q499" i="3"/>
  <c r="P499" i="3"/>
  <c r="M499" i="3"/>
  <c r="O499" i="3" s="1"/>
  <c r="L499" i="3"/>
  <c r="K499" i="3"/>
  <c r="E499" i="3"/>
  <c r="D499" i="3"/>
  <c r="B499" i="3"/>
  <c r="U498" i="3"/>
  <c r="T498" i="3"/>
  <c r="S498" i="3"/>
  <c r="R498" i="3"/>
  <c r="P498" i="3"/>
  <c r="Q498" i="3" s="1"/>
  <c r="O498" i="3"/>
  <c r="M498" i="3"/>
  <c r="L498" i="3"/>
  <c r="K498" i="3"/>
  <c r="E498" i="3"/>
  <c r="D498" i="3"/>
  <c r="B498" i="3"/>
  <c r="U497" i="3"/>
  <c r="T497" i="3"/>
  <c r="S497" i="3"/>
  <c r="R497" i="3"/>
  <c r="Q497" i="3"/>
  <c r="P497" i="3"/>
  <c r="M497" i="3"/>
  <c r="O497" i="3" s="1"/>
  <c r="L497" i="3"/>
  <c r="K497" i="3"/>
  <c r="E497" i="3"/>
  <c r="D497" i="3"/>
  <c r="B497" i="3"/>
  <c r="U496" i="3"/>
  <c r="T496" i="3"/>
  <c r="S496" i="3"/>
  <c r="R496" i="3"/>
  <c r="P496" i="3"/>
  <c r="Q496" i="3" s="1"/>
  <c r="M496" i="3"/>
  <c r="O496" i="3" s="1"/>
  <c r="L496" i="3"/>
  <c r="K496" i="3"/>
  <c r="E496" i="3"/>
  <c r="D496" i="3"/>
  <c r="B496" i="3"/>
  <c r="U495" i="3"/>
  <c r="T495" i="3"/>
  <c r="R495" i="3"/>
  <c r="S495" i="3" s="1"/>
  <c r="P495" i="3"/>
  <c r="Q495" i="3" s="1"/>
  <c r="O495" i="3"/>
  <c r="M495" i="3"/>
  <c r="L495" i="3"/>
  <c r="K495" i="3"/>
  <c r="E495" i="3"/>
  <c r="D495" i="3"/>
  <c r="B495" i="3"/>
  <c r="U494" i="3"/>
  <c r="T494" i="3"/>
  <c r="R494" i="3"/>
  <c r="S494" i="3" s="1"/>
  <c r="P494" i="3"/>
  <c r="Q494" i="3" s="1"/>
  <c r="O494" i="3"/>
  <c r="M494" i="3"/>
  <c r="L494" i="3"/>
  <c r="K494" i="3"/>
  <c r="E494" i="3"/>
  <c r="D494" i="3"/>
  <c r="B494" i="3"/>
  <c r="U493" i="3"/>
  <c r="T493" i="3"/>
  <c r="R493" i="3"/>
  <c r="S493" i="3" s="1"/>
  <c r="Q493" i="3"/>
  <c r="P493" i="3"/>
  <c r="O493" i="3"/>
  <c r="M493" i="3"/>
  <c r="L493" i="3"/>
  <c r="K493" i="3"/>
  <c r="E493" i="3"/>
  <c r="D493" i="3"/>
  <c r="B493" i="3"/>
  <c r="U492" i="3"/>
  <c r="T492" i="3"/>
  <c r="S492" i="3"/>
  <c r="R492" i="3"/>
  <c r="P492" i="3"/>
  <c r="Q492" i="3" s="1"/>
  <c r="M492" i="3"/>
  <c r="O492" i="3" s="1"/>
  <c r="L492" i="3"/>
  <c r="K492" i="3"/>
  <c r="E492" i="3"/>
  <c r="D492" i="3"/>
  <c r="B492" i="3"/>
  <c r="U491" i="3"/>
  <c r="T491" i="3"/>
  <c r="R491" i="3"/>
  <c r="S491" i="3" s="1"/>
  <c r="P491" i="3"/>
  <c r="Q491" i="3" s="1"/>
  <c r="M491" i="3"/>
  <c r="O491" i="3" s="1"/>
  <c r="L491" i="3"/>
  <c r="K491" i="3"/>
  <c r="E491" i="3"/>
  <c r="D491" i="3"/>
  <c r="B491" i="3"/>
  <c r="U490" i="3"/>
  <c r="T490" i="3"/>
  <c r="R490" i="3"/>
  <c r="S490" i="3" s="1"/>
  <c r="Q490" i="3"/>
  <c r="P490" i="3"/>
  <c r="O490" i="3"/>
  <c r="M490" i="3"/>
  <c r="L490" i="3"/>
  <c r="K490" i="3"/>
  <c r="E490" i="3"/>
  <c r="D490" i="3"/>
  <c r="B490" i="3"/>
  <c r="U489" i="3"/>
  <c r="T489" i="3"/>
  <c r="S489" i="3"/>
  <c r="R489" i="3"/>
  <c r="P489" i="3"/>
  <c r="Q489" i="3" s="1"/>
  <c r="O489" i="3"/>
  <c r="M489" i="3"/>
  <c r="L489" i="3"/>
  <c r="K489" i="3"/>
  <c r="E489" i="3"/>
  <c r="D489" i="3"/>
  <c r="B489" i="3"/>
  <c r="U488" i="3"/>
  <c r="T488" i="3"/>
  <c r="R488" i="3"/>
  <c r="S488" i="3" s="1"/>
  <c r="P488" i="3"/>
  <c r="Q488" i="3" s="1"/>
  <c r="M488" i="3"/>
  <c r="O488" i="3" s="1"/>
  <c r="L488" i="3"/>
  <c r="K488" i="3"/>
  <c r="E488" i="3"/>
  <c r="D488" i="3"/>
  <c r="B488" i="3"/>
  <c r="U487" i="3"/>
  <c r="T487" i="3"/>
  <c r="S487" i="3"/>
  <c r="R487" i="3"/>
  <c r="P487" i="3"/>
  <c r="Q487" i="3" s="1"/>
  <c r="M487" i="3"/>
  <c r="O487" i="3" s="1"/>
  <c r="L487" i="3"/>
  <c r="K487" i="3"/>
  <c r="E487" i="3"/>
  <c r="D487" i="3"/>
  <c r="B487" i="3"/>
  <c r="U486" i="3"/>
  <c r="T486" i="3"/>
  <c r="R486" i="3"/>
  <c r="S486" i="3" s="1"/>
  <c r="P486" i="3"/>
  <c r="Q486" i="3" s="1"/>
  <c r="O486" i="3"/>
  <c r="M486" i="3"/>
  <c r="L486" i="3"/>
  <c r="K486" i="3"/>
  <c r="E486" i="3"/>
  <c r="D486" i="3"/>
  <c r="B486" i="3"/>
  <c r="U485" i="3"/>
  <c r="T485" i="3"/>
  <c r="S485" i="3"/>
  <c r="R485" i="3"/>
  <c r="Q485" i="3"/>
  <c r="P485" i="3"/>
  <c r="M485" i="3"/>
  <c r="O485" i="3" s="1"/>
  <c r="L485" i="3"/>
  <c r="K485" i="3"/>
  <c r="E485" i="3"/>
  <c r="D485" i="3"/>
  <c r="B485" i="3"/>
  <c r="U484" i="3"/>
  <c r="T484" i="3"/>
  <c r="S484" i="3"/>
  <c r="R484" i="3"/>
  <c r="Q484" i="3"/>
  <c r="P484" i="3"/>
  <c r="M484" i="3"/>
  <c r="O484" i="3" s="1"/>
  <c r="L484" i="3"/>
  <c r="K484" i="3"/>
  <c r="E484" i="3"/>
  <c r="D484" i="3"/>
  <c r="B484" i="3"/>
  <c r="U483" i="3"/>
  <c r="T483" i="3"/>
  <c r="S483" i="3"/>
  <c r="R483" i="3"/>
  <c r="P483" i="3"/>
  <c r="Q483" i="3" s="1"/>
  <c r="M483" i="3"/>
  <c r="O483" i="3" s="1"/>
  <c r="L483" i="3"/>
  <c r="K483" i="3"/>
  <c r="E483" i="3"/>
  <c r="D483" i="3"/>
  <c r="B483" i="3"/>
  <c r="U482" i="3"/>
  <c r="T482" i="3"/>
  <c r="R482" i="3"/>
  <c r="S482" i="3" s="1"/>
  <c r="P482" i="3"/>
  <c r="Q482" i="3" s="1"/>
  <c r="O482" i="3"/>
  <c r="M482" i="3"/>
  <c r="L482" i="3"/>
  <c r="K482" i="3"/>
  <c r="E482" i="3"/>
  <c r="D482" i="3"/>
  <c r="B482" i="3"/>
  <c r="U481" i="3"/>
  <c r="T481" i="3"/>
  <c r="R481" i="3"/>
  <c r="S481" i="3" s="1"/>
  <c r="Q481" i="3"/>
  <c r="P481" i="3"/>
  <c r="O481" i="3"/>
  <c r="M481" i="3"/>
  <c r="L481" i="3"/>
  <c r="K481" i="3"/>
  <c r="E481" i="3"/>
  <c r="D481" i="3"/>
  <c r="B481" i="3"/>
  <c r="U480" i="3"/>
  <c r="T480" i="3"/>
  <c r="R480" i="3"/>
  <c r="S480" i="3" s="1"/>
  <c r="P480" i="3"/>
  <c r="Q480" i="3" s="1"/>
  <c r="M480" i="3"/>
  <c r="O480" i="3" s="1"/>
  <c r="L480" i="3"/>
  <c r="K480" i="3"/>
  <c r="E480" i="3"/>
  <c r="D480" i="3"/>
  <c r="B480" i="3"/>
  <c r="U479" i="3"/>
  <c r="T479" i="3"/>
  <c r="S479" i="3"/>
  <c r="R479" i="3"/>
  <c r="Q479" i="3"/>
  <c r="P479" i="3"/>
  <c r="M479" i="3"/>
  <c r="O479" i="3" s="1"/>
  <c r="L479" i="3"/>
  <c r="K479" i="3"/>
  <c r="E479" i="3"/>
  <c r="D479" i="3"/>
  <c r="B479" i="3"/>
  <c r="U478" i="3"/>
  <c r="T478" i="3"/>
  <c r="R478" i="3"/>
  <c r="S478" i="3" s="1"/>
  <c r="P478" i="3"/>
  <c r="Q478" i="3" s="1"/>
  <c r="O478" i="3"/>
  <c r="M478" i="3"/>
  <c r="L478" i="3"/>
  <c r="K478" i="3"/>
  <c r="E478" i="3"/>
  <c r="D478" i="3"/>
  <c r="B478" i="3"/>
  <c r="U477" i="3"/>
  <c r="T477" i="3"/>
  <c r="R477" i="3"/>
  <c r="S477" i="3" s="1"/>
  <c r="P477" i="3"/>
  <c r="Q477" i="3" s="1"/>
  <c r="O477" i="3"/>
  <c r="M477" i="3"/>
  <c r="L477" i="3"/>
  <c r="K477" i="3"/>
  <c r="E477" i="3"/>
  <c r="D477" i="3"/>
  <c r="B477" i="3"/>
  <c r="U476" i="3"/>
  <c r="T476" i="3"/>
  <c r="S476" i="3"/>
  <c r="R476" i="3"/>
  <c r="P476" i="3"/>
  <c r="Q476" i="3" s="1"/>
  <c r="M476" i="3"/>
  <c r="O476" i="3" s="1"/>
  <c r="L476" i="3"/>
  <c r="K476" i="3"/>
  <c r="E476" i="3"/>
  <c r="D476" i="3"/>
  <c r="B476" i="3"/>
  <c r="U475" i="3"/>
  <c r="T475" i="3"/>
  <c r="S475" i="3"/>
  <c r="R475" i="3"/>
  <c r="Q475" i="3"/>
  <c r="P475" i="3"/>
  <c r="M475" i="3"/>
  <c r="O475" i="3" s="1"/>
  <c r="L475" i="3"/>
  <c r="K475" i="3"/>
  <c r="E475" i="3"/>
  <c r="D475" i="3"/>
  <c r="B475" i="3"/>
  <c r="U474" i="3"/>
  <c r="T474" i="3"/>
  <c r="R474" i="3"/>
  <c r="S474" i="3" s="1"/>
  <c r="P474" i="3"/>
  <c r="Q474" i="3" s="1"/>
  <c r="M474" i="3"/>
  <c r="O474" i="3" s="1"/>
  <c r="L474" i="3"/>
  <c r="K474" i="3"/>
  <c r="E474" i="3"/>
  <c r="D474" i="3"/>
  <c r="B474" i="3"/>
  <c r="U473" i="3"/>
  <c r="T473" i="3"/>
  <c r="R473" i="3"/>
  <c r="S473" i="3" s="1"/>
  <c r="Q473" i="3"/>
  <c r="P473" i="3"/>
  <c r="O473" i="3"/>
  <c r="M473" i="3"/>
  <c r="L473" i="3"/>
  <c r="K473" i="3"/>
  <c r="E473" i="3"/>
  <c r="D473" i="3"/>
  <c r="B473" i="3"/>
  <c r="U472" i="3"/>
  <c r="T472" i="3"/>
  <c r="S472" i="3"/>
  <c r="R472" i="3"/>
  <c r="P472" i="3"/>
  <c r="Q472" i="3" s="1"/>
  <c r="O472" i="3"/>
  <c r="M472" i="3"/>
  <c r="L472" i="3"/>
  <c r="K472" i="3"/>
  <c r="E472" i="3"/>
  <c r="D472" i="3"/>
  <c r="B472" i="3"/>
  <c r="U471" i="3"/>
  <c r="T471" i="3"/>
  <c r="S471" i="3"/>
  <c r="R471" i="3"/>
  <c r="Q471" i="3"/>
  <c r="P471" i="3"/>
  <c r="M471" i="3"/>
  <c r="O471" i="3" s="1"/>
  <c r="L471" i="3"/>
  <c r="K471" i="3"/>
  <c r="E471" i="3"/>
  <c r="D471" i="3"/>
  <c r="B471" i="3"/>
  <c r="U470" i="3"/>
  <c r="T470" i="3"/>
  <c r="R470" i="3"/>
  <c r="S470" i="3" s="1"/>
  <c r="P470" i="3"/>
  <c r="Q470" i="3" s="1"/>
  <c r="O470" i="3"/>
  <c r="M470" i="3"/>
  <c r="L470" i="3"/>
  <c r="K470" i="3"/>
  <c r="E470" i="3"/>
  <c r="D470" i="3"/>
  <c r="B470" i="3"/>
  <c r="U469" i="3"/>
  <c r="T469" i="3"/>
  <c r="R469" i="3"/>
  <c r="S469" i="3" s="1"/>
  <c r="Q469" i="3"/>
  <c r="P469" i="3"/>
  <c r="M469" i="3"/>
  <c r="O469" i="3" s="1"/>
  <c r="L469" i="3"/>
  <c r="K469" i="3"/>
  <c r="E469" i="3"/>
  <c r="D469" i="3"/>
  <c r="B469" i="3"/>
  <c r="U468" i="3"/>
  <c r="T468" i="3"/>
  <c r="R468" i="3"/>
  <c r="S468" i="3" s="1"/>
  <c r="Q468" i="3"/>
  <c r="P468" i="3"/>
  <c r="O468" i="3"/>
  <c r="M468" i="3"/>
  <c r="L468" i="3"/>
  <c r="K468" i="3"/>
  <c r="E468" i="3"/>
  <c r="D468" i="3"/>
  <c r="B468" i="3"/>
  <c r="U467" i="3"/>
  <c r="T467" i="3"/>
  <c r="S467" i="3"/>
  <c r="R467" i="3"/>
  <c r="P467" i="3"/>
  <c r="Q467" i="3" s="1"/>
  <c r="M467" i="3"/>
  <c r="O467" i="3" s="1"/>
  <c r="L467" i="3"/>
  <c r="K467" i="3"/>
  <c r="E467" i="3"/>
  <c r="D467" i="3"/>
  <c r="B467" i="3"/>
  <c r="U466" i="3"/>
  <c r="T466" i="3"/>
  <c r="R466" i="3"/>
  <c r="S466" i="3" s="1"/>
  <c r="P466" i="3"/>
  <c r="Q466" i="3" s="1"/>
  <c r="M466" i="3"/>
  <c r="O466" i="3" s="1"/>
  <c r="L466" i="3"/>
  <c r="K466" i="3"/>
  <c r="E466" i="3"/>
  <c r="D466" i="3"/>
  <c r="B466" i="3"/>
  <c r="U465" i="3"/>
  <c r="T465" i="3"/>
  <c r="S465" i="3"/>
  <c r="R465" i="3"/>
  <c r="P465" i="3"/>
  <c r="Q465" i="3" s="1"/>
  <c r="M465" i="3"/>
  <c r="O465" i="3" s="1"/>
  <c r="L465" i="3"/>
  <c r="K465" i="3"/>
  <c r="E465" i="3"/>
  <c r="D465" i="3"/>
  <c r="B465" i="3"/>
  <c r="U464" i="3"/>
  <c r="T464" i="3"/>
  <c r="S464" i="3"/>
  <c r="R464" i="3"/>
  <c r="P464" i="3"/>
  <c r="Q464" i="3" s="1"/>
  <c r="O464" i="3"/>
  <c r="M464" i="3"/>
  <c r="L464" i="3"/>
  <c r="K464" i="3"/>
  <c r="E464" i="3"/>
  <c r="D464" i="3"/>
  <c r="B464" i="3"/>
  <c r="U463" i="3"/>
  <c r="T463" i="3"/>
  <c r="R463" i="3"/>
  <c r="S463" i="3" s="1"/>
  <c r="P463" i="3"/>
  <c r="Q463" i="3" s="1"/>
  <c r="O463" i="3"/>
  <c r="M463" i="3"/>
  <c r="L463" i="3"/>
  <c r="K463" i="3"/>
  <c r="E463" i="3"/>
  <c r="D463" i="3"/>
  <c r="B463" i="3"/>
  <c r="U462" i="3"/>
  <c r="T462" i="3"/>
  <c r="S462" i="3"/>
  <c r="R462" i="3"/>
  <c r="P462" i="3"/>
  <c r="Q462" i="3" s="1"/>
  <c r="M462" i="3"/>
  <c r="O462" i="3" s="1"/>
  <c r="L462" i="3"/>
  <c r="K462" i="3"/>
  <c r="E462" i="3"/>
  <c r="D462" i="3"/>
  <c r="B462" i="3"/>
  <c r="U461" i="3"/>
  <c r="T461" i="3"/>
  <c r="S461" i="3"/>
  <c r="R461" i="3"/>
  <c r="P461" i="3"/>
  <c r="Q461" i="3" s="1"/>
  <c r="O461" i="3"/>
  <c r="M461" i="3"/>
  <c r="L461" i="3"/>
  <c r="K461" i="3"/>
  <c r="E461" i="3"/>
  <c r="D461" i="3"/>
  <c r="B461" i="3"/>
  <c r="U460" i="3"/>
  <c r="T460" i="3"/>
  <c r="R460" i="3"/>
  <c r="S460" i="3" s="1"/>
  <c r="P460" i="3"/>
  <c r="Q460" i="3" s="1"/>
  <c r="M460" i="3"/>
  <c r="O460" i="3" s="1"/>
  <c r="L460" i="3"/>
  <c r="K460" i="3"/>
  <c r="E460" i="3"/>
  <c r="D460" i="3"/>
  <c r="B460" i="3"/>
  <c r="U459" i="3"/>
  <c r="T459" i="3"/>
  <c r="R459" i="3"/>
  <c r="S459" i="3" s="1"/>
  <c r="Q459" i="3"/>
  <c r="P459" i="3"/>
  <c r="O459" i="3"/>
  <c r="M459" i="3"/>
  <c r="L459" i="3"/>
  <c r="K459" i="3"/>
  <c r="E459" i="3"/>
  <c r="D459" i="3"/>
  <c r="B459" i="3"/>
  <c r="U458" i="3"/>
  <c r="T458" i="3"/>
  <c r="S458" i="3"/>
  <c r="R458" i="3"/>
  <c r="P458" i="3"/>
  <c r="Q458" i="3" s="1"/>
  <c r="O458" i="3"/>
  <c r="M458" i="3"/>
  <c r="L458" i="3"/>
  <c r="K458" i="3"/>
  <c r="E458" i="3"/>
  <c r="D458" i="3"/>
  <c r="B458" i="3"/>
  <c r="U457" i="3"/>
  <c r="T457" i="3"/>
  <c r="S457" i="3"/>
  <c r="R457" i="3"/>
  <c r="Q457" i="3"/>
  <c r="P457" i="3"/>
  <c r="M457" i="3"/>
  <c r="O457" i="3" s="1"/>
  <c r="L457" i="3"/>
  <c r="K457" i="3"/>
  <c r="E457" i="3"/>
  <c r="D457" i="3"/>
  <c r="B457" i="3"/>
  <c r="U456" i="3"/>
  <c r="T456" i="3"/>
  <c r="R456" i="3"/>
  <c r="S456" i="3" s="1"/>
  <c r="P456" i="3"/>
  <c r="Q456" i="3" s="1"/>
  <c r="M456" i="3"/>
  <c r="O456" i="3" s="1"/>
  <c r="L456" i="3"/>
  <c r="K456" i="3"/>
  <c r="E456" i="3"/>
  <c r="D456" i="3"/>
  <c r="B456" i="3"/>
  <c r="U455" i="3"/>
  <c r="T455" i="3"/>
  <c r="R455" i="3"/>
  <c r="S455" i="3" s="1"/>
  <c r="P455" i="3"/>
  <c r="Q455" i="3" s="1"/>
  <c r="O455" i="3"/>
  <c r="M455" i="3"/>
  <c r="L455" i="3"/>
  <c r="K455" i="3"/>
  <c r="E455" i="3"/>
  <c r="D455" i="3"/>
  <c r="B455" i="3"/>
  <c r="U454" i="3"/>
  <c r="T454" i="3"/>
  <c r="S454" i="3"/>
  <c r="R454" i="3"/>
  <c r="Q454" i="3"/>
  <c r="P454" i="3"/>
  <c r="O454" i="3"/>
  <c r="M454" i="3"/>
  <c r="L454" i="3"/>
  <c r="K454" i="3"/>
  <c r="E454" i="3"/>
  <c r="D454" i="3"/>
  <c r="B454" i="3"/>
  <c r="U453" i="3"/>
  <c r="T453" i="3"/>
  <c r="R453" i="3"/>
  <c r="S453" i="3" s="1"/>
  <c r="Q453" i="3"/>
  <c r="P453" i="3"/>
  <c r="O453" i="3"/>
  <c r="M453" i="3"/>
  <c r="L453" i="3"/>
  <c r="K453" i="3"/>
  <c r="E453" i="3"/>
  <c r="D453" i="3"/>
  <c r="B453" i="3"/>
  <c r="U452" i="3"/>
  <c r="T452" i="3"/>
  <c r="R452" i="3"/>
  <c r="S452" i="3" s="1"/>
  <c r="P452" i="3"/>
  <c r="Q452" i="3" s="1"/>
  <c r="M452" i="3"/>
  <c r="O452" i="3" s="1"/>
  <c r="L452" i="3"/>
  <c r="K452" i="3"/>
  <c r="E452" i="3"/>
  <c r="D452" i="3"/>
  <c r="B452" i="3"/>
  <c r="U451" i="3"/>
  <c r="T451" i="3"/>
  <c r="R451" i="3"/>
  <c r="S451" i="3" s="1"/>
  <c r="Q451" i="3"/>
  <c r="P451" i="3"/>
  <c r="M451" i="3"/>
  <c r="O451" i="3" s="1"/>
  <c r="L451" i="3"/>
  <c r="K451" i="3"/>
  <c r="E451" i="3"/>
  <c r="D451" i="3"/>
  <c r="B451" i="3"/>
  <c r="U450" i="3"/>
  <c r="T450" i="3"/>
  <c r="R450" i="3"/>
  <c r="S450" i="3" s="1"/>
  <c r="Q450" i="3"/>
  <c r="P450" i="3"/>
  <c r="O450" i="3"/>
  <c r="M450" i="3"/>
  <c r="L450" i="3"/>
  <c r="K450" i="3"/>
  <c r="E450" i="3"/>
  <c r="D450" i="3"/>
  <c r="B450" i="3"/>
  <c r="U449" i="3"/>
  <c r="T449" i="3"/>
  <c r="R449" i="3"/>
  <c r="S449" i="3" s="1"/>
  <c r="P449" i="3"/>
  <c r="Q449" i="3" s="1"/>
  <c r="O449" i="3"/>
  <c r="M449" i="3"/>
  <c r="L449" i="3"/>
  <c r="K449" i="3"/>
  <c r="E449" i="3"/>
  <c r="D449" i="3"/>
  <c r="B449" i="3"/>
  <c r="U448" i="3"/>
  <c r="T448" i="3"/>
  <c r="R448" i="3"/>
  <c r="S448" i="3" s="1"/>
  <c r="Q448" i="3"/>
  <c r="P448" i="3"/>
  <c r="M448" i="3"/>
  <c r="O448" i="3" s="1"/>
  <c r="L448" i="3"/>
  <c r="K448" i="3"/>
  <c r="E448" i="3"/>
  <c r="D448" i="3"/>
  <c r="B448" i="3"/>
  <c r="U447" i="3"/>
  <c r="T447" i="3"/>
  <c r="R447" i="3"/>
  <c r="S447" i="3" s="1"/>
  <c r="Q447" i="3"/>
  <c r="P447" i="3"/>
  <c r="M447" i="3"/>
  <c r="O447" i="3" s="1"/>
  <c r="L447" i="3"/>
  <c r="K447" i="3"/>
  <c r="E447" i="3"/>
  <c r="D447" i="3"/>
  <c r="B447" i="3"/>
  <c r="U446" i="3"/>
  <c r="T446" i="3"/>
  <c r="R446" i="3"/>
  <c r="S446" i="3" s="1"/>
  <c r="P446" i="3"/>
  <c r="Q446" i="3" s="1"/>
  <c r="M446" i="3"/>
  <c r="O446" i="3" s="1"/>
  <c r="L446" i="3"/>
  <c r="K446" i="3"/>
  <c r="E446" i="3"/>
  <c r="D446" i="3"/>
  <c r="B446" i="3"/>
  <c r="U445" i="3"/>
  <c r="T445" i="3"/>
  <c r="S445" i="3"/>
  <c r="R445" i="3"/>
  <c r="Q445" i="3"/>
  <c r="P445" i="3"/>
  <c r="M445" i="3"/>
  <c r="O445" i="3" s="1"/>
  <c r="L445" i="3"/>
  <c r="K445" i="3"/>
  <c r="E445" i="3"/>
  <c r="D445" i="3"/>
  <c r="B445" i="3"/>
  <c r="U444" i="3"/>
  <c r="T444" i="3"/>
  <c r="S444" i="3"/>
  <c r="R444" i="3"/>
  <c r="P444" i="3"/>
  <c r="Q444" i="3" s="1"/>
  <c r="M444" i="3"/>
  <c r="O444" i="3" s="1"/>
  <c r="L444" i="3"/>
  <c r="K444" i="3"/>
  <c r="E444" i="3"/>
  <c r="D444" i="3"/>
  <c r="B444" i="3"/>
  <c r="U443" i="3"/>
  <c r="T443" i="3"/>
  <c r="S443" i="3"/>
  <c r="R443" i="3"/>
  <c r="Q443" i="3"/>
  <c r="P443" i="3"/>
  <c r="M443" i="3"/>
  <c r="O443" i="3" s="1"/>
  <c r="L443" i="3"/>
  <c r="K443" i="3"/>
  <c r="E443" i="3"/>
  <c r="D443" i="3"/>
  <c r="B443" i="3"/>
  <c r="U442" i="3"/>
  <c r="T442" i="3"/>
  <c r="R442" i="3"/>
  <c r="S442" i="3" s="1"/>
  <c r="P442" i="3"/>
  <c r="Q442" i="3" s="1"/>
  <c r="M442" i="3"/>
  <c r="O442" i="3" s="1"/>
  <c r="L442" i="3"/>
  <c r="K442" i="3"/>
  <c r="E442" i="3"/>
  <c r="D442" i="3"/>
  <c r="B442" i="3"/>
  <c r="U441" i="3"/>
  <c r="T441" i="3"/>
  <c r="R441" i="3"/>
  <c r="S441" i="3" s="1"/>
  <c r="Q441" i="3"/>
  <c r="P441" i="3"/>
  <c r="O441" i="3"/>
  <c r="M441" i="3"/>
  <c r="L441" i="3"/>
  <c r="K441" i="3"/>
  <c r="E441" i="3"/>
  <c r="D441" i="3"/>
  <c r="B441" i="3"/>
  <c r="U440" i="3"/>
  <c r="T440" i="3"/>
  <c r="S440" i="3"/>
  <c r="R440" i="3"/>
  <c r="Q440" i="3"/>
  <c r="P440" i="3"/>
  <c r="O440" i="3"/>
  <c r="M440" i="3"/>
  <c r="L440" i="3"/>
  <c r="K440" i="3"/>
  <c r="E440" i="3"/>
  <c r="D440" i="3"/>
  <c r="B440" i="3"/>
  <c r="U439" i="3"/>
  <c r="T439" i="3"/>
  <c r="R439" i="3"/>
  <c r="S439" i="3" s="1"/>
  <c r="Q439" i="3"/>
  <c r="P439" i="3"/>
  <c r="O439" i="3"/>
  <c r="M439" i="3"/>
  <c r="L439" i="3"/>
  <c r="K439" i="3"/>
  <c r="E439" i="3"/>
  <c r="D439" i="3"/>
  <c r="B439" i="3"/>
  <c r="U438" i="3"/>
  <c r="T438" i="3"/>
  <c r="R438" i="3"/>
  <c r="S438" i="3" s="1"/>
  <c r="P438" i="3"/>
  <c r="Q438" i="3" s="1"/>
  <c r="O438" i="3"/>
  <c r="M438" i="3"/>
  <c r="L438" i="3"/>
  <c r="K438" i="3"/>
  <c r="E438" i="3"/>
  <c r="D438" i="3"/>
  <c r="B438" i="3"/>
  <c r="U437" i="3"/>
  <c r="T437" i="3"/>
  <c r="R437" i="3"/>
  <c r="S437" i="3" s="1"/>
  <c r="Q437" i="3"/>
  <c r="P437" i="3"/>
  <c r="M437" i="3"/>
  <c r="O437" i="3" s="1"/>
  <c r="L437" i="3"/>
  <c r="K437" i="3"/>
  <c r="E437" i="3"/>
  <c r="D437" i="3"/>
  <c r="B437" i="3"/>
  <c r="U436" i="3"/>
  <c r="T436" i="3"/>
  <c r="R436" i="3"/>
  <c r="S436" i="3" s="1"/>
  <c r="Q436" i="3"/>
  <c r="P436" i="3"/>
  <c r="M436" i="3"/>
  <c r="O436" i="3" s="1"/>
  <c r="L436" i="3"/>
  <c r="K436" i="3"/>
  <c r="E436" i="3"/>
  <c r="D436" i="3"/>
  <c r="B436" i="3"/>
  <c r="U435" i="3"/>
  <c r="T435" i="3"/>
  <c r="S435" i="3"/>
  <c r="R435" i="3"/>
  <c r="P435" i="3"/>
  <c r="Q435" i="3" s="1"/>
  <c r="M435" i="3"/>
  <c r="O435" i="3" s="1"/>
  <c r="L435" i="3"/>
  <c r="K435" i="3"/>
  <c r="E435" i="3"/>
  <c r="D435" i="3"/>
  <c r="B435" i="3"/>
  <c r="U434" i="3"/>
  <c r="T434" i="3"/>
  <c r="S434" i="3"/>
  <c r="R434" i="3"/>
  <c r="P434" i="3"/>
  <c r="Q434" i="3" s="1"/>
  <c r="M434" i="3"/>
  <c r="O434" i="3" s="1"/>
  <c r="L434" i="3"/>
  <c r="K434" i="3"/>
  <c r="E434" i="3"/>
  <c r="D434" i="3"/>
  <c r="B434" i="3"/>
  <c r="U433" i="3"/>
  <c r="T433" i="3"/>
  <c r="R433" i="3"/>
  <c r="S433" i="3" s="1"/>
  <c r="Q433" i="3"/>
  <c r="P433" i="3"/>
  <c r="O433" i="3"/>
  <c r="M433" i="3"/>
  <c r="L433" i="3"/>
  <c r="K433" i="3"/>
  <c r="E433" i="3"/>
  <c r="D433" i="3"/>
  <c r="B433" i="3"/>
  <c r="U432" i="3"/>
  <c r="T432" i="3"/>
  <c r="R432" i="3"/>
  <c r="S432" i="3" s="1"/>
  <c r="P432" i="3"/>
  <c r="Q432" i="3" s="1"/>
  <c r="M432" i="3"/>
  <c r="O432" i="3" s="1"/>
  <c r="L432" i="3"/>
  <c r="K432" i="3"/>
  <c r="E432" i="3"/>
  <c r="D432" i="3"/>
  <c r="B432" i="3"/>
  <c r="U431" i="3"/>
  <c r="T431" i="3"/>
  <c r="R431" i="3"/>
  <c r="S431" i="3" s="1"/>
  <c r="Q431" i="3"/>
  <c r="P431" i="3"/>
  <c r="O431" i="3"/>
  <c r="M431" i="3"/>
  <c r="L431" i="3"/>
  <c r="K431" i="3"/>
  <c r="E431" i="3"/>
  <c r="D431" i="3"/>
  <c r="B431" i="3"/>
  <c r="U430" i="3"/>
  <c r="T430" i="3"/>
  <c r="S430" i="3"/>
  <c r="R430" i="3"/>
  <c r="P430" i="3"/>
  <c r="Q430" i="3" s="1"/>
  <c r="M430" i="3"/>
  <c r="O430" i="3" s="1"/>
  <c r="L430" i="3"/>
  <c r="K430" i="3"/>
  <c r="E430" i="3"/>
  <c r="D430" i="3"/>
  <c r="B430" i="3"/>
  <c r="U429" i="3"/>
  <c r="T429" i="3"/>
  <c r="S429" i="3"/>
  <c r="R429" i="3"/>
  <c r="Q429" i="3"/>
  <c r="P429" i="3"/>
  <c r="M429" i="3"/>
  <c r="O429" i="3" s="1"/>
  <c r="L429" i="3"/>
  <c r="K429" i="3"/>
  <c r="E429" i="3"/>
  <c r="D429" i="3"/>
  <c r="B429" i="3"/>
  <c r="U428" i="3"/>
  <c r="T428" i="3"/>
  <c r="R428" i="3"/>
  <c r="S428" i="3" s="1"/>
  <c r="Q428" i="3"/>
  <c r="P428" i="3"/>
  <c r="O428" i="3"/>
  <c r="M428" i="3"/>
  <c r="L428" i="3"/>
  <c r="K428" i="3"/>
  <c r="E428" i="3"/>
  <c r="D428" i="3"/>
  <c r="B428" i="3"/>
  <c r="U427" i="3"/>
  <c r="T427" i="3"/>
  <c r="R427" i="3"/>
  <c r="S427" i="3" s="1"/>
  <c r="Q427" i="3"/>
  <c r="P427" i="3"/>
  <c r="O427" i="3"/>
  <c r="M427" i="3"/>
  <c r="L427" i="3"/>
  <c r="K427" i="3"/>
  <c r="E427" i="3"/>
  <c r="D427" i="3"/>
  <c r="B427" i="3"/>
  <c r="U426" i="3"/>
  <c r="T426" i="3"/>
  <c r="S426" i="3"/>
  <c r="R426" i="3"/>
  <c r="Q426" i="3"/>
  <c r="P426" i="3"/>
  <c r="O426" i="3"/>
  <c r="M426" i="3"/>
  <c r="L426" i="3"/>
  <c r="K426" i="3"/>
  <c r="E426" i="3"/>
  <c r="D426" i="3"/>
  <c r="B426" i="3"/>
  <c r="U425" i="3"/>
  <c r="T425" i="3"/>
  <c r="S425" i="3"/>
  <c r="R425" i="3"/>
  <c r="P425" i="3"/>
  <c r="Q425" i="3" s="1"/>
  <c r="O425" i="3"/>
  <c r="M425" i="3"/>
  <c r="L425" i="3"/>
  <c r="K425" i="3"/>
  <c r="E425" i="3"/>
  <c r="D425" i="3"/>
  <c r="B425" i="3"/>
  <c r="U424" i="3"/>
  <c r="T424" i="3"/>
  <c r="R424" i="3"/>
  <c r="S424" i="3" s="1"/>
  <c r="P424" i="3"/>
  <c r="Q424" i="3" s="1"/>
  <c r="O424" i="3"/>
  <c r="M424" i="3"/>
  <c r="L424" i="3"/>
  <c r="K424" i="3"/>
  <c r="E424" i="3"/>
  <c r="D424" i="3"/>
  <c r="B424" i="3"/>
  <c r="U423" i="3"/>
  <c r="T423" i="3"/>
  <c r="R423" i="3"/>
  <c r="S423" i="3" s="1"/>
  <c r="Q423" i="3"/>
  <c r="P423" i="3"/>
  <c r="M423" i="3"/>
  <c r="O423" i="3" s="1"/>
  <c r="L423" i="3"/>
  <c r="K423" i="3"/>
  <c r="E423" i="3"/>
  <c r="D423" i="3"/>
  <c r="B423" i="3"/>
  <c r="U422" i="3"/>
  <c r="T422" i="3"/>
  <c r="R422" i="3"/>
  <c r="S422" i="3" s="1"/>
  <c r="P422" i="3"/>
  <c r="Q422" i="3" s="1"/>
  <c r="M422" i="3"/>
  <c r="O422" i="3" s="1"/>
  <c r="L422" i="3"/>
  <c r="K422" i="3"/>
  <c r="E422" i="3"/>
  <c r="D422" i="3"/>
  <c r="B422" i="3"/>
  <c r="U421" i="3"/>
  <c r="T421" i="3"/>
  <c r="S421" i="3"/>
  <c r="R421" i="3"/>
  <c r="P421" i="3"/>
  <c r="Q421" i="3" s="1"/>
  <c r="O421" i="3"/>
  <c r="M421" i="3"/>
  <c r="L421" i="3"/>
  <c r="K421" i="3"/>
  <c r="E421" i="3"/>
  <c r="D421" i="3"/>
  <c r="B421" i="3"/>
  <c r="U420" i="3"/>
  <c r="T420" i="3"/>
  <c r="R420" i="3"/>
  <c r="S420" i="3" s="1"/>
  <c r="Q420" i="3"/>
  <c r="P420" i="3"/>
  <c r="M420" i="3"/>
  <c r="O420" i="3" s="1"/>
  <c r="L420" i="3"/>
  <c r="K420" i="3"/>
  <c r="E420" i="3"/>
  <c r="D420" i="3"/>
  <c r="B420" i="3"/>
  <c r="U419" i="3"/>
  <c r="T419" i="3"/>
  <c r="R419" i="3"/>
  <c r="S419" i="3" s="1"/>
  <c r="Q419" i="3"/>
  <c r="P419" i="3"/>
  <c r="O419" i="3"/>
  <c r="M419" i="3"/>
  <c r="L419" i="3"/>
  <c r="K419" i="3"/>
  <c r="E419" i="3"/>
  <c r="D419" i="3"/>
  <c r="B419" i="3"/>
  <c r="U418" i="3"/>
  <c r="T418" i="3"/>
  <c r="R418" i="3"/>
  <c r="S418" i="3" s="1"/>
  <c r="P418" i="3"/>
  <c r="Q418" i="3" s="1"/>
  <c r="O418" i="3"/>
  <c r="M418" i="3"/>
  <c r="L418" i="3"/>
  <c r="K418" i="3"/>
  <c r="E418" i="3"/>
  <c r="D418" i="3"/>
  <c r="B418" i="3"/>
  <c r="U417" i="3"/>
  <c r="T417" i="3"/>
  <c r="S417" i="3"/>
  <c r="R417" i="3"/>
  <c r="P417" i="3"/>
  <c r="Q417" i="3" s="1"/>
  <c r="M417" i="3"/>
  <c r="O417" i="3" s="1"/>
  <c r="L417" i="3"/>
  <c r="K417" i="3"/>
  <c r="E417" i="3"/>
  <c r="D417" i="3"/>
  <c r="B417" i="3"/>
  <c r="U416" i="3"/>
  <c r="T416" i="3"/>
  <c r="R416" i="3"/>
  <c r="S416" i="3" s="1"/>
  <c r="P416" i="3"/>
  <c r="Q416" i="3" s="1"/>
  <c r="M416" i="3"/>
  <c r="O416" i="3" s="1"/>
  <c r="L416" i="3"/>
  <c r="K416" i="3"/>
  <c r="E416" i="3"/>
  <c r="D416" i="3"/>
  <c r="B416" i="3"/>
  <c r="U415" i="3"/>
  <c r="T415" i="3"/>
  <c r="S415" i="3"/>
  <c r="R415" i="3"/>
  <c r="P415" i="3"/>
  <c r="Q415" i="3" s="1"/>
  <c r="M415" i="3"/>
  <c r="O415" i="3" s="1"/>
  <c r="L415" i="3"/>
  <c r="K415" i="3"/>
  <c r="E415" i="3"/>
  <c r="D415" i="3"/>
  <c r="B415" i="3"/>
  <c r="U414" i="3"/>
  <c r="T414" i="3"/>
  <c r="R414" i="3"/>
  <c r="S414" i="3" s="1"/>
  <c r="Q414" i="3"/>
  <c r="P414" i="3"/>
  <c r="O414" i="3"/>
  <c r="M414" i="3"/>
  <c r="L414" i="3"/>
  <c r="K414" i="3"/>
  <c r="E414" i="3"/>
  <c r="D414" i="3"/>
  <c r="B414" i="3"/>
  <c r="U413" i="3"/>
  <c r="T413" i="3"/>
  <c r="S413" i="3"/>
  <c r="R413" i="3"/>
  <c r="Q413" i="3"/>
  <c r="P413" i="3"/>
  <c r="O413" i="3"/>
  <c r="M413" i="3"/>
  <c r="L413" i="3"/>
  <c r="K413" i="3"/>
  <c r="E413" i="3"/>
  <c r="D413" i="3"/>
  <c r="B413" i="3"/>
  <c r="U412" i="3"/>
  <c r="T412" i="3"/>
  <c r="R412" i="3"/>
  <c r="S412" i="3" s="1"/>
  <c r="Q412" i="3"/>
  <c r="P412" i="3"/>
  <c r="O412" i="3"/>
  <c r="M412" i="3"/>
  <c r="L412" i="3"/>
  <c r="K412" i="3"/>
  <c r="E412" i="3"/>
  <c r="D412" i="3"/>
  <c r="B412" i="3"/>
  <c r="U411" i="3"/>
  <c r="T411" i="3"/>
  <c r="R411" i="3"/>
  <c r="S411" i="3" s="1"/>
  <c r="Q411" i="3"/>
  <c r="P411" i="3"/>
  <c r="M411" i="3"/>
  <c r="O411" i="3" s="1"/>
  <c r="L411" i="3"/>
  <c r="K411" i="3"/>
  <c r="E411" i="3"/>
  <c r="D411" i="3"/>
  <c r="B411" i="3"/>
  <c r="U410" i="3"/>
  <c r="T410" i="3"/>
  <c r="R410" i="3"/>
  <c r="S410" i="3" s="1"/>
  <c r="Q410" i="3"/>
  <c r="P410" i="3"/>
  <c r="O410" i="3"/>
  <c r="M410" i="3"/>
  <c r="L410" i="3"/>
  <c r="K410" i="3"/>
  <c r="E410" i="3"/>
  <c r="D410" i="3"/>
  <c r="B410" i="3"/>
  <c r="U409" i="3"/>
  <c r="T409" i="3"/>
  <c r="S409" i="3"/>
  <c r="R409" i="3"/>
  <c r="P409" i="3"/>
  <c r="Q409" i="3" s="1"/>
  <c r="M409" i="3"/>
  <c r="O409" i="3" s="1"/>
  <c r="L409" i="3"/>
  <c r="K409" i="3"/>
  <c r="E409" i="3"/>
  <c r="D409" i="3"/>
  <c r="B409" i="3"/>
  <c r="U408" i="3"/>
  <c r="T408" i="3"/>
  <c r="R408" i="3"/>
  <c r="S408" i="3" s="1"/>
  <c r="P408" i="3"/>
  <c r="Q408" i="3" s="1"/>
  <c r="M408" i="3"/>
  <c r="O408" i="3" s="1"/>
  <c r="L408" i="3"/>
  <c r="K408" i="3"/>
  <c r="E408" i="3"/>
  <c r="D408" i="3"/>
  <c r="B408" i="3"/>
  <c r="U407" i="3"/>
  <c r="T407" i="3"/>
  <c r="S407" i="3"/>
  <c r="R407" i="3"/>
  <c r="P407" i="3"/>
  <c r="Q407" i="3" s="1"/>
  <c r="M407" i="3"/>
  <c r="O407" i="3" s="1"/>
  <c r="L407" i="3"/>
  <c r="K407" i="3"/>
  <c r="E407" i="3"/>
  <c r="D407" i="3"/>
  <c r="B407" i="3"/>
  <c r="U406" i="3"/>
  <c r="T406" i="3"/>
  <c r="R406" i="3"/>
  <c r="S406" i="3" s="1"/>
  <c r="Q406" i="3"/>
  <c r="P406" i="3"/>
  <c r="O406" i="3"/>
  <c r="M406" i="3"/>
  <c r="L406" i="3"/>
  <c r="K406" i="3"/>
  <c r="E406" i="3"/>
  <c r="D406" i="3"/>
  <c r="B406" i="3"/>
  <c r="U405" i="3"/>
  <c r="T405" i="3"/>
  <c r="S405" i="3"/>
  <c r="R405" i="3"/>
  <c r="Q405" i="3"/>
  <c r="P405" i="3"/>
  <c r="M405" i="3"/>
  <c r="O405" i="3" s="1"/>
  <c r="L405" i="3"/>
  <c r="K405" i="3"/>
  <c r="E405" i="3"/>
  <c r="D405" i="3"/>
  <c r="B405" i="3"/>
  <c r="U404" i="3"/>
  <c r="T404" i="3"/>
  <c r="R404" i="3"/>
  <c r="S404" i="3" s="1"/>
  <c r="P404" i="3"/>
  <c r="Q404" i="3" s="1"/>
  <c r="M404" i="3"/>
  <c r="O404" i="3" s="1"/>
  <c r="L404" i="3"/>
  <c r="K404" i="3"/>
  <c r="E404" i="3"/>
  <c r="D404" i="3"/>
  <c r="B404" i="3"/>
  <c r="U403" i="3"/>
  <c r="T403" i="3"/>
  <c r="R403" i="3"/>
  <c r="S403" i="3" s="1"/>
  <c r="P403" i="3"/>
  <c r="Q403" i="3" s="1"/>
  <c r="O403" i="3"/>
  <c r="M403" i="3"/>
  <c r="L403" i="3"/>
  <c r="K403" i="3"/>
  <c r="E403" i="3"/>
  <c r="D403" i="3"/>
  <c r="B403" i="3"/>
  <c r="U402" i="3"/>
  <c r="T402" i="3"/>
  <c r="S402" i="3"/>
  <c r="R402" i="3"/>
  <c r="Q402" i="3"/>
  <c r="P402" i="3"/>
  <c r="M402" i="3"/>
  <c r="O402" i="3" s="1"/>
  <c r="L402" i="3"/>
  <c r="K402" i="3"/>
  <c r="E402" i="3"/>
  <c r="D402" i="3"/>
  <c r="B402" i="3"/>
  <c r="U401" i="3"/>
  <c r="T401" i="3"/>
  <c r="S401" i="3"/>
  <c r="R401" i="3"/>
  <c r="Q401" i="3"/>
  <c r="P401" i="3"/>
  <c r="M401" i="3"/>
  <c r="O401" i="3" s="1"/>
  <c r="L401" i="3"/>
  <c r="K401" i="3"/>
  <c r="E401" i="3"/>
  <c r="D401" i="3"/>
  <c r="B401" i="3"/>
  <c r="U400" i="3"/>
  <c r="T400" i="3"/>
  <c r="R400" i="3"/>
  <c r="S400" i="3" s="1"/>
  <c r="Q400" i="3"/>
  <c r="P400" i="3"/>
  <c r="M400" i="3"/>
  <c r="O400" i="3" s="1"/>
  <c r="L400" i="3"/>
  <c r="K400" i="3"/>
  <c r="E400" i="3"/>
  <c r="D400" i="3"/>
  <c r="B400" i="3"/>
  <c r="U399" i="3"/>
  <c r="T399" i="3"/>
  <c r="S399" i="3"/>
  <c r="R399" i="3"/>
  <c r="P399" i="3"/>
  <c r="Q399" i="3" s="1"/>
  <c r="O399" i="3"/>
  <c r="M399" i="3"/>
  <c r="L399" i="3"/>
  <c r="K399" i="3"/>
  <c r="E399" i="3"/>
  <c r="D399" i="3"/>
  <c r="B399" i="3"/>
  <c r="U398" i="3"/>
  <c r="T398" i="3"/>
  <c r="S398" i="3"/>
  <c r="R398" i="3"/>
  <c r="P398" i="3"/>
  <c r="Q398" i="3" s="1"/>
  <c r="M398" i="3"/>
  <c r="O398" i="3" s="1"/>
  <c r="L398" i="3"/>
  <c r="K398" i="3"/>
  <c r="E398" i="3"/>
  <c r="D398" i="3"/>
  <c r="B398" i="3"/>
  <c r="U397" i="3"/>
  <c r="T397" i="3"/>
  <c r="S397" i="3"/>
  <c r="R397" i="3"/>
  <c r="Q397" i="3"/>
  <c r="P397" i="3"/>
  <c r="M397" i="3"/>
  <c r="O397" i="3" s="1"/>
  <c r="L397" i="3"/>
  <c r="K397" i="3"/>
  <c r="E397" i="3"/>
  <c r="D397" i="3"/>
  <c r="B397" i="3"/>
  <c r="U396" i="3"/>
  <c r="T396" i="3"/>
  <c r="R396" i="3"/>
  <c r="S396" i="3" s="1"/>
  <c r="Q396" i="3"/>
  <c r="P396" i="3"/>
  <c r="O396" i="3"/>
  <c r="M396" i="3"/>
  <c r="L396" i="3"/>
  <c r="K396" i="3"/>
  <c r="E396" i="3"/>
  <c r="D396" i="3"/>
  <c r="B396" i="3"/>
  <c r="U395" i="3"/>
  <c r="T395" i="3"/>
  <c r="R395" i="3"/>
  <c r="S395" i="3" s="1"/>
  <c r="Q395" i="3"/>
  <c r="P395" i="3"/>
  <c r="O395" i="3"/>
  <c r="M395" i="3"/>
  <c r="L395" i="3"/>
  <c r="K395" i="3"/>
  <c r="E395" i="3"/>
  <c r="D395" i="3"/>
  <c r="B395" i="3"/>
  <c r="U394" i="3"/>
  <c r="T394" i="3"/>
  <c r="S394" i="3"/>
  <c r="R394" i="3"/>
  <c r="P394" i="3"/>
  <c r="Q394" i="3" s="1"/>
  <c r="M394" i="3"/>
  <c r="O394" i="3" s="1"/>
  <c r="L394" i="3"/>
  <c r="K394" i="3"/>
  <c r="E394" i="3"/>
  <c r="D394" i="3"/>
  <c r="B394" i="3"/>
  <c r="U393" i="3"/>
  <c r="T393" i="3"/>
  <c r="S393" i="3"/>
  <c r="R393" i="3"/>
  <c r="P393" i="3"/>
  <c r="Q393" i="3" s="1"/>
  <c r="O393" i="3"/>
  <c r="M393" i="3"/>
  <c r="L393" i="3"/>
  <c r="K393" i="3"/>
  <c r="E393" i="3"/>
  <c r="D393" i="3"/>
  <c r="B393" i="3"/>
  <c r="U392" i="3"/>
  <c r="T392" i="3"/>
  <c r="S392" i="3"/>
  <c r="R392" i="3"/>
  <c r="P392" i="3"/>
  <c r="Q392" i="3" s="1"/>
  <c r="M392" i="3"/>
  <c r="O392" i="3" s="1"/>
  <c r="L392" i="3"/>
  <c r="K392" i="3"/>
  <c r="E392" i="3"/>
  <c r="D392" i="3"/>
  <c r="B392" i="3"/>
  <c r="U391" i="3"/>
  <c r="T391" i="3"/>
  <c r="S391" i="3"/>
  <c r="R391" i="3"/>
  <c r="Q391" i="3"/>
  <c r="P391" i="3"/>
  <c r="M391" i="3"/>
  <c r="O391" i="3" s="1"/>
  <c r="L391" i="3"/>
  <c r="K391" i="3"/>
  <c r="E391" i="3"/>
  <c r="D391" i="3"/>
  <c r="B391" i="3"/>
  <c r="U390" i="3"/>
  <c r="T390" i="3"/>
  <c r="R390" i="3"/>
  <c r="S390" i="3" s="1"/>
  <c r="Q390" i="3"/>
  <c r="P390" i="3"/>
  <c r="M390" i="3"/>
  <c r="O390" i="3" s="1"/>
  <c r="L390" i="3"/>
  <c r="K390" i="3"/>
  <c r="E390" i="3"/>
  <c r="D390" i="3"/>
  <c r="B390" i="3"/>
  <c r="U389" i="3"/>
  <c r="T389" i="3"/>
  <c r="S389" i="3"/>
  <c r="R389" i="3"/>
  <c r="P389" i="3"/>
  <c r="Q389" i="3" s="1"/>
  <c r="O389" i="3"/>
  <c r="M389" i="3"/>
  <c r="L389" i="3"/>
  <c r="K389" i="3"/>
  <c r="E389" i="3"/>
  <c r="D389" i="3"/>
  <c r="B389" i="3"/>
  <c r="U388" i="3"/>
  <c r="T388" i="3"/>
  <c r="R388" i="3"/>
  <c r="S388" i="3" s="1"/>
  <c r="Q388" i="3"/>
  <c r="P388" i="3"/>
  <c r="O388" i="3"/>
  <c r="M388" i="3"/>
  <c r="L388" i="3"/>
  <c r="K388" i="3"/>
  <c r="E388" i="3"/>
  <c r="D388" i="3"/>
  <c r="B388" i="3"/>
  <c r="U387" i="3"/>
  <c r="T387" i="3"/>
  <c r="S387" i="3"/>
  <c r="R387" i="3"/>
  <c r="P387" i="3"/>
  <c r="Q387" i="3" s="1"/>
  <c r="O387" i="3"/>
  <c r="M387" i="3"/>
  <c r="L387" i="3"/>
  <c r="K387" i="3"/>
  <c r="E387" i="3"/>
  <c r="D387" i="3"/>
  <c r="B387" i="3"/>
  <c r="U386" i="3"/>
  <c r="T386" i="3"/>
  <c r="R386" i="3"/>
  <c r="S386" i="3" s="1"/>
  <c r="P386" i="3"/>
  <c r="Q386" i="3" s="1"/>
  <c r="O386" i="3"/>
  <c r="M386" i="3"/>
  <c r="L386" i="3"/>
  <c r="K386" i="3"/>
  <c r="E386" i="3"/>
  <c r="D386" i="3"/>
  <c r="B386" i="3"/>
  <c r="U385" i="3"/>
  <c r="T385" i="3"/>
  <c r="R385" i="3"/>
  <c r="S385" i="3" s="1"/>
  <c r="P385" i="3"/>
  <c r="Q385" i="3" s="1"/>
  <c r="M385" i="3"/>
  <c r="O385" i="3" s="1"/>
  <c r="L385" i="3"/>
  <c r="K385" i="3"/>
  <c r="E385" i="3"/>
  <c r="D385" i="3"/>
  <c r="B385" i="3"/>
  <c r="U384" i="3"/>
  <c r="T384" i="3"/>
  <c r="R384" i="3"/>
  <c r="S384" i="3" s="1"/>
  <c r="P384" i="3"/>
  <c r="Q384" i="3" s="1"/>
  <c r="O384" i="3"/>
  <c r="M384" i="3"/>
  <c r="L384" i="3"/>
  <c r="K384" i="3"/>
  <c r="E384" i="3"/>
  <c r="D384" i="3"/>
  <c r="B384" i="3"/>
  <c r="U383" i="3"/>
  <c r="T383" i="3"/>
  <c r="R383" i="3"/>
  <c r="S383" i="3" s="1"/>
  <c r="Q383" i="3"/>
  <c r="P383" i="3"/>
  <c r="O383" i="3"/>
  <c r="M383" i="3"/>
  <c r="L383" i="3"/>
  <c r="K383" i="3"/>
  <c r="E383" i="3"/>
  <c r="D383" i="3"/>
  <c r="B383" i="3"/>
  <c r="U382" i="3"/>
  <c r="T382" i="3"/>
  <c r="S382" i="3"/>
  <c r="R382" i="3"/>
  <c r="P382" i="3"/>
  <c r="Q382" i="3" s="1"/>
  <c r="M382" i="3"/>
  <c r="O382" i="3" s="1"/>
  <c r="L382" i="3"/>
  <c r="K382" i="3"/>
  <c r="E382" i="3"/>
  <c r="D382" i="3"/>
  <c r="B382" i="3"/>
  <c r="U381" i="3"/>
  <c r="T381" i="3"/>
  <c r="S381" i="3"/>
  <c r="R381" i="3"/>
  <c r="Q381" i="3"/>
  <c r="P381" i="3"/>
  <c r="O381" i="3"/>
  <c r="M381" i="3"/>
  <c r="L381" i="3"/>
  <c r="K381" i="3"/>
  <c r="E381" i="3"/>
  <c r="D381" i="3"/>
  <c r="B381" i="3"/>
  <c r="U380" i="3"/>
  <c r="T380" i="3"/>
  <c r="S380" i="3"/>
  <c r="R380" i="3"/>
  <c r="Q380" i="3"/>
  <c r="P380" i="3"/>
  <c r="M380" i="3"/>
  <c r="O380" i="3" s="1"/>
  <c r="L380" i="3"/>
  <c r="K380" i="3"/>
  <c r="E380" i="3"/>
  <c r="D380" i="3"/>
  <c r="B380" i="3"/>
  <c r="U379" i="3"/>
  <c r="T379" i="3"/>
  <c r="R379" i="3"/>
  <c r="S379" i="3" s="1"/>
  <c r="Q379" i="3"/>
  <c r="P379" i="3"/>
  <c r="M379" i="3"/>
  <c r="O379" i="3" s="1"/>
  <c r="L379" i="3"/>
  <c r="K379" i="3"/>
  <c r="E379" i="3"/>
  <c r="D379" i="3"/>
  <c r="B379" i="3"/>
  <c r="U378" i="3"/>
  <c r="T378" i="3"/>
  <c r="R378" i="3"/>
  <c r="S378" i="3" s="1"/>
  <c r="P378" i="3"/>
  <c r="Q378" i="3" s="1"/>
  <c r="M378" i="3"/>
  <c r="O378" i="3" s="1"/>
  <c r="L378" i="3"/>
  <c r="K378" i="3"/>
  <c r="E378" i="3"/>
  <c r="D378" i="3"/>
  <c r="B378" i="3"/>
  <c r="U377" i="3"/>
  <c r="T377" i="3"/>
  <c r="R377" i="3"/>
  <c r="S377" i="3" s="1"/>
  <c r="P377" i="3"/>
  <c r="Q377" i="3" s="1"/>
  <c r="M377" i="3"/>
  <c r="O377" i="3" s="1"/>
  <c r="L377" i="3"/>
  <c r="K377" i="3"/>
  <c r="E377" i="3"/>
  <c r="D377" i="3"/>
  <c r="B377" i="3"/>
  <c r="U376" i="3"/>
  <c r="T376" i="3"/>
  <c r="R376" i="3"/>
  <c r="S376" i="3" s="1"/>
  <c r="Q376" i="3"/>
  <c r="P376" i="3"/>
  <c r="O376" i="3"/>
  <c r="M376" i="3"/>
  <c r="L376" i="3"/>
  <c r="K376" i="3"/>
  <c r="E376" i="3"/>
  <c r="D376" i="3"/>
  <c r="B376" i="3"/>
  <c r="U375" i="3"/>
  <c r="T375" i="3"/>
  <c r="S375" i="3"/>
  <c r="R375" i="3"/>
  <c r="Q375" i="3"/>
  <c r="P375" i="3"/>
  <c r="O375" i="3"/>
  <c r="M375" i="3"/>
  <c r="L375" i="3"/>
  <c r="K375" i="3"/>
  <c r="E375" i="3"/>
  <c r="D375" i="3"/>
  <c r="B375" i="3"/>
  <c r="U374" i="3"/>
  <c r="T374" i="3"/>
  <c r="R374" i="3"/>
  <c r="S374" i="3" s="1"/>
  <c r="P374" i="3"/>
  <c r="Q374" i="3" s="1"/>
  <c r="O374" i="3"/>
  <c r="M374" i="3"/>
  <c r="L374" i="3"/>
  <c r="K374" i="3"/>
  <c r="E374" i="3"/>
  <c r="D374" i="3"/>
  <c r="B374" i="3"/>
  <c r="U373" i="3"/>
  <c r="T373" i="3"/>
  <c r="R373" i="3"/>
  <c r="S373" i="3" s="1"/>
  <c r="Q373" i="3"/>
  <c r="P373" i="3"/>
  <c r="M373" i="3"/>
  <c r="O373" i="3" s="1"/>
  <c r="L373" i="3"/>
  <c r="K373" i="3"/>
  <c r="E373" i="3"/>
  <c r="D373" i="3"/>
  <c r="B373" i="3"/>
  <c r="U372" i="3"/>
  <c r="T372" i="3"/>
  <c r="S372" i="3"/>
  <c r="R372" i="3"/>
  <c r="P372" i="3"/>
  <c r="Q372" i="3" s="1"/>
  <c r="M372" i="3"/>
  <c r="O372" i="3" s="1"/>
  <c r="L372" i="3"/>
  <c r="K372" i="3"/>
  <c r="E372" i="3"/>
  <c r="D372" i="3"/>
  <c r="B372" i="3"/>
  <c r="U371" i="3"/>
  <c r="T371" i="3"/>
  <c r="S371" i="3"/>
  <c r="R371" i="3"/>
  <c r="P371" i="3"/>
  <c r="Q371" i="3" s="1"/>
  <c r="M371" i="3"/>
  <c r="O371" i="3" s="1"/>
  <c r="L371" i="3"/>
  <c r="K371" i="3"/>
  <c r="E371" i="3"/>
  <c r="D371" i="3"/>
  <c r="B371" i="3"/>
  <c r="U370" i="3"/>
  <c r="T370" i="3"/>
  <c r="R370" i="3"/>
  <c r="S370" i="3" s="1"/>
  <c r="P370" i="3"/>
  <c r="Q370" i="3" s="1"/>
  <c r="O370" i="3"/>
  <c r="M370" i="3"/>
  <c r="L370" i="3"/>
  <c r="K370" i="3"/>
  <c r="E370" i="3"/>
  <c r="D370" i="3"/>
  <c r="B370" i="3"/>
  <c r="U369" i="3"/>
  <c r="T369" i="3"/>
  <c r="S369" i="3"/>
  <c r="R369" i="3"/>
  <c r="Q369" i="3"/>
  <c r="P369" i="3"/>
  <c r="M369" i="3"/>
  <c r="O369" i="3" s="1"/>
  <c r="L369" i="3"/>
  <c r="K369" i="3"/>
  <c r="E369" i="3"/>
  <c r="D369" i="3"/>
  <c r="B369" i="3"/>
  <c r="U368" i="3"/>
  <c r="T368" i="3"/>
  <c r="R368" i="3"/>
  <c r="S368" i="3" s="1"/>
  <c r="Q368" i="3"/>
  <c r="P368" i="3"/>
  <c r="M368" i="3"/>
  <c r="O368" i="3" s="1"/>
  <c r="L368" i="3"/>
  <c r="K368" i="3"/>
  <c r="E368" i="3"/>
  <c r="D368" i="3"/>
  <c r="B368" i="3"/>
  <c r="U367" i="3"/>
  <c r="T367" i="3"/>
  <c r="S367" i="3"/>
  <c r="R367" i="3"/>
  <c r="Q367" i="3"/>
  <c r="P367" i="3"/>
  <c r="M367" i="3"/>
  <c r="O367" i="3" s="1"/>
  <c r="L367" i="3"/>
  <c r="K367" i="3"/>
  <c r="E367" i="3"/>
  <c r="D367" i="3"/>
  <c r="B367" i="3"/>
  <c r="U366" i="3"/>
  <c r="T366" i="3"/>
  <c r="S366" i="3"/>
  <c r="R366" i="3"/>
  <c r="P366" i="3"/>
  <c r="Q366" i="3" s="1"/>
  <c r="O366" i="3"/>
  <c r="M366" i="3"/>
  <c r="L366" i="3"/>
  <c r="K366" i="3"/>
  <c r="E366" i="3"/>
  <c r="D366" i="3"/>
  <c r="B366" i="3"/>
  <c r="U365" i="3"/>
  <c r="T365" i="3"/>
  <c r="S365" i="3"/>
  <c r="R365" i="3"/>
  <c r="Q365" i="3"/>
  <c r="P365" i="3"/>
  <c r="M365" i="3"/>
  <c r="O365" i="3" s="1"/>
  <c r="L365" i="3"/>
  <c r="K365" i="3"/>
  <c r="E365" i="3"/>
  <c r="D365" i="3"/>
  <c r="B365" i="3"/>
  <c r="U364" i="3"/>
  <c r="T364" i="3"/>
  <c r="S364" i="3"/>
  <c r="R364" i="3"/>
  <c r="P364" i="3"/>
  <c r="Q364" i="3" s="1"/>
  <c r="O364" i="3"/>
  <c r="M364" i="3"/>
  <c r="L364" i="3"/>
  <c r="K364" i="3"/>
  <c r="E364" i="3"/>
  <c r="D364" i="3"/>
  <c r="B364" i="3"/>
  <c r="U363" i="3"/>
  <c r="T363" i="3"/>
  <c r="R363" i="3"/>
  <c r="S363" i="3" s="1"/>
  <c r="Q363" i="3"/>
  <c r="P363" i="3"/>
  <c r="M363" i="3"/>
  <c r="O363" i="3" s="1"/>
  <c r="L363" i="3"/>
  <c r="K363" i="3"/>
  <c r="E363" i="3"/>
  <c r="D363" i="3"/>
  <c r="B363" i="3"/>
  <c r="U362" i="3"/>
  <c r="T362" i="3"/>
  <c r="R362" i="3"/>
  <c r="S362" i="3" s="1"/>
  <c r="Q362" i="3"/>
  <c r="P362" i="3"/>
  <c r="O362" i="3"/>
  <c r="M362" i="3"/>
  <c r="L362" i="3"/>
  <c r="K362" i="3"/>
  <c r="E362" i="3"/>
  <c r="D362" i="3"/>
  <c r="B362" i="3"/>
  <c r="U361" i="3"/>
  <c r="T361" i="3"/>
  <c r="R361" i="3"/>
  <c r="P361" i="3"/>
  <c r="L361" i="3"/>
  <c r="K361" i="3"/>
  <c r="E361" i="3"/>
  <c r="D361" i="3"/>
  <c r="B361" i="3"/>
  <c r="U360" i="3"/>
  <c r="T360" i="3"/>
  <c r="R360" i="3"/>
  <c r="P360" i="3"/>
  <c r="L360" i="3"/>
  <c r="K360" i="3"/>
  <c r="E360" i="3"/>
  <c r="D360" i="3"/>
  <c r="B360" i="3"/>
  <c r="U359" i="3"/>
  <c r="T359" i="3"/>
  <c r="R359" i="3"/>
  <c r="P359" i="3"/>
  <c r="L359" i="3"/>
  <c r="K359" i="3"/>
  <c r="E359" i="3"/>
  <c r="D359" i="3"/>
  <c r="B359" i="3"/>
  <c r="U358" i="3"/>
  <c r="T358" i="3"/>
  <c r="R358" i="3"/>
  <c r="P358" i="3"/>
  <c r="L358" i="3"/>
  <c r="K358" i="3"/>
  <c r="E358" i="3"/>
  <c r="D358" i="3"/>
  <c r="B358" i="3"/>
  <c r="U357" i="3"/>
  <c r="T357" i="3"/>
  <c r="R357" i="3"/>
  <c r="P357" i="3"/>
  <c r="L357" i="3"/>
  <c r="K357" i="3"/>
  <c r="E357" i="3"/>
  <c r="D357" i="3"/>
  <c r="B357" i="3"/>
  <c r="U356" i="3"/>
  <c r="T356" i="3"/>
  <c r="R356" i="3"/>
  <c r="P356" i="3"/>
  <c r="L356" i="3"/>
  <c r="K356" i="3"/>
  <c r="E356" i="3"/>
  <c r="D356" i="3"/>
  <c r="B356" i="3"/>
  <c r="U355" i="3"/>
  <c r="T355" i="3"/>
  <c r="R355" i="3"/>
  <c r="P355" i="3"/>
  <c r="L355" i="3"/>
  <c r="K355" i="3"/>
  <c r="E355" i="3"/>
  <c r="D355" i="3"/>
  <c r="B355" i="3"/>
  <c r="U354" i="3"/>
  <c r="T354" i="3"/>
  <c r="R354" i="3"/>
  <c r="P354" i="3"/>
  <c r="L354" i="3"/>
  <c r="K354" i="3"/>
  <c r="E354" i="3"/>
  <c r="D354" i="3"/>
  <c r="B354" i="3"/>
  <c r="U353" i="3"/>
  <c r="T353" i="3"/>
  <c r="R353" i="3"/>
  <c r="P353" i="3"/>
  <c r="L353" i="3"/>
  <c r="K353" i="3"/>
  <c r="E353" i="3"/>
  <c r="D353" i="3"/>
  <c r="B353" i="3"/>
  <c r="U352" i="3"/>
  <c r="T352" i="3"/>
  <c r="R352" i="3"/>
  <c r="P352" i="3"/>
  <c r="L352" i="3"/>
  <c r="K352" i="3"/>
  <c r="E352" i="3"/>
  <c r="D352" i="3"/>
  <c r="B352" i="3"/>
  <c r="U351" i="3"/>
  <c r="T351" i="3"/>
  <c r="R351" i="3"/>
  <c r="P351" i="3"/>
  <c r="L351" i="3"/>
  <c r="K351" i="3"/>
  <c r="E351" i="3"/>
  <c r="D351" i="3"/>
  <c r="B351" i="3"/>
  <c r="U350" i="3"/>
  <c r="T350" i="3"/>
  <c r="R350" i="3"/>
  <c r="P350" i="3"/>
  <c r="L350" i="3"/>
  <c r="K350" i="3"/>
  <c r="E350" i="3"/>
  <c r="D350" i="3"/>
  <c r="B350" i="3"/>
  <c r="U349" i="3"/>
  <c r="T349" i="3"/>
  <c r="R349" i="3"/>
  <c r="P349" i="3"/>
  <c r="L349" i="3"/>
  <c r="K349" i="3"/>
  <c r="E349" i="3"/>
  <c r="D349" i="3"/>
  <c r="B349" i="3"/>
  <c r="U348" i="3"/>
  <c r="T348" i="3"/>
  <c r="R348" i="3"/>
  <c r="P348" i="3"/>
  <c r="L348" i="3"/>
  <c r="K348" i="3"/>
  <c r="E348" i="3"/>
  <c r="D348" i="3"/>
  <c r="B348" i="3"/>
  <c r="U347" i="3"/>
  <c r="T347" i="3"/>
  <c r="R347" i="3"/>
  <c r="P347" i="3"/>
  <c r="L347" i="3"/>
  <c r="K347" i="3"/>
  <c r="E347" i="3"/>
  <c r="D347" i="3"/>
  <c r="B347" i="3"/>
  <c r="U346" i="3"/>
  <c r="T346" i="3"/>
  <c r="R346" i="3"/>
  <c r="P346" i="3"/>
  <c r="L346" i="3"/>
  <c r="K346" i="3"/>
  <c r="E346" i="3"/>
  <c r="D346" i="3"/>
  <c r="B346" i="3"/>
  <c r="U345" i="3"/>
  <c r="T345" i="3"/>
  <c r="R345" i="3"/>
  <c r="P345" i="3"/>
  <c r="L345" i="3"/>
  <c r="K345" i="3"/>
  <c r="E345" i="3"/>
  <c r="D345" i="3"/>
  <c r="B345" i="3"/>
  <c r="U344" i="3"/>
  <c r="T344" i="3"/>
  <c r="R344" i="3"/>
  <c r="P344" i="3"/>
  <c r="L344" i="3"/>
  <c r="K344" i="3"/>
  <c r="E344" i="3"/>
  <c r="D344" i="3"/>
  <c r="B344" i="3"/>
  <c r="U343" i="3"/>
  <c r="T343" i="3"/>
  <c r="R343" i="3"/>
  <c r="P343" i="3"/>
  <c r="L343" i="3"/>
  <c r="K343" i="3"/>
  <c r="E343" i="3"/>
  <c r="D343" i="3"/>
  <c r="B343" i="3"/>
  <c r="U342" i="3"/>
  <c r="T342" i="3"/>
  <c r="R342" i="3"/>
  <c r="P342" i="3"/>
  <c r="L342" i="3"/>
  <c r="K342" i="3"/>
  <c r="E342" i="3"/>
  <c r="D342" i="3"/>
  <c r="B342" i="3"/>
  <c r="U341" i="3"/>
  <c r="T341" i="3"/>
  <c r="R341" i="3"/>
  <c r="P341" i="3"/>
  <c r="L341" i="3"/>
  <c r="K341" i="3"/>
  <c r="E341" i="3"/>
  <c r="D341" i="3"/>
  <c r="B341" i="3"/>
  <c r="U340" i="3"/>
  <c r="T340" i="3"/>
  <c r="R340" i="3"/>
  <c r="P340" i="3"/>
  <c r="L340" i="3"/>
  <c r="K340" i="3"/>
  <c r="E340" i="3"/>
  <c r="D340" i="3"/>
  <c r="B340" i="3"/>
  <c r="U339" i="3"/>
  <c r="T339" i="3"/>
  <c r="R339" i="3"/>
  <c r="P339" i="3"/>
  <c r="L339" i="3"/>
  <c r="K339" i="3"/>
  <c r="E339" i="3"/>
  <c r="D339" i="3"/>
  <c r="B339" i="3"/>
  <c r="U338" i="3"/>
  <c r="T338" i="3"/>
  <c r="R338" i="3"/>
  <c r="P338" i="3"/>
  <c r="L338" i="3"/>
  <c r="K338" i="3"/>
  <c r="E338" i="3"/>
  <c r="D338" i="3"/>
  <c r="B338" i="3"/>
  <c r="U337" i="3"/>
  <c r="T337" i="3"/>
  <c r="R337" i="3"/>
  <c r="P337" i="3"/>
  <c r="L337" i="3"/>
  <c r="K337" i="3"/>
  <c r="E337" i="3"/>
  <c r="D337" i="3"/>
  <c r="B337" i="3"/>
  <c r="U336" i="3"/>
  <c r="T336" i="3"/>
  <c r="R336" i="3"/>
  <c r="P336" i="3"/>
  <c r="L336" i="3"/>
  <c r="K336" i="3"/>
  <c r="E336" i="3"/>
  <c r="D336" i="3"/>
  <c r="B336" i="3"/>
  <c r="U335" i="3"/>
  <c r="T335" i="3"/>
  <c r="R335" i="3"/>
  <c r="P335" i="3"/>
  <c r="L335" i="3"/>
  <c r="K335" i="3"/>
  <c r="E335" i="3"/>
  <c r="D335" i="3"/>
  <c r="B335" i="3"/>
  <c r="U334" i="3"/>
  <c r="T334" i="3"/>
  <c r="R334" i="3"/>
  <c r="P334" i="3"/>
  <c r="L334" i="3"/>
  <c r="K334" i="3"/>
  <c r="E334" i="3"/>
  <c r="D334" i="3"/>
  <c r="B334" i="3"/>
  <c r="U333" i="3"/>
  <c r="T333" i="3"/>
  <c r="R333" i="3"/>
  <c r="P333" i="3"/>
  <c r="L333" i="3"/>
  <c r="K333" i="3"/>
  <c r="E333" i="3"/>
  <c r="D333" i="3"/>
  <c r="B333" i="3"/>
  <c r="U332" i="3"/>
  <c r="T332" i="3"/>
  <c r="R332" i="3"/>
  <c r="P332" i="3"/>
  <c r="L332" i="3"/>
  <c r="K332" i="3"/>
  <c r="E332" i="3"/>
  <c r="D332" i="3"/>
  <c r="B332" i="3"/>
  <c r="U331" i="3"/>
  <c r="T331" i="3"/>
  <c r="R331" i="3"/>
  <c r="P331" i="3"/>
  <c r="L331" i="3"/>
  <c r="K331" i="3"/>
  <c r="E331" i="3"/>
  <c r="D331" i="3"/>
  <c r="B331" i="3"/>
  <c r="U330" i="3"/>
  <c r="T330" i="3"/>
  <c r="R330" i="3"/>
  <c r="P330" i="3"/>
  <c r="L330" i="3"/>
  <c r="K330" i="3"/>
  <c r="E330" i="3"/>
  <c r="D330" i="3"/>
  <c r="B330" i="3"/>
  <c r="U329" i="3"/>
  <c r="T329" i="3"/>
  <c r="R329" i="3"/>
  <c r="P329" i="3"/>
  <c r="L329" i="3"/>
  <c r="K329" i="3"/>
  <c r="E329" i="3"/>
  <c r="D329" i="3"/>
  <c r="B329" i="3"/>
  <c r="U328" i="3"/>
  <c r="T328" i="3"/>
  <c r="R328" i="3"/>
  <c r="P328" i="3"/>
  <c r="L328" i="3"/>
  <c r="K328" i="3"/>
  <c r="E328" i="3"/>
  <c r="D328" i="3"/>
  <c r="B328" i="3"/>
  <c r="U327" i="3"/>
  <c r="T327" i="3"/>
  <c r="R327" i="3"/>
  <c r="P327" i="3"/>
  <c r="L327" i="3"/>
  <c r="K327" i="3"/>
  <c r="E327" i="3"/>
  <c r="D327" i="3"/>
  <c r="B327" i="3"/>
  <c r="U326" i="3"/>
  <c r="T326" i="3"/>
  <c r="R326" i="3"/>
  <c r="P326" i="3"/>
  <c r="L326" i="3"/>
  <c r="K326" i="3"/>
  <c r="E326" i="3"/>
  <c r="D326" i="3"/>
  <c r="B326" i="3"/>
  <c r="U325" i="3"/>
  <c r="T325" i="3"/>
  <c r="R325" i="3"/>
  <c r="P325" i="3"/>
  <c r="L325" i="3"/>
  <c r="K325" i="3"/>
  <c r="E325" i="3"/>
  <c r="D325" i="3"/>
  <c r="B325" i="3"/>
  <c r="U324" i="3"/>
  <c r="T324" i="3"/>
  <c r="R324" i="3"/>
  <c r="P324" i="3"/>
  <c r="L324" i="3"/>
  <c r="K324" i="3"/>
  <c r="E324" i="3"/>
  <c r="D324" i="3"/>
  <c r="B324" i="3"/>
  <c r="U323" i="3"/>
  <c r="T323" i="3"/>
  <c r="R323" i="3"/>
  <c r="P323" i="3"/>
  <c r="L323" i="3"/>
  <c r="K323" i="3"/>
  <c r="E323" i="3"/>
  <c r="D323" i="3"/>
  <c r="B323" i="3"/>
  <c r="U322" i="3"/>
  <c r="T322" i="3"/>
  <c r="R322" i="3"/>
  <c r="P322" i="3"/>
  <c r="L322" i="3"/>
  <c r="K322" i="3"/>
  <c r="E322" i="3"/>
  <c r="D322" i="3"/>
  <c r="B322" i="3"/>
  <c r="U321" i="3"/>
  <c r="T321" i="3"/>
  <c r="R321" i="3"/>
  <c r="P321" i="3"/>
  <c r="L321" i="3"/>
  <c r="K321" i="3"/>
  <c r="E321" i="3"/>
  <c r="D321" i="3"/>
  <c r="B321" i="3"/>
  <c r="U320" i="3"/>
  <c r="T320" i="3"/>
  <c r="R320" i="3"/>
  <c r="P320" i="3"/>
  <c r="O320" i="3"/>
  <c r="K28" i="6" s="1"/>
  <c r="M320" i="3"/>
  <c r="L320" i="3"/>
  <c r="K320" i="3"/>
  <c r="E320" i="3"/>
  <c r="D320" i="3"/>
  <c r="B320" i="3"/>
  <c r="U319" i="3"/>
  <c r="T319" i="3"/>
  <c r="R319" i="3"/>
  <c r="P319" i="3"/>
  <c r="L319" i="3"/>
  <c r="K319" i="3"/>
  <c r="E319" i="3"/>
  <c r="D319" i="3"/>
  <c r="B319" i="3"/>
  <c r="U318" i="3"/>
  <c r="T318" i="3"/>
  <c r="R318" i="3"/>
  <c r="P318" i="3"/>
  <c r="L318" i="3"/>
  <c r="K318" i="3"/>
  <c r="E318" i="3"/>
  <c r="D318" i="3"/>
  <c r="B318" i="3"/>
  <c r="U317" i="3"/>
  <c r="T317" i="3"/>
  <c r="R317" i="3"/>
  <c r="P317" i="3"/>
  <c r="L317" i="3"/>
  <c r="K317" i="3"/>
  <c r="E317" i="3"/>
  <c r="D317" i="3"/>
  <c r="B317" i="3"/>
  <c r="U316" i="3"/>
  <c r="T316" i="3"/>
  <c r="R316" i="3"/>
  <c r="P316" i="3"/>
  <c r="L316" i="3"/>
  <c r="K316" i="3"/>
  <c r="E316" i="3"/>
  <c r="D316" i="3"/>
  <c r="B316" i="3"/>
  <c r="U315" i="3"/>
  <c r="T315" i="3"/>
  <c r="R315" i="3"/>
  <c r="P315" i="3"/>
  <c r="L315" i="3"/>
  <c r="K315" i="3"/>
  <c r="E315" i="3"/>
  <c r="D315" i="3"/>
  <c r="B315" i="3"/>
  <c r="U314" i="3"/>
  <c r="T314" i="3"/>
  <c r="R314" i="3"/>
  <c r="P314" i="3"/>
  <c r="L314" i="3"/>
  <c r="K314" i="3"/>
  <c r="E314" i="3"/>
  <c r="D314" i="3"/>
  <c r="B314" i="3"/>
  <c r="U313" i="3"/>
  <c r="T313" i="3"/>
  <c r="R313" i="3"/>
  <c r="P313" i="3"/>
  <c r="L313" i="3"/>
  <c r="K313" i="3"/>
  <c r="E313" i="3"/>
  <c r="D313" i="3"/>
  <c r="B313" i="3"/>
  <c r="U312" i="3"/>
  <c r="T312" i="3"/>
  <c r="R312" i="3"/>
  <c r="P312" i="3"/>
  <c r="L312" i="3"/>
  <c r="K312" i="3"/>
  <c r="E312" i="3"/>
  <c r="D312" i="3"/>
  <c r="B312" i="3"/>
  <c r="U311" i="3"/>
  <c r="T311" i="3"/>
  <c r="R311" i="3"/>
  <c r="P311" i="3"/>
  <c r="L311" i="3"/>
  <c r="K311" i="3"/>
  <c r="E311" i="3"/>
  <c r="D311" i="3"/>
  <c r="B311" i="3"/>
  <c r="U310" i="3"/>
  <c r="T310" i="3"/>
  <c r="R310" i="3"/>
  <c r="P310" i="3"/>
  <c r="L310" i="3"/>
  <c r="K310" i="3"/>
  <c r="E310" i="3"/>
  <c r="D310" i="3"/>
  <c r="B310" i="3"/>
  <c r="U309" i="3"/>
  <c r="T309" i="3"/>
  <c r="R309" i="3"/>
  <c r="P309" i="3"/>
  <c r="L309" i="3"/>
  <c r="K309" i="3"/>
  <c r="E309" i="3"/>
  <c r="D309" i="3"/>
  <c r="B309" i="3"/>
  <c r="U308" i="3"/>
  <c r="T308" i="3"/>
  <c r="R308" i="3"/>
  <c r="P308" i="3"/>
  <c r="L308" i="3"/>
  <c r="K308" i="3"/>
  <c r="E308" i="3"/>
  <c r="D308" i="3"/>
  <c r="B308" i="3"/>
  <c r="U307" i="3"/>
  <c r="T307" i="3"/>
  <c r="R307" i="3"/>
  <c r="P307" i="3"/>
  <c r="L307" i="3"/>
  <c r="K307" i="3"/>
  <c r="E307" i="3"/>
  <c r="D307" i="3"/>
  <c r="B307" i="3"/>
  <c r="U306" i="3"/>
  <c r="T306" i="3"/>
  <c r="R306" i="3"/>
  <c r="P306" i="3"/>
  <c r="L306" i="3"/>
  <c r="K306" i="3"/>
  <c r="E306" i="3"/>
  <c r="D306" i="3"/>
  <c r="B306" i="3"/>
  <c r="U305" i="3"/>
  <c r="T305" i="3"/>
  <c r="R305" i="3"/>
  <c r="P305" i="3"/>
  <c r="L305" i="3"/>
  <c r="K305" i="3"/>
  <c r="E305" i="3"/>
  <c r="D305" i="3"/>
  <c r="B305" i="3"/>
  <c r="U304" i="3"/>
  <c r="T304" i="3"/>
  <c r="R304" i="3"/>
  <c r="P304" i="3"/>
  <c r="L304" i="3"/>
  <c r="K304" i="3"/>
  <c r="E304" i="3"/>
  <c r="D304" i="3"/>
  <c r="B304" i="3"/>
  <c r="U303" i="3"/>
  <c r="T303" i="3"/>
  <c r="R303" i="3"/>
  <c r="P303" i="3"/>
  <c r="L303" i="3"/>
  <c r="K303" i="3"/>
  <c r="E303" i="3"/>
  <c r="D303" i="3"/>
  <c r="B303" i="3"/>
  <c r="U302" i="3"/>
  <c r="T302" i="3"/>
  <c r="R302" i="3"/>
  <c r="P302" i="3"/>
  <c r="L302" i="3"/>
  <c r="K302" i="3"/>
  <c r="E302" i="3"/>
  <c r="D302" i="3"/>
  <c r="B302" i="3"/>
  <c r="U301" i="3"/>
  <c r="T301" i="3"/>
  <c r="R301" i="3"/>
  <c r="P301" i="3"/>
  <c r="L301" i="3"/>
  <c r="K301" i="3"/>
  <c r="E301" i="3"/>
  <c r="D301" i="3"/>
  <c r="B301" i="3"/>
  <c r="U300" i="3"/>
  <c r="T300" i="3"/>
  <c r="R300" i="3"/>
  <c r="P300" i="3"/>
  <c r="L300" i="3"/>
  <c r="K300" i="3"/>
  <c r="E300" i="3"/>
  <c r="D300" i="3"/>
  <c r="B300" i="3"/>
  <c r="U299" i="3"/>
  <c r="T299" i="3"/>
  <c r="R299" i="3"/>
  <c r="P299" i="3"/>
  <c r="L299" i="3"/>
  <c r="K299" i="3"/>
  <c r="E299" i="3"/>
  <c r="D299" i="3"/>
  <c r="B299" i="3"/>
  <c r="U298" i="3"/>
  <c r="T298" i="3"/>
  <c r="R298" i="3"/>
  <c r="P298" i="3"/>
  <c r="L298" i="3"/>
  <c r="K298" i="3"/>
  <c r="E298" i="3"/>
  <c r="D298" i="3"/>
  <c r="B298" i="3"/>
  <c r="U297" i="3"/>
  <c r="T297" i="3"/>
  <c r="R297" i="3"/>
  <c r="P297" i="3"/>
  <c r="Q297" i="3" s="1"/>
  <c r="L297" i="3"/>
  <c r="K297" i="3"/>
  <c r="E297" i="3"/>
  <c r="D297" i="3"/>
  <c r="B297" i="3"/>
  <c r="U296" i="3"/>
  <c r="T296" i="3"/>
  <c r="R296" i="3"/>
  <c r="P296" i="3"/>
  <c r="L296" i="3"/>
  <c r="K296" i="3"/>
  <c r="E296" i="3"/>
  <c r="D296" i="3"/>
  <c r="B296" i="3"/>
  <c r="U295" i="3"/>
  <c r="T295" i="3"/>
  <c r="R295" i="3"/>
  <c r="P295" i="3"/>
  <c r="L295" i="3"/>
  <c r="K295" i="3"/>
  <c r="E295" i="3"/>
  <c r="D295" i="3"/>
  <c r="B295" i="3"/>
  <c r="U294" i="3"/>
  <c r="T294" i="3"/>
  <c r="R294" i="3"/>
  <c r="P294" i="3"/>
  <c r="L294" i="3"/>
  <c r="K294" i="3"/>
  <c r="E294" i="3"/>
  <c r="D294" i="3"/>
  <c r="B294" i="3"/>
  <c r="U293" i="3"/>
  <c r="T293" i="3"/>
  <c r="R293" i="3"/>
  <c r="P293" i="3"/>
  <c r="L293" i="3"/>
  <c r="K293" i="3"/>
  <c r="E293" i="3"/>
  <c r="D293" i="3"/>
  <c r="B293" i="3"/>
  <c r="U292" i="3"/>
  <c r="T292" i="3"/>
  <c r="R292" i="3"/>
  <c r="P292" i="3"/>
  <c r="L292" i="3"/>
  <c r="K292" i="3"/>
  <c r="E292" i="3"/>
  <c r="D292" i="3"/>
  <c r="B292" i="3"/>
  <c r="U291" i="3"/>
  <c r="T291" i="3"/>
  <c r="R291" i="3"/>
  <c r="P291" i="3"/>
  <c r="L291" i="3"/>
  <c r="K291" i="3"/>
  <c r="E291" i="3"/>
  <c r="D291" i="3"/>
  <c r="B291" i="3"/>
  <c r="U290" i="3"/>
  <c r="T290" i="3"/>
  <c r="R290" i="3"/>
  <c r="P290" i="3"/>
  <c r="L290" i="3"/>
  <c r="K290" i="3"/>
  <c r="E290" i="3"/>
  <c r="D290" i="3"/>
  <c r="B290" i="3"/>
  <c r="U289" i="3"/>
  <c r="T289" i="3"/>
  <c r="R289" i="3"/>
  <c r="P289" i="3"/>
  <c r="L289" i="3"/>
  <c r="K289" i="3"/>
  <c r="E289" i="3"/>
  <c r="D289" i="3"/>
  <c r="B289" i="3"/>
  <c r="U288" i="3"/>
  <c r="T288" i="3"/>
  <c r="R288" i="3"/>
  <c r="P288" i="3"/>
  <c r="L288" i="3"/>
  <c r="K288" i="3"/>
  <c r="E288" i="3"/>
  <c r="D288" i="3"/>
  <c r="B288" i="3"/>
  <c r="U287" i="3"/>
  <c r="T287" i="3"/>
  <c r="R287" i="3"/>
  <c r="P287" i="3"/>
  <c r="L287" i="3"/>
  <c r="K287" i="3"/>
  <c r="E287" i="3"/>
  <c r="D287" i="3"/>
  <c r="B287" i="3"/>
  <c r="U286" i="3"/>
  <c r="T286" i="3"/>
  <c r="R286" i="3"/>
  <c r="P286" i="3"/>
  <c r="L286" i="3"/>
  <c r="K286" i="3"/>
  <c r="E286" i="3"/>
  <c r="D286" i="3"/>
  <c r="B286" i="3"/>
  <c r="U285" i="3"/>
  <c r="T285" i="3"/>
  <c r="R285" i="3"/>
  <c r="P285" i="3"/>
  <c r="L285" i="3"/>
  <c r="K285" i="3"/>
  <c r="E285" i="3"/>
  <c r="D285" i="3"/>
  <c r="B285" i="3"/>
  <c r="U284" i="3"/>
  <c r="T284" i="3"/>
  <c r="R284" i="3"/>
  <c r="P284" i="3"/>
  <c r="L284" i="3"/>
  <c r="K284" i="3"/>
  <c r="E284" i="3"/>
  <c r="D284" i="3"/>
  <c r="B284" i="3"/>
  <c r="U283" i="3"/>
  <c r="T283" i="3"/>
  <c r="R283" i="3"/>
  <c r="P283" i="3"/>
  <c r="L283" i="3"/>
  <c r="K283" i="3"/>
  <c r="E283" i="3"/>
  <c r="D283" i="3"/>
  <c r="B283" i="3"/>
  <c r="U282" i="3"/>
  <c r="T282" i="3"/>
  <c r="R282" i="3"/>
  <c r="P282" i="3"/>
  <c r="L282" i="3"/>
  <c r="K282" i="3"/>
  <c r="E282" i="3"/>
  <c r="D282" i="3"/>
  <c r="B282" i="3"/>
  <c r="U281" i="3"/>
  <c r="T281" i="3"/>
  <c r="R281" i="3"/>
  <c r="P281" i="3"/>
  <c r="L281" i="3"/>
  <c r="K281" i="3"/>
  <c r="E281" i="3"/>
  <c r="D281" i="3"/>
  <c r="B281" i="3"/>
  <c r="U280" i="3"/>
  <c r="T280" i="3"/>
  <c r="R280" i="3"/>
  <c r="P280" i="3"/>
  <c r="Q280" i="3" s="1"/>
  <c r="L280" i="3"/>
  <c r="K280" i="3"/>
  <c r="E280" i="3"/>
  <c r="D280" i="3"/>
  <c r="B280" i="3"/>
  <c r="U279" i="3"/>
  <c r="T279" i="3"/>
  <c r="R279" i="3"/>
  <c r="P279" i="3"/>
  <c r="L279" i="3"/>
  <c r="K279" i="3"/>
  <c r="E279" i="3"/>
  <c r="D279" i="3"/>
  <c r="B279" i="3"/>
  <c r="U278" i="3"/>
  <c r="T278" i="3"/>
  <c r="R278" i="3"/>
  <c r="P278" i="3"/>
  <c r="L278" i="3"/>
  <c r="K278" i="3"/>
  <c r="E278" i="3"/>
  <c r="D278" i="3"/>
  <c r="B278" i="3"/>
  <c r="U277" i="3"/>
  <c r="T277" i="3"/>
  <c r="R277" i="3"/>
  <c r="P277" i="3"/>
  <c r="L277" i="3"/>
  <c r="K277" i="3"/>
  <c r="E277" i="3"/>
  <c r="D277" i="3"/>
  <c r="B277" i="3"/>
  <c r="U276" i="3"/>
  <c r="T276" i="3"/>
  <c r="R276" i="3"/>
  <c r="P276" i="3"/>
  <c r="L276" i="3"/>
  <c r="K276" i="3"/>
  <c r="E276" i="3"/>
  <c r="D276" i="3"/>
  <c r="B276" i="3"/>
  <c r="U275" i="3"/>
  <c r="T275" i="3"/>
  <c r="R275" i="3"/>
  <c r="P275" i="3"/>
  <c r="L275" i="3"/>
  <c r="K275" i="3"/>
  <c r="E275" i="3"/>
  <c r="D275" i="3"/>
  <c r="B275" i="3"/>
  <c r="U274" i="3"/>
  <c r="T274" i="3"/>
  <c r="R274" i="3"/>
  <c r="P274" i="3"/>
  <c r="L274" i="3"/>
  <c r="K274" i="3"/>
  <c r="E274" i="3"/>
  <c r="D274" i="3"/>
  <c r="B274" i="3"/>
  <c r="U273" i="3"/>
  <c r="T273" i="3"/>
  <c r="R273" i="3"/>
  <c r="P273" i="3"/>
  <c r="L273" i="3"/>
  <c r="K273" i="3"/>
  <c r="E273" i="3"/>
  <c r="D273" i="3"/>
  <c r="B273" i="3"/>
  <c r="U272" i="3"/>
  <c r="T272" i="3"/>
  <c r="R272" i="3"/>
  <c r="P272" i="3"/>
  <c r="L272" i="3"/>
  <c r="K272" i="3"/>
  <c r="E272" i="3"/>
  <c r="D272" i="3"/>
  <c r="B272" i="3"/>
  <c r="U271" i="3"/>
  <c r="T271" i="3"/>
  <c r="R271" i="3"/>
  <c r="P271" i="3"/>
  <c r="L271" i="3"/>
  <c r="K271" i="3"/>
  <c r="E271" i="3"/>
  <c r="D271" i="3"/>
  <c r="B271" i="3"/>
  <c r="U270" i="3"/>
  <c r="T270" i="3"/>
  <c r="R270" i="3"/>
  <c r="P270" i="3"/>
  <c r="L270" i="3"/>
  <c r="K270" i="3"/>
  <c r="E270" i="3"/>
  <c r="D270" i="3"/>
  <c r="B270" i="3"/>
  <c r="U269" i="3"/>
  <c r="T269" i="3"/>
  <c r="R269" i="3"/>
  <c r="P269" i="3"/>
  <c r="L269" i="3"/>
  <c r="K269" i="3"/>
  <c r="E269" i="3"/>
  <c r="D269" i="3"/>
  <c r="B269" i="3"/>
  <c r="U268" i="3"/>
  <c r="T268" i="3"/>
  <c r="R268" i="3"/>
  <c r="P268" i="3"/>
  <c r="L268" i="3"/>
  <c r="K268" i="3"/>
  <c r="E268" i="3"/>
  <c r="D268" i="3"/>
  <c r="B268" i="3"/>
  <c r="U267" i="3"/>
  <c r="T267" i="3"/>
  <c r="R267" i="3"/>
  <c r="P267" i="3"/>
  <c r="L267" i="3"/>
  <c r="K267" i="3"/>
  <c r="E267" i="3"/>
  <c r="D267" i="3"/>
  <c r="B267" i="3"/>
  <c r="U266" i="3"/>
  <c r="T266" i="3"/>
  <c r="R266" i="3"/>
  <c r="S266" i="3" s="1"/>
  <c r="P266" i="3"/>
  <c r="Q266" i="3" s="1"/>
  <c r="M266" i="3"/>
  <c r="O266" i="3" s="1"/>
  <c r="L266" i="3"/>
  <c r="K266" i="3"/>
  <c r="E266" i="3"/>
  <c r="D266" i="3"/>
  <c r="B266" i="3"/>
  <c r="U265" i="3"/>
  <c r="T265" i="3"/>
  <c r="R265" i="3"/>
  <c r="P265" i="3"/>
  <c r="L265" i="3"/>
  <c r="K265" i="3"/>
  <c r="E265" i="3"/>
  <c r="D265" i="3"/>
  <c r="B265" i="3"/>
  <c r="U264" i="3"/>
  <c r="T264" i="3"/>
  <c r="R264" i="3"/>
  <c r="P264" i="3"/>
  <c r="L264" i="3"/>
  <c r="K264" i="3"/>
  <c r="E264" i="3"/>
  <c r="D264" i="3"/>
  <c r="B264" i="3"/>
  <c r="U263" i="3"/>
  <c r="T263" i="3"/>
  <c r="R263" i="3"/>
  <c r="P263" i="3"/>
  <c r="L263" i="3"/>
  <c r="K263" i="3"/>
  <c r="E263" i="3"/>
  <c r="D263" i="3"/>
  <c r="B263" i="3"/>
  <c r="U262" i="3"/>
  <c r="T262" i="3"/>
  <c r="R262" i="3"/>
  <c r="P262" i="3"/>
  <c r="L262" i="3"/>
  <c r="K262" i="3"/>
  <c r="E262" i="3"/>
  <c r="D262" i="3"/>
  <c r="B262" i="3"/>
  <c r="U261" i="3"/>
  <c r="T261" i="3"/>
  <c r="R261" i="3"/>
  <c r="P261" i="3"/>
  <c r="L261" i="3"/>
  <c r="K261" i="3"/>
  <c r="E261" i="3"/>
  <c r="D261" i="3"/>
  <c r="B261" i="3"/>
  <c r="U260" i="3"/>
  <c r="T260" i="3"/>
  <c r="R260" i="3"/>
  <c r="P260" i="3"/>
  <c r="L260" i="3"/>
  <c r="K260" i="3"/>
  <c r="E260" i="3"/>
  <c r="D260" i="3"/>
  <c r="B260" i="3"/>
  <c r="U259" i="3"/>
  <c r="T259" i="3"/>
  <c r="R259" i="3"/>
  <c r="P259" i="3"/>
  <c r="L259" i="3"/>
  <c r="K259" i="3"/>
  <c r="E259" i="3"/>
  <c r="D259" i="3"/>
  <c r="B259" i="3"/>
  <c r="U258" i="3"/>
  <c r="T258" i="3"/>
  <c r="R258" i="3"/>
  <c r="P258" i="3"/>
  <c r="L258" i="3"/>
  <c r="K258" i="3"/>
  <c r="E258" i="3"/>
  <c r="D258" i="3"/>
  <c r="B258" i="3"/>
  <c r="U257" i="3"/>
  <c r="T257" i="3"/>
  <c r="R257" i="3"/>
  <c r="P257" i="3"/>
  <c r="L257" i="3"/>
  <c r="K257" i="3"/>
  <c r="E257" i="3"/>
  <c r="D257" i="3"/>
  <c r="B257" i="3"/>
  <c r="U256" i="3"/>
  <c r="T256" i="3"/>
  <c r="R256" i="3"/>
  <c r="P256" i="3"/>
  <c r="L256" i="3"/>
  <c r="K256" i="3"/>
  <c r="E256" i="3"/>
  <c r="D256" i="3"/>
  <c r="B256" i="3"/>
  <c r="U255" i="3"/>
  <c r="T255" i="3"/>
  <c r="R255" i="3"/>
  <c r="P255" i="3"/>
  <c r="L255" i="3"/>
  <c r="K255" i="3"/>
  <c r="E255" i="3"/>
  <c r="D255" i="3"/>
  <c r="B255" i="3"/>
  <c r="U254" i="3"/>
  <c r="T254" i="3"/>
  <c r="R254" i="3"/>
  <c r="P254" i="3"/>
  <c r="L254" i="3"/>
  <c r="K254" i="3"/>
  <c r="E254" i="3"/>
  <c r="D254" i="3"/>
  <c r="B254" i="3"/>
  <c r="U253" i="3"/>
  <c r="T253" i="3"/>
  <c r="R253" i="3"/>
  <c r="P253" i="3"/>
  <c r="L253" i="3"/>
  <c r="K253" i="3"/>
  <c r="E253" i="3"/>
  <c r="D253" i="3"/>
  <c r="B253" i="3"/>
  <c r="U252" i="3"/>
  <c r="T252" i="3"/>
  <c r="R252" i="3"/>
  <c r="P252" i="3"/>
  <c r="L252" i="3"/>
  <c r="K252" i="3"/>
  <c r="E252" i="3"/>
  <c r="D252" i="3"/>
  <c r="B252" i="3"/>
  <c r="U251" i="3"/>
  <c r="T251" i="3"/>
  <c r="R251" i="3"/>
  <c r="P251" i="3"/>
  <c r="L251" i="3"/>
  <c r="K251" i="3"/>
  <c r="E251" i="3"/>
  <c r="D251" i="3"/>
  <c r="B251" i="3"/>
  <c r="U250" i="3"/>
  <c r="T250" i="3"/>
  <c r="R250" i="3"/>
  <c r="P250" i="3"/>
  <c r="L250" i="3"/>
  <c r="K250" i="3"/>
  <c r="E250" i="3"/>
  <c r="D250" i="3"/>
  <c r="B250" i="3"/>
  <c r="U249" i="3"/>
  <c r="T249" i="3"/>
  <c r="R249" i="3"/>
  <c r="P249" i="3"/>
  <c r="L249" i="3"/>
  <c r="K249" i="3"/>
  <c r="E249" i="3"/>
  <c r="D249" i="3"/>
  <c r="B249" i="3"/>
  <c r="U248" i="3"/>
  <c r="T248" i="3"/>
  <c r="R248" i="3"/>
  <c r="P248" i="3"/>
  <c r="L248" i="3"/>
  <c r="K248" i="3"/>
  <c r="E248" i="3"/>
  <c r="D248" i="3"/>
  <c r="B248" i="3"/>
  <c r="U247" i="3"/>
  <c r="T247" i="3"/>
  <c r="R247" i="3"/>
  <c r="P247" i="3"/>
  <c r="L247" i="3"/>
  <c r="K247" i="3"/>
  <c r="E247" i="3"/>
  <c r="D247" i="3"/>
  <c r="B247" i="3"/>
  <c r="U246" i="3"/>
  <c r="T246" i="3"/>
  <c r="R246" i="3"/>
  <c r="P246" i="3"/>
  <c r="L246" i="3"/>
  <c r="K246" i="3"/>
  <c r="E246" i="3"/>
  <c r="D246" i="3"/>
  <c r="B246" i="3"/>
  <c r="U245" i="3"/>
  <c r="T245" i="3"/>
  <c r="R245" i="3"/>
  <c r="P245" i="3"/>
  <c r="L245" i="3"/>
  <c r="K245" i="3"/>
  <c r="E245" i="3"/>
  <c r="D245" i="3"/>
  <c r="B245" i="3"/>
  <c r="U244" i="3"/>
  <c r="T244" i="3"/>
  <c r="R244" i="3"/>
  <c r="P244" i="3"/>
  <c r="L244" i="3"/>
  <c r="K244" i="3"/>
  <c r="E244" i="3"/>
  <c r="D244" i="3"/>
  <c r="B244" i="3"/>
  <c r="U243" i="3"/>
  <c r="T243" i="3"/>
  <c r="R243" i="3"/>
  <c r="P243" i="3"/>
  <c r="L243" i="3"/>
  <c r="K243" i="3"/>
  <c r="E243" i="3"/>
  <c r="D243" i="3"/>
  <c r="B243" i="3"/>
  <c r="U242" i="3"/>
  <c r="T242" i="3"/>
  <c r="R242" i="3"/>
  <c r="P242" i="3"/>
  <c r="L242" i="3"/>
  <c r="K242" i="3"/>
  <c r="E242" i="3"/>
  <c r="D242" i="3"/>
  <c r="B242" i="3"/>
  <c r="U241" i="3"/>
  <c r="T241" i="3"/>
  <c r="R241" i="3"/>
  <c r="P241" i="3"/>
  <c r="L241" i="3"/>
  <c r="K241" i="3"/>
  <c r="E241" i="3"/>
  <c r="D241" i="3"/>
  <c r="B241" i="3"/>
  <c r="U240" i="3"/>
  <c r="T240" i="3"/>
  <c r="R240" i="3"/>
  <c r="P240" i="3"/>
  <c r="L240" i="3"/>
  <c r="K240" i="3"/>
  <c r="E240" i="3"/>
  <c r="D240" i="3"/>
  <c r="B240" i="3"/>
  <c r="U239" i="3"/>
  <c r="T239" i="3"/>
  <c r="R239" i="3"/>
  <c r="P239" i="3"/>
  <c r="L239" i="3"/>
  <c r="K239" i="3"/>
  <c r="E239" i="3"/>
  <c r="D239" i="3"/>
  <c r="B239" i="3"/>
  <c r="U238" i="3"/>
  <c r="T238" i="3"/>
  <c r="R238" i="3"/>
  <c r="P238" i="3"/>
  <c r="L238" i="3"/>
  <c r="K238" i="3"/>
  <c r="E238" i="3"/>
  <c r="D238" i="3"/>
  <c r="B238" i="3"/>
  <c r="U237" i="3"/>
  <c r="T237" i="3"/>
  <c r="R237" i="3"/>
  <c r="S237" i="3" s="1"/>
  <c r="P237" i="3"/>
  <c r="Q237" i="3" s="1"/>
  <c r="M237" i="3"/>
  <c r="O237" i="3" s="1"/>
  <c r="L237" i="3"/>
  <c r="K237" i="3"/>
  <c r="E237" i="3"/>
  <c r="D237" i="3"/>
  <c r="B237" i="3"/>
  <c r="U236" i="3"/>
  <c r="T236" i="3"/>
  <c r="R236" i="3"/>
  <c r="P236" i="3"/>
  <c r="L236" i="3"/>
  <c r="K236" i="3"/>
  <c r="E236" i="3"/>
  <c r="D236" i="3"/>
  <c r="B236" i="3"/>
  <c r="U235" i="3"/>
  <c r="T235" i="3"/>
  <c r="R235" i="3"/>
  <c r="P235" i="3"/>
  <c r="L235" i="3"/>
  <c r="K235" i="3"/>
  <c r="E235" i="3"/>
  <c r="D235" i="3"/>
  <c r="B235" i="3"/>
  <c r="U234" i="3"/>
  <c r="T234" i="3"/>
  <c r="R234" i="3"/>
  <c r="P234" i="3"/>
  <c r="L234" i="3"/>
  <c r="K234" i="3"/>
  <c r="E234" i="3"/>
  <c r="D234" i="3"/>
  <c r="B234" i="3"/>
  <c r="U233" i="3"/>
  <c r="T233" i="3"/>
  <c r="R233" i="3"/>
  <c r="P233" i="3"/>
  <c r="L233" i="3"/>
  <c r="K233" i="3"/>
  <c r="E233" i="3"/>
  <c r="D233" i="3"/>
  <c r="B233" i="3"/>
  <c r="U232" i="3"/>
  <c r="T232" i="3"/>
  <c r="R232" i="3"/>
  <c r="P232" i="3"/>
  <c r="L232" i="3"/>
  <c r="K232" i="3"/>
  <c r="E232" i="3"/>
  <c r="D232" i="3"/>
  <c r="B232" i="3"/>
  <c r="U231" i="3"/>
  <c r="T231" i="3"/>
  <c r="R231" i="3"/>
  <c r="P231" i="3"/>
  <c r="L231" i="3"/>
  <c r="K231" i="3"/>
  <c r="E231" i="3"/>
  <c r="D231" i="3"/>
  <c r="B231" i="3"/>
  <c r="U230" i="3"/>
  <c r="T230" i="3"/>
  <c r="R230" i="3"/>
  <c r="P230" i="3"/>
  <c r="L230" i="3"/>
  <c r="K230" i="3"/>
  <c r="E230" i="3"/>
  <c r="D230" i="3"/>
  <c r="B230" i="3"/>
  <c r="U229" i="3"/>
  <c r="T229" i="3"/>
  <c r="R229" i="3"/>
  <c r="P229" i="3"/>
  <c r="L229" i="3"/>
  <c r="K229" i="3"/>
  <c r="E229" i="3"/>
  <c r="D229" i="3"/>
  <c r="B229" i="3"/>
  <c r="U228" i="3"/>
  <c r="T228" i="3"/>
  <c r="R228" i="3"/>
  <c r="P228" i="3"/>
  <c r="L228" i="3"/>
  <c r="K228" i="3"/>
  <c r="E228" i="3"/>
  <c r="D228" i="3"/>
  <c r="B228" i="3"/>
  <c r="U227" i="3"/>
  <c r="T227" i="3"/>
  <c r="R227" i="3"/>
  <c r="P227" i="3"/>
  <c r="L227" i="3"/>
  <c r="K227" i="3"/>
  <c r="E227" i="3"/>
  <c r="D227" i="3"/>
  <c r="B227" i="3"/>
  <c r="U226" i="3"/>
  <c r="T226" i="3"/>
  <c r="R226" i="3"/>
  <c r="P226" i="3"/>
  <c r="L226" i="3"/>
  <c r="K226" i="3"/>
  <c r="E226" i="3"/>
  <c r="D226" i="3"/>
  <c r="B226" i="3"/>
  <c r="U225" i="3"/>
  <c r="T225" i="3"/>
  <c r="R225" i="3"/>
  <c r="P225" i="3"/>
  <c r="L225" i="3"/>
  <c r="K225" i="3"/>
  <c r="E225" i="3"/>
  <c r="D225" i="3"/>
  <c r="B225" i="3"/>
  <c r="U224" i="3"/>
  <c r="T224" i="3"/>
  <c r="R224" i="3"/>
  <c r="P224" i="3"/>
  <c r="L224" i="3"/>
  <c r="K224" i="3"/>
  <c r="E224" i="3"/>
  <c r="D224" i="3"/>
  <c r="B224" i="3"/>
  <c r="U223" i="3"/>
  <c r="T223" i="3"/>
  <c r="R223" i="3"/>
  <c r="P223" i="3"/>
  <c r="L223" i="3"/>
  <c r="K223" i="3"/>
  <c r="E223" i="3"/>
  <c r="D223" i="3"/>
  <c r="B223" i="3"/>
  <c r="U222" i="3"/>
  <c r="T222" i="3"/>
  <c r="R222" i="3"/>
  <c r="P222" i="3"/>
  <c r="L222" i="3"/>
  <c r="K222" i="3"/>
  <c r="E222" i="3"/>
  <c r="D222" i="3"/>
  <c r="B222" i="3"/>
  <c r="U221" i="3"/>
  <c r="T221" i="3"/>
  <c r="R221" i="3"/>
  <c r="P221" i="3"/>
  <c r="L221" i="3"/>
  <c r="K221" i="3"/>
  <c r="E221" i="3"/>
  <c r="D221" i="3"/>
  <c r="B221" i="3"/>
  <c r="U220" i="3"/>
  <c r="T220" i="3"/>
  <c r="R220" i="3"/>
  <c r="P220" i="3"/>
  <c r="L220" i="3"/>
  <c r="K220" i="3"/>
  <c r="E220" i="3"/>
  <c r="D220" i="3"/>
  <c r="B220" i="3"/>
  <c r="U219" i="3"/>
  <c r="T219" i="3"/>
  <c r="R219" i="3"/>
  <c r="P219" i="3"/>
  <c r="L219" i="3"/>
  <c r="K219" i="3"/>
  <c r="E219" i="3"/>
  <c r="D219" i="3"/>
  <c r="B219" i="3"/>
  <c r="U218" i="3"/>
  <c r="T218" i="3"/>
  <c r="R218" i="3"/>
  <c r="P218" i="3"/>
  <c r="L218" i="3"/>
  <c r="K218" i="3"/>
  <c r="E218" i="3"/>
  <c r="D218" i="3"/>
  <c r="B218" i="3"/>
  <c r="U217" i="3"/>
  <c r="T217" i="3"/>
  <c r="R217" i="3"/>
  <c r="P217" i="3"/>
  <c r="L217" i="3"/>
  <c r="K217" i="3"/>
  <c r="E217" i="3"/>
  <c r="D217" i="3"/>
  <c r="B217" i="3"/>
  <c r="U216" i="3"/>
  <c r="T216" i="3"/>
  <c r="R216" i="3"/>
  <c r="P216" i="3"/>
  <c r="L216" i="3"/>
  <c r="K216" i="3"/>
  <c r="E216" i="3"/>
  <c r="D216" i="3"/>
  <c r="B216" i="3"/>
  <c r="U215" i="3"/>
  <c r="T215" i="3"/>
  <c r="R215" i="3"/>
  <c r="P215" i="3"/>
  <c r="L215" i="3"/>
  <c r="K215" i="3"/>
  <c r="E215" i="3"/>
  <c r="D215" i="3"/>
  <c r="B215" i="3"/>
  <c r="U214" i="3"/>
  <c r="T214" i="3"/>
  <c r="R214" i="3"/>
  <c r="P214" i="3"/>
  <c r="L214" i="3"/>
  <c r="K214" i="3"/>
  <c r="E214" i="3"/>
  <c r="D214" i="3"/>
  <c r="B214" i="3"/>
  <c r="U213" i="3"/>
  <c r="T213" i="3"/>
  <c r="R213" i="3"/>
  <c r="P213" i="3"/>
  <c r="L213" i="3"/>
  <c r="K213" i="3"/>
  <c r="E213" i="3"/>
  <c r="D213" i="3"/>
  <c r="B213" i="3"/>
  <c r="U212" i="3"/>
  <c r="T212" i="3"/>
  <c r="R212" i="3"/>
  <c r="P212" i="3"/>
  <c r="L212" i="3"/>
  <c r="K212" i="3"/>
  <c r="E212" i="3"/>
  <c r="D212" i="3"/>
  <c r="B212" i="3"/>
  <c r="U211" i="3"/>
  <c r="T211" i="3"/>
  <c r="R211" i="3"/>
  <c r="P211" i="3"/>
  <c r="L211" i="3"/>
  <c r="K211" i="3"/>
  <c r="E211" i="3"/>
  <c r="D211" i="3"/>
  <c r="B211" i="3"/>
  <c r="U210" i="3"/>
  <c r="T210" i="3"/>
  <c r="R210" i="3"/>
  <c r="P210" i="3"/>
  <c r="L210" i="3"/>
  <c r="K210" i="3"/>
  <c r="E210" i="3"/>
  <c r="D210" i="3"/>
  <c r="B210" i="3"/>
  <c r="U209" i="3"/>
  <c r="T209" i="3"/>
  <c r="R209" i="3"/>
  <c r="P209" i="3"/>
  <c r="L209" i="3"/>
  <c r="K209" i="3"/>
  <c r="E209" i="3"/>
  <c r="D209" i="3"/>
  <c r="B209" i="3"/>
  <c r="U208" i="3"/>
  <c r="T208" i="3"/>
  <c r="R208" i="3"/>
  <c r="P208" i="3"/>
  <c r="L208" i="3"/>
  <c r="K208" i="3"/>
  <c r="E208" i="3"/>
  <c r="D208" i="3"/>
  <c r="B208" i="3"/>
  <c r="U207" i="3"/>
  <c r="T207" i="3"/>
  <c r="R207" i="3"/>
  <c r="P207" i="3"/>
  <c r="L207" i="3"/>
  <c r="K207" i="3"/>
  <c r="E207" i="3"/>
  <c r="D207" i="3"/>
  <c r="B207" i="3"/>
  <c r="U206" i="3"/>
  <c r="T206" i="3"/>
  <c r="R206" i="3"/>
  <c r="P206" i="3"/>
  <c r="L206" i="3"/>
  <c r="K206" i="3"/>
  <c r="E206" i="3"/>
  <c r="D206" i="3"/>
  <c r="B206" i="3"/>
  <c r="U205" i="3"/>
  <c r="T205" i="3"/>
  <c r="R205" i="3"/>
  <c r="P205" i="3"/>
  <c r="L205" i="3"/>
  <c r="K205" i="3"/>
  <c r="E205" i="3"/>
  <c r="D205" i="3"/>
  <c r="B205" i="3"/>
  <c r="U204" i="3"/>
  <c r="T204" i="3"/>
  <c r="R204" i="3"/>
  <c r="P204" i="3"/>
  <c r="L204" i="3"/>
  <c r="K204" i="3"/>
  <c r="E204" i="3"/>
  <c r="D204" i="3"/>
  <c r="B204" i="3"/>
  <c r="U203" i="3"/>
  <c r="T203" i="3"/>
  <c r="R203" i="3"/>
  <c r="P203" i="3"/>
  <c r="L203" i="3"/>
  <c r="K203" i="3"/>
  <c r="E203" i="3"/>
  <c r="D203" i="3"/>
  <c r="B203" i="3"/>
  <c r="U202" i="3"/>
  <c r="T202" i="3"/>
  <c r="R202" i="3"/>
  <c r="S202" i="3" s="1"/>
  <c r="P202" i="3"/>
  <c r="L202" i="3"/>
  <c r="K202" i="3"/>
  <c r="E202" i="3"/>
  <c r="D202" i="3"/>
  <c r="B202" i="3"/>
  <c r="U201" i="3"/>
  <c r="T201" i="3"/>
  <c r="R201" i="3"/>
  <c r="P201" i="3"/>
  <c r="L201" i="3"/>
  <c r="K201" i="3"/>
  <c r="E201" i="3"/>
  <c r="D201" i="3"/>
  <c r="B201" i="3"/>
  <c r="U200" i="3"/>
  <c r="T200" i="3"/>
  <c r="R200" i="3"/>
  <c r="P200" i="3"/>
  <c r="L200" i="3"/>
  <c r="K200" i="3"/>
  <c r="E200" i="3"/>
  <c r="D200" i="3"/>
  <c r="B200" i="3"/>
  <c r="U199" i="3"/>
  <c r="T199" i="3"/>
  <c r="R199" i="3"/>
  <c r="P199" i="3"/>
  <c r="L199" i="3"/>
  <c r="K199" i="3"/>
  <c r="E199" i="3"/>
  <c r="D199" i="3"/>
  <c r="B199" i="3"/>
  <c r="U198" i="3"/>
  <c r="T198" i="3"/>
  <c r="R198" i="3"/>
  <c r="P198" i="3"/>
  <c r="L198" i="3"/>
  <c r="K198" i="3"/>
  <c r="E198" i="3"/>
  <c r="D198" i="3"/>
  <c r="B198" i="3"/>
  <c r="U197" i="3"/>
  <c r="T197" i="3"/>
  <c r="R197" i="3"/>
  <c r="P197" i="3"/>
  <c r="L197" i="3"/>
  <c r="K197" i="3"/>
  <c r="E197" i="3"/>
  <c r="D197" i="3"/>
  <c r="B197" i="3"/>
  <c r="U196" i="3"/>
  <c r="T196" i="3"/>
  <c r="R196" i="3"/>
  <c r="P196" i="3"/>
  <c r="L196" i="3"/>
  <c r="K196" i="3"/>
  <c r="E196" i="3"/>
  <c r="D196" i="3"/>
  <c r="B196" i="3"/>
  <c r="U195" i="3"/>
  <c r="T195" i="3"/>
  <c r="R195" i="3"/>
  <c r="P195" i="3"/>
  <c r="L195" i="3"/>
  <c r="K195" i="3"/>
  <c r="E195" i="3"/>
  <c r="D195" i="3"/>
  <c r="B195" i="3"/>
  <c r="U194" i="3"/>
  <c r="T194" i="3"/>
  <c r="R194" i="3"/>
  <c r="P194" i="3"/>
  <c r="L194" i="3"/>
  <c r="K194" i="3"/>
  <c r="E194" i="3"/>
  <c r="D194" i="3"/>
  <c r="B194" i="3"/>
  <c r="U193" i="3"/>
  <c r="T193" i="3"/>
  <c r="R193" i="3"/>
  <c r="P193" i="3"/>
  <c r="L193" i="3"/>
  <c r="K193" i="3"/>
  <c r="E193" i="3"/>
  <c r="D193" i="3"/>
  <c r="B193" i="3"/>
  <c r="U192" i="3"/>
  <c r="T192" i="3"/>
  <c r="R192" i="3"/>
  <c r="P192" i="3"/>
  <c r="L192" i="3"/>
  <c r="K192" i="3"/>
  <c r="E192" i="3"/>
  <c r="D192" i="3"/>
  <c r="B192" i="3"/>
  <c r="U191" i="3"/>
  <c r="T191" i="3"/>
  <c r="R191" i="3"/>
  <c r="P191" i="3"/>
  <c r="L191" i="3"/>
  <c r="K191" i="3"/>
  <c r="E191" i="3"/>
  <c r="D191" i="3"/>
  <c r="B191" i="3"/>
  <c r="U190" i="3"/>
  <c r="T190" i="3"/>
  <c r="R190" i="3"/>
  <c r="P190" i="3"/>
  <c r="L190" i="3"/>
  <c r="K190" i="3"/>
  <c r="E190" i="3"/>
  <c r="D190" i="3"/>
  <c r="B190" i="3"/>
  <c r="U189" i="3"/>
  <c r="T189" i="3"/>
  <c r="R189" i="3"/>
  <c r="P189" i="3"/>
  <c r="L189" i="3"/>
  <c r="K189" i="3"/>
  <c r="E189" i="3"/>
  <c r="D189" i="3"/>
  <c r="B189" i="3"/>
  <c r="U188" i="3"/>
  <c r="T188" i="3"/>
  <c r="R188" i="3"/>
  <c r="P188" i="3"/>
  <c r="L188" i="3"/>
  <c r="K188" i="3"/>
  <c r="E188" i="3"/>
  <c r="D188" i="3"/>
  <c r="B188" i="3"/>
  <c r="U187" i="3"/>
  <c r="T187" i="3"/>
  <c r="R187" i="3"/>
  <c r="P187" i="3"/>
  <c r="L187" i="3"/>
  <c r="K187" i="3"/>
  <c r="E187" i="3"/>
  <c r="D187" i="3"/>
  <c r="B187" i="3"/>
  <c r="U186" i="3"/>
  <c r="T186" i="3"/>
  <c r="R186" i="3"/>
  <c r="P186" i="3"/>
  <c r="L186" i="3"/>
  <c r="K186" i="3"/>
  <c r="E186" i="3"/>
  <c r="D186" i="3"/>
  <c r="B186" i="3"/>
  <c r="U185" i="3"/>
  <c r="T185" i="3"/>
  <c r="R185" i="3"/>
  <c r="P185" i="3"/>
  <c r="L185" i="3"/>
  <c r="K185" i="3"/>
  <c r="E185" i="3"/>
  <c r="D185" i="3"/>
  <c r="B185" i="3"/>
  <c r="U184" i="3"/>
  <c r="T184" i="3"/>
  <c r="R184" i="3"/>
  <c r="P184" i="3"/>
  <c r="L184" i="3"/>
  <c r="K184" i="3"/>
  <c r="E184" i="3"/>
  <c r="D184" i="3"/>
  <c r="B184" i="3"/>
  <c r="U183" i="3"/>
  <c r="T183" i="3"/>
  <c r="R183" i="3"/>
  <c r="P183" i="3"/>
  <c r="L183" i="3"/>
  <c r="K183" i="3"/>
  <c r="E183" i="3"/>
  <c r="D183" i="3"/>
  <c r="B183" i="3"/>
  <c r="U182" i="3"/>
  <c r="T182" i="3"/>
  <c r="R182" i="3"/>
  <c r="P182" i="3"/>
  <c r="L182" i="3"/>
  <c r="K182" i="3"/>
  <c r="E182" i="3"/>
  <c r="D182" i="3"/>
  <c r="B182" i="3"/>
  <c r="U181" i="3"/>
  <c r="T181" i="3"/>
  <c r="R181" i="3"/>
  <c r="P181" i="3"/>
  <c r="L181" i="3"/>
  <c r="K181" i="3"/>
  <c r="E181" i="3"/>
  <c r="D181" i="3"/>
  <c r="B181" i="3"/>
  <c r="U180" i="3"/>
  <c r="T180" i="3"/>
  <c r="R180" i="3"/>
  <c r="P180" i="3"/>
  <c r="L180" i="3"/>
  <c r="K180" i="3"/>
  <c r="E180" i="3"/>
  <c r="D180" i="3"/>
  <c r="B180" i="3"/>
  <c r="U179" i="3"/>
  <c r="T179" i="3"/>
  <c r="R179" i="3"/>
  <c r="P179" i="3"/>
  <c r="L179" i="3"/>
  <c r="K179" i="3"/>
  <c r="E179" i="3"/>
  <c r="D179" i="3"/>
  <c r="B179" i="3"/>
  <c r="U178" i="3"/>
  <c r="T178" i="3"/>
  <c r="R178" i="3"/>
  <c r="P178" i="3"/>
  <c r="L178" i="3"/>
  <c r="K178" i="3"/>
  <c r="E178" i="3"/>
  <c r="D178" i="3"/>
  <c r="B178" i="3"/>
  <c r="U177" i="3"/>
  <c r="T177" i="3"/>
  <c r="R177" i="3"/>
  <c r="P177" i="3"/>
  <c r="L177" i="3"/>
  <c r="K177" i="3"/>
  <c r="E177" i="3"/>
  <c r="D177" i="3"/>
  <c r="B177" i="3"/>
  <c r="U176" i="3"/>
  <c r="T176" i="3"/>
  <c r="R176" i="3"/>
  <c r="P176" i="3"/>
  <c r="L176" i="3"/>
  <c r="K176" i="3"/>
  <c r="E176" i="3"/>
  <c r="D176" i="3"/>
  <c r="B176" i="3"/>
  <c r="U175" i="3"/>
  <c r="T175" i="3"/>
  <c r="R175" i="3"/>
  <c r="P175" i="3"/>
  <c r="L175" i="3"/>
  <c r="K175" i="3"/>
  <c r="E175" i="3"/>
  <c r="D175" i="3"/>
  <c r="B175" i="3"/>
  <c r="U174" i="3"/>
  <c r="T174" i="3"/>
  <c r="R174" i="3"/>
  <c r="P174" i="3"/>
  <c r="L174" i="3"/>
  <c r="K174" i="3"/>
  <c r="E174" i="3"/>
  <c r="D174" i="3"/>
  <c r="B174" i="3"/>
  <c r="U173" i="3"/>
  <c r="T173" i="3"/>
  <c r="R173" i="3"/>
  <c r="P173" i="3"/>
  <c r="L173" i="3"/>
  <c r="K173" i="3"/>
  <c r="E173" i="3"/>
  <c r="D173" i="3"/>
  <c r="B173" i="3"/>
  <c r="U172" i="3"/>
  <c r="T172" i="3"/>
  <c r="R172" i="3"/>
  <c r="P172" i="3"/>
  <c r="L172" i="3"/>
  <c r="K172" i="3"/>
  <c r="E172" i="3"/>
  <c r="D172" i="3"/>
  <c r="B172" i="3"/>
  <c r="U171" i="3"/>
  <c r="T171" i="3"/>
  <c r="R171" i="3"/>
  <c r="P171" i="3"/>
  <c r="L171" i="3"/>
  <c r="K171" i="3"/>
  <c r="E171" i="3"/>
  <c r="D171" i="3"/>
  <c r="B171" i="3"/>
  <c r="U170" i="3"/>
  <c r="T170" i="3"/>
  <c r="R170" i="3"/>
  <c r="P170" i="3"/>
  <c r="L170" i="3"/>
  <c r="K170" i="3"/>
  <c r="E170" i="3"/>
  <c r="D170" i="3"/>
  <c r="B170" i="3"/>
  <c r="U169" i="3"/>
  <c r="T169" i="3"/>
  <c r="R169" i="3"/>
  <c r="P169" i="3"/>
  <c r="L169" i="3"/>
  <c r="K169" i="3"/>
  <c r="E169" i="3"/>
  <c r="D169" i="3"/>
  <c r="B169" i="3"/>
  <c r="U168" i="3"/>
  <c r="T168" i="3"/>
  <c r="R168" i="3"/>
  <c r="P168" i="3"/>
  <c r="L168" i="3"/>
  <c r="K168" i="3"/>
  <c r="E168" i="3"/>
  <c r="D168" i="3"/>
  <c r="B168" i="3"/>
  <c r="U167" i="3"/>
  <c r="T167" i="3"/>
  <c r="R167" i="3"/>
  <c r="P167" i="3"/>
  <c r="L167" i="3"/>
  <c r="K167" i="3"/>
  <c r="E167" i="3"/>
  <c r="D167" i="3"/>
  <c r="B167" i="3"/>
  <c r="U166" i="3"/>
  <c r="T166" i="3"/>
  <c r="R166" i="3"/>
  <c r="P166" i="3"/>
  <c r="L166" i="3"/>
  <c r="K166" i="3"/>
  <c r="E166" i="3"/>
  <c r="D166" i="3"/>
  <c r="B166" i="3"/>
  <c r="U165" i="3"/>
  <c r="T165" i="3"/>
  <c r="R165" i="3"/>
  <c r="P165" i="3"/>
  <c r="L165" i="3"/>
  <c r="K165" i="3"/>
  <c r="E165" i="3"/>
  <c r="D165" i="3"/>
  <c r="B165" i="3"/>
  <c r="U164" i="3"/>
  <c r="T164" i="3"/>
  <c r="R164" i="3"/>
  <c r="P164" i="3"/>
  <c r="L164" i="3"/>
  <c r="K164" i="3"/>
  <c r="E164" i="3"/>
  <c r="D164" i="3"/>
  <c r="B164" i="3"/>
  <c r="U163" i="3"/>
  <c r="T163" i="3"/>
  <c r="R163" i="3"/>
  <c r="P163" i="3"/>
  <c r="L163" i="3"/>
  <c r="K163" i="3"/>
  <c r="E163" i="3"/>
  <c r="D163" i="3"/>
  <c r="B163" i="3"/>
  <c r="U162" i="3"/>
  <c r="T162" i="3"/>
  <c r="R162" i="3"/>
  <c r="P162" i="3"/>
  <c r="L162" i="3"/>
  <c r="K162" i="3"/>
  <c r="E162" i="3"/>
  <c r="D162" i="3"/>
  <c r="B162" i="3"/>
  <c r="U161" i="3"/>
  <c r="T161" i="3"/>
  <c r="R161" i="3"/>
  <c r="P161" i="3"/>
  <c r="L161" i="3"/>
  <c r="K161" i="3"/>
  <c r="E161" i="3"/>
  <c r="D161" i="3"/>
  <c r="B161" i="3"/>
  <c r="U160" i="3"/>
  <c r="T160" i="3"/>
  <c r="R160" i="3"/>
  <c r="P160" i="3"/>
  <c r="L160" i="3"/>
  <c r="K160" i="3"/>
  <c r="E160" i="3"/>
  <c r="D160" i="3"/>
  <c r="B160" i="3"/>
  <c r="U159" i="3"/>
  <c r="T159" i="3"/>
  <c r="R159" i="3"/>
  <c r="P159" i="3"/>
  <c r="L159" i="3"/>
  <c r="K159" i="3"/>
  <c r="E159" i="3"/>
  <c r="D159" i="3"/>
  <c r="B159" i="3"/>
  <c r="U158" i="3"/>
  <c r="T158" i="3"/>
  <c r="R158" i="3"/>
  <c r="P158" i="3"/>
  <c r="L158" i="3"/>
  <c r="K158" i="3"/>
  <c r="E158" i="3"/>
  <c r="D158" i="3"/>
  <c r="B158" i="3"/>
  <c r="U157" i="3"/>
  <c r="T157" i="3"/>
  <c r="R157" i="3"/>
  <c r="P157" i="3"/>
  <c r="L157" i="3"/>
  <c r="K157" i="3"/>
  <c r="E157" i="3"/>
  <c r="D157" i="3"/>
  <c r="B157" i="3"/>
  <c r="U156" i="3"/>
  <c r="T156" i="3"/>
  <c r="R156" i="3"/>
  <c r="P156" i="3"/>
  <c r="L156" i="3"/>
  <c r="K156" i="3"/>
  <c r="E156" i="3"/>
  <c r="D156" i="3"/>
  <c r="B156" i="3"/>
  <c r="U155" i="3"/>
  <c r="T155" i="3"/>
  <c r="R155" i="3"/>
  <c r="P155" i="3"/>
  <c r="L155" i="3"/>
  <c r="K155" i="3"/>
  <c r="E155" i="3"/>
  <c r="D155" i="3"/>
  <c r="B155" i="3"/>
  <c r="U154" i="3"/>
  <c r="T154" i="3"/>
  <c r="R154" i="3"/>
  <c r="P154" i="3"/>
  <c r="L154" i="3"/>
  <c r="K154" i="3"/>
  <c r="E154" i="3"/>
  <c r="D154" i="3"/>
  <c r="B154" i="3"/>
  <c r="U153" i="3"/>
  <c r="T153" i="3"/>
  <c r="R153" i="3"/>
  <c r="P153" i="3"/>
  <c r="L153" i="3"/>
  <c r="K153" i="3"/>
  <c r="E153" i="3"/>
  <c r="D153" i="3"/>
  <c r="B153" i="3"/>
  <c r="U152" i="3"/>
  <c r="T152" i="3"/>
  <c r="R152" i="3"/>
  <c r="P152" i="3"/>
  <c r="L152" i="3"/>
  <c r="K152" i="3"/>
  <c r="E152" i="3"/>
  <c r="D152" i="3"/>
  <c r="B152" i="3"/>
  <c r="U151" i="3"/>
  <c r="T151" i="3"/>
  <c r="R151" i="3"/>
  <c r="P151" i="3"/>
  <c r="L151" i="3"/>
  <c r="K151" i="3"/>
  <c r="E151" i="3"/>
  <c r="D151" i="3"/>
  <c r="B151" i="3"/>
  <c r="U150" i="3"/>
  <c r="T150" i="3"/>
  <c r="R150" i="3"/>
  <c r="P150" i="3"/>
  <c r="L150" i="3"/>
  <c r="K150" i="3"/>
  <c r="E150" i="3"/>
  <c r="D150" i="3"/>
  <c r="B150" i="3"/>
  <c r="U149" i="3"/>
  <c r="T149" i="3"/>
  <c r="R149" i="3"/>
  <c r="P149" i="3"/>
  <c r="L149" i="3"/>
  <c r="K149" i="3"/>
  <c r="E149" i="3"/>
  <c r="D149" i="3"/>
  <c r="B149" i="3"/>
  <c r="U148" i="3"/>
  <c r="T148" i="3"/>
  <c r="R148" i="3"/>
  <c r="P148" i="3"/>
  <c r="L148" i="3"/>
  <c r="K148" i="3"/>
  <c r="E148" i="3"/>
  <c r="D148" i="3"/>
  <c r="B148" i="3"/>
  <c r="U147" i="3"/>
  <c r="T147" i="3"/>
  <c r="R147" i="3"/>
  <c r="P147" i="3"/>
  <c r="L147" i="3"/>
  <c r="K147" i="3"/>
  <c r="E147" i="3"/>
  <c r="D147" i="3"/>
  <c r="B147" i="3"/>
  <c r="U146" i="3"/>
  <c r="T146" i="3"/>
  <c r="R146" i="3"/>
  <c r="P146" i="3"/>
  <c r="L146" i="3"/>
  <c r="K146" i="3"/>
  <c r="E146" i="3"/>
  <c r="D146" i="3"/>
  <c r="B146" i="3"/>
  <c r="U145" i="3"/>
  <c r="T145" i="3"/>
  <c r="R145" i="3"/>
  <c r="P145" i="3"/>
  <c r="L145" i="3"/>
  <c r="K145" i="3"/>
  <c r="E145" i="3"/>
  <c r="D145" i="3"/>
  <c r="B145" i="3"/>
  <c r="U144" i="3"/>
  <c r="T144" i="3"/>
  <c r="R144" i="3"/>
  <c r="P144" i="3"/>
  <c r="L144" i="3"/>
  <c r="K144" i="3"/>
  <c r="E144" i="3"/>
  <c r="D144" i="3"/>
  <c r="B144" i="3"/>
  <c r="U143" i="3"/>
  <c r="T143" i="3"/>
  <c r="R143" i="3"/>
  <c r="P143" i="3"/>
  <c r="L143" i="3"/>
  <c r="K143" i="3"/>
  <c r="E143" i="3"/>
  <c r="D143" i="3"/>
  <c r="B143" i="3"/>
  <c r="U142" i="3"/>
  <c r="T142" i="3"/>
  <c r="R142" i="3"/>
  <c r="P142" i="3"/>
  <c r="L142" i="3"/>
  <c r="K142" i="3"/>
  <c r="E142" i="3"/>
  <c r="D142" i="3"/>
  <c r="B142" i="3"/>
  <c r="U141" i="3"/>
  <c r="T141" i="3"/>
  <c r="R141" i="3"/>
  <c r="S141" i="3" s="1"/>
  <c r="P141" i="3"/>
  <c r="Q141" i="3" s="1"/>
  <c r="O141" i="3"/>
  <c r="M141" i="3"/>
  <c r="L141" i="3"/>
  <c r="K141" i="3"/>
  <c r="E141" i="3"/>
  <c r="D141" i="3"/>
  <c r="B141" i="3"/>
  <c r="U140" i="3"/>
  <c r="T140" i="3"/>
  <c r="R140" i="3"/>
  <c r="P140" i="3"/>
  <c r="L140" i="3"/>
  <c r="K140" i="3"/>
  <c r="E140" i="3"/>
  <c r="D140" i="3"/>
  <c r="B140" i="3"/>
  <c r="U139" i="3"/>
  <c r="T139" i="3"/>
  <c r="R139" i="3"/>
  <c r="S139" i="3" s="1"/>
  <c r="P139" i="3"/>
  <c r="L139" i="3"/>
  <c r="K139" i="3"/>
  <c r="E139" i="3"/>
  <c r="D139" i="3"/>
  <c r="B139" i="3"/>
  <c r="U138" i="3"/>
  <c r="T138" i="3"/>
  <c r="R138" i="3"/>
  <c r="P138" i="3"/>
  <c r="L138" i="3"/>
  <c r="K138" i="3"/>
  <c r="E138" i="3"/>
  <c r="D138" i="3"/>
  <c r="B138" i="3"/>
  <c r="U137" i="3"/>
  <c r="T137" i="3"/>
  <c r="R137" i="3"/>
  <c r="P137" i="3"/>
  <c r="L137" i="3"/>
  <c r="K137" i="3"/>
  <c r="E137" i="3"/>
  <c r="D137" i="3"/>
  <c r="B137" i="3"/>
  <c r="U136" i="3"/>
  <c r="T136" i="3"/>
  <c r="R136" i="3"/>
  <c r="P136" i="3"/>
  <c r="L136" i="3"/>
  <c r="K136" i="3"/>
  <c r="E136" i="3"/>
  <c r="D136" i="3"/>
  <c r="B136" i="3"/>
  <c r="U135" i="3"/>
  <c r="T135" i="3"/>
  <c r="R135" i="3"/>
  <c r="P135" i="3"/>
  <c r="L135" i="3"/>
  <c r="K135" i="3"/>
  <c r="E135" i="3"/>
  <c r="D135" i="3"/>
  <c r="B135" i="3"/>
  <c r="U134" i="3"/>
  <c r="T134" i="3"/>
  <c r="R134" i="3"/>
  <c r="P134" i="3"/>
  <c r="L134" i="3"/>
  <c r="K134" i="3"/>
  <c r="E134" i="3"/>
  <c r="D134" i="3"/>
  <c r="B134" i="3"/>
  <c r="U133" i="3"/>
  <c r="T133" i="3"/>
  <c r="R133" i="3"/>
  <c r="P133" i="3"/>
  <c r="L133" i="3"/>
  <c r="K133" i="3"/>
  <c r="E133" i="3"/>
  <c r="D133" i="3"/>
  <c r="B133" i="3"/>
  <c r="U132" i="3"/>
  <c r="T132" i="3"/>
  <c r="R132" i="3"/>
  <c r="P132" i="3"/>
  <c r="L132" i="3"/>
  <c r="K132" i="3"/>
  <c r="E132" i="3"/>
  <c r="D132" i="3"/>
  <c r="B132" i="3"/>
  <c r="U131" i="3"/>
  <c r="T131" i="3"/>
  <c r="R131" i="3"/>
  <c r="S131" i="3" s="1"/>
  <c r="P131" i="3"/>
  <c r="L131" i="3"/>
  <c r="K131" i="3"/>
  <c r="E131" i="3"/>
  <c r="D131" i="3"/>
  <c r="B131" i="3"/>
  <c r="U130" i="3"/>
  <c r="T130" i="3"/>
  <c r="R130" i="3"/>
  <c r="P130" i="3"/>
  <c r="L130" i="3"/>
  <c r="K130" i="3"/>
  <c r="E130" i="3"/>
  <c r="D130" i="3"/>
  <c r="B130" i="3"/>
  <c r="U129" i="3"/>
  <c r="T129" i="3"/>
  <c r="R129" i="3"/>
  <c r="S129" i="3" s="1"/>
  <c r="P129" i="3"/>
  <c r="L129" i="3"/>
  <c r="K129" i="3"/>
  <c r="E129" i="3"/>
  <c r="D129" i="3"/>
  <c r="B129" i="3"/>
  <c r="U128" i="3"/>
  <c r="T128" i="3"/>
  <c r="R128" i="3"/>
  <c r="P128" i="3"/>
  <c r="L128" i="3"/>
  <c r="K128" i="3"/>
  <c r="E128" i="3"/>
  <c r="D128" i="3"/>
  <c r="B128" i="3"/>
  <c r="U127" i="3"/>
  <c r="T127" i="3"/>
  <c r="R127" i="3"/>
  <c r="P127" i="3"/>
  <c r="L127" i="3"/>
  <c r="K127" i="3"/>
  <c r="E127" i="3"/>
  <c r="D127" i="3"/>
  <c r="B127" i="3"/>
  <c r="U126" i="3"/>
  <c r="T126" i="3"/>
  <c r="R126" i="3"/>
  <c r="P126" i="3"/>
  <c r="L126" i="3"/>
  <c r="K126" i="3"/>
  <c r="E126" i="3"/>
  <c r="D126" i="3"/>
  <c r="B126" i="3"/>
  <c r="U125" i="3"/>
  <c r="T125" i="3"/>
  <c r="R125" i="3"/>
  <c r="P125" i="3"/>
  <c r="L125" i="3"/>
  <c r="K125" i="3"/>
  <c r="E125" i="3"/>
  <c r="D125" i="3"/>
  <c r="B125" i="3"/>
  <c r="U124" i="3"/>
  <c r="T124" i="3"/>
  <c r="R124" i="3"/>
  <c r="P124" i="3"/>
  <c r="L124" i="3"/>
  <c r="K124" i="3"/>
  <c r="E124" i="3"/>
  <c r="D124" i="3"/>
  <c r="B124" i="3"/>
  <c r="U123" i="3"/>
  <c r="T123" i="3"/>
  <c r="R123" i="3"/>
  <c r="P123" i="3"/>
  <c r="L123" i="3"/>
  <c r="K123" i="3"/>
  <c r="E123" i="3"/>
  <c r="D123" i="3"/>
  <c r="B123" i="3"/>
  <c r="U122" i="3"/>
  <c r="T122" i="3"/>
  <c r="R122" i="3"/>
  <c r="P122" i="3"/>
  <c r="L122" i="3"/>
  <c r="K122" i="3"/>
  <c r="E122" i="3"/>
  <c r="D122" i="3"/>
  <c r="B122" i="3"/>
  <c r="U121" i="3"/>
  <c r="T121" i="3"/>
  <c r="R121" i="3"/>
  <c r="P121" i="3"/>
  <c r="L121" i="3"/>
  <c r="K121" i="3"/>
  <c r="E121" i="3"/>
  <c r="D121" i="3"/>
  <c r="B121" i="3"/>
  <c r="U120" i="3"/>
  <c r="T120" i="3"/>
  <c r="R120" i="3"/>
  <c r="P120" i="3"/>
  <c r="L120" i="3"/>
  <c r="K120" i="3"/>
  <c r="E120" i="3"/>
  <c r="D120" i="3"/>
  <c r="B120" i="3"/>
  <c r="U119" i="3"/>
  <c r="T119" i="3"/>
  <c r="R119" i="3"/>
  <c r="P119" i="3"/>
  <c r="L119" i="3"/>
  <c r="K119" i="3"/>
  <c r="E119" i="3"/>
  <c r="D119" i="3"/>
  <c r="B119" i="3"/>
  <c r="U118" i="3"/>
  <c r="T118" i="3"/>
  <c r="R118" i="3"/>
  <c r="P118" i="3"/>
  <c r="L118" i="3"/>
  <c r="K118" i="3"/>
  <c r="E118" i="3"/>
  <c r="D118" i="3"/>
  <c r="B118" i="3"/>
  <c r="U117" i="3"/>
  <c r="T117" i="3"/>
  <c r="R117" i="3"/>
  <c r="P117" i="3"/>
  <c r="L117" i="3"/>
  <c r="K117" i="3"/>
  <c r="E117" i="3"/>
  <c r="D117" i="3"/>
  <c r="B117" i="3"/>
  <c r="U116" i="3"/>
  <c r="T116" i="3"/>
  <c r="R116" i="3"/>
  <c r="P116" i="3"/>
  <c r="L116" i="3"/>
  <c r="K116" i="3"/>
  <c r="E116" i="3"/>
  <c r="D116" i="3"/>
  <c r="B116" i="3"/>
  <c r="U115" i="3"/>
  <c r="T115" i="3"/>
  <c r="R115" i="3"/>
  <c r="P115" i="3"/>
  <c r="L115" i="3"/>
  <c r="K115" i="3"/>
  <c r="E115" i="3"/>
  <c r="D115" i="3"/>
  <c r="B115" i="3"/>
  <c r="U114" i="3"/>
  <c r="T114" i="3"/>
  <c r="R114" i="3"/>
  <c r="P114" i="3"/>
  <c r="L114" i="3"/>
  <c r="K114" i="3"/>
  <c r="E114" i="3"/>
  <c r="D114" i="3"/>
  <c r="B114" i="3"/>
  <c r="U113" i="3"/>
  <c r="T113" i="3"/>
  <c r="R113" i="3"/>
  <c r="P113" i="3"/>
  <c r="L113" i="3"/>
  <c r="K113" i="3"/>
  <c r="E113" i="3"/>
  <c r="D113" i="3"/>
  <c r="B113" i="3"/>
  <c r="U112" i="3"/>
  <c r="T112" i="3"/>
  <c r="R112" i="3"/>
  <c r="P112" i="3"/>
  <c r="L112" i="3"/>
  <c r="K112" i="3"/>
  <c r="E112" i="3"/>
  <c r="D112" i="3"/>
  <c r="B112" i="3"/>
  <c r="U111" i="3"/>
  <c r="T111" i="3"/>
  <c r="R111" i="3"/>
  <c r="P111" i="3"/>
  <c r="L111" i="3"/>
  <c r="K111" i="3"/>
  <c r="E111" i="3"/>
  <c r="D111" i="3"/>
  <c r="B111" i="3"/>
  <c r="U110" i="3"/>
  <c r="T110" i="3"/>
  <c r="R110" i="3"/>
  <c r="P110" i="3"/>
  <c r="L110" i="3"/>
  <c r="K110" i="3"/>
  <c r="E110" i="3"/>
  <c r="D110" i="3"/>
  <c r="B110" i="3"/>
  <c r="U109" i="3"/>
  <c r="T109" i="3"/>
  <c r="R109" i="3"/>
  <c r="P109" i="3"/>
  <c r="L109" i="3"/>
  <c r="K109" i="3"/>
  <c r="E109" i="3"/>
  <c r="D109" i="3"/>
  <c r="B109" i="3"/>
  <c r="U108" i="3"/>
  <c r="T108" i="3"/>
  <c r="R108" i="3"/>
  <c r="P108" i="3"/>
  <c r="L108" i="3"/>
  <c r="K108" i="3"/>
  <c r="E108" i="3"/>
  <c r="D108" i="3"/>
  <c r="B108" i="3"/>
  <c r="U107" i="3"/>
  <c r="T107" i="3"/>
  <c r="R107" i="3"/>
  <c r="P107" i="3"/>
  <c r="L107" i="3"/>
  <c r="K107" i="3"/>
  <c r="E107" i="3"/>
  <c r="D107" i="3"/>
  <c r="B107" i="3"/>
  <c r="U106" i="3"/>
  <c r="T106" i="3"/>
  <c r="R106" i="3"/>
  <c r="P106" i="3"/>
  <c r="L106" i="3"/>
  <c r="K106" i="3"/>
  <c r="E106" i="3"/>
  <c r="D106" i="3"/>
  <c r="B106" i="3"/>
  <c r="U105" i="3"/>
  <c r="T105" i="3"/>
  <c r="R105" i="3"/>
  <c r="P105" i="3"/>
  <c r="L105" i="3"/>
  <c r="K105" i="3"/>
  <c r="E105" i="3"/>
  <c r="D105" i="3"/>
  <c r="B105" i="3"/>
  <c r="U104" i="3"/>
  <c r="T104" i="3"/>
  <c r="R104" i="3"/>
  <c r="P104" i="3"/>
  <c r="L104" i="3"/>
  <c r="K104" i="3"/>
  <c r="E104" i="3"/>
  <c r="D104" i="3"/>
  <c r="B104" i="3"/>
  <c r="U103" i="3"/>
  <c r="T103" i="3"/>
  <c r="R103" i="3"/>
  <c r="P103" i="3"/>
  <c r="L103" i="3"/>
  <c r="K103" i="3"/>
  <c r="E103" i="3"/>
  <c r="D103" i="3"/>
  <c r="B103" i="3"/>
  <c r="U102" i="3"/>
  <c r="T102" i="3"/>
  <c r="R102" i="3"/>
  <c r="P102" i="3"/>
  <c r="L102" i="3"/>
  <c r="K102" i="3"/>
  <c r="E102" i="3"/>
  <c r="D102" i="3"/>
  <c r="B102" i="3"/>
  <c r="U101" i="3"/>
  <c r="T101" i="3"/>
  <c r="R101" i="3"/>
  <c r="S101" i="3" s="1"/>
  <c r="P101" i="3"/>
  <c r="L101" i="3"/>
  <c r="K101" i="3"/>
  <c r="E101" i="3"/>
  <c r="D101" i="3"/>
  <c r="B101" i="3"/>
  <c r="U100" i="3"/>
  <c r="T100" i="3"/>
  <c r="R100" i="3"/>
  <c r="P100" i="3"/>
  <c r="L100" i="3"/>
  <c r="K100" i="3"/>
  <c r="E100" i="3"/>
  <c r="D100" i="3"/>
  <c r="B100" i="3"/>
  <c r="U99" i="3"/>
  <c r="T99" i="3"/>
  <c r="R99" i="3"/>
  <c r="P99" i="3"/>
  <c r="L99" i="3"/>
  <c r="K99" i="3"/>
  <c r="E99" i="3"/>
  <c r="D99" i="3"/>
  <c r="B99" i="3"/>
  <c r="U98" i="3"/>
  <c r="T98" i="3"/>
  <c r="R98" i="3"/>
  <c r="P98" i="3"/>
  <c r="L98" i="3"/>
  <c r="K98" i="3"/>
  <c r="E98" i="3"/>
  <c r="D98" i="3"/>
  <c r="B98" i="3"/>
  <c r="U97" i="3"/>
  <c r="T97" i="3"/>
  <c r="R97" i="3"/>
  <c r="P97" i="3"/>
  <c r="L97" i="3"/>
  <c r="K97" i="3"/>
  <c r="E97" i="3"/>
  <c r="D97" i="3"/>
  <c r="B97" i="3"/>
  <c r="U96" i="3"/>
  <c r="T96" i="3"/>
  <c r="R96" i="3"/>
  <c r="S96" i="3" s="1"/>
  <c r="Q96" i="3"/>
  <c r="P96" i="3"/>
  <c r="M96" i="3"/>
  <c r="O96" i="3" s="1"/>
  <c r="L96" i="3"/>
  <c r="K96" i="3"/>
  <c r="E96" i="3"/>
  <c r="D96" i="3"/>
  <c r="B96" i="3"/>
  <c r="U95" i="3"/>
  <c r="T95" i="3"/>
  <c r="R95" i="3"/>
  <c r="P95" i="3"/>
  <c r="L95" i="3"/>
  <c r="K95" i="3"/>
  <c r="E95" i="3"/>
  <c r="D95" i="3"/>
  <c r="B95" i="3"/>
  <c r="U94" i="3"/>
  <c r="T94" i="3"/>
  <c r="R94" i="3"/>
  <c r="P94" i="3"/>
  <c r="L94" i="3"/>
  <c r="K94" i="3"/>
  <c r="E94" i="3"/>
  <c r="D94" i="3"/>
  <c r="B94" i="3"/>
  <c r="U93" i="3"/>
  <c r="T93" i="3"/>
  <c r="R93" i="3"/>
  <c r="P93" i="3"/>
  <c r="L93" i="3"/>
  <c r="K93" i="3"/>
  <c r="E93" i="3"/>
  <c r="D93" i="3"/>
  <c r="B93" i="3"/>
  <c r="U92" i="3"/>
  <c r="T92" i="3"/>
  <c r="R92" i="3"/>
  <c r="P92" i="3"/>
  <c r="L92" i="3"/>
  <c r="K92" i="3"/>
  <c r="E92" i="3"/>
  <c r="D92" i="3"/>
  <c r="B92" i="3"/>
  <c r="U91" i="3"/>
  <c r="T91" i="3"/>
  <c r="R91" i="3"/>
  <c r="P91" i="3"/>
  <c r="L91" i="3"/>
  <c r="K91" i="3"/>
  <c r="E91" i="3"/>
  <c r="D91" i="3"/>
  <c r="B91" i="3"/>
  <c r="U90" i="3"/>
  <c r="T90" i="3"/>
  <c r="R90" i="3"/>
  <c r="P90" i="3"/>
  <c r="L90" i="3"/>
  <c r="K90" i="3"/>
  <c r="E90" i="3"/>
  <c r="D90" i="3"/>
  <c r="B90" i="3"/>
  <c r="U89" i="3"/>
  <c r="T89" i="3"/>
  <c r="R89" i="3"/>
  <c r="P89" i="3"/>
  <c r="L89" i="3"/>
  <c r="K89" i="3"/>
  <c r="E89" i="3"/>
  <c r="D89" i="3"/>
  <c r="B89" i="3"/>
  <c r="U88" i="3"/>
  <c r="T88" i="3"/>
  <c r="R88" i="3"/>
  <c r="P88" i="3"/>
  <c r="L88" i="3"/>
  <c r="K88" i="3"/>
  <c r="E88" i="3"/>
  <c r="D88" i="3"/>
  <c r="B88" i="3"/>
  <c r="U87" i="3"/>
  <c r="T87" i="3"/>
  <c r="R87" i="3"/>
  <c r="P87" i="3"/>
  <c r="L87" i="3"/>
  <c r="K87" i="3"/>
  <c r="E87" i="3"/>
  <c r="D87" i="3"/>
  <c r="B87" i="3"/>
  <c r="U86" i="3"/>
  <c r="T86" i="3"/>
  <c r="R86" i="3"/>
  <c r="S86" i="3" s="1"/>
  <c r="P86" i="3"/>
  <c r="L86" i="3"/>
  <c r="K86" i="3"/>
  <c r="E86" i="3"/>
  <c r="D86" i="3"/>
  <c r="B86" i="3"/>
  <c r="U85" i="3"/>
  <c r="T85" i="3"/>
  <c r="R85" i="3"/>
  <c r="P85" i="3"/>
  <c r="L85" i="3"/>
  <c r="K85" i="3"/>
  <c r="E85" i="3"/>
  <c r="D85" i="3"/>
  <c r="B85" i="3"/>
  <c r="U84" i="3"/>
  <c r="T84" i="3"/>
  <c r="R84" i="3"/>
  <c r="P84" i="3"/>
  <c r="L84" i="3"/>
  <c r="K84" i="3"/>
  <c r="E84" i="3"/>
  <c r="D84" i="3"/>
  <c r="B84" i="3"/>
  <c r="U83" i="3"/>
  <c r="T83" i="3"/>
  <c r="R83" i="3"/>
  <c r="P83" i="3"/>
  <c r="Q83" i="3" s="1"/>
  <c r="L83" i="3"/>
  <c r="K83" i="3"/>
  <c r="E83" i="3"/>
  <c r="D83" i="3"/>
  <c r="B83" i="3"/>
  <c r="U82" i="3"/>
  <c r="T82" i="3"/>
  <c r="R82" i="3"/>
  <c r="P82" i="3"/>
  <c r="L82" i="3"/>
  <c r="K82" i="3"/>
  <c r="E82" i="3"/>
  <c r="D82" i="3"/>
  <c r="B82" i="3"/>
  <c r="U81" i="3"/>
  <c r="T81" i="3"/>
  <c r="R81" i="3"/>
  <c r="S81" i="3" s="1"/>
  <c r="P81" i="3"/>
  <c r="L81" i="3"/>
  <c r="K81" i="3"/>
  <c r="E81" i="3"/>
  <c r="D81" i="3"/>
  <c r="B81" i="3"/>
  <c r="U80" i="3"/>
  <c r="T80" i="3"/>
  <c r="R80" i="3"/>
  <c r="P80" i="3"/>
  <c r="L80" i="3"/>
  <c r="K80" i="3"/>
  <c r="E80" i="3"/>
  <c r="D80" i="3"/>
  <c r="B80" i="3"/>
  <c r="U79" i="3"/>
  <c r="T79" i="3"/>
  <c r="R79" i="3"/>
  <c r="P79" i="3"/>
  <c r="L79" i="3"/>
  <c r="K79" i="3"/>
  <c r="E79" i="3"/>
  <c r="D79" i="3"/>
  <c r="B79" i="3"/>
  <c r="U78" i="3"/>
  <c r="T78" i="3"/>
  <c r="R78" i="3"/>
  <c r="P78" i="3"/>
  <c r="L78" i="3"/>
  <c r="K78" i="3"/>
  <c r="E78" i="3"/>
  <c r="D78" i="3"/>
  <c r="B78" i="3"/>
  <c r="U77" i="3"/>
  <c r="T77" i="3"/>
  <c r="R77" i="3"/>
  <c r="P77" i="3"/>
  <c r="L77" i="3"/>
  <c r="K77" i="3"/>
  <c r="E77" i="3"/>
  <c r="D77" i="3"/>
  <c r="B77" i="3"/>
  <c r="U76" i="3"/>
  <c r="T76" i="3"/>
  <c r="R76" i="3"/>
  <c r="P76" i="3"/>
  <c r="M76" i="3" s="1"/>
  <c r="O76" i="3" s="1"/>
  <c r="L76" i="3"/>
  <c r="K76" i="3"/>
  <c r="E76" i="3"/>
  <c r="D76" i="3"/>
  <c r="B76" i="3"/>
  <c r="U75" i="3"/>
  <c r="T75" i="3"/>
  <c r="R75" i="3"/>
  <c r="P75" i="3"/>
  <c r="L75" i="3"/>
  <c r="K75" i="3"/>
  <c r="E75" i="3"/>
  <c r="D75" i="3"/>
  <c r="B75" i="3"/>
  <c r="U74" i="3"/>
  <c r="T74" i="3"/>
  <c r="R74" i="3"/>
  <c r="P74" i="3"/>
  <c r="M74" i="3" s="1"/>
  <c r="O74" i="3" s="1"/>
  <c r="L74" i="3"/>
  <c r="K74" i="3"/>
  <c r="E74" i="3"/>
  <c r="D74" i="3"/>
  <c r="B74" i="3"/>
  <c r="U73" i="3"/>
  <c r="T73" i="3"/>
  <c r="R73" i="3"/>
  <c r="P73" i="3"/>
  <c r="L73" i="3"/>
  <c r="K73" i="3"/>
  <c r="E73" i="3"/>
  <c r="D73" i="3"/>
  <c r="B73" i="3"/>
  <c r="U72" i="3"/>
  <c r="T72" i="3"/>
  <c r="S72" i="3"/>
  <c r="R72" i="3"/>
  <c r="Q72" i="3"/>
  <c r="P72" i="3"/>
  <c r="O72" i="3"/>
  <c r="M72" i="3"/>
  <c r="L72" i="3"/>
  <c r="K72" i="3"/>
  <c r="E72" i="3"/>
  <c r="D72" i="3"/>
  <c r="B72" i="3"/>
  <c r="U71" i="3"/>
  <c r="T71" i="3"/>
  <c r="R71" i="3"/>
  <c r="P71" i="3"/>
  <c r="L71" i="3"/>
  <c r="K71" i="3"/>
  <c r="E71" i="3"/>
  <c r="D71" i="3"/>
  <c r="B71" i="3"/>
  <c r="U70" i="3"/>
  <c r="T70" i="3"/>
  <c r="R70" i="3"/>
  <c r="P70" i="3"/>
  <c r="L70" i="3"/>
  <c r="K70" i="3"/>
  <c r="E70" i="3"/>
  <c r="D70" i="3"/>
  <c r="B70" i="3"/>
  <c r="U69" i="3"/>
  <c r="T69" i="3"/>
  <c r="R69" i="3"/>
  <c r="P69" i="3"/>
  <c r="L69" i="3"/>
  <c r="K69" i="3"/>
  <c r="E69" i="3"/>
  <c r="D69" i="3"/>
  <c r="B69" i="3"/>
  <c r="U68" i="3"/>
  <c r="T68" i="3"/>
  <c r="R68" i="3"/>
  <c r="P68" i="3"/>
  <c r="L68" i="3"/>
  <c r="K68" i="3"/>
  <c r="E68" i="3"/>
  <c r="D68" i="3"/>
  <c r="B68" i="3"/>
  <c r="U67" i="3"/>
  <c r="T67" i="3"/>
  <c r="R67" i="3"/>
  <c r="P67" i="3"/>
  <c r="L67" i="3"/>
  <c r="K67" i="3"/>
  <c r="E67" i="3"/>
  <c r="D67" i="3"/>
  <c r="B67" i="3"/>
  <c r="U66" i="3"/>
  <c r="T66" i="3"/>
  <c r="R66" i="3"/>
  <c r="P66" i="3"/>
  <c r="L66" i="3"/>
  <c r="K66" i="3"/>
  <c r="E66" i="3"/>
  <c r="D66" i="3"/>
  <c r="B66" i="3"/>
  <c r="U65" i="3"/>
  <c r="T65" i="3"/>
  <c r="R65" i="3"/>
  <c r="P65" i="3"/>
  <c r="L65" i="3"/>
  <c r="K65" i="3"/>
  <c r="E65" i="3"/>
  <c r="D65" i="3"/>
  <c r="B65" i="3"/>
  <c r="U64" i="3"/>
  <c r="T64" i="3"/>
  <c r="R64" i="3"/>
  <c r="P64" i="3"/>
  <c r="L64" i="3"/>
  <c r="K64" i="3"/>
  <c r="E64" i="3"/>
  <c r="D64" i="3"/>
  <c r="B64" i="3"/>
  <c r="U63" i="3"/>
  <c r="T63" i="3"/>
  <c r="R63" i="3"/>
  <c r="P63" i="3"/>
  <c r="L63" i="3"/>
  <c r="K63" i="3"/>
  <c r="E63" i="3"/>
  <c r="D63" i="3"/>
  <c r="B63" i="3"/>
  <c r="U62" i="3"/>
  <c r="T62" i="3"/>
  <c r="R62" i="3"/>
  <c r="S62" i="3" s="1"/>
  <c r="P62" i="3"/>
  <c r="L62" i="3"/>
  <c r="K62" i="3"/>
  <c r="E62" i="3"/>
  <c r="D62" i="3"/>
  <c r="B62" i="3"/>
  <c r="U61" i="3"/>
  <c r="T61" i="3"/>
  <c r="R61" i="3"/>
  <c r="P61" i="3"/>
  <c r="L61" i="3"/>
  <c r="K61" i="3"/>
  <c r="E61" i="3"/>
  <c r="D61" i="3"/>
  <c r="B61" i="3"/>
  <c r="U60" i="3"/>
  <c r="T60" i="3"/>
  <c r="R60" i="3"/>
  <c r="P60" i="3"/>
  <c r="L60" i="3"/>
  <c r="K60" i="3"/>
  <c r="E60" i="3"/>
  <c r="D60" i="3"/>
  <c r="B60" i="3"/>
  <c r="U59" i="3"/>
  <c r="T59" i="3"/>
  <c r="R59" i="3"/>
  <c r="P59" i="3"/>
  <c r="L59" i="3"/>
  <c r="K59" i="3"/>
  <c r="E59" i="3"/>
  <c r="D59" i="3"/>
  <c r="B59" i="3"/>
  <c r="U58" i="3"/>
  <c r="T58" i="3"/>
  <c r="R58" i="3"/>
  <c r="S58" i="3" s="1"/>
  <c r="P58" i="3"/>
  <c r="M58" i="3"/>
  <c r="O58" i="3" s="1"/>
  <c r="L58" i="3"/>
  <c r="K58" i="3"/>
  <c r="E58" i="3"/>
  <c r="D58" i="3"/>
  <c r="B58" i="3"/>
  <c r="U57" i="3"/>
  <c r="T57" i="3"/>
  <c r="R57" i="3"/>
  <c r="P57" i="3"/>
  <c r="L57" i="3"/>
  <c r="K57" i="3"/>
  <c r="E57" i="3"/>
  <c r="D57" i="3"/>
  <c r="B57" i="3"/>
  <c r="U56" i="3"/>
  <c r="T56" i="3"/>
  <c r="R56" i="3"/>
  <c r="S56" i="3" s="1"/>
  <c r="P56" i="3"/>
  <c r="L56" i="3"/>
  <c r="K56" i="3"/>
  <c r="E56" i="3"/>
  <c r="D56" i="3"/>
  <c r="B56" i="3"/>
  <c r="U55" i="3"/>
  <c r="T55" i="3"/>
  <c r="R55" i="3"/>
  <c r="P55" i="3"/>
  <c r="L55" i="3"/>
  <c r="K55" i="3"/>
  <c r="E55" i="3"/>
  <c r="D55" i="3"/>
  <c r="B55" i="3"/>
  <c r="U54" i="3"/>
  <c r="T54" i="3"/>
  <c r="R54" i="3"/>
  <c r="P54" i="3"/>
  <c r="L54" i="3"/>
  <c r="K54" i="3"/>
  <c r="E54" i="3"/>
  <c r="D54" i="3"/>
  <c r="B54" i="3"/>
  <c r="U53" i="3"/>
  <c r="T53" i="3"/>
  <c r="R53" i="3"/>
  <c r="P53" i="3"/>
  <c r="L53" i="3"/>
  <c r="K53" i="3"/>
  <c r="E53" i="3"/>
  <c r="D53" i="3"/>
  <c r="B53" i="3"/>
  <c r="U52" i="3"/>
  <c r="T52" i="3"/>
  <c r="R52" i="3"/>
  <c r="P52" i="3"/>
  <c r="L52" i="3"/>
  <c r="K52" i="3"/>
  <c r="E52" i="3"/>
  <c r="D52" i="3"/>
  <c r="B52" i="3"/>
  <c r="U51" i="3"/>
  <c r="T51" i="3"/>
  <c r="R51" i="3"/>
  <c r="P51" i="3"/>
  <c r="L51" i="3"/>
  <c r="K51" i="3"/>
  <c r="E51" i="3"/>
  <c r="D51" i="3"/>
  <c r="B51" i="3"/>
  <c r="U50" i="3"/>
  <c r="T50" i="3"/>
  <c r="R50" i="3"/>
  <c r="P50" i="3"/>
  <c r="L50" i="3"/>
  <c r="K50" i="3"/>
  <c r="E50" i="3"/>
  <c r="D50" i="3"/>
  <c r="B50" i="3"/>
  <c r="U49" i="3"/>
  <c r="T49" i="3"/>
  <c r="R49" i="3"/>
  <c r="P49" i="3"/>
  <c r="L49" i="3"/>
  <c r="K49" i="3"/>
  <c r="E49" i="3"/>
  <c r="D49" i="3"/>
  <c r="B49" i="3"/>
  <c r="U48" i="3"/>
  <c r="T48" i="3"/>
  <c r="R48" i="3"/>
  <c r="P48" i="3"/>
  <c r="L48" i="3"/>
  <c r="K48" i="3"/>
  <c r="E48" i="3"/>
  <c r="D48" i="3"/>
  <c r="B48" i="3"/>
  <c r="U47" i="3"/>
  <c r="T47" i="3"/>
  <c r="R47" i="3"/>
  <c r="P47" i="3"/>
  <c r="L47" i="3"/>
  <c r="K47" i="3"/>
  <c r="E47" i="3"/>
  <c r="D47" i="3"/>
  <c r="B47" i="3"/>
  <c r="U46" i="3"/>
  <c r="T46" i="3"/>
  <c r="R46" i="3"/>
  <c r="P46" i="3"/>
  <c r="L46" i="3"/>
  <c r="K46" i="3"/>
  <c r="E46" i="3"/>
  <c r="D46" i="3"/>
  <c r="B46" i="3"/>
  <c r="U45" i="3"/>
  <c r="T45" i="3"/>
  <c r="R45" i="3"/>
  <c r="P45" i="3"/>
  <c r="L45" i="3"/>
  <c r="K45" i="3"/>
  <c r="E45" i="3"/>
  <c r="D45" i="3"/>
  <c r="B45" i="3"/>
  <c r="U44" i="3"/>
  <c r="T44" i="3"/>
  <c r="R44" i="3"/>
  <c r="S44" i="3" s="1"/>
  <c r="P44" i="3"/>
  <c r="L44" i="3"/>
  <c r="K44" i="3"/>
  <c r="E44" i="3"/>
  <c r="D44" i="3"/>
  <c r="B44" i="3"/>
  <c r="U43" i="3"/>
  <c r="T43" i="3"/>
  <c r="R43" i="3"/>
  <c r="P43" i="3"/>
  <c r="L43" i="3"/>
  <c r="K43" i="3"/>
  <c r="E43" i="3"/>
  <c r="D43" i="3"/>
  <c r="B43" i="3"/>
  <c r="U42" i="3"/>
  <c r="T42" i="3"/>
  <c r="R42" i="3"/>
  <c r="P42" i="3"/>
  <c r="L42" i="3"/>
  <c r="K42" i="3"/>
  <c r="E42" i="3"/>
  <c r="D42" i="3"/>
  <c r="B42" i="3"/>
  <c r="U41" i="3"/>
  <c r="T41" i="3"/>
  <c r="R41" i="3"/>
  <c r="P41" i="3"/>
  <c r="L41" i="3"/>
  <c r="K41" i="3"/>
  <c r="E41" i="3"/>
  <c r="D41" i="3"/>
  <c r="B41" i="3"/>
  <c r="U40" i="3"/>
  <c r="T40" i="3"/>
  <c r="R40" i="3"/>
  <c r="S40" i="3" s="1"/>
  <c r="P40" i="3"/>
  <c r="L40" i="3"/>
  <c r="K40" i="3"/>
  <c r="E40" i="3"/>
  <c r="D40" i="3"/>
  <c r="B40" i="3"/>
  <c r="U39" i="3"/>
  <c r="T39" i="3"/>
  <c r="R39" i="3"/>
  <c r="P39" i="3"/>
  <c r="L39" i="3"/>
  <c r="K39" i="3"/>
  <c r="E39" i="3"/>
  <c r="D39" i="3"/>
  <c r="B39" i="3"/>
  <c r="U38" i="3"/>
  <c r="T38" i="3"/>
  <c r="R38" i="3"/>
  <c r="P38" i="3"/>
  <c r="L38" i="3"/>
  <c r="K38" i="3"/>
  <c r="E38" i="3"/>
  <c r="D38" i="3"/>
  <c r="B38" i="3"/>
  <c r="U37" i="3"/>
  <c r="T37" i="3"/>
  <c r="R37" i="3"/>
  <c r="P37" i="3"/>
  <c r="L37" i="3"/>
  <c r="K37" i="3"/>
  <c r="E37" i="3"/>
  <c r="D37" i="3"/>
  <c r="B37" i="3"/>
  <c r="U36" i="3"/>
  <c r="T36" i="3"/>
  <c r="R36" i="3"/>
  <c r="P36" i="3"/>
  <c r="L36" i="3"/>
  <c r="K36" i="3"/>
  <c r="E36" i="3"/>
  <c r="D36" i="3"/>
  <c r="B36" i="3"/>
  <c r="U35" i="3"/>
  <c r="T35" i="3"/>
  <c r="R35" i="3"/>
  <c r="P35" i="3"/>
  <c r="L35" i="3"/>
  <c r="K35" i="3"/>
  <c r="E35" i="3"/>
  <c r="D35" i="3"/>
  <c r="B35" i="3"/>
  <c r="U34" i="3"/>
  <c r="T34" i="3"/>
  <c r="R34" i="3"/>
  <c r="P34" i="3"/>
  <c r="L34" i="3"/>
  <c r="K34" i="3"/>
  <c r="E34" i="3"/>
  <c r="D34" i="3"/>
  <c r="B34" i="3"/>
  <c r="U33" i="3"/>
  <c r="T33" i="3"/>
  <c r="R33" i="3"/>
  <c r="P33" i="3"/>
  <c r="L33" i="3"/>
  <c r="K33" i="3"/>
  <c r="E33" i="3"/>
  <c r="D33" i="3"/>
  <c r="B33" i="3"/>
  <c r="U32" i="3"/>
  <c r="T32" i="3"/>
  <c r="R32" i="3"/>
  <c r="P32" i="3"/>
  <c r="L32" i="3"/>
  <c r="K32" i="3"/>
  <c r="E32" i="3"/>
  <c r="D32" i="3"/>
  <c r="B32" i="3"/>
  <c r="U31" i="3"/>
  <c r="T31" i="3"/>
  <c r="R31" i="3"/>
  <c r="P31" i="3"/>
  <c r="L31" i="3"/>
  <c r="K31" i="3"/>
  <c r="E31" i="3"/>
  <c r="D31" i="3"/>
  <c r="B31" i="3"/>
  <c r="U30" i="3"/>
  <c r="T30" i="3"/>
  <c r="R30" i="3"/>
  <c r="P30" i="3"/>
  <c r="Q30" i="3" s="1"/>
  <c r="M30" i="3"/>
  <c r="O30" i="3" s="1"/>
  <c r="L30" i="3"/>
  <c r="K30" i="3"/>
  <c r="E30" i="3"/>
  <c r="D30" i="3"/>
  <c r="B30" i="3"/>
  <c r="U29" i="3"/>
  <c r="T29" i="3"/>
  <c r="R29" i="3"/>
  <c r="P29" i="3"/>
  <c r="L29" i="3"/>
  <c r="K29" i="3"/>
  <c r="E29" i="3"/>
  <c r="D29" i="3"/>
  <c r="B29" i="3"/>
  <c r="U28" i="3"/>
  <c r="T28" i="3"/>
  <c r="R28" i="3"/>
  <c r="S28" i="3" s="1"/>
  <c r="P28" i="3"/>
  <c r="M28" i="3" s="1"/>
  <c r="O28" i="3" s="1"/>
  <c r="L28" i="3"/>
  <c r="K28" i="3"/>
  <c r="E28" i="3"/>
  <c r="D28" i="3"/>
  <c r="B28" i="3"/>
  <c r="U27" i="3"/>
  <c r="T27" i="3"/>
  <c r="R27" i="3"/>
  <c r="P27" i="3"/>
  <c r="L27" i="3"/>
  <c r="K27" i="3"/>
  <c r="E27" i="3"/>
  <c r="D27" i="3"/>
  <c r="B27" i="3"/>
  <c r="U26" i="3"/>
  <c r="T26" i="3"/>
  <c r="R26" i="3"/>
  <c r="P26" i="3"/>
  <c r="L26" i="3"/>
  <c r="K26" i="3"/>
  <c r="E26" i="3"/>
  <c r="D26" i="3"/>
  <c r="B26" i="3"/>
  <c r="U25" i="3"/>
  <c r="T25" i="3"/>
  <c r="R25" i="3"/>
  <c r="S25" i="3" s="1"/>
  <c r="P25" i="3"/>
  <c r="L25" i="3"/>
  <c r="K25" i="3"/>
  <c r="E25" i="3"/>
  <c r="D25" i="3"/>
  <c r="B25" i="3"/>
  <c r="U24" i="3"/>
  <c r="T24" i="3"/>
  <c r="R24" i="3"/>
  <c r="P24" i="3"/>
  <c r="L24" i="3"/>
  <c r="K24" i="3"/>
  <c r="E24" i="3"/>
  <c r="D24" i="3"/>
  <c r="B24" i="3"/>
  <c r="U23" i="3"/>
  <c r="T23" i="3"/>
  <c r="R23" i="3"/>
  <c r="P23" i="3"/>
  <c r="L23" i="3"/>
  <c r="K23" i="3"/>
  <c r="E23" i="3"/>
  <c r="D23" i="3"/>
  <c r="B23" i="3"/>
  <c r="U22" i="3"/>
  <c r="T22" i="3"/>
  <c r="R22" i="3"/>
  <c r="P22" i="3"/>
  <c r="L22" i="3"/>
  <c r="K22" i="3"/>
  <c r="E22" i="3"/>
  <c r="D22" i="3"/>
  <c r="B22" i="3"/>
  <c r="U21" i="3"/>
  <c r="T21" i="3"/>
  <c r="R21" i="3"/>
  <c r="P21" i="3"/>
  <c r="L21" i="3"/>
  <c r="K21" i="3"/>
  <c r="E21" i="3"/>
  <c r="D21" i="3"/>
  <c r="B21" i="3"/>
  <c r="U20" i="3"/>
  <c r="T20" i="3"/>
  <c r="R20" i="3"/>
  <c r="P20" i="3"/>
  <c r="L20" i="3"/>
  <c r="K20" i="3"/>
  <c r="E20" i="3"/>
  <c r="D20" i="3"/>
  <c r="B20" i="3"/>
  <c r="U19" i="3"/>
  <c r="T19" i="3"/>
  <c r="R19" i="3"/>
  <c r="P19" i="3"/>
  <c r="L19" i="3"/>
  <c r="K19" i="3"/>
  <c r="E19" i="3"/>
  <c r="D19" i="3"/>
  <c r="B19" i="3"/>
  <c r="U18" i="3"/>
  <c r="T18" i="3"/>
  <c r="R18" i="3"/>
  <c r="S18" i="3" s="1"/>
  <c r="Q18" i="3"/>
  <c r="P18" i="3"/>
  <c r="L18" i="3"/>
  <c r="K18" i="3"/>
  <c r="E18" i="3"/>
  <c r="D18" i="3"/>
  <c r="B18" i="3"/>
  <c r="U17" i="3"/>
  <c r="T17" i="3"/>
  <c r="R17" i="3"/>
  <c r="P17" i="3"/>
  <c r="L17" i="3"/>
  <c r="K17" i="3"/>
  <c r="E17" i="3"/>
  <c r="D17" i="3"/>
  <c r="B17" i="3"/>
  <c r="U16" i="3"/>
  <c r="T16" i="3"/>
  <c r="R16" i="3"/>
  <c r="P16" i="3"/>
  <c r="L16" i="3"/>
  <c r="K16" i="3"/>
  <c r="E16" i="3"/>
  <c r="D16" i="3"/>
  <c r="B16" i="3"/>
  <c r="U15" i="3"/>
  <c r="T15" i="3"/>
  <c r="R15" i="3"/>
  <c r="P15" i="3"/>
  <c r="Q15" i="3" s="1"/>
  <c r="L15" i="3"/>
  <c r="K15" i="3"/>
  <c r="E15" i="3"/>
  <c r="D15" i="3"/>
  <c r="B15" i="3"/>
  <c r="U14" i="3"/>
  <c r="T14" i="3"/>
  <c r="R14" i="3"/>
  <c r="P14" i="3"/>
  <c r="L14" i="3"/>
  <c r="K14" i="3"/>
  <c r="E14" i="3"/>
  <c r="D14" i="3"/>
  <c r="B14" i="3"/>
  <c r="U13" i="3"/>
  <c r="T13" i="3"/>
  <c r="R13" i="3"/>
  <c r="P13" i="3"/>
  <c r="M13" i="3" s="1"/>
  <c r="O13" i="3" s="1"/>
  <c r="L13" i="3"/>
  <c r="K13" i="3"/>
  <c r="E13" i="3"/>
  <c r="D13" i="3"/>
  <c r="B13" i="3"/>
  <c r="U12" i="3"/>
  <c r="T12" i="3"/>
  <c r="R12" i="3"/>
  <c r="P12" i="3"/>
  <c r="L12" i="3"/>
  <c r="K12" i="3"/>
  <c r="E12" i="3"/>
  <c r="D12" i="3"/>
  <c r="B12" i="3"/>
  <c r="U11" i="3"/>
  <c r="T11" i="3"/>
  <c r="R11" i="3"/>
  <c r="S11" i="3" s="1"/>
  <c r="P11" i="3"/>
  <c r="L11" i="3"/>
  <c r="K11" i="3"/>
  <c r="E11" i="3"/>
  <c r="D11" i="3"/>
  <c r="B11" i="3"/>
  <c r="U10" i="3"/>
  <c r="T10" i="3"/>
  <c r="R10" i="3"/>
  <c r="P10" i="3"/>
  <c r="M10" i="3"/>
  <c r="O10" i="3" s="1"/>
  <c r="L10" i="3"/>
  <c r="K10" i="3"/>
  <c r="E10" i="3"/>
  <c r="D10" i="3"/>
  <c r="B10" i="3"/>
  <c r="U9" i="3"/>
  <c r="T9" i="3"/>
  <c r="R9" i="3"/>
  <c r="P9" i="3"/>
  <c r="L9" i="3"/>
  <c r="K9" i="3"/>
  <c r="E9" i="3"/>
  <c r="D9" i="3"/>
  <c r="B9" i="3"/>
  <c r="U8" i="3"/>
  <c r="T8" i="3"/>
  <c r="S8" i="3"/>
  <c r="R8" i="3"/>
  <c r="P8" i="3"/>
  <c r="Q309" i="3" s="1"/>
  <c r="L8" i="3"/>
  <c r="K8" i="3"/>
  <c r="E8" i="3"/>
  <c r="D8" i="3"/>
  <c r="B8" i="3"/>
  <c r="U7" i="3"/>
  <c r="T7" i="3"/>
  <c r="R7" i="3"/>
  <c r="P7" i="3"/>
  <c r="L7" i="3"/>
  <c r="K7" i="3"/>
  <c r="E7" i="3"/>
  <c r="D7" i="3"/>
  <c r="B7" i="3"/>
  <c r="U6" i="3"/>
  <c r="T6" i="3"/>
  <c r="R6" i="3"/>
  <c r="S295" i="3" s="1"/>
  <c r="Q6" i="3"/>
  <c r="P6" i="3"/>
  <c r="Q340" i="3" s="1"/>
  <c r="L6" i="3"/>
  <c r="K6" i="3"/>
  <c r="E6" i="3"/>
  <c r="D6" i="3"/>
  <c r="B6" i="3"/>
  <c r="B3" i="3"/>
  <c r="M51" i="2"/>
  <c r="I51" i="2"/>
  <c r="F51" i="2"/>
  <c r="P49" i="2"/>
  <c r="O49" i="2"/>
  <c r="N49" i="2"/>
  <c r="M49" i="2"/>
  <c r="I49" i="2"/>
  <c r="H49" i="2"/>
  <c r="E49" i="2"/>
  <c r="C49" i="2"/>
  <c r="B49" i="2"/>
  <c r="O48" i="2"/>
  <c r="N48" i="2"/>
  <c r="M48" i="2"/>
  <c r="L48" i="2"/>
  <c r="J48" i="2"/>
  <c r="I48" i="2"/>
  <c r="H48" i="2"/>
  <c r="G48" i="2"/>
  <c r="F48" i="2"/>
  <c r="E48" i="2"/>
  <c r="D48" i="2"/>
  <c r="C48" i="2"/>
  <c r="B48" i="2"/>
  <c r="P48" i="2" s="1"/>
  <c r="O47" i="2"/>
  <c r="N47" i="2"/>
  <c r="J47" i="2"/>
  <c r="I47" i="2"/>
  <c r="H47" i="2"/>
  <c r="F47" i="2"/>
  <c r="E47" i="2"/>
  <c r="C47" i="2"/>
  <c r="B47" i="2"/>
  <c r="E46" i="2"/>
  <c r="D46" i="2"/>
  <c r="B46" i="2"/>
  <c r="P45" i="2"/>
  <c r="O45" i="2"/>
  <c r="M45" i="2"/>
  <c r="L45" i="2"/>
  <c r="J45" i="2"/>
  <c r="I45" i="2"/>
  <c r="H45" i="2"/>
  <c r="G45" i="2"/>
  <c r="E45" i="2"/>
  <c r="D45" i="2"/>
  <c r="B45" i="2"/>
  <c r="B44" i="2"/>
  <c r="D44" i="2" s="1"/>
  <c r="P43" i="2"/>
  <c r="O43" i="2"/>
  <c r="N43" i="2"/>
  <c r="M43" i="2"/>
  <c r="J43" i="2"/>
  <c r="I43" i="2"/>
  <c r="G43" i="2"/>
  <c r="C43" i="2"/>
  <c r="B43" i="2"/>
  <c r="P42" i="2"/>
  <c r="O42" i="2"/>
  <c r="N42" i="2"/>
  <c r="M42" i="2"/>
  <c r="L42" i="2"/>
  <c r="J42" i="2"/>
  <c r="I42" i="2"/>
  <c r="H42" i="2"/>
  <c r="G42" i="2"/>
  <c r="F42" i="2"/>
  <c r="E42" i="2"/>
  <c r="D42" i="2"/>
  <c r="C42" i="2"/>
  <c r="B42" i="2"/>
  <c r="P41" i="2"/>
  <c r="O41" i="2"/>
  <c r="B41" i="2"/>
  <c r="C41" i="2" s="1"/>
  <c r="M40" i="2"/>
  <c r="L40" i="2"/>
  <c r="H40" i="2"/>
  <c r="G40" i="2"/>
  <c r="F40" i="2"/>
  <c r="C40" i="2"/>
  <c r="B40" i="2"/>
  <c r="O39" i="2"/>
  <c r="N39" i="2"/>
  <c r="B39" i="2"/>
  <c r="C39" i="2" s="1"/>
  <c r="B38" i="2"/>
  <c r="D38" i="2" s="1"/>
  <c r="O37" i="2"/>
  <c r="N37" i="2"/>
  <c r="L37" i="2"/>
  <c r="J37" i="2"/>
  <c r="I37" i="2"/>
  <c r="H37" i="2"/>
  <c r="G37" i="2"/>
  <c r="F37" i="2"/>
  <c r="E37" i="2"/>
  <c r="D37" i="2"/>
  <c r="C37" i="2"/>
  <c r="B37" i="2"/>
  <c r="P36" i="2"/>
  <c r="O36" i="2"/>
  <c r="L36" i="2"/>
  <c r="J36" i="2"/>
  <c r="G36" i="2"/>
  <c r="E36" i="2"/>
  <c r="D36" i="2"/>
  <c r="C36" i="2"/>
  <c r="B36" i="2"/>
  <c r="B35" i="2"/>
  <c r="P34" i="2"/>
  <c r="M34" i="2"/>
  <c r="L34" i="2"/>
  <c r="J34" i="2"/>
  <c r="I34" i="2"/>
  <c r="H34" i="2"/>
  <c r="G34" i="2"/>
  <c r="F34" i="2"/>
  <c r="E34" i="2"/>
  <c r="D34" i="2"/>
  <c r="C34" i="2"/>
  <c r="B34" i="2"/>
  <c r="B33" i="2"/>
  <c r="E32" i="2"/>
  <c r="D32" i="2"/>
  <c r="C32" i="2"/>
  <c r="B32" i="2"/>
  <c r="E31" i="2"/>
  <c r="C31" i="2"/>
  <c r="B31" i="2"/>
  <c r="B30" i="2"/>
  <c r="C29" i="2"/>
  <c r="B29" i="2"/>
  <c r="O28" i="2"/>
  <c r="N28" i="2"/>
  <c r="M28" i="2"/>
  <c r="J28" i="2"/>
  <c r="I28" i="2"/>
  <c r="H28" i="2"/>
  <c r="G28" i="2"/>
  <c r="F28" i="2"/>
  <c r="D28" i="2"/>
  <c r="C28" i="2"/>
  <c r="B28" i="2"/>
  <c r="E27" i="2"/>
  <c r="D27" i="2"/>
  <c r="B27" i="2"/>
  <c r="E26" i="2"/>
  <c r="D26" i="2"/>
  <c r="C26" i="2"/>
  <c r="B26" i="2"/>
  <c r="B25" i="2"/>
  <c r="B24" i="2"/>
  <c r="C24" i="2" s="1"/>
  <c r="B23" i="2"/>
  <c r="D22" i="2"/>
  <c r="C22" i="2"/>
  <c r="B22" i="2"/>
  <c r="E22" i="2" s="1"/>
  <c r="B21" i="2"/>
  <c r="E21" i="2" s="1"/>
  <c r="B20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B15" i="2"/>
  <c r="C15" i="2" s="1"/>
  <c r="E14" i="2"/>
  <c r="D14" i="2"/>
  <c r="B14" i="2"/>
  <c r="C13" i="2"/>
  <c r="B13" i="2"/>
  <c r="D12" i="2"/>
  <c r="C12" i="2"/>
  <c r="B12" i="2"/>
  <c r="E12" i="2" s="1"/>
  <c r="B11" i="2"/>
  <c r="D11" i="2" s="1"/>
  <c r="E10" i="2"/>
  <c r="D10" i="2"/>
  <c r="B10" i="2"/>
  <c r="P9" i="2"/>
  <c r="O9" i="2"/>
  <c r="M9" i="2"/>
  <c r="I9" i="2"/>
  <c r="F9" i="2"/>
  <c r="P8" i="2"/>
  <c r="P51" i="2" s="1"/>
  <c r="O8" i="2"/>
  <c r="N8" i="2"/>
  <c r="M8" i="2"/>
  <c r="M8" i="4" s="1"/>
  <c r="L8" i="2"/>
  <c r="J8" i="2"/>
  <c r="I8" i="2"/>
  <c r="I8" i="4" s="1"/>
  <c r="H8" i="2"/>
  <c r="H8" i="4" s="1"/>
  <c r="G8" i="2"/>
  <c r="F8" i="2"/>
  <c r="L7" i="2"/>
  <c r="F7" i="2"/>
  <c r="B3" i="2"/>
  <c r="C14" i="2" l="1"/>
  <c r="D31" i="2"/>
  <c r="N40" i="2"/>
  <c r="J40" i="2"/>
  <c r="E40" i="2"/>
  <c r="D40" i="2"/>
  <c r="O40" i="2"/>
  <c r="P40" i="2"/>
  <c r="I40" i="2"/>
  <c r="M42" i="3"/>
  <c r="O42" i="3" s="1"/>
  <c r="Q44" i="3"/>
  <c r="M44" i="3"/>
  <c r="O44" i="3" s="1"/>
  <c r="Q46" i="3"/>
  <c r="Q64" i="3"/>
  <c r="M78" i="3"/>
  <c r="O78" i="3" s="1"/>
  <c r="S111" i="3"/>
  <c r="Q151" i="3"/>
  <c r="M151" i="3"/>
  <c r="O151" i="3" s="1"/>
  <c r="M155" i="3"/>
  <c r="O155" i="3" s="1"/>
  <c r="S172" i="3"/>
  <c r="S174" i="3"/>
  <c r="Q176" i="3"/>
  <c r="M206" i="3"/>
  <c r="O206" i="3" s="1"/>
  <c r="M208" i="3"/>
  <c r="O208" i="3" s="1"/>
  <c r="M210" i="3"/>
  <c r="O210" i="3" s="1"/>
  <c r="S255" i="3"/>
  <c r="Q22" i="3"/>
  <c r="M22" i="3"/>
  <c r="O22" i="3" s="1"/>
  <c r="S151" i="3"/>
  <c r="Q36" i="3"/>
  <c r="S34" i="3"/>
  <c r="S297" i="3"/>
  <c r="S356" i="3"/>
  <c r="Q91" i="3"/>
  <c r="M114" i="3"/>
  <c r="O114" i="3" s="1"/>
  <c r="M139" i="3"/>
  <c r="O139" i="3" s="1"/>
  <c r="Q139" i="3"/>
  <c r="S198" i="3"/>
  <c r="Q282" i="3"/>
  <c r="M282" i="3"/>
  <c r="O282" i="3" s="1"/>
  <c r="S284" i="3"/>
  <c r="S332" i="3"/>
  <c r="M354" i="3"/>
  <c r="O354" i="3" s="1"/>
  <c r="Q354" i="3"/>
  <c r="M56" i="3"/>
  <c r="O56" i="3" s="1"/>
  <c r="Q206" i="3"/>
  <c r="M38" i="3"/>
  <c r="O38" i="3" s="1"/>
  <c r="S155" i="3"/>
  <c r="S310" i="3"/>
  <c r="S290" i="3"/>
  <c r="S270" i="3"/>
  <c r="S250" i="3"/>
  <c r="S230" i="3"/>
  <c r="S353" i="3"/>
  <c r="S333" i="3"/>
  <c r="S313" i="3"/>
  <c r="S293" i="3"/>
  <c r="S273" i="3"/>
  <c r="S253" i="3"/>
  <c r="S233" i="3"/>
  <c r="S213" i="3"/>
  <c r="S193" i="3"/>
  <c r="S173" i="3"/>
  <c r="S153" i="3"/>
  <c r="S133" i="3"/>
  <c r="S325" i="3"/>
  <c r="S305" i="3"/>
  <c r="S285" i="3"/>
  <c r="S354" i="3"/>
  <c r="S361" i="3"/>
  <c r="S347" i="3"/>
  <c r="S344" i="3"/>
  <c r="S113" i="3"/>
  <c r="S6" i="3"/>
  <c r="S355" i="3"/>
  <c r="S278" i="3"/>
  <c r="S258" i="3"/>
  <c r="S238" i="3"/>
  <c r="S199" i="3"/>
  <c r="S170" i="3"/>
  <c r="S342" i="3"/>
  <c r="S228" i="3"/>
  <c r="S215" i="3"/>
  <c r="S178" i="3"/>
  <c r="S351" i="3"/>
  <c r="S194" i="3"/>
  <c r="S130" i="3"/>
  <c r="S322" i="3"/>
  <c r="S320" i="3"/>
  <c r="S274" i="3"/>
  <c r="S269" i="3"/>
  <c r="S327" i="3"/>
  <c r="S234" i="3"/>
  <c r="S358" i="3"/>
  <c r="S334" i="3"/>
  <c r="S267" i="3"/>
  <c r="S247" i="3"/>
  <c r="S287" i="3"/>
  <c r="S357" i="3"/>
  <c r="S326" i="3"/>
  <c r="S312" i="3"/>
  <c r="S300" i="3"/>
  <c r="S214" i="3"/>
  <c r="S265" i="3"/>
  <c r="S147" i="3"/>
  <c r="S125" i="3"/>
  <c r="S60" i="3"/>
  <c r="S161" i="3"/>
  <c r="S154" i="3"/>
  <c r="S90" i="3"/>
  <c r="S314" i="3"/>
  <c r="S232" i="3"/>
  <c r="S203" i="3"/>
  <c r="S182" i="3"/>
  <c r="S145" i="3"/>
  <c r="S135" i="3"/>
  <c r="S110" i="3"/>
  <c r="S80" i="3"/>
  <c r="S75" i="3"/>
  <c r="S70" i="3"/>
  <c r="S65" i="3"/>
  <c r="S16" i="3"/>
  <c r="S85" i="3"/>
  <c r="S150" i="3"/>
  <c r="S93" i="3"/>
  <c r="S306" i="3"/>
  <c r="S249" i="3"/>
  <c r="S210" i="3"/>
  <c r="S180" i="3"/>
  <c r="S166" i="3"/>
  <c r="S302" i="3"/>
  <c r="S294" i="3"/>
  <c r="S245" i="3"/>
  <c r="S138" i="3"/>
  <c r="S254" i="3"/>
  <c r="S227" i="3"/>
  <c r="S142" i="3"/>
  <c r="S137" i="3"/>
  <c r="S252" i="3"/>
  <c r="S244" i="3"/>
  <c r="S146" i="3"/>
  <c r="S108" i="3"/>
  <c r="S97" i="3"/>
  <c r="S61" i="3"/>
  <c r="S38" i="3"/>
  <c r="S321" i="3"/>
  <c r="S12" i="3"/>
  <c r="S7" i="3"/>
  <c r="S82" i="3"/>
  <c r="S275" i="3"/>
  <c r="S106" i="3"/>
  <c r="S52" i="3"/>
  <c r="S43" i="3"/>
  <c r="S211" i="3"/>
  <c r="S132" i="3"/>
  <c r="S84" i="3"/>
  <c r="S68" i="3"/>
  <c r="S36" i="3"/>
  <c r="S24" i="3"/>
  <c r="S32" i="3"/>
  <c r="S91" i="3"/>
  <c r="S66" i="3"/>
  <c r="S22" i="3"/>
  <c r="S335" i="3"/>
  <c r="S229" i="3"/>
  <c r="S209" i="3"/>
  <c r="S195" i="3"/>
  <c r="S73" i="3"/>
  <c r="S264" i="3"/>
  <c r="S48" i="3"/>
  <c r="S185" i="3"/>
  <c r="S171" i="3"/>
  <c r="S169" i="3"/>
  <c r="S122" i="3"/>
  <c r="S109" i="3"/>
  <c r="S89" i="3"/>
  <c r="S235" i="3"/>
  <c r="S167" i="3"/>
  <c r="S352" i="3"/>
  <c r="S107" i="3"/>
  <c r="S37" i="3"/>
  <c r="S242" i="3"/>
  <c r="S164" i="3"/>
  <c r="S144" i="3"/>
  <c r="S79" i="3"/>
  <c r="S47" i="3"/>
  <c r="S42" i="3"/>
  <c r="S74" i="3"/>
  <c r="S260" i="3"/>
  <c r="M120" i="3"/>
  <c r="O120" i="3" s="1"/>
  <c r="M69" i="3"/>
  <c r="O69" i="3" s="1"/>
  <c r="S18" i="6" s="1"/>
  <c r="T18" i="6" s="1"/>
  <c r="M171" i="3"/>
  <c r="O171" i="3" s="1"/>
  <c r="S282" i="3"/>
  <c r="M17" i="3"/>
  <c r="O17" i="3" s="1"/>
  <c r="M45" i="3"/>
  <c r="O45" i="3" s="1"/>
  <c r="M51" i="3"/>
  <c r="O51" i="3" s="1"/>
  <c r="K19" i="6" s="1"/>
  <c r="L19" i="6" s="1"/>
  <c r="M53" i="3"/>
  <c r="O53" i="3" s="1"/>
  <c r="M65" i="3"/>
  <c r="O65" i="3" s="1"/>
  <c r="Q65" i="3"/>
  <c r="Q69" i="3"/>
  <c r="Q89" i="3"/>
  <c r="M89" i="3"/>
  <c r="O89" i="3" s="1"/>
  <c r="Q114" i="3"/>
  <c r="S118" i="3"/>
  <c r="S143" i="3"/>
  <c r="S160" i="3"/>
  <c r="M192" i="3"/>
  <c r="O192" i="3" s="1"/>
  <c r="M194" i="3"/>
  <c r="O194" i="3" s="1"/>
  <c r="Q226" i="3"/>
  <c r="M226" i="3"/>
  <c r="O226" i="3" s="1"/>
  <c r="S341" i="3"/>
  <c r="Q109" i="3"/>
  <c r="M109" i="3"/>
  <c r="O109" i="3" s="1"/>
  <c r="G8" i="4"/>
  <c r="G9" i="2"/>
  <c r="D21" i="2"/>
  <c r="Q12" i="3"/>
  <c r="Q58" i="3"/>
  <c r="Q80" i="3"/>
  <c r="M80" i="3"/>
  <c r="O80" i="3" s="1"/>
  <c r="S240" i="3"/>
  <c r="S20" i="3"/>
  <c r="Q78" i="3"/>
  <c r="Q126" i="3"/>
  <c r="S206" i="3"/>
  <c r="M105" i="3"/>
  <c r="O105" i="3" s="1"/>
  <c r="Q105" i="3"/>
  <c r="S299" i="3"/>
  <c r="S103" i="3"/>
  <c r="S99" i="3"/>
  <c r="Q118" i="3"/>
  <c r="S179" i="3"/>
  <c r="S343" i="3"/>
  <c r="M23" i="3"/>
  <c r="O23" i="3" s="1"/>
  <c r="E16" i="5" s="1"/>
  <c r="M129" i="3"/>
  <c r="O129" i="3" s="1"/>
  <c r="Q169" i="3"/>
  <c r="M169" i="3"/>
  <c r="O169" i="3" s="1"/>
  <c r="Q190" i="3"/>
  <c r="M190" i="3"/>
  <c r="O190" i="3" s="1"/>
  <c r="Q194" i="3"/>
  <c r="M211" i="3"/>
  <c r="O211" i="3" s="1"/>
  <c r="Q224" i="3"/>
  <c r="M241" i="3"/>
  <c r="O241" i="3" s="1"/>
  <c r="S280" i="3"/>
  <c r="Q339" i="3"/>
  <c r="M126" i="3"/>
  <c r="O126" i="3" s="1"/>
  <c r="Q208" i="3"/>
  <c r="M32" i="3"/>
  <c r="O32" i="3" s="1"/>
  <c r="S76" i="3"/>
  <c r="S134" i="3"/>
  <c r="S208" i="3"/>
  <c r="Q301" i="3"/>
  <c r="S301" i="3"/>
  <c r="S30" i="3"/>
  <c r="Q145" i="3"/>
  <c r="M160" i="3"/>
  <c r="O160" i="3" s="1"/>
  <c r="M85" i="3"/>
  <c r="O85" i="3" s="1"/>
  <c r="S116" i="3"/>
  <c r="M131" i="3"/>
  <c r="O131" i="3" s="1"/>
  <c r="M286" i="3"/>
  <c r="O286" i="3" s="1"/>
  <c r="S17" i="3"/>
  <c r="Q23" i="3"/>
  <c r="M27" i="3"/>
  <c r="O27" i="3" s="1"/>
  <c r="S49" i="3"/>
  <c r="S63" i="3"/>
  <c r="Q85" i="3"/>
  <c r="S87" i="3"/>
  <c r="M108" i="3"/>
  <c r="O108" i="3" s="1"/>
  <c r="S114" i="3"/>
  <c r="Q129" i="3"/>
  <c r="S158" i="3"/>
  <c r="S188" i="3"/>
  <c r="Q192" i="3"/>
  <c r="M220" i="3"/>
  <c r="O220" i="3" s="1"/>
  <c r="S224" i="3"/>
  <c r="S226" i="3"/>
  <c r="M239" i="3"/>
  <c r="O239" i="3" s="1"/>
  <c r="Q239" i="3"/>
  <c r="M337" i="3"/>
  <c r="O337" i="3" s="1"/>
  <c r="Q337" i="3"/>
  <c r="G51" i="2"/>
  <c r="C25" i="2"/>
  <c r="M83" i="3"/>
  <c r="O83" i="3" s="1"/>
  <c r="S41" i="3"/>
  <c r="I18" i="4" s="1"/>
  <c r="Q53" i="3"/>
  <c r="M133" i="3"/>
  <c r="O133" i="3" s="1"/>
  <c r="S190" i="3"/>
  <c r="S192" i="3"/>
  <c r="S222" i="3"/>
  <c r="Q276" i="3"/>
  <c r="S337" i="3"/>
  <c r="Q358" i="3"/>
  <c r="M280" i="3"/>
  <c r="O280" i="3" s="1"/>
  <c r="S71" i="3"/>
  <c r="M33" i="3"/>
  <c r="O33" i="3" s="1"/>
  <c r="M274" i="3"/>
  <c r="O274" i="3" s="1"/>
  <c r="Q28" i="3"/>
  <c r="Q200" i="3"/>
  <c r="Q49" i="3"/>
  <c r="M49" i="3"/>
  <c r="O49" i="3" s="1"/>
  <c r="M11" i="3"/>
  <c r="O11" i="3" s="1"/>
  <c r="Q11" i="3"/>
  <c r="S9" i="3"/>
  <c r="S39" i="3"/>
  <c r="S83" i="3"/>
  <c r="Q148" i="3"/>
  <c r="S220" i="3"/>
  <c r="Q235" i="3"/>
  <c r="Q33" i="3"/>
  <c r="M35" i="3"/>
  <c r="O35" i="3" s="1"/>
  <c r="Q35" i="3"/>
  <c r="S218" i="3"/>
  <c r="Q272" i="3"/>
  <c r="Q274" i="3"/>
  <c r="M325" i="3"/>
  <c r="O325" i="3" s="1"/>
  <c r="Q32" i="3"/>
  <c r="M247" i="3"/>
  <c r="O247" i="3" s="1"/>
  <c r="E25" i="2"/>
  <c r="Q103" i="3"/>
  <c r="Q232" i="3"/>
  <c r="M249" i="3"/>
  <c r="O249" i="3" s="1"/>
  <c r="Q249" i="3"/>
  <c r="M99" i="3"/>
  <c r="O99" i="3" s="1"/>
  <c r="Q112" i="3"/>
  <c r="Q143" i="3"/>
  <c r="L38" i="2"/>
  <c r="J38" i="2"/>
  <c r="G38" i="2"/>
  <c r="C38" i="2"/>
  <c r="O38" i="2"/>
  <c r="P38" i="2"/>
  <c r="I38" i="2"/>
  <c r="S67" i="3"/>
  <c r="S112" i="3"/>
  <c r="Q13" i="3"/>
  <c r="Q27" i="3"/>
  <c r="S51" i="3"/>
  <c r="F38" i="2"/>
  <c r="O44" i="2"/>
  <c r="N44" i="2"/>
  <c r="M44" i="2"/>
  <c r="I44" i="2"/>
  <c r="E44" i="2"/>
  <c r="J44" i="2"/>
  <c r="P44" i="2"/>
  <c r="L44" i="2"/>
  <c r="H44" i="2"/>
  <c r="G44" i="2"/>
  <c r="C44" i="2"/>
  <c r="S13" i="3"/>
  <c r="H24" i="4" s="1"/>
  <c r="S53" i="3"/>
  <c r="S59" i="3"/>
  <c r="Q106" i="3"/>
  <c r="S127" i="3"/>
  <c r="Q131" i="3"/>
  <c r="M272" i="3"/>
  <c r="O272" i="3" s="1"/>
  <c r="D19" i="2"/>
  <c r="E19" i="2"/>
  <c r="C23" i="2"/>
  <c r="H38" i="2"/>
  <c r="C19" i="2"/>
  <c r="D23" i="2"/>
  <c r="M38" i="2"/>
  <c r="F44" i="2"/>
  <c r="S31" i="3"/>
  <c r="S35" i="3"/>
  <c r="S104" i="3"/>
  <c r="Q123" i="3"/>
  <c r="M123" i="3"/>
  <c r="O123" i="3" s="1"/>
  <c r="Q163" i="3"/>
  <c r="Q311" i="3"/>
  <c r="M311" i="3"/>
  <c r="O311" i="3" s="1"/>
  <c r="Q84" i="3"/>
  <c r="Q56" i="3"/>
  <c r="Q153" i="3"/>
  <c r="C21" i="2"/>
  <c r="S54" i="3"/>
  <c r="S149" i="3"/>
  <c r="M297" i="3"/>
  <c r="O297" i="3" s="1"/>
  <c r="J8" i="4"/>
  <c r="J9" i="2"/>
  <c r="J51" i="2"/>
  <c r="S181" i="3"/>
  <c r="M228" i="3"/>
  <c r="O228" i="3" s="1"/>
  <c r="M25" i="3"/>
  <c r="O25" i="3" s="1"/>
  <c r="Q51" i="3"/>
  <c r="E38" i="2"/>
  <c r="Q25" i="3"/>
  <c r="Q39" i="3"/>
  <c r="S23" i="3"/>
  <c r="S57" i="3"/>
  <c r="C10" i="2"/>
  <c r="E23" i="2"/>
  <c r="N38" i="2"/>
  <c r="S33" i="3"/>
  <c r="M92" i="3"/>
  <c r="O92" i="3" s="1"/>
  <c r="M98" i="3"/>
  <c r="O98" i="3" s="1"/>
  <c r="S123" i="3"/>
  <c r="M180" i="3"/>
  <c r="O180" i="3" s="1"/>
  <c r="Q180" i="3"/>
  <c r="S216" i="3"/>
  <c r="S272" i="3"/>
  <c r="M309" i="3"/>
  <c r="O309" i="3" s="1"/>
  <c r="Q14" i="3"/>
  <c r="Q20" i="3"/>
  <c r="M20" i="3"/>
  <c r="O20" i="3" s="1"/>
  <c r="Q74" i="3"/>
  <c r="Q42" i="3"/>
  <c r="Q76" i="3"/>
  <c r="S303" i="3"/>
  <c r="S10" i="3"/>
  <c r="S204" i="3"/>
  <c r="D25" i="2"/>
  <c r="Q67" i="3"/>
  <c r="M15" i="3"/>
  <c r="O15" i="3" s="1"/>
  <c r="M37" i="3"/>
  <c r="O37" i="3" s="1"/>
  <c r="Q92" i="3"/>
  <c r="M94" i="3"/>
  <c r="O94" i="3" s="1"/>
  <c r="Q98" i="3"/>
  <c r="M174" i="3"/>
  <c r="O174" i="3" s="1"/>
  <c r="M176" i="3"/>
  <c r="O176" i="3" s="1"/>
  <c r="Q257" i="3"/>
  <c r="M8" i="3"/>
  <c r="O8" i="3" s="1"/>
  <c r="M84" i="3"/>
  <c r="O84" i="3" s="1"/>
  <c r="M183" i="3"/>
  <c r="O183" i="3" s="1"/>
  <c r="Q41" i="3"/>
  <c r="Q122" i="3"/>
  <c r="M91" i="3"/>
  <c r="O91" i="3" s="1"/>
  <c r="M19" i="3"/>
  <c r="O19" i="3" s="1"/>
  <c r="M24" i="3"/>
  <c r="O24" i="3" s="1"/>
  <c r="M111" i="3"/>
  <c r="O111" i="3" s="1"/>
  <c r="M66" i="3"/>
  <c r="O66" i="3" s="1"/>
  <c r="M59" i="3"/>
  <c r="O59" i="3" s="1"/>
  <c r="M12" i="3"/>
  <c r="O12" i="3" s="1"/>
  <c r="M41" i="3"/>
  <c r="O41" i="3" s="1"/>
  <c r="S34" i="6" s="1"/>
  <c r="T34" i="6" s="1"/>
  <c r="M43" i="3"/>
  <c r="O43" i="3" s="1"/>
  <c r="E17" i="5" s="1"/>
  <c r="M73" i="3"/>
  <c r="O73" i="3" s="1"/>
  <c r="S23" i="6" s="1"/>
  <c r="T23" i="6" s="1"/>
  <c r="M75" i="3"/>
  <c r="O75" i="3" s="1"/>
  <c r="Q17" i="3"/>
  <c r="M106" i="3"/>
  <c r="O106" i="3" s="1"/>
  <c r="Q104" i="3"/>
  <c r="M306" i="3"/>
  <c r="O306" i="3" s="1"/>
  <c r="M304" i="3"/>
  <c r="O304" i="3" s="1"/>
  <c r="M128" i="3"/>
  <c r="O128" i="3" s="1"/>
  <c r="M39" i="3"/>
  <c r="O39" i="3" s="1"/>
  <c r="Q8" i="3"/>
  <c r="M90" i="3"/>
  <c r="O90" i="3" s="1"/>
  <c r="Q81" i="3"/>
  <c r="Q63" i="3"/>
  <c r="Q16" i="3"/>
  <c r="M185" i="3"/>
  <c r="O185" i="3" s="1"/>
  <c r="Q185" i="3"/>
  <c r="Q202" i="3"/>
  <c r="M46" i="3"/>
  <c r="O46" i="3" s="1"/>
  <c r="M48" i="3"/>
  <c r="O48" i="3" s="1"/>
  <c r="K16" i="6" s="1"/>
  <c r="L16" i="6" s="1"/>
  <c r="Q66" i="3"/>
  <c r="Q94" i="3"/>
  <c r="S121" i="3"/>
  <c r="Q174" i="3"/>
  <c r="M178" i="3"/>
  <c r="O178" i="3" s="1"/>
  <c r="Q178" i="3"/>
  <c r="M6" i="3"/>
  <c r="M18" i="3"/>
  <c r="O18" i="3" s="1"/>
  <c r="M50" i="3"/>
  <c r="O50" i="3" s="1"/>
  <c r="M64" i="3"/>
  <c r="O64" i="3" s="1"/>
  <c r="S92" i="3"/>
  <c r="S117" i="3"/>
  <c r="M153" i="3"/>
  <c r="O153" i="3" s="1"/>
  <c r="M189" i="3"/>
  <c r="O189" i="3" s="1"/>
  <c r="S307" i="3"/>
  <c r="I36" i="2"/>
  <c r="F36" i="2"/>
  <c r="N36" i="2"/>
  <c r="H36" i="2"/>
  <c r="Q101" i="3"/>
  <c r="S119" i="3"/>
  <c r="Q160" i="3"/>
  <c r="M224" i="3"/>
  <c r="O224" i="3" s="1"/>
  <c r="S286" i="3"/>
  <c r="Q305" i="3"/>
  <c r="Q313" i="3"/>
  <c r="S315" i="3"/>
  <c r="H9" i="4"/>
  <c r="C27" i="2"/>
  <c r="D29" i="2"/>
  <c r="E29" i="2"/>
  <c r="M36" i="2"/>
  <c r="I46" i="2"/>
  <c r="F46" i="2"/>
  <c r="H46" i="2"/>
  <c r="G46" i="2"/>
  <c r="C46" i="2"/>
  <c r="Q62" i="3"/>
  <c r="S69" i="3"/>
  <c r="Q71" i="3"/>
  <c r="S94" i="3"/>
  <c r="Q116" i="3"/>
  <c r="M116" i="3"/>
  <c r="O116" i="3" s="1"/>
  <c r="Q137" i="3"/>
  <c r="Q149" i="3"/>
  <c r="M157" i="3"/>
  <c r="O157" i="3" s="1"/>
  <c r="Q270" i="3"/>
  <c r="M270" i="3"/>
  <c r="O270" i="3" s="1"/>
  <c r="S339" i="3"/>
  <c r="M352" i="3"/>
  <c r="O352" i="3" s="1"/>
  <c r="Q352" i="3"/>
  <c r="L8" i="4"/>
  <c r="L12" i="4" s="1"/>
  <c r="C35" i="2"/>
  <c r="I35" i="2"/>
  <c r="H35" i="2"/>
  <c r="E35" i="2"/>
  <c r="M346" i="3"/>
  <c r="O346" i="3" s="1"/>
  <c r="S348" i="3"/>
  <c r="M9" i="4"/>
  <c r="C33" i="2"/>
  <c r="D35" i="2"/>
  <c r="L46" i="2"/>
  <c r="M36" i="3"/>
  <c r="O36" i="3" s="1"/>
  <c r="S102" i="3"/>
  <c r="M104" i="3"/>
  <c r="O104" i="3" s="1"/>
  <c r="Q124" i="3"/>
  <c r="Q128" i="3"/>
  <c r="M173" i="3"/>
  <c r="O173" i="3" s="1"/>
  <c r="Q173" i="3"/>
  <c r="Q181" i="3"/>
  <c r="S187" i="3"/>
  <c r="M195" i="3"/>
  <c r="O195" i="3" s="1"/>
  <c r="M197" i="3"/>
  <c r="O197" i="3" s="1"/>
  <c r="Q205" i="3"/>
  <c r="M219" i="3"/>
  <c r="O219" i="3" s="1"/>
  <c r="M229" i="3"/>
  <c r="O229" i="3" s="1"/>
  <c r="Q346" i="3"/>
  <c r="S98" i="3"/>
  <c r="Q171" i="3"/>
  <c r="Q73" i="3"/>
  <c r="Q111" i="3"/>
  <c r="M113" i="3"/>
  <c r="O113" i="3" s="1"/>
  <c r="S124" i="3"/>
  <c r="S126" i="3"/>
  <c r="S183" i="3"/>
  <c r="S189" i="3"/>
  <c r="Q195" i="3"/>
  <c r="M199" i="3"/>
  <c r="O199" i="3" s="1"/>
  <c r="Q229" i="3"/>
  <c r="S304" i="3"/>
  <c r="S331" i="3"/>
  <c r="S346" i="3"/>
  <c r="H51" i="2"/>
  <c r="S46" i="3"/>
  <c r="S100" i="3"/>
  <c r="S175" i="3"/>
  <c r="Q177" i="3"/>
  <c r="Q201" i="3"/>
  <c r="Q203" i="3"/>
  <c r="M213" i="3"/>
  <c r="O213" i="3" s="1"/>
  <c r="Q217" i="3"/>
  <c r="S221" i="3"/>
  <c r="S231" i="3"/>
  <c r="Q262" i="3"/>
  <c r="M262" i="3"/>
  <c r="O262" i="3" s="1"/>
  <c r="M294" i="3"/>
  <c r="O294" i="3" s="1"/>
  <c r="Q329" i="3"/>
  <c r="S159" i="3"/>
  <c r="G39" i="2"/>
  <c r="D39" i="2"/>
  <c r="P39" i="2"/>
  <c r="L39" i="2"/>
  <c r="D41" i="2"/>
  <c r="M134" i="3"/>
  <c r="O134" i="3" s="1"/>
  <c r="Q197" i="3"/>
  <c r="S201" i="3"/>
  <c r="Q211" i="3"/>
  <c r="Q215" i="3"/>
  <c r="M215" i="3"/>
  <c r="O215" i="3" s="1"/>
  <c r="S219" i="3"/>
  <c r="M252" i="3"/>
  <c r="O252" i="3" s="1"/>
  <c r="Q260" i="3"/>
  <c r="S262" i="3"/>
  <c r="M292" i="3"/>
  <c r="O292" i="3" s="1"/>
  <c r="M296" i="3"/>
  <c r="O296" i="3" s="1"/>
  <c r="M327" i="3"/>
  <c r="O327" i="3" s="1"/>
  <c r="Q48" i="3"/>
  <c r="M55" i="3"/>
  <c r="O55" i="3" s="1"/>
  <c r="Q55" i="3"/>
  <c r="S120" i="3"/>
  <c r="C11" i="2"/>
  <c r="O46" i="2"/>
  <c r="Q24" i="3"/>
  <c r="M86" i="3"/>
  <c r="O86" i="3" s="1"/>
  <c r="E20" i="2"/>
  <c r="P28" i="2"/>
  <c r="L28" i="2"/>
  <c r="L35" i="2"/>
  <c r="F39" i="2"/>
  <c r="F41" i="2"/>
  <c r="C45" i="2"/>
  <c r="N45" i="2"/>
  <c r="P46" i="2"/>
  <c r="Q7" i="3"/>
  <c r="M20" i="2" s="1"/>
  <c r="M31" i="3"/>
  <c r="O31" i="3" s="1"/>
  <c r="Q43" i="3"/>
  <c r="Q52" i="3"/>
  <c r="M70" i="3"/>
  <c r="O70" i="3" s="1"/>
  <c r="Q93" i="3"/>
  <c r="M95" i="3"/>
  <c r="O95" i="3" s="1"/>
  <c r="Q113" i="3"/>
  <c r="S197" i="3"/>
  <c r="Q292" i="3"/>
  <c r="Q294" i="3"/>
  <c r="M323" i="3"/>
  <c r="O323" i="3" s="1"/>
  <c r="S15" i="3"/>
  <c r="S64" i="3"/>
  <c r="Q50" i="3"/>
  <c r="D20" i="2"/>
  <c r="E24" i="2"/>
  <c r="J35" i="2"/>
  <c r="E39" i="2"/>
  <c r="M68" i="3"/>
  <c r="O68" i="3" s="1"/>
  <c r="E18" i="5" s="1"/>
  <c r="Q68" i="3"/>
  <c r="H9" i="2"/>
  <c r="E11" i="2"/>
  <c r="D13" i="2"/>
  <c r="D24" i="2"/>
  <c r="M35" i="2"/>
  <c r="H39" i="2"/>
  <c r="G41" i="2"/>
  <c r="L43" i="2"/>
  <c r="H43" i="2"/>
  <c r="E43" i="2"/>
  <c r="D43" i="2"/>
  <c r="P47" i="2"/>
  <c r="M47" i="2"/>
  <c r="L47" i="2"/>
  <c r="G47" i="2"/>
  <c r="M14" i="3"/>
  <c r="O14" i="3" s="1"/>
  <c r="Q19" i="3"/>
  <c r="M21" i="3"/>
  <c r="O21" i="3" s="1"/>
  <c r="Q31" i="3"/>
  <c r="Q59" i="3"/>
  <c r="Q86" i="3"/>
  <c r="G11" i="2" s="1"/>
  <c r="M88" i="3"/>
  <c r="O88" i="3" s="1"/>
  <c r="M117" i="3"/>
  <c r="O117" i="3" s="1"/>
  <c r="M136" i="3"/>
  <c r="O136" i="3" s="1"/>
  <c r="M148" i="3"/>
  <c r="O148" i="3" s="1"/>
  <c r="M150" i="3"/>
  <c r="O150" i="3" s="1"/>
  <c r="Q152" i="3"/>
  <c r="Q213" i="3"/>
  <c r="Q250" i="3"/>
  <c r="M250" i="3"/>
  <c r="O250" i="3" s="1"/>
  <c r="M256" i="3"/>
  <c r="O256" i="3" s="1"/>
  <c r="S319" i="3"/>
  <c r="Q321" i="3"/>
  <c r="Q325" i="3"/>
  <c r="M9" i="3"/>
  <c r="O9" i="3" s="1"/>
  <c r="S19" i="3"/>
  <c r="H31" i="4" s="1"/>
  <c r="Q38" i="3"/>
  <c r="Q45" i="3"/>
  <c r="M61" i="3"/>
  <c r="O61" i="3" s="1"/>
  <c r="Q61" i="3"/>
  <c r="M63" i="3"/>
  <c r="O63" i="3" s="1"/>
  <c r="E29" i="5" s="1"/>
  <c r="M79" i="3"/>
  <c r="O79" i="3" s="1"/>
  <c r="S95" i="3"/>
  <c r="Q97" i="3"/>
  <c r="Q108" i="3"/>
  <c r="Q117" i="3"/>
  <c r="Q134" i="3"/>
  <c r="M138" i="3"/>
  <c r="O138" i="3" s="1"/>
  <c r="Q138" i="3"/>
  <c r="Q146" i="3"/>
  <c r="M166" i="3"/>
  <c r="O166" i="3" s="1"/>
  <c r="S246" i="3"/>
  <c r="Q252" i="3"/>
  <c r="M254" i="3"/>
  <c r="O254" i="3" s="1"/>
  <c r="Q317" i="3"/>
  <c r="S350" i="3"/>
  <c r="E33" i="2"/>
  <c r="J46" i="2"/>
  <c r="Q102" i="3"/>
  <c r="M102" i="3"/>
  <c r="O102" i="3" s="1"/>
  <c r="D33" i="2"/>
  <c r="N41" i="2"/>
  <c r="M41" i="2"/>
  <c r="I41" i="2"/>
  <c r="E41" i="2"/>
  <c r="M46" i="2"/>
  <c r="O8" i="4"/>
  <c r="O51" i="2"/>
  <c r="N46" i="2"/>
  <c r="E30" i="2"/>
  <c r="N35" i="2"/>
  <c r="I39" i="2"/>
  <c r="H41" i="2"/>
  <c r="E13" i="2"/>
  <c r="E28" i="2"/>
  <c r="C30" i="2"/>
  <c r="O34" i="2"/>
  <c r="N34" i="2"/>
  <c r="O35" i="2"/>
  <c r="J39" i="2"/>
  <c r="J41" i="2"/>
  <c r="F43" i="2"/>
  <c r="F45" i="2"/>
  <c r="D47" i="2"/>
  <c r="Q21" i="3"/>
  <c r="Q26" i="3"/>
  <c r="S45" i="3"/>
  <c r="Q47" i="3"/>
  <c r="M47" i="3"/>
  <c r="O47" i="3" s="1"/>
  <c r="M54" i="3"/>
  <c r="O54" i="3" s="1"/>
  <c r="E28" i="5" s="1"/>
  <c r="Q79" i="3"/>
  <c r="S115" i="3"/>
  <c r="M119" i="3"/>
  <c r="O119" i="3" s="1"/>
  <c r="Q136" i="3"/>
  <c r="S140" i="3"/>
  <c r="Q142" i="3"/>
  <c r="Q144" i="3"/>
  <c r="M158" i="3"/>
  <c r="O158" i="3" s="1"/>
  <c r="Q164" i="3"/>
  <c r="Q254" i="3"/>
  <c r="S323" i="3"/>
  <c r="S27" i="3"/>
  <c r="L42" i="4" s="1"/>
  <c r="N8" i="4"/>
  <c r="N25" i="4" s="1"/>
  <c r="N51" i="2"/>
  <c r="N9" i="2"/>
  <c r="F35" i="2"/>
  <c r="C20" i="2"/>
  <c r="G35" i="2"/>
  <c r="L51" i="2"/>
  <c r="P8" i="4"/>
  <c r="M143" i="3"/>
  <c r="O143" i="3" s="1"/>
  <c r="M124" i="3"/>
  <c r="O124" i="3" s="1"/>
  <c r="Q236" i="3"/>
  <c r="M233" i="3"/>
  <c r="O233" i="3" s="1"/>
  <c r="M276" i="3"/>
  <c r="O276" i="3" s="1"/>
  <c r="M244" i="3"/>
  <c r="O244" i="3" s="1"/>
  <c r="M279" i="3"/>
  <c r="O279" i="3" s="1"/>
  <c r="M259" i="3"/>
  <c r="O259" i="3" s="1"/>
  <c r="M227" i="3"/>
  <c r="O227" i="3" s="1"/>
  <c r="Q222" i="3"/>
  <c r="Q345" i="3"/>
  <c r="Q279" i="3"/>
  <c r="M149" i="3"/>
  <c r="O149" i="3" s="1"/>
  <c r="M144" i="3"/>
  <c r="O144" i="3" s="1"/>
  <c r="M127" i="3"/>
  <c r="O127" i="3" s="1"/>
  <c r="Q57" i="3"/>
  <c r="Q10" i="3"/>
  <c r="I26" i="2" s="1"/>
  <c r="M343" i="3"/>
  <c r="O343" i="3" s="1"/>
  <c r="Q289" i="3"/>
  <c r="Q259" i="3"/>
  <c r="M132" i="3"/>
  <c r="O132" i="3" s="1"/>
  <c r="Q107" i="3"/>
  <c r="Q87" i="3"/>
  <c r="Q82" i="3"/>
  <c r="M26" i="3"/>
  <c r="O26" i="3" s="1"/>
  <c r="M7" i="3"/>
  <c r="O7" i="3" s="1"/>
  <c r="M287" i="3"/>
  <c r="O287" i="3" s="1"/>
  <c r="M216" i="3"/>
  <c r="O216" i="3" s="1"/>
  <c r="Q214" i="3"/>
  <c r="M179" i="3"/>
  <c r="O179" i="3" s="1"/>
  <c r="M156" i="3"/>
  <c r="O156" i="3" s="1"/>
  <c r="M122" i="3"/>
  <c r="O122" i="3" s="1"/>
  <c r="Q115" i="3"/>
  <c r="M97" i="3"/>
  <c r="O97" i="3" s="1"/>
  <c r="M67" i="3"/>
  <c r="O67" i="3" s="1"/>
  <c r="M57" i="3"/>
  <c r="O57" i="3" s="1"/>
  <c r="Q320" i="3"/>
  <c r="Q316" i="3"/>
  <c r="M291" i="3"/>
  <c r="O291" i="3" s="1"/>
  <c r="M267" i="3"/>
  <c r="O267" i="3" s="1"/>
  <c r="Q255" i="3"/>
  <c r="Q234" i="3"/>
  <c r="M207" i="3"/>
  <c r="O207" i="3" s="1"/>
  <c r="M200" i="3"/>
  <c r="O200" i="3" s="1"/>
  <c r="Q184" i="3"/>
  <c r="M170" i="3"/>
  <c r="O170" i="3" s="1"/>
  <c r="Q125" i="3"/>
  <c r="Q120" i="3"/>
  <c r="M112" i="3"/>
  <c r="O112" i="3" s="1"/>
  <c r="M107" i="3"/>
  <c r="O107" i="3" s="1"/>
  <c r="Q95" i="3"/>
  <c r="M82" i="3"/>
  <c r="O82" i="3" s="1"/>
  <c r="M77" i="3"/>
  <c r="O77" i="3" s="1"/>
  <c r="M62" i="3"/>
  <c r="O62" i="3" s="1"/>
  <c r="M52" i="3"/>
  <c r="O52" i="3" s="1"/>
  <c r="S40" i="6" s="1"/>
  <c r="T40" i="6" s="1"/>
  <c r="M29" i="3"/>
  <c r="O29" i="3" s="1"/>
  <c r="Q328" i="3"/>
  <c r="M87" i="3"/>
  <c r="O87" i="3" s="1"/>
  <c r="Q37" i="3"/>
  <c r="M147" i="3"/>
  <c r="O147" i="3" s="1"/>
  <c r="M130" i="3"/>
  <c r="O130" i="3" s="1"/>
  <c r="M100" i="3"/>
  <c r="O100" i="3" s="1"/>
  <c r="M316" i="3"/>
  <c r="O316" i="3" s="1"/>
  <c r="M191" i="3"/>
  <c r="O191" i="3" s="1"/>
  <c r="M184" i="3"/>
  <c r="O184" i="3" s="1"/>
  <c r="M115" i="3"/>
  <c r="O115" i="3" s="1"/>
  <c r="Q334" i="3"/>
  <c r="M234" i="3"/>
  <c r="O234" i="3" s="1"/>
  <c r="M223" i="3"/>
  <c r="O223" i="3" s="1"/>
  <c r="M212" i="3"/>
  <c r="O212" i="3" s="1"/>
  <c r="M205" i="3"/>
  <c r="O205" i="3" s="1"/>
  <c r="Q159" i="3"/>
  <c r="Q140" i="3"/>
  <c r="M125" i="3"/>
  <c r="O125" i="3" s="1"/>
  <c r="M336" i="3"/>
  <c r="O336" i="3" s="1"/>
  <c r="M308" i="3"/>
  <c r="O308" i="3" s="1"/>
  <c r="Q219" i="3"/>
  <c r="Q196" i="3"/>
  <c r="Q189" i="3"/>
  <c r="Q133" i="3"/>
  <c r="M168" i="3"/>
  <c r="O168" i="3" s="1"/>
  <c r="Q88" i="3"/>
  <c r="M187" i="3"/>
  <c r="O187" i="3" s="1"/>
  <c r="M303" i="3"/>
  <c r="O303" i="3" s="1"/>
  <c r="M299" i="3"/>
  <c r="O299" i="3" s="1"/>
  <c r="Q240" i="3"/>
  <c r="M231" i="3"/>
  <c r="O231" i="3" s="1"/>
  <c r="Q216" i="3"/>
  <c r="Q209" i="3"/>
  <c r="Q179" i="3"/>
  <c r="Q156" i="3"/>
  <c r="Q132" i="3"/>
  <c r="L9" i="2"/>
  <c r="D30" i="2"/>
  <c r="P35" i="2"/>
  <c r="M39" i="2"/>
  <c r="L41" i="2"/>
  <c r="G49" i="2"/>
  <c r="D49" i="2"/>
  <c r="L49" i="2"/>
  <c r="J49" i="2"/>
  <c r="F49" i="2"/>
  <c r="Q9" i="3"/>
  <c r="F27" i="2" s="1"/>
  <c r="S14" i="3"/>
  <c r="H17" i="4" s="1"/>
  <c r="M16" i="3"/>
  <c r="O16" i="3" s="1"/>
  <c r="S21" i="3"/>
  <c r="S26" i="3"/>
  <c r="Q54" i="3"/>
  <c r="M81" i="3"/>
  <c r="O81" i="3" s="1"/>
  <c r="E19" i="5" s="1"/>
  <c r="S88" i="3"/>
  <c r="J35" i="4" s="1"/>
  <c r="Q99" i="3"/>
  <c r="M101" i="3"/>
  <c r="O101" i="3" s="1"/>
  <c r="M103" i="3"/>
  <c r="O103" i="3" s="1"/>
  <c r="Q119" i="3"/>
  <c r="S148" i="3"/>
  <c r="S156" i="3"/>
  <c r="Q158" i="3"/>
  <c r="Q166" i="3"/>
  <c r="S168" i="3"/>
  <c r="M313" i="3"/>
  <c r="O313" i="3" s="1"/>
  <c r="S165" i="3"/>
  <c r="S200" i="3"/>
  <c r="M218" i="3"/>
  <c r="O218" i="3" s="1"/>
  <c r="Q218" i="3"/>
  <c r="Q242" i="3"/>
  <c r="M242" i="3"/>
  <c r="O242" i="3" s="1"/>
  <c r="Q246" i="3"/>
  <c r="Q277" i="3"/>
  <c r="S279" i="3"/>
  <c r="S281" i="3"/>
  <c r="M301" i="3"/>
  <c r="O301" i="3" s="1"/>
  <c r="S136" i="3"/>
  <c r="Q155" i="3"/>
  <c r="S162" i="3"/>
  <c r="S176" i="3"/>
  <c r="Q199" i="3"/>
  <c r="Q256" i="3"/>
  <c r="M260" i="3"/>
  <c r="O260" i="3" s="1"/>
  <c r="S309" i="3"/>
  <c r="S311" i="3"/>
  <c r="Q323" i="3"/>
  <c r="Q350" i="3"/>
  <c r="Q40" i="3"/>
  <c r="S78" i="3"/>
  <c r="M93" i="3"/>
  <c r="O93" i="3" s="1"/>
  <c r="M118" i="3"/>
  <c r="O118" i="3" s="1"/>
  <c r="M145" i="3"/>
  <c r="O145" i="3" s="1"/>
  <c r="Q157" i="3"/>
  <c r="M203" i="3"/>
  <c r="O203" i="3" s="1"/>
  <c r="Q210" i="3"/>
  <c r="S217" i="3"/>
  <c r="M232" i="3"/>
  <c r="O232" i="3" s="1"/>
  <c r="S239" i="3"/>
  <c r="S241" i="3"/>
  <c r="S243" i="3"/>
  <c r="S292" i="3"/>
  <c r="S359" i="3"/>
  <c r="M140" i="3"/>
  <c r="O140" i="3" s="1"/>
  <c r="Q150" i="3"/>
  <c r="M152" i="3"/>
  <c r="O152" i="3" s="1"/>
  <c r="M221" i="3"/>
  <c r="O221" i="3" s="1"/>
  <c r="M251" i="3"/>
  <c r="O251" i="3" s="1"/>
  <c r="S298" i="3"/>
  <c r="Q306" i="3"/>
  <c r="S340" i="3"/>
  <c r="Q175" i="3"/>
  <c r="M182" i="3"/>
  <c r="O182" i="3" s="1"/>
  <c r="S196" i="3"/>
  <c r="Q221" i="3"/>
  <c r="S251" i="3"/>
  <c r="S338" i="3"/>
  <c r="Q70" i="3"/>
  <c r="S128" i="3"/>
  <c r="M161" i="3"/>
  <c r="O161" i="3" s="1"/>
  <c r="Q182" i="3"/>
  <c r="M198" i="3"/>
  <c r="O198" i="3" s="1"/>
  <c r="Q223" i="3"/>
  <c r="M318" i="3"/>
  <c r="O318" i="3" s="1"/>
  <c r="Q330" i="3"/>
  <c r="Q75" i="3"/>
  <c r="M110" i="3"/>
  <c r="O110" i="3" s="1"/>
  <c r="Q135" i="3"/>
  <c r="M135" i="3"/>
  <c r="O135" i="3" s="1"/>
  <c r="F8" i="4"/>
  <c r="E5" i="4"/>
  <c r="Q60" i="3"/>
  <c r="Q90" i="3"/>
  <c r="N27" i="2" s="1"/>
  <c r="S105" i="3"/>
  <c r="M137" i="3"/>
  <c r="O137" i="3" s="1"/>
  <c r="M142" i="3"/>
  <c r="O142" i="3" s="1"/>
  <c r="S152" i="3"/>
  <c r="Q154" i="3"/>
  <c r="Q161" i="3"/>
  <c r="M163" i="3"/>
  <c r="O163" i="3" s="1"/>
  <c r="M177" i="3"/>
  <c r="O177" i="3" s="1"/>
  <c r="Q198" i="3"/>
  <c r="S212" i="3"/>
  <c r="S223" i="3"/>
  <c r="M255" i="3"/>
  <c r="O255" i="3" s="1"/>
  <c r="Q318" i="3"/>
  <c r="S330" i="3"/>
  <c r="S50" i="3"/>
  <c r="L20" i="4" s="1"/>
  <c r="S55" i="3"/>
  <c r="Q100" i="3"/>
  <c r="Q130" i="3"/>
  <c r="S191" i="3"/>
  <c r="S205" i="3"/>
  <c r="M214" i="3"/>
  <c r="O214" i="3" s="1"/>
  <c r="S225" i="3"/>
  <c r="M257" i="3"/>
  <c r="O257" i="3" s="1"/>
  <c r="S318" i="3"/>
  <c r="S328" i="3"/>
  <c r="S184" i="3"/>
  <c r="M186" i="3"/>
  <c r="O186" i="3" s="1"/>
  <c r="M193" i="3"/>
  <c r="O193" i="3" s="1"/>
  <c r="M236" i="3"/>
  <c r="O236" i="3" s="1"/>
  <c r="M269" i="3"/>
  <c r="O269" i="3" s="1"/>
  <c r="M271" i="3"/>
  <c r="O271" i="3" s="1"/>
  <c r="M289" i="3"/>
  <c r="O289" i="3" s="1"/>
  <c r="S316" i="3"/>
  <c r="S324" i="3"/>
  <c r="Q349" i="3"/>
  <c r="I22" i="4"/>
  <c r="I9" i="4"/>
  <c r="P37" i="2"/>
  <c r="M37" i="2"/>
  <c r="Q29" i="3"/>
  <c r="M34" i="3"/>
  <c r="O34" i="3" s="1"/>
  <c r="Q77" i="3"/>
  <c r="I11" i="2" s="1"/>
  <c r="M165" i="3"/>
  <c r="O165" i="3" s="1"/>
  <c r="M172" i="3"/>
  <c r="O172" i="3" s="1"/>
  <c r="Q186" i="3"/>
  <c r="Q193" i="3"/>
  <c r="S207" i="3"/>
  <c r="M261" i="3"/>
  <c r="O261" i="3" s="1"/>
  <c r="S263" i="3"/>
  <c r="Q269" i="3"/>
  <c r="S271" i="3"/>
  <c r="M275" i="3"/>
  <c r="O275" i="3" s="1"/>
  <c r="M277" i="3"/>
  <c r="O277" i="3" s="1"/>
  <c r="S29" i="3"/>
  <c r="I21" i="4" s="1"/>
  <c r="Q34" i="3"/>
  <c r="S77" i="3"/>
  <c r="M33" i="4" s="1"/>
  <c r="S163" i="3"/>
  <c r="Q165" i="3"/>
  <c r="Q172" i="3"/>
  <c r="S177" i="3"/>
  <c r="S186" i="3"/>
  <c r="M240" i="3"/>
  <c r="O240" i="3" s="1"/>
  <c r="M246" i="3"/>
  <c r="O246" i="3" s="1"/>
  <c r="S259" i="3"/>
  <c r="S261" i="3"/>
  <c r="Q275" i="3"/>
  <c r="S283" i="3"/>
  <c r="S289" i="3"/>
  <c r="S291" i="3"/>
  <c r="Q230" i="3"/>
  <c r="M235" i="3"/>
  <c r="O235" i="3" s="1"/>
  <c r="Q245" i="3"/>
  <c r="Q265" i="3"/>
  <c r="Q285" i="3"/>
  <c r="Q290" i="3"/>
  <c r="M290" i="3"/>
  <c r="O290" i="3" s="1"/>
  <c r="Q302" i="3"/>
  <c r="M302" i="3"/>
  <c r="O302" i="3" s="1"/>
  <c r="Q314" i="3"/>
  <c r="M348" i="3"/>
  <c r="O348" i="3" s="1"/>
  <c r="Q359" i="3"/>
  <c r="M332" i="3"/>
  <c r="O332" i="3" s="1"/>
  <c r="S257" i="3"/>
  <c r="M264" i="3"/>
  <c r="O264" i="3" s="1"/>
  <c r="S277" i="3"/>
  <c r="M284" i="3"/>
  <c r="O284" i="3" s="1"/>
  <c r="Q332" i="3"/>
  <c r="M334" i="3"/>
  <c r="O334" i="3" s="1"/>
  <c r="Q343" i="3"/>
  <c r="M345" i="3"/>
  <c r="O345" i="3" s="1"/>
  <c r="Q356" i="3"/>
  <c r="S345" i="3"/>
  <c r="M347" i="3"/>
  <c r="O347" i="3" s="1"/>
  <c r="M360" i="3"/>
  <c r="O360" i="3" s="1"/>
  <c r="Q168" i="3"/>
  <c r="M181" i="3"/>
  <c r="O181" i="3" s="1"/>
  <c r="M202" i="3"/>
  <c r="O202" i="3" s="1"/>
  <c r="Q231" i="3"/>
  <c r="Q291" i="3"/>
  <c r="Q296" i="3"/>
  <c r="M315" i="3"/>
  <c r="O315" i="3" s="1"/>
  <c r="M329" i="3"/>
  <c r="O329" i="3" s="1"/>
  <c r="Q336" i="3"/>
  <c r="M338" i="3"/>
  <c r="O338" i="3" s="1"/>
  <c r="M349" i="3"/>
  <c r="O349" i="3" s="1"/>
  <c r="Q360" i="3"/>
  <c r="M281" i="3"/>
  <c r="O281" i="3" s="1"/>
  <c r="Q286" i="3"/>
  <c r="S296" i="3"/>
  <c r="M298" i="3"/>
  <c r="O298" i="3" s="1"/>
  <c r="Q303" i="3"/>
  <c r="Q308" i="3"/>
  <c r="Q315" i="3"/>
  <c r="Q322" i="3"/>
  <c r="M322" i="3"/>
  <c r="O322" i="3" s="1"/>
  <c r="S336" i="3"/>
  <c r="Q338" i="3"/>
  <c r="M340" i="3"/>
  <c r="O340" i="3" s="1"/>
  <c r="S360" i="3"/>
  <c r="Q241" i="3"/>
  <c r="Q251" i="3"/>
  <c r="Q261" i="3"/>
  <c r="Q271" i="3"/>
  <c r="Q281" i="3"/>
  <c r="Q298" i="3"/>
  <c r="M305" i="3"/>
  <c r="O305" i="3" s="1"/>
  <c r="S308" i="3"/>
  <c r="M317" i="3"/>
  <c r="O317" i="3" s="1"/>
  <c r="M331" i="3"/>
  <c r="O331" i="3" s="1"/>
  <c r="M243" i="3"/>
  <c r="O243" i="3" s="1"/>
  <c r="M263" i="3"/>
  <c r="O263" i="3" s="1"/>
  <c r="M283" i="3"/>
  <c r="O283" i="3" s="1"/>
  <c r="M288" i="3"/>
  <c r="O288" i="3" s="1"/>
  <c r="M293" i="3"/>
  <c r="O293" i="3" s="1"/>
  <c r="Q310" i="3"/>
  <c r="M310" i="3"/>
  <c r="O310" i="3" s="1"/>
  <c r="Q324" i="3"/>
  <c r="Q351" i="3"/>
  <c r="M351" i="3"/>
  <c r="O351" i="3" s="1"/>
  <c r="M146" i="3"/>
  <c r="O146" i="3" s="1"/>
  <c r="M154" i="3"/>
  <c r="O154" i="3" s="1"/>
  <c r="M162" i="3"/>
  <c r="O162" i="3" s="1"/>
  <c r="E27" i="5" s="1"/>
  <c r="M204" i="3"/>
  <c r="O204" i="3" s="1"/>
  <c r="M225" i="3"/>
  <c r="O225" i="3" s="1"/>
  <c r="Q228" i="3"/>
  <c r="S236" i="3"/>
  <c r="M238" i="3"/>
  <c r="O238" i="3" s="1"/>
  <c r="M248" i="3"/>
  <c r="O248" i="3" s="1"/>
  <c r="S256" i="3"/>
  <c r="M258" i="3"/>
  <c r="O258" i="3" s="1"/>
  <c r="M268" i="3"/>
  <c r="O268" i="3" s="1"/>
  <c r="S276" i="3"/>
  <c r="M278" i="3"/>
  <c r="O278" i="3" s="1"/>
  <c r="Q293" i="3"/>
  <c r="M300" i="3"/>
  <c r="O300" i="3" s="1"/>
  <c r="M312" i="3"/>
  <c r="O312" i="3" s="1"/>
  <c r="M319" i="3"/>
  <c r="O319" i="3" s="1"/>
  <c r="M326" i="3"/>
  <c r="O326" i="3" s="1"/>
  <c r="S329" i="3"/>
  <c r="Q331" i="3"/>
  <c r="Q342" i="3"/>
  <c r="M342" i="3"/>
  <c r="O342" i="3" s="1"/>
  <c r="S349" i="3"/>
  <c r="Q304" i="3"/>
  <c r="Q284" i="3"/>
  <c r="Q264" i="3"/>
  <c r="Q244" i="3"/>
  <c r="Q361" i="3"/>
  <c r="Q347" i="3"/>
  <c r="Q327" i="3"/>
  <c r="Q307" i="3"/>
  <c r="Q287" i="3"/>
  <c r="Q267" i="3"/>
  <c r="Q247" i="3"/>
  <c r="Q227" i="3"/>
  <c r="Q207" i="3"/>
  <c r="Q187" i="3"/>
  <c r="Q167" i="3"/>
  <c r="Q147" i="3"/>
  <c r="M341" i="3"/>
  <c r="O341" i="3" s="1"/>
  <c r="M321" i="3"/>
  <c r="O321" i="3" s="1"/>
  <c r="M344" i="3"/>
  <c r="O344" i="3" s="1"/>
  <c r="M324" i="3"/>
  <c r="O324" i="3" s="1"/>
  <c r="M361" i="3"/>
  <c r="O361" i="3" s="1"/>
  <c r="Q319" i="3"/>
  <c r="Q299" i="3"/>
  <c r="M356" i="3"/>
  <c r="O356" i="3" s="1"/>
  <c r="Q348" i="3"/>
  <c r="M339" i="3"/>
  <c r="O339" i="3" s="1"/>
  <c r="Q341" i="3"/>
  <c r="M40" i="3"/>
  <c r="O40" i="3" s="1"/>
  <c r="M60" i="3"/>
  <c r="O60" i="3" s="1"/>
  <c r="M71" i="3"/>
  <c r="O71" i="3" s="1"/>
  <c r="Q127" i="3"/>
  <c r="Q162" i="3"/>
  <c r="M167" i="3"/>
  <c r="O167" i="3" s="1"/>
  <c r="Q170" i="3"/>
  <c r="M175" i="3"/>
  <c r="O175" i="3" s="1"/>
  <c r="M188" i="3"/>
  <c r="O188" i="3" s="1"/>
  <c r="Q191" i="3"/>
  <c r="Q238" i="3"/>
  <c r="Q258" i="3"/>
  <c r="Q278" i="3"/>
  <c r="S317" i="3"/>
  <c r="Q353" i="3"/>
  <c r="M353" i="3"/>
  <c r="O353" i="3" s="1"/>
  <c r="Q355" i="3"/>
  <c r="M357" i="3"/>
  <c r="O357" i="3" s="1"/>
  <c r="S157" i="3"/>
  <c r="M159" i="3"/>
  <c r="O159" i="3" s="1"/>
  <c r="Q183" i="3"/>
  <c r="M196" i="3"/>
  <c r="O196" i="3" s="1"/>
  <c r="Q204" i="3"/>
  <c r="M209" i="3"/>
  <c r="O209" i="3" s="1"/>
  <c r="Q212" i="3"/>
  <c r="M217" i="3"/>
  <c r="O217" i="3" s="1"/>
  <c r="Q220" i="3"/>
  <c r="Q225" i="3"/>
  <c r="Q233" i="3"/>
  <c r="Q243" i="3"/>
  <c r="M253" i="3"/>
  <c r="O253" i="3" s="1"/>
  <c r="Q263" i="3"/>
  <c r="M273" i="3"/>
  <c r="O273" i="3" s="1"/>
  <c r="Q283" i="3"/>
  <c r="Q288" i="3"/>
  <c r="M307" i="3"/>
  <c r="O307" i="3" s="1"/>
  <c r="Q333" i="3"/>
  <c r="M333" i="3"/>
  <c r="O333" i="3" s="1"/>
  <c r="Q344" i="3"/>
  <c r="Q110" i="3"/>
  <c r="M121" i="3"/>
  <c r="O121" i="3" s="1"/>
  <c r="M230" i="3"/>
  <c r="O230" i="3" s="1"/>
  <c r="M245" i="3"/>
  <c r="O245" i="3" s="1"/>
  <c r="Q248" i="3"/>
  <c r="Q253" i="3"/>
  <c r="M265" i="3"/>
  <c r="O265" i="3" s="1"/>
  <c r="Q268" i="3"/>
  <c r="Q273" i="3"/>
  <c r="M285" i="3"/>
  <c r="O285" i="3" s="1"/>
  <c r="S288" i="3"/>
  <c r="M295" i="3"/>
  <c r="O295" i="3" s="1"/>
  <c r="Q300" i="3"/>
  <c r="Q312" i="3"/>
  <c r="Q326" i="3"/>
  <c r="M335" i="3"/>
  <c r="O335" i="3" s="1"/>
  <c r="Q357" i="3"/>
  <c r="M359" i="3"/>
  <c r="O359" i="3" s="1"/>
  <c r="Q121" i="3"/>
  <c r="M164" i="3"/>
  <c r="O164" i="3" s="1"/>
  <c r="Q188" i="3"/>
  <c r="M201" i="3"/>
  <c r="O201" i="3" s="1"/>
  <c r="M222" i="3"/>
  <c r="O222" i="3" s="1"/>
  <c r="S248" i="3"/>
  <c r="S268" i="3"/>
  <c r="Q295" i="3"/>
  <c r="M314" i="3"/>
  <c r="O314" i="3" s="1"/>
  <c r="M328" i="3"/>
  <c r="O328" i="3" s="1"/>
  <c r="Q335" i="3"/>
  <c r="M355" i="3"/>
  <c r="O355" i="3" s="1"/>
  <c r="N52" i="4"/>
  <c r="L52" i="4"/>
  <c r="J52" i="4"/>
  <c r="I52" i="4"/>
  <c r="H52" i="4"/>
  <c r="E52" i="4"/>
  <c r="T52" i="4"/>
  <c r="R52" i="4"/>
  <c r="S38" i="4"/>
  <c r="E38" i="4"/>
  <c r="C38" i="4"/>
  <c r="D20" i="5"/>
  <c r="D25" i="4"/>
  <c r="S25" i="4" s="1"/>
  <c r="D36" i="4"/>
  <c r="S36" i="4" s="1"/>
  <c r="J62" i="4"/>
  <c r="M62" i="4"/>
  <c r="I62" i="4"/>
  <c r="H62" i="4"/>
  <c r="G62" i="4"/>
  <c r="F62" i="4"/>
  <c r="C62" i="4"/>
  <c r="T62" i="4"/>
  <c r="S62" i="4"/>
  <c r="P62" i="4"/>
  <c r="E25" i="4"/>
  <c r="E36" i="4"/>
  <c r="R44" i="4"/>
  <c r="C44" i="4"/>
  <c r="P44" i="4"/>
  <c r="H44" i="4"/>
  <c r="F44" i="4"/>
  <c r="M56" i="4"/>
  <c r="H56" i="4"/>
  <c r="F56" i="4"/>
  <c r="E56" i="4"/>
  <c r="D56" i="4"/>
  <c r="C56" i="4"/>
  <c r="P56" i="4"/>
  <c r="O56" i="4"/>
  <c r="L56" i="4"/>
  <c r="D20" i="4"/>
  <c r="S20" i="4"/>
  <c r="S31" i="4"/>
  <c r="J31" i="4"/>
  <c r="D42" i="4"/>
  <c r="E44" i="4"/>
  <c r="L49" i="4"/>
  <c r="T49" i="4"/>
  <c r="S49" i="4"/>
  <c r="O49" i="4"/>
  <c r="F49" i="4"/>
  <c r="D49" i="4"/>
  <c r="I56" i="4"/>
  <c r="L62" i="4"/>
  <c r="H68" i="4"/>
  <c r="O68" i="4"/>
  <c r="M68" i="4"/>
  <c r="L68" i="4"/>
  <c r="J68" i="4"/>
  <c r="I68" i="4"/>
  <c r="E68" i="4"/>
  <c r="S68" i="4"/>
  <c r="C20" i="4"/>
  <c r="C31" i="4"/>
  <c r="E42" i="4"/>
  <c r="G44" i="4"/>
  <c r="E47" i="4"/>
  <c r="O47" i="4"/>
  <c r="M47" i="4"/>
  <c r="L47" i="4"/>
  <c r="J47" i="4"/>
  <c r="I47" i="4"/>
  <c r="F47" i="4"/>
  <c r="S47" i="4"/>
  <c r="C49" i="4"/>
  <c r="J56" i="4"/>
  <c r="N62" i="4"/>
  <c r="C68" i="4"/>
  <c r="C33" i="4"/>
  <c r="D33" i="4"/>
  <c r="S33" i="4" s="1"/>
  <c r="I44" i="4"/>
  <c r="N56" i="4"/>
  <c r="G15" i="4"/>
  <c r="E33" i="4"/>
  <c r="J44" i="4"/>
  <c r="G49" i="4"/>
  <c r="C53" i="4"/>
  <c r="S53" i="4"/>
  <c r="P53" i="4"/>
  <c r="O53" i="4"/>
  <c r="N53" i="4"/>
  <c r="M53" i="4"/>
  <c r="I53" i="4"/>
  <c r="R56" i="4"/>
  <c r="R62" i="4"/>
  <c r="F68" i="4"/>
  <c r="N10" i="4"/>
  <c r="C15" i="4"/>
  <c r="S17" i="4"/>
  <c r="E17" i="4"/>
  <c r="S37" i="4"/>
  <c r="L37" i="4"/>
  <c r="L44" i="4"/>
  <c r="G47" i="4"/>
  <c r="H49" i="4"/>
  <c r="D53" i="4"/>
  <c r="S56" i="4"/>
  <c r="T59" i="4"/>
  <c r="S59" i="4"/>
  <c r="R59" i="4"/>
  <c r="P59" i="4"/>
  <c r="M59" i="4"/>
  <c r="F59" i="4"/>
  <c r="E59" i="4"/>
  <c r="C59" i="4"/>
  <c r="N63" i="4"/>
  <c r="R63" i="4"/>
  <c r="O63" i="4"/>
  <c r="M63" i="4"/>
  <c r="L63" i="4"/>
  <c r="J63" i="4"/>
  <c r="G63" i="4"/>
  <c r="C65" i="4"/>
  <c r="T65" i="4"/>
  <c r="P65" i="4"/>
  <c r="I65" i="4"/>
  <c r="H65" i="4"/>
  <c r="F65" i="4"/>
  <c r="G68" i="4"/>
  <c r="C20" i="5"/>
  <c r="D15" i="4"/>
  <c r="M44" i="4"/>
  <c r="H47" i="4"/>
  <c r="I49" i="4"/>
  <c r="S51" i="4"/>
  <c r="I51" i="4"/>
  <c r="G51" i="4"/>
  <c r="F51" i="4"/>
  <c r="E51" i="4"/>
  <c r="D51" i="4"/>
  <c r="O51" i="4"/>
  <c r="M51" i="4"/>
  <c r="E53" i="4"/>
  <c r="T56" i="4"/>
  <c r="N68" i="4"/>
  <c r="G63" i="5"/>
  <c r="S12" i="4"/>
  <c r="E15" i="4"/>
  <c r="I33" i="4"/>
  <c r="E35" i="4"/>
  <c r="D35" i="4"/>
  <c r="C35" i="4"/>
  <c r="S42" i="4"/>
  <c r="N44" i="4"/>
  <c r="J49" i="4"/>
  <c r="F53" i="4"/>
  <c r="P57" i="4"/>
  <c r="M57" i="4"/>
  <c r="J57" i="4"/>
  <c r="I57" i="4"/>
  <c r="H57" i="4"/>
  <c r="G57" i="4"/>
  <c r="D57" i="4"/>
  <c r="T57" i="4"/>
  <c r="R57" i="4"/>
  <c r="P68" i="4"/>
  <c r="C12" i="4"/>
  <c r="D28" i="4"/>
  <c r="S28" i="4" s="1"/>
  <c r="E37" i="4"/>
  <c r="O44" i="4"/>
  <c r="P47" i="4"/>
  <c r="M49" i="4"/>
  <c r="H51" i="4"/>
  <c r="G53" i="4"/>
  <c r="C57" i="4"/>
  <c r="H59" i="4"/>
  <c r="E63" i="4"/>
  <c r="G65" i="4"/>
  <c r="R68" i="4"/>
  <c r="M330" i="3"/>
  <c r="O330" i="3" s="1"/>
  <c r="M350" i="3"/>
  <c r="O350" i="3" s="1"/>
  <c r="D12" i="4"/>
  <c r="C28" i="4"/>
  <c r="S44" i="4"/>
  <c r="R47" i="4"/>
  <c r="N49" i="4"/>
  <c r="J51" i="4"/>
  <c r="H53" i="4"/>
  <c r="E57" i="4"/>
  <c r="I59" i="4"/>
  <c r="F63" i="4"/>
  <c r="J65" i="4"/>
  <c r="T68" i="4"/>
  <c r="G64" i="5"/>
  <c r="J62" i="5"/>
  <c r="E12" i="4"/>
  <c r="T44" i="4"/>
  <c r="T47" i="4"/>
  <c r="P49" i="4"/>
  <c r="L51" i="4"/>
  <c r="J53" i="4"/>
  <c r="F57" i="4"/>
  <c r="E19" i="4"/>
  <c r="D19" i="4"/>
  <c r="S19" i="4" s="1"/>
  <c r="C19" i="4"/>
  <c r="C21" i="4"/>
  <c r="N33" i="4"/>
  <c r="C41" i="4"/>
  <c r="S41" i="4"/>
  <c r="R49" i="4"/>
  <c r="N51" i="4"/>
  <c r="L53" i="4"/>
  <c r="L57" i="4"/>
  <c r="L59" i="4"/>
  <c r="I63" i="4"/>
  <c r="M65" i="4"/>
  <c r="D40" i="5"/>
  <c r="G40" i="5" s="1"/>
  <c r="C40" i="5"/>
  <c r="M358" i="3"/>
  <c r="O358" i="3" s="1"/>
  <c r="D21" i="4"/>
  <c r="S21" i="4" s="1"/>
  <c r="C23" i="4"/>
  <c r="E30" i="4"/>
  <c r="D30" i="4"/>
  <c r="S30" i="4" s="1"/>
  <c r="P51" i="4"/>
  <c r="R53" i="4"/>
  <c r="N57" i="4"/>
  <c r="N59" i="4"/>
  <c r="P63" i="4"/>
  <c r="N65" i="4"/>
  <c r="S15" i="4"/>
  <c r="E21" i="4"/>
  <c r="D23" i="4"/>
  <c r="S23" i="4" s="1"/>
  <c r="J28" i="4"/>
  <c r="C30" i="4"/>
  <c r="E41" i="4"/>
  <c r="R51" i="4"/>
  <c r="T53" i="4"/>
  <c r="O57" i="4"/>
  <c r="O59" i="4"/>
  <c r="S63" i="4"/>
  <c r="O65" i="4"/>
  <c r="E67" i="4"/>
  <c r="J67" i="4"/>
  <c r="H67" i="4"/>
  <c r="G67" i="4"/>
  <c r="F67" i="4"/>
  <c r="D67" i="4"/>
  <c r="R67" i="4"/>
  <c r="P67" i="4"/>
  <c r="N67" i="4"/>
  <c r="S10" i="4"/>
  <c r="E14" i="4"/>
  <c r="D14" i="4"/>
  <c r="S14" i="4" s="1"/>
  <c r="C14" i="4"/>
  <c r="S16" i="4"/>
  <c r="E23" i="4"/>
  <c r="L28" i="4"/>
  <c r="S35" i="4"/>
  <c r="T51" i="4"/>
  <c r="F54" i="4"/>
  <c r="T54" i="4"/>
  <c r="S54" i="4"/>
  <c r="R54" i="4"/>
  <c r="N54" i="4"/>
  <c r="E54" i="4"/>
  <c r="C54" i="4"/>
  <c r="S57" i="4"/>
  <c r="D60" i="4"/>
  <c r="C60" i="4"/>
  <c r="R60" i="4"/>
  <c r="J60" i="4"/>
  <c r="I60" i="4"/>
  <c r="G60" i="4"/>
  <c r="T63" i="4"/>
  <c r="R65" i="4"/>
  <c r="C67" i="4"/>
  <c r="D27" i="5"/>
  <c r="G36" i="5"/>
  <c r="F9" i="5"/>
  <c r="S11" i="4"/>
  <c r="D22" i="4"/>
  <c r="S22" i="4" s="1"/>
  <c r="D43" i="4"/>
  <c r="S43" i="4" s="1"/>
  <c r="D64" i="4"/>
  <c r="C28" i="5"/>
  <c r="D28" i="5" s="1"/>
  <c r="F11" i="5"/>
  <c r="L43" i="4"/>
  <c r="J48" i="4"/>
  <c r="H58" i="4"/>
  <c r="L64" i="4"/>
  <c r="I69" i="4"/>
  <c r="G38" i="5"/>
  <c r="F30" i="5"/>
  <c r="D30" i="5"/>
  <c r="N48" i="4"/>
  <c r="L58" i="4"/>
  <c r="O64" i="4"/>
  <c r="N69" i="4"/>
  <c r="C30" i="5"/>
  <c r="C24" i="4"/>
  <c r="C40" i="4"/>
  <c r="C45" i="4"/>
  <c r="O48" i="4"/>
  <c r="M58" i="4"/>
  <c r="C61" i="4"/>
  <c r="P64" i="4"/>
  <c r="O69" i="4"/>
  <c r="E30" i="5"/>
  <c r="C39" i="5"/>
  <c r="G39" i="5" s="1"/>
  <c r="O32" i="4"/>
  <c r="P48" i="4"/>
  <c r="N58" i="4"/>
  <c r="S64" i="4"/>
  <c r="P69" i="4"/>
  <c r="G30" i="5"/>
  <c r="E24" i="4"/>
  <c r="C29" i="4"/>
  <c r="E45" i="4"/>
  <c r="R48" i="4"/>
  <c r="C50" i="4"/>
  <c r="O58" i="4"/>
  <c r="E61" i="4"/>
  <c r="T64" i="4"/>
  <c r="R69" i="4"/>
  <c r="E13" i="4"/>
  <c r="D18" i="4"/>
  <c r="S18" i="4" s="1"/>
  <c r="E29" i="4"/>
  <c r="D34" i="4"/>
  <c r="S34" i="4" s="1"/>
  <c r="T48" i="4"/>
  <c r="E50" i="4"/>
  <c r="D55" i="4"/>
  <c r="R58" i="4"/>
  <c r="H61" i="4"/>
  <c r="T69" i="4"/>
  <c r="G43" i="5"/>
  <c r="D41" i="5"/>
  <c r="G41" i="5" s="1"/>
  <c r="D36" i="5"/>
  <c r="D42" i="5"/>
  <c r="F18" i="5" l="1"/>
  <c r="G18" i="5"/>
  <c r="G17" i="5"/>
  <c r="F17" i="5"/>
  <c r="F16" i="5"/>
  <c r="G16" i="5"/>
  <c r="G28" i="5"/>
  <c r="F28" i="5"/>
  <c r="G27" i="5"/>
  <c r="F27" i="5"/>
  <c r="G29" i="5"/>
  <c r="F29" i="5"/>
  <c r="F19" i="5"/>
  <c r="G19" i="5"/>
  <c r="O38" i="4"/>
  <c r="O21" i="4"/>
  <c r="G20" i="4"/>
  <c r="N20" i="4"/>
  <c r="O27" i="4"/>
  <c r="H30" i="4"/>
  <c r="N35" i="4"/>
  <c r="I35" i="4"/>
  <c r="N38" i="4"/>
  <c r="L10" i="4"/>
  <c r="I31" i="4"/>
  <c r="I13" i="4"/>
  <c r="L18" i="2"/>
  <c r="P26" i="4"/>
  <c r="P24" i="4"/>
  <c r="P13" i="4"/>
  <c r="P29" i="4"/>
  <c r="P18" i="4"/>
  <c r="P40" i="4"/>
  <c r="P9" i="4"/>
  <c r="P34" i="4"/>
  <c r="P23" i="4"/>
  <c r="P14" i="4"/>
  <c r="P12" i="4"/>
  <c r="P28" i="4"/>
  <c r="P21" i="4"/>
  <c r="P39" i="4"/>
  <c r="P19" i="4"/>
  <c r="J33" i="2"/>
  <c r="H18" i="2"/>
  <c r="F33" i="2"/>
  <c r="M40" i="4"/>
  <c r="H39" i="4"/>
  <c r="F30" i="2"/>
  <c r="S11" i="6"/>
  <c r="T11" i="6" s="1"/>
  <c r="O26" i="2"/>
  <c r="M19" i="2"/>
  <c r="N22" i="2"/>
  <c r="K17" i="6"/>
  <c r="L17" i="6" s="1"/>
  <c r="S21" i="6"/>
  <c r="T21" i="6" s="1"/>
  <c r="M15" i="2"/>
  <c r="H17" i="2"/>
  <c r="G18" i="2"/>
  <c r="I14" i="2"/>
  <c r="M27" i="4"/>
  <c r="G29" i="2"/>
  <c r="H26" i="4"/>
  <c r="F12" i="2"/>
  <c r="K13" i="6"/>
  <c r="L13" i="6" s="1"/>
  <c r="M32" i="2"/>
  <c r="H12" i="2"/>
  <c r="G26" i="2"/>
  <c r="N14" i="2"/>
  <c r="M13" i="4"/>
  <c r="H43" i="4"/>
  <c r="J17" i="2"/>
  <c r="N15" i="2"/>
  <c r="F19" i="2"/>
  <c r="J15" i="2"/>
  <c r="J19" i="2"/>
  <c r="G22" i="2"/>
  <c r="S39" i="6"/>
  <c r="T39" i="6" s="1"/>
  <c r="P14" i="2"/>
  <c r="M31" i="4"/>
  <c r="H15" i="4"/>
  <c r="O12" i="2"/>
  <c r="P33" i="2"/>
  <c r="G13" i="2"/>
  <c r="L11" i="2"/>
  <c r="S30" i="6"/>
  <c r="T30" i="6" s="1"/>
  <c r="K24" i="6"/>
  <c r="L24" i="6" s="1"/>
  <c r="G16" i="2"/>
  <c r="S13" i="6"/>
  <c r="T13" i="6" s="1"/>
  <c r="G24" i="2"/>
  <c r="O22" i="2"/>
  <c r="H33" i="2"/>
  <c r="H13" i="2"/>
  <c r="O11" i="2"/>
  <c r="M22" i="4"/>
  <c r="G27" i="2"/>
  <c r="H29" i="4"/>
  <c r="M17" i="2"/>
  <c r="N32" i="2"/>
  <c r="I23" i="2"/>
  <c r="H30" i="2"/>
  <c r="P24" i="2"/>
  <c r="M13" i="2"/>
  <c r="N19" i="2"/>
  <c r="O18" i="2"/>
  <c r="G32" i="2"/>
  <c r="L14" i="2"/>
  <c r="O20" i="4"/>
  <c r="J15" i="4"/>
  <c r="M29" i="2"/>
  <c r="J19" i="4"/>
  <c r="I19" i="4"/>
  <c r="I30" i="4"/>
  <c r="L19" i="4"/>
  <c r="O37" i="4"/>
  <c r="L15" i="4"/>
  <c r="H36" i="4"/>
  <c r="I39" i="4"/>
  <c r="S33" i="6"/>
  <c r="T33" i="6" s="1"/>
  <c r="G20" i="2"/>
  <c r="H22" i="2"/>
  <c r="L33" i="2"/>
  <c r="K33" i="6"/>
  <c r="L33" i="6" s="1"/>
  <c r="S32" i="6"/>
  <c r="T32" i="6" s="1"/>
  <c r="L13" i="2"/>
  <c r="I33" i="2"/>
  <c r="M39" i="4"/>
  <c r="J27" i="2"/>
  <c r="H34" i="4"/>
  <c r="P17" i="2"/>
  <c r="I12" i="2"/>
  <c r="L19" i="2"/>
  <c r="P26" i="2"/>
  <c r="H10" i="2"/>
  <c r="O19" i="2"/>
  <c r="N12" i="2"/>
  <c r="J14" i="2"/>
  <c r="P27" i="4"/>
  <c r="N11" i="4"/>
  <c r="N71" i="4" s="1"/>
  <c r="F21" i="4"/>
  <c r="G30" i="4"/>
  <c r="N37" i="4"/>
  <c r="N31" i="4"/>
  <c r="G36" i="4"/>
  <c r="O11" i="4"/>
  <c r="M17" i="4"/>
  <c r="L17" i="4"/>
  <c r="O30" i="4"/>
  <c r="N19" i="4"/>
  <c r="L21" i="4"/>
  <c r="F37" i="4"/>
  <c r="F12" i="4"/>
  <c r="P42" i="4"/>
  <c r="N15" i="4"/>
  <c r="M25" i="4"/>
  <c r="I36" i="4"/>
  <c r="I26" i="4"/>
  <c r="F9" i="4"/>
  <c r="F43" i="4"/>
  <c r="F39" i="4"/>
  <c r="F26" i="4"/>
  <c r="F7" i="4"/>
  <c r="F10" i="4"/>
  <c r="F17" i="4"/>
  <c r="F24" i="4"/>
  <c r="F22" i="4"/>
  <c r="F20" i="4"/>
  <c r="F29" i="4"/>
  <c r="F13" i="4"/>
  <c r="F27" i="4"/>
  <c r="F18" i="4"/>
  <c r="F11" i="4"/>
  <c r="F16" i="4"/>
  <c r="F32" i="4"/>
  <c r="N16" i="2"/>
  <c r="H20" i="2"/>
  <c r="O26" i="4"/>
  <c r="O24" i="4"/>
  <c r="O22" i="4"/>
  <c r="O13" i="4"/>
  <c r="O29" i="4"/>
  <c r="O18" i="4"/>
  <c r="O40" i="4"/>
  <c r="O9" i="4"/>
  <c r="O34" i="4"/>
  <c r="O23" i="4"/>
  <c r="O43" i="4"/>
  <c r="O12" i="4"/>
  <c r="O28" i="4"/>
  <c r="O41" i="4"/>
  <c r="O39" i="4"/>
  <c r="O19" i="4"/>
  <c r="O17" i="4"/>
  <c r="O17" i="2"/>
  <c r="O29" i="2"/>
  <c r="S27" i="6"/>
  <c r="T27" i="6" s="1"/>
  <c r="K26" i="6"/>
  <c r="L26" i="6" s="1"/>
  <c r="L27" i="2"/>
  <c r="M16" i="2"/>
  <c r="O13" i="2"/>
  <c r="K20" i="6"/>
  <c r="L20" i="6" s="1"/>
  <c r="S38" i="6"/>
  <c r="T38" i="6" s="1"/>
  <c r="G23" i="2"/>
  <c r="S41" i="6"/>
  <c r="T41" i="6" s="1"/>
  <c r="K32" i="6"/>
  <c r="L32" i="6" s="1"/>
  <c r="O10" i="2"/>
  <c r="J22" i="2"/>
  <c r="N17" i="2"/>
  <c r="H32" i="2"/>
  <c r="L15" i="2"/>
  <c r="G17" i="2"/>
  <c r="G39" i="4"/>
  <c r="G43" i="4"/>
  <c r="G19" i="4"/>
  <c r="G26" i="4"/>
  <c r="G37" i="4"/>
  <c r="G10" i="4"/>
  <c r="G22" i="4"/>
  <c r="G29" i="4"/>
  <c r="G13" i="4"/>
  <c r="G40" i="4"/>
  <c r="G27" i="4"/>
  <c r="G18" i="4"/>
  <c r="G11" i="4"/>
  <c r="G16" i="4"/>
  <c r="G9" i="4"/>
  <c r="G34" i="4"/>
  <c r="G32" i="4"/>
  <c r="G23" i="4"/>
  <c r="S25" i="6"/>
  <c r="T25" i="6" s="1"/>
  <c r="K29" i="6"/>
  <c r="L29" i="6" s="1"/>
  <c r="H14" i="2"/>
  <c r="K27" i="6"/>
  <c r="L27" i="6" s="1"/>
  <c r="S29" i="6"/>
  <c r="T29" i="6" s="1"/>
  <c r="F11" i="2"/>
  <c r="L29" i="2"/>
  <c r="O16" i="2"/>
  <c r="S26" i="6"/>
  <c r="T26" i="6" s="1"/>
  <c r="K22" i="6"/>
  <c r="L22" i="6" s="1"/>
  <c r="M24" i="4"/>
  <c r="M27" i="2"/>
  <c r="I18" i="2"/>
  <c r="S42" i="6"/>
  <c r="T42" i="6" s="1"/>
  <c r="I19" i="2"/>
  <c r="M10" i="2"/>
  <c r="J12" i="2"/>
  <c r="G19" i="2"/>
  <c r="F25" i="2"/>
  <c r="J11" i="2"/>
  <c r="I32" i="2"/>
  <c r="H31" i="2"/>
  <c r="M14" i="2"/>
  <c r="F34" i="4"/>
  <c r="E39" i="5"/>
  <c r="F39" i="5" s="1"/>
  <c r="H39" i="5" s="1"/>
  <c r="N16" i="4"/>
  <c r="I12" i="4"/>
  <c r="F23" i="4"/>
  <c r="N21" i="4"/>
  <c r="L33" i="4"/>
  <c r="H33" i="4"/>
  <c r="G33" i="4"/>
  <c r="N36" i="4"/>
  <c r="F26" i="2"/>
  <c r="F16" i="2"/>
  <c r="S17" i="6"/>
  <c r="T17" i="6" s="1"/>
  <c r="K15" i="6"/>
  <c r="L15" i="6" s="1"/>
  <c r="M11" i="4"/>
  <c r="P27" i="2"/>
  <c r="F22" i="2"/>
  <c r="S15" i="6"/>
  <c r="T15" i="6" s="1"/>
  <c r="N13" i="2"/>
  <c r="P10" i="2"/>
  <c r="I13" i="2"/>
  <c r="O32" i="2"/>
  <c r="L25" i="2"/>
  <c r="J31" i="2"/>
  <c r="O14" i="2"/>
  <c r="M26" i="4"/>
  <c r="I17" i="2"/>
  <c r="M12" i="2"/>
  <c r="J16" i="2"/>
  <c r="F23" i="2"/>
  <c r="J25" i="2"/>
  <c r="M31" i="2"/>
  <c r="I10" i="2"/>
  <c r="I28" i="4"/>
  <c r="H14" i="4"/>
  <c r="F13" i="2"/>
  <c r="K12" i="6"/>
  <c r="L12" i="6" s="1"/>
  <c r="K23" i="6"/>
  <c r="L23" i="6" s="1"/>
  <c r="S22" i="6"/>
  <c r="T22" i="6" s="1"/>
  <c r="F10" i="2"/>
  <c r="J23" i="2"/>
  <c r="K25" i="6"/>
  <c r="L25" i="6" s="1"/>
  <c r="S28" i="6"/>
  <c r="T28" i="6" s="1"/>
  <c r="S24" i="6"/>
  <c r="T24" i="6" s="1"/>
  <c r="P25" i="2"/>
  <c r="G15" i="2"/>
  <c r="G31" i="2"/>
  <c r="M30" i="2"/>
  <c r="P16" i="2"/>
  <c r="O33" i="2"/>
  <c r="L29" i="4"/>
  <c r="L35" i="4"/>
  <c r="P12" i="2"/>
  <c r="M32" i="4"/>
  <c r="O31" i="4"/>
  <c r="H21" i="4"/>
  <c r="I22" i="2"/>
  <c r="K31" i="6"/>
  <c r="L31" i="6" s="1"/>
  <c r="S37" i="6"/>
  <c r="T37" i="6" s="1"/>
  <c r="J10" i="2"/>
  <c r="J18" i="2"/>
  <c r="M33" i="2"/>
  <c r="M23" i="2"/>
  <c r="J32" i="2"/>
  <c r="M25" i="2"/>
  <c r="O31" i="2"/>
  <c r="F20" i="2"/>
  <c r="M37" i="4"/>
  <c r="L31" i="4"/>
  <c r="G31" i="4"/>
  <c r="P16" i="4"/>
  <c r="H20" i="4"/>
  <c r="I23" i="4"/>
  <c r="G33" i="2"/>
  <c r="M19" i="4"/>
  <c r="H32" i="4"/>
  <c r="K18" i="6"/>
  <c r="L18" i="6" s="1"/>
  <c r="F32" i="2"/>
  <c r="I15" i="2"/>
  <c r="N10" i="2"/>
  <c r="N52" i="2" s="1"/>
  <c r="N54" i="2" s="1"/>
  <c r="J26" i="4"/>
  <c r="J34" i="4"/>
  <c r="J29" i="4"/>
  <c r="J13" i="4"/>
  <c r="J24" i="4"/>
  <c r="J39" i="4"/>
  <c r="J40" i="4"/>
  <c r="J27" i="4"/>
  <c r="J11" i="4"/>
  <c r="J18" i="4"/>
  <c r="J16" i="4"/>
  <c r="J9" i="4"/>
  <c r="J32" i="4"/>
  <c r="J23" i="4"/>
  <c r="J21" i="4"/>
  <c r="J43" i="4"/>
  <c r="J14" i="4"/>
  <c r="J30" i="4"/>
  <c r="N26" i="2"/>
  <c r="O23" i="2"/>
  <c r="H29" i="2"/>
  <c r="G12" i="2"/>
  <c r="O25" i="2"/>
  <c r="L21" i="2"/>
  <c r="I31" i="2"/>
  <c r="P13" i="2"/>
  <c r="I24" i="4"/>
  <c r="I15" i="4"/>
  <c r="O16" i="4"/>
  <c r="I16" i="2"/>
  <c r="J33" i="4"/>
  <c r="O25" i="4"/>
  <c r="J29" i="2"/>
  <c r="N23" i="4"/>
  <c r="G21" i="4"/>
  <c r="I20" i="4"/>
  <c r="P15" i="4"/>
  <c r="I32" i="4"/>
  <c r="N33" i="2"/>
  <c r="I27" i="2"/>
  <c r="N29" i="2"/>
  <c r="M28" i="4"/>
  <c r="H16" i="4"/>
  <c r="K30" i="6"/>
  <c r="L30" i="6" s="1"/>
  <c r="S35" i="6"/>
  <c r="T35" i="6" s="1"/>
  <c r="F18" i="2"/>
  <c r="G25" i="2"/>
  <c r="N23" i="2"/>
  <c r="I25" i="2"/>
  <c r="I21" i="2"/>
  <c r="H15" i="2"/>
  <c r="L31" i="2"/>
  <c r="L30" i="2"/>
  <c r="P37" i="4"/>
  <c r="J36" i="4"/>
  <c r="H23" i="4"/>
  <c r="F31" i="4"/>
  <c r="R31" i="4" s="1"/>
  <c r="T31" i="4" s="1"/>
  <c r="I17" i="4"/>
  <c r="J20" i="4"/>
  <c r="I34" i="4"/>
  <c r="K11" i="6"/>
  <c r="L11" i="6" s="1"/>
  <c r="S10" i="6"/>
  <c r="T10" i="6" s="1"/>
  <c r="O20" i="2"/>
  <c r="O27" i="2"/>
  <c r="M12" i="4"/>
  <c r="H11" i="4"/>
  <c r="L9" i="5"/>
  <c r="O6" i="3"/>
  <c r="P11" i="2"/>
  <c r="P23" i="2"/>
  <c r="N25" i="2"/>
  <c r="N21" i="2"/>
  <c r="M11" i="2"/>
  <c r="P31" i="2"/>
  <c r="H25" i="2"/>
  <c r="L16" i="4"/>
  <c r="P20" i="4"/>
  <c r="H11" i="2"/>
  <c r="I43" i="4"/>
  <c r="J17" i="4"/>
  <c r="F28" i="4"/>
  <c r="R28" i="4" s="1"/>
  <c r="T28" i="4" s="1"/>
  <c r="M20" i="4"/>
  <c r="G25" i="4"/>
  <c r="S14" i="6"/>
  <c r="T14" i="6" s="1"/>
  <c r="I30" i="2"/>
  <c r="J20" i="2"/>
  <c r="H24" i="2"/>
  <c r="M43" i="4"/>
  <c r="H18" i="4"/>
  <c r="E41" i="5"/>
  <c r="F41" i="5" s="1"/>
  <c r="H41" i="5" s="1"/>
  <c r="G10" i="2"/>
  <c r="S36" i="6"/>
  <c r="T36" i="6" s="1"/>
  <c r="F21" i="2"/>
  <c r="L26" i="2"/>
  <c r="H23" i="2"/>
  <c r="M21" i="2"/>
  <c r="N31" i="2"/>
  <c r="G28" i="4"/>
  <c r="M21" i="4"/>
  <c r="H41" i="4"/>
  <c r="G65" i="5"/>
  <c r="J59" i="5" s="1"/>
  <c r="N43" i="4"/>
  <c r="I37" i="4"/>
  <c r="P10" i="4"/>
  <c r="I41" i="4"/>
  <c r="H28" i="4"/>
  <c r="P17" i="4"/>
  <c r="H42" i="4"/>
  <c r="F36" i="4"/>
  <c r="O42" i="4"/>
  <c r="L25" i="4"/>
  <c r="I16" i="4"/>
  <c r="O30" i="2"/>
  <c r="N20" i="2"/>
  <c r="I24" i="2"/>
  <c r="I29" i="2"/>
  <c r="M14" i="4"/>
  <c r="L22" i="2"/>
  <c r="H27" i="4"/>
  <c r="E36" i="5"/>
  <c r="F36" i="5" s="1"/>
  <c r="H36" i="5" s="1"/>
  <c r="F15" i="2"/>
  <c r="N11" i="2"/>
  <c r="P32" i="2"/>
  <c r="L23" i="2"/>
  <c r="O21" i="2"/>
  <c r="J21" i="2"/>
  <c r="M24" i="2"/>
  <c r="F40" i="4"/>
  <c r="P32" i="4"/>
  <c r="P31" i="4"/>
  <c r="M36" i="4"/>
  <c r="M35" i="4"/>
  <c r="J38" i="4"/>
  <c r="M42" i="4"/>
  <c r="H25" i="4"/>
  <c r="H38" i="4"/>
  <c r="N42" i="4"/>
  <c r="I25" i="4"/>
  <c r="J22" i="4"/>
  <c r="G14" i="4"/>
  <c r="P35" i="4"/>
  <c r="I11" i="4"/>
  <c r="P30" i="2"/>
  <c r="O24" i="2"/>
  <c r="S43" i="6"/>
  <c r="T43" i="6" s="1"/>
  <c r="M23" i="4"/>
  <c r="L16" i="2"/>
  <c r="H13" i="4"/>
  <c r="E38" i="5"/>
  <c r="F38" i="5" s="1"/>
  <c r="H38" i="5" s="1"/>
  <c r="M18" i="2"/>
  <c r="K14" i="6"/>
  <c r="L14" i="6" s="1"/>
  <c r="S16" i="6"/>
  <c r="T16" i="6" s="1"/>
  <c r="M26" i="2"/>
  <c r="P18" i="2"/>
  <c r="P21" i="2"/>
  <c r="K21" i="6"/>
  <c r="L21" i="6" s="1"/>
  <c r="P43" i="4"/>
  <c r="P41" i="4"/>
  <c r="L38" i="4"/>
  <c r="H27" i="2"/>
  <c r="N27" i="4"/>
  <c r="G17" i="4"/>
  <c r="F38" i="4"/>
  <c r="P22" i="4"/>
  <c r="F41" i="4"/>
  <c r="P11" i="4"/>
  <c r="H12" i="4"/>
  <c r="M10" i="4"/>
  <c r="O35" i="4"/>
  <c r="O36" i="4"/>
  <c r="J41" i="4"/>
  <c r="M38" i="4"/>
  <c r="I38" i="4"/>
  <c r="J25" i="4"/>
  <c r="I27" i="4"/>
  <c r="P20" i="2"/>
  <c r="L10" i="2"/>
  <c r="N24" i="2"/>
  <c r="M34" i="4"/>
  <c r="L26" i="4"/>
  <c r="L40" i="4"/>
  <c r="L39" i="4"/>
  <c r="L7" i="4"/>
  <c r="L24" i="4"/>
  <c r="L22" i="4"/>
  <c r="L13" i="4"/>
  <c r="L27" i="4"/>
  <c r="L11" i="4"/>
  <c r="L18" i="4"/>
  <c r="L9" i="4"/>
  <c r="L32" i="4"/>
  <c r="L34" i="4"/>
  <c r="L23" i="4"/>
  <c r="L14" i="4"/>
  <c r="L30" i="4"/>
  <c r="H22" i="4"/>
  <c r="L20" i="2"/>
  <c r="L32" i="2"/>
  <c r="L17" i="2"/>
  <c r="S31" i="6"/>
  <c r="T31" i="6" s="1"/>
  <c r="H40" i="4"/>
  <c r="G35" i="4"/>
  <c r="F19" i="4"/>
  <c r="F42" i="4"/>
  <c r="L41" i="4"/>
  <c r="I14" i="4"/>
  <c r="J37" i="4"/>
  <c r="O33" i="4"/>
  <c r="M41" i="4"/>
  <c r="F15" i="4"/>
  <c r="H10" i="4"/>
  <c r="L36" i="4"/>
  <c r="J42" i="4"/>
  <c r="P38" i="4"/>
  <c r="J30" i="2"/>
  <c r="F14" i="4"/>
  <c r="M30" i="4"/>
  <c r="E40" i="5"/>
  <c r="F40" i="5" s="1"/>
  <c r="H40" i="5" s="1"/>
  <c r="G41" i="4"/>
  <c r="F35" i="4"/>
  <c r="I10" i="4"/>
  <c r="I71" i="4" s="1"/>
  <c r="P25" i="4"/>
  <c r="G38" i="4"/>
  <c r="I40" i="4"/>
  <c r="J24" i="2"/>
  <c r="N30" i="2"/>
  <c r="P29" i="2"/>
  <c r="H16" i="2"/>
  <c r="L12" i="2"/>
  <c r="M18" i="4"/>
  <c r="L24" i="2"/>
  <c r="J26" i="2"/>
  <c r="F17" i="2"/>
  <c r="H19" i="2"/>
  <c r="P15" i="2"/>
  <c r="M22" i="2"/>
  <c r="G21" i="2"/>
  <c r="G14" i="2"/>
  <c r="J13" i="2"/>
  <c r="F30" i="4"/>
  <c r="O10" i="4"/>
  <c r="O71" i="4" s="1"/>
  <c r="N40" i="4"/>
  <c r="N26" i="4"/>
  <c r="N24" i="4"/>
  <c r="N22" i="4"/>
  <c r="N13" i="4"/>
  <c r="N29" i="4"/>
  <c r="N18" i="4"/>
  <c r="N9" i="4"/>
  <c r="N34" i="4"/>
  <c r="N14" i="4"/>
  <c r="N30" i="4"/>
  <c r="N12" i="4"/>
  <c r="N28" i="4"/>
  <c r="N41" i="4"/>
  <c r="N39" i="4"/>
  <c r="N17" i="4"/>
  <c r="H19" i="4"/>
  <c r="M16" i="4"/>
  <c r="O15" i="4"/>
  <c r="P36" i="4"/>
  <c r="G42" i="4"/>
  <c r="F25" i="4"/>
  <c r="G24" i="4"/>
  <c r="O14" i="4"/>
  <c r="M15" i="4"/>
  <c r="G12" i="4"/>
  <c r="F33" i="4"/>
  <c r="N32" i="4"/>
  <c r="J12" i="4"/>
  <c r="P33" i="4"/>
  <c r="P30" i="4"/>
  <c r="H37" i="4"/>
  <c r="H35" i="4"/>
  <c r="I42" i="4"/>
  <c r="J10" i="4"/>
  <c r="I29" i="4"/>
  <c r="I20" i="2"/>
  <c r="P22" i="2"/>
  <c r="F24" i="2"/>
  <c r="M29" i="4"/>
  <c r="F29" i="2"/>
  <c r="H26" i="2"/>
  <c r="F31" i="2"/>
  <c r="G30" i="2"/>
  <c r="O15" i="2"/>
  <c r="P19" i="2"/>
  <c r="N18" i="2"/>
  <c r="H21" i="2"/>
  <c r="S12" i="6"/>
  <c r="T12" i="6" s="1"/>
  <c r="S20" i="6"/>
  <c r="T20" i="6" s="1"/>
  <c r="F14" i="2"/>
  <c r="R39" i="4" l="1"/>
  <c r="T39" i="4" s="1"/>
  <c r="R21" i="4"/>
  <c r="T21" i="4" s="1"/>
  <c r="R43" i="4"/>
  <c r="T43" i="4" s="1"/>
  <c r="R23" i="4"/>
  <c r="T23" i="4" s="1"/>
  <c r="G71" i="4"/>
  <c r="J52" i="2"/>
  <c r="F52" i="2"/>
  <c r="H71" i="4"/>
  <c r="R34" i="4"/>
  <c r="T34" i="4" s="1"/>
  <c r="R32" i="4"/>
  <c r="T32" i="4" s="1"/>
  <c r="H52" i="2"/>
  <c r="R15" i="4"/>
  <c r="T15" i="4" s="1"/>
  <c r="P52" i="2"/>
  <c r="R16" i="4"/>
  <c r="T16" i="4" s="1"/>
  <c r="R35" i="4"/>
  <c r="T35" i="4" s="1"/>
  <c r="R11" i="4"/>
  <c r="T11" i="4" s="1"/>
  <c r="R12" i="4"/>
  <c r="T12" i="4" s="1"/>
  <c r="G52" i="2"/>
  <c r="R33" i="4"/>
  <c r="T33" i="4" s="1"/>
  <c r="M71" i="4"/>
  <c r="R40" i="4"/>
  <c r="T40" i="4" s="1"/>
  <c r="R18" i="4"/>
  <c r="T18" i="4" s="1"/>
  <c r="R37" i="4"/>
  <c r="T37" i="4" s="1"/>
  <c r="R27" i="4"/>
  <c r="T27" i="4" s="1"/>
  <c r="R13" i="4"/>
  <c r="T13" i="4" s="1"/>
  <c r="L52" i="2"/>
  <c r="I52" i="2"/>
  <c r="R29" i="4"/>
  <c r="T29" i="4" s="1"/>
  <c r="S19" i="6"/>
  <c r="T19" i="6" s="1"/>
  <c r="K10" i="6"/>
  <c r="L10" i="6" s="1"/>
  <c r="E26" i="5"/>
  <c r="E37" i="5"/>
  <c r="F37" i="5" s="1"/>
  <c r="H37" i="5" s="1"/>
  <c r="E15" i="5"/>
  <c r="N53" i="2"/>
  <c r="N72" i="4" s="1"/>
  <c r="R20" i="4"/>
  <c r="T20" i="4" s="1"/>
  <c r="R14" i="4"/>
  <c r="T14" i="4" s="1"/>
  <c r="M52" i="2"/>
  <c r="O52" i="2"/>
  <c r="R22" i="4"/>
  <c r="T22" i="4" s="1"/>
  <c r="J71" i="4"/>
  <c r="R36" i="4"/>
  <c r="T36" i="4" s="1"/>
  <c r="R41" i="4"/>
  <c r="T41" i="4" s="1"/>
  <c r="R42" i="4"/>
  <c r="T42" i="4" s="1"/>
  <c r="R25" i="4"/>
  <c r="T25" i="4" s="1"/>
  <c r="R19" i="4"/>
  <c r="T19" i="4" s="1"/>
  <c r="R38" i="4"/>
  <c r="T38" i="4" s="1"/>
  <c r="P71" i="4"/>
  <c r="R24" i="4"/>
  <c r="T24" i="4" s="1"/>
  <c r="R17" i="4"/>
  <c r="T17" i="4" s="1"/>
  <c r="L71" i="4"/>
  <c r="F71" i="4"/>
  <c r="R10" i="4"/>
  <c r="T10" i="4" s="1"/>
  <c r="R30" i="4"/>
  <c r="T30" i="4" s="1"/>
  <c r="R26" i="4"/>
  <c r="T26" i="4" s="1"/>
  <c r="G54" i="2" l="1"/>
  <c r="G53" i="2"/>
  <c r="G72" i="4" s="1"/>
  <c r="M53" i="2"/>
  <c r="M72" i="4" s="1"/>
  <c r="M54" i="2"/>
  <c r="E20" i="5"/>
  <c r="G15" i="5"/>
  <c r="F15" i="5"/>
  <c r="G57" i="5" s="1"/>
  <c r="G58" i="5" s="1"/>
  <c r="P54" i="2"/>
  <c r="P53" i="2"/>
  <c r="P72" i="4" s="1"/>
  <c r="H53" i="2"/>
  <c r="H72" i="4" s="1"/>
  <c r="H54" i="2"/>
  <c r="O54" i="2"/>
  <c r="O53" i="2"/>
  <c r="O72" i="4" s="1"/>
  <c r="F53" i="2"/>
  <c r="F72" i="4" s="1"/>
  <c r="F54" i="2"/>
  <c r="J54" i="2"/>
  <c r="J53" i="2"/>
  <c r="J72" i="4" s="1"/>
  <c r="G26" i="5"/>
  <c r="F26" i="5"/>
  <c r="I54" i="2"/>
  <c r="I53" i="2"/>
  <c r="I72" i="4" s="1"/>
  <c r="L54" i="2"/>
  <c r="L53" i="2"/>
  <c r="L72" i="4" s="1"/>
  <c r="D21" i="5" l="1"/>
  <c r="E21" i="5"/>
  <c r="G67" i="5"/>
  <c r="G60" i="5"/>
  <c r="F20" i="5"/>
  <c r="G20" i="5"/>
  <c r="H9" i="5" s="1"/>
  <c r="G61" i="5" l="1"/>
  <c r="G6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" authorId="0" shapeId="0" xr:uid="{00000000-0006-0000-0100-000001000000}">
      <text>
        <r>
          <rPr>
            <sz val="10"/>
            <rFont val="Arial"/>
            <family val="2"/>
          </rPr>
          <t>Beliebiges Datum eingeben – der Plan beginnt automatisch am Montag dieser Woche und zeigt zwei Arbeitswochen.</t>
        </r>
      </text>
    </comment>
  </commentList>
</comments>
</file>

<file path=xl/sharedStrings.xml><?xml version="1.0" encoding="utf-8"?>
<sst xmlns="http://schemas.openxmlformats.org/spreadsheetml/2006/main" count="1980" uniqueCount="288">
  <si>
    <t>Desk Sharing Planer 2026</t>
  </si>
  <si>
    <t>ANLEITUNG</t>
  </si>
  <si>
    <t>Arbeitsplätze buchen, Belegung im Blick behalten und den Flächenbedarf belastbar planen.</t>
  </si>
  <si>
    <t>Diese Vorlage organisiert flexible Arbeitsplätze im hybriden Büro: Buchungen werden in einer Liste erfasst, automatisch geprüft und in einem Belegungs- und Teamplan visualisiert. Die Auswertung zeigt Auslastung, Desk-Sharing-Quote und das Einsparpotenzial gegenüber festen Arbeitsplätzen.</t>
  </si>
  <si>
    <t>IN FÜNF SCHRITTEN STARTKLAR</t>
  </si>
  <si>
    <t>Stammdaten</t>
  </si>
  <si>
    <t>Unternehmen und Standort eintragen, eigene Arbeitsplätze (Platz-ID, Etage, Bereich, Ausstattung, Status) und das Team mit geplanten Bürotagen erfassen. Listen für Abteilungen und Bereiche sowie Feiertage anpassen. Kapazität: 40 Plätze, 60 Personen.</t>
  </si>
  <si>
    <t>Buchungen</t>
  </si>
  <si>
    <t>Je Buchung eine Zeile: Datum, Arbeitsplatz, Person, Zeitfenster (ganztägig, Vor- oder Nachmittag) und Status wählen. Die Spalte „Prüfung“ meldet Doppelbuchungen, gesperrte Plätze, Wochenenden und Feiertage sofort. Platz für 600 Buchungen.</t>
  </si>
  <si>
    <t>Belegungsplan</t>
  </si>
  <si>
    <t>Startdatum eingeben – der Plan zeigt zwei Arbeitswochen ab Montag. Jede Zelle nennt, wer den Platz gebucht hat; unten stehen freie Plätze und die Tagesauslastung. Heute ist farbig markiert.</t>
  </si>
  <si>
    <t>Teamplan</t>
  </si>
  <si>
    <t>Zeigt für jede Person, an welchen Tagen sie im Büro ist und an welchem Platz. Ideal, um Teamtage abzustimmen. Rechts: gebuchte Tage im Vergleich zum Plan.</t>
  </si>
  <si>
    <t>Auswertung</t>
  </si>
  <si>
    <t>Zeitraum wählen und Annahmen zu Fläche und Kosten anpassen. Ergebnis: Auslastung nach Wochentag, Bereich und Abteilung, empfohlene Platzzahl und Einsparung pro Jahr.</t>
  </si>
  <si>
    <t>FARBEN &amp; SYMBOLE</t>
  </si>
  <si>
    <t>Eingabe</t>
  </si>
  <si>
    <t>Weiße Felder mit Rahmen: hier tragen Sie Daten ein (meist per Dropdown).</t>
  </si>
  <si>
    <t>Automatisch</t>
  </si>
  <si>
    <t>Sandfarbene Felder enthalten Formeln – bitte nicht überschreiben.</t>
  </si>
  <si>
    <t>Steuerfeld</t>
  </si>
  <si>
    <t>Ocker umrandet: Startdatum, Auswertungszeitraum und Annahmen.</t>
  </si>
  <si>
    <t>Belegt</t>
  </si>
  <si>
    <t>Platz bzw. Person ist für diesen Tag fest gebucht.</t>
  </si>
  <si>
    <t>Angefragt  ?</t>
  </si>
  <si>
    <t>Buchung wartet auf Freigabe (Status „Angefragt“).</t>
  </si>
  <si>
    <t>Konflikt</t>
  </si>
  <si>
    <t>Doppelbuchung oder Buchung auf gesperrtem Platz – bitte klären.</t>
  </si>
  <si>
    <t>Gesperrt</t>
  </si>
  <si>
    <t>Platz ist in den Stammdaten gesperrt, z. B. wegen Wartung.</t>
  </si>
  <si>
    <t>Feiertag</t>
  </si>
  <si>
    <t>Tag ist in der Feiertagsliste hinterlegt.</t>
  </si>
  <si>
    <t>GUT ZU WISSEN</t>
  </si>
  <si>
    <t>▸</t>
  </si>
  <si>
    <t>VM / NM = Vormittag / Nachmittag: Zwei Halbtagsbuchungen auf einem Platz gelten nicht als Konflikt.</t>
  </si>
  <si>
    <t>Stornierte Buchungen bleiben zur Nachverfolgung in der Liste, werden aber durchgestrichen und nicht gezählt.</t>
  </si>
  <si>
    <t>Die Auslastung zählt nur bestätigte Buchungen (ganztägig = 1, halbtags = 0,5).</t>
  </si>
  <si>
    <t>Desk-Sharing-Quote = aktive Arbeitsplätze ÷ Mitarbeitende. Werte unter 1 bedeuten echtes Desk Sharing.</t>
  </si>
  <si>
    <t>Neue Bereiche, Abteilungen oder Etagen in den Stammdaten-Listen ergänzen – Dropdowns und Auswertung übernehmen sie automatisch.</t>
  </si>
  <si>
    <t>Datenschutz: Anwesenheitsdaten sind personenbezogen. Zugriff auf die Datei begrenzen und alte Buchungen regelmäßig löschen.</t>
  </si>
  <si>
    <t>DESK SHARING · 2026</t>
  </si>
  <si>
    <t>Startdatum</t>
  </si>
  <si>
    <t>→ Plan startet am Montag dieser Woche (2 Arbeitswochen)</t>
  </si>
  <si>
    <t>Legende:</t>
  </si>
  <si>
    <t>Angefragt ?</t>
  </si>
  <si>
    <t>Heute</t>
  </si>
  <si>
    <t>Arbeitsplatz</t>
  </si>
  <si>
    <t>Platz</t>
  </si>
  <si>
    <t>Etage</t>
  </si>
  <si>
    <t>Bereich</t>
  </si>
  <si>
    <t>Ausstattung</t>
  </si>
  <si>
    <t>Verfügbare Plätze</t>
  </si>
  <si>
    <t>Belegt (inkl. Anfragen)</t>
  </si>
  <si>
    <t>Frei</t>
  </si>
  <si>
    <t>Auslastung</t>
  </si>
  <si>
    <t>Ab 90 % Auslastung rot (Engpass), ab 70 % gelb, darunter grün. Filter in Zeile 9 nutzen, um nach Etage oder Bereich zu filtern.</t>
  </si>
  <si>
    <t>Weiße Spalten ausfüllen (Dropdowns) – sandfarbene Spalten rechnen automatisch. Neue Buchungen einfach unten anfügen.</t>
  </si>
  <si>
    <t>Nr.</t>
  </si>
  <si>
    <t>Datum</t>
  </si>
  <si>
    <t>Tag</t>
  </si>
  <si>
    <t>KW</t>
  </si>
  <si>
    <t>Mitarbeiter/in</t>
  </si>
  <si>
    <t>Zeitfenster</t>
  </si>
  <si>
    <t>Status</t>
  </si>
  <si>
    <t>Bemerkung</t>
  </si>
  <si>
    <t>Abteilung</t>
  </si>
  <si>
    <t>Prüfung</t>
  </si>
  <si>
    <t>Wert</t>
  </si>
  <si>
    <t>Key Platz</t>
  </si>
  <si>
    <t>Key Platz #</t>
  </si>
  <si>
    <t>Key Person</t>
  </si>
  <si>
    <t>Key Person #</t>
  </si>
  <si>
    <t>Anzeige Plan</t>
  </si>
  <si>
    <t>Anzeige Team</t>
  </si>
  <si>
    <t>A-01</t>
  </si>
  <si>
    <t>Marco Seidel</t>
  </si>
  <si>
    <t>Ganztägig</t>
  </si>
  <si>
    <t>Bestätigt</t>
  </si>
  <si>
    <t>A-02</t>
  </si>
  <si>
    <t>Lena Hartmann</t>
  </si>
  <si>
    <t>A-05</t>
  </si>
  <si>
    <t>Nina Albrecht</t>
  </si>
  <si>
    <t>A-06</t>
  </si>
  <si>
    <t>Felix Engel</t>
  </si>
  <si>
    <t>A-07</t>
  </si>
  <si>
    <t>Miriam Krause</t>
  </si>
  <si>
    <t>A-08</t>
  </si>
  <si>
    <t>Paul Schreiber</t>
  </si>
  <si>
    <t>A-11</t>
  </si>
  <si>
    <t>Theresa Jung</t>
  </si>
  <si>
    <t>A-12</t>
  </si>
  <si>
    <t>Mara Winter</t>
  </si>
  <si>
    <t>B-01</t>
  </si>
  <si>
    <t>Sarah Böhm</t>
  </si>
  <si>
    <t>B-02</t>
  </si>
  <si>
    <t>Hanna Roth</t>
  </si>
  <si>
    <t>B-06</t>
  </si>
  <si>
    <t>Moritz Keller</t>
  </si>
  <si>
    <t>B-08</t>
  </si>
  <si>
    <t>Erik Neumann</t>
  </si>
  <si>
    <t>B-09</t>
  </si>
  <si>
    <t>Daniel Ritter</t>
  </si>
  <si>
    <t>B-10</t>
  </si>
  <si>
    <t>Kevin Brandl</t>
  </si>
  <si>
    <t>B-11</t>
  </si>
  <si>
    <t>Philipp Haas</t>
  </si>
  <si>
    <t>B-12</t>
  </si>
  <si>
    <t>Katharina Busch</t>
  </si>
  <si>
    <t>Aylin Demir</t>
  </si>
  <si>
    <t>A-03</t>
  </si>
  <si>
    <t>A-04</t>
  </si>
  <si>
    <t>Sophie Brandt</t>
  </si>
  <si>
    <t>Clara Vogt</t>
  </si>
  <si>
    <t>A-10</t>
  </si>
  <si>
    <t>Isabel Marx</t>
  </si>
  <si>
    <t>Jan Peters</t>
  </si>
  <si>
    <t>Julia Herrmann</t>
  </si>
  <si>
    <t>B-03</t>
  </si>
  <si>
    <t>Anna Lorenz</t>
  </si>
  <si>
    <t>B-04</t>
  </si>
  <si>
    <t>Elif Yilmaz</t>
  </si>
  <si>
    <t>B-05</t>
  </si>
  <si>
    <t>Niklas Wolf</t>
  </si>
  <si>
    <t>Abstimmung Projektteam</t>
  </si>
  <si>
    <t>Laura Sommer</t>
  </si>
  <si>
    <t>Simon Graf</t>
  </si>
  <si>
    <t>Jonas Weber</t>
  </si>
  <si>
    <t>Tobias Lindner</t>
  </si>
  <si>
    <t>Workshop</t>
  </si>
  <si>
    <t>A-09</t>
  </si>
  <si>
    <t>Fabian Ott</t>
  </si>
  <si>
    <t>Leon Fuchs</t>
  </si>
  <si>
    <t>Vanessa Kraft</t>
  </si>
  <si>
    <t>Vormittag</t>
  </si>
  <si>
    <t>Nachmittag</t>
  </si>
  <si>
    <t>Platz ab 13 Uhr geteilt</t>
  </si>
  <si>
    <t>David Kühn</t>
  </si>
  <si>
    <t>Storniert</t>
  </si>
  <si>
    <t>Dienstreise</t>
  </si>
  <si>
    <t>Kundentermin vor Ort</t>
  </si>
  <si>
    <t>Lukas Pohl</t>
  </si>
  <si>
    <t>Externer Besuch</t>
  </si>
  <si>
    <t>Krankmeldung</t>
  </si>
  <si>
    <t>Teammeeting</t>
  </si>
  <si>
    <t>Bitte klären – Platz bereits vergeben</t>
  </si>
  <si>
    <t>Homeoffice</t>
  </si>
  <si>
    <t>Onboarding</t>
  </si>
  <si>
    <t>Angefragt</t>
  </si>
  <si>
    <t>B-07</t>
  </si>
  <si>
    <t>Teamplan – Wer ist wann im Büro?</t>
  </si>
  <si>
    <t>Zeitraum folgt dem Startdatum im Belegungsplan:</t>
  </si>
  <si>
    <t>In den Zellen steht der gebuchte Arbeitsplatz. Mit dem Filter in Zeile 9 nach Abteilung filtern.</t>
  </si>
  <si>
    <t>Name</t>
  </si>
  <si>
    <t>Plan
Tage/Wo.</t>
  </si>
  <si>
    <t>Bevorzugter Bereich</t>
  </si>
  <si>
    <t>Gebucht
(2 Wochen)</t>
  </si>
  <si>
    <t>Plan
(2 Wochen)</t>
  </si>
  <si>
    <t>Abweichung</t>
  </si>
  <si>
    <t>Personen im Büro</t>
  </si>
  <si>
    <t>Freie Arbeitsplätze</t>
  </si>
  <si>
    <t>Auswertung &amp; Kapazitätsplanung</t>
  </si>
  <si>
    <t>Zeitraum von</t>
  </si>
  <si>
    <t>bis</t>
  </si>
  <si>
    <t>Arbeitstage im Zeitraum</t>
  </si>
  <si>
    <t>Mo–Fr, abzüglich Feiertage aus den Stammdaten</t>
  </si>
  <si>
    <t>AKTIVE ARBEITSPLÄTZE</t>
  </si>
  <si>
    <t>MITARBEITENDE</t>
  </si>
  <si>
    <t>DESK-SHARING-QUOTE</t>
  </si>
  <si>
    <t>Ø AUSLASTUNG</t>
  </si>
  <si>
    <t>OFFENE ANFRAGEN</t>
  </si>
  <si>
    <t>PRÜFHINWEISE</t>
  </si>
  <si>
    <t>AUSLASTUNG NACH WOCHENTAG</t>
  </si>
  <si>
    <t>Wochentag</t>
  </si>
  <si>
    <t>Arbeits-
tage</t>
  </si>
  <si>
    <t>Verfügbare
Platz-Tage</t>
  </si>
  <si>
    <t>Belegte
Platz-Tage</t>
  </si>
  <si>
    <t>Ø belegte
Plätze / Tag</t>
  </si>
  <si>
    <t>Montag</t>
  </si>
  <si>
    <t>Dienstag</t>
  </si>
  <si>
    <t>Mittwoch</t>
  </si>
  <si>
    <t>Donnerstag</t>
  </si>
  <si>
    <t>Freitag</t>
  </si>
  <si>
    <t>Gesamt</t>
  </si>
  <si>
    <t>Stärkster Wochentag</t>
  </si>
  <si>
    <t>AUSLASTUNG NACH BEREICH</t>
  </si>
  <si>
    <t>Plätze
aktiv</t>
  </si>
  <si>
    <t>NUTZUNG NACH ABTEILUNG</t>
  </si>
  <si>
    <t>Mitarbei-
tende</t>
  </si>
  <si>
    <t>Plan Bürotage
/ Woche (Σ)</t>
  </si>
  <si>
    <t>Gebuchte
Tage</t>
  </si>
  <si>
    <t>Ist Bürotage
/ Woche je MA</t>
  </si>
  <si>
    <t>Plan
je MA</t>
  </si>
  <si>
    <t>Erfüllung
Plan</t>
  </si>
  <si>
    <t>Lesehilfe</t>
  </si>
  <si>
    <t>„Erfüllung Plan“ vergleicht die tatsächlich gebuchten Bürotage je Person mit den geplanten Bürotagen aus den Stammdaten. Werte unter 80 % deuten darauf hin, dass ein Team seltener im Büro ist als vereinbart – Plätze können dann anderen Bereichen zugeschlagen werden.</t>
  </si>
  <si>
    <t>KAPAZITÄTSPLANUNG &amp; KOSTENVERGLEICH</t>
  </si>
  <si>
    <t>ANNAHMEN (anpassen)</t>
  </si>
  <si>
    <t>ERGEBNIS</t>
  </si>
  <si>
    <t>Fläche je Arbeitsplatz inkl. Verkehrsfläche (m²)</t>
  </si>
  <si>
    <t>So wird gerechnet: Die empfohlene Platzzahl ergibt sich aus dem höheren Wert von geplanter Ø-Anwesenheit und gemessener Belegung am stärksten Wochentag, erhöht um den Sicherheitspuffer. Die Desk-Sharing-Quote (aktive Plätze ÷ Mitarbeitende) liegt bei hybriden Teams mit 2–3 Bürotagen typischerweise zwischen 0,6 und 0,8.</t>
  </si>
  <si>
    <t>Miete inkl. Nebenkosten (€ je m² und Monat)</t>
  </si>
  <si>
    <t>Ausstattung &amp; Betrieb je Platz (€ pro Jahr)</t>
  </si>
  <si>
    <t>Sicherheitspuffer für Spitzentage</t>
  </si>
  <si>
    <t>BERECHNUNG</t>
  </si>
  <si>
    <t>Mitarbeitende im Desk Sharing</t>
  </si>
  <si>
    <t>Geplante Bürotage pro Woche (Summe Team)</t>
  </si>
  <si>
    <t>Erwartete Anwesenheit pro Tag (Ø Plan)</t>
  </si>
  <si>
    <t>Gemessene Ø-Belegung am stärksten Wochentag</t>
  </si>
  <si>
    <t>Empfohlene Anzahl Arbeitsplätze</t>
  </si>
  <si>
    <t>EINSPARUNG PRO JAHR</t>
  </si>
  <si>
    <t>Vorhandene aktive Arbeitsplätze</t>
  </si>
  <si>
    <t>Differenz Bestand – Empfehlung</t>
  </si>
  <si>
    <t>Bewertung (Bestand vs. Bedarf)</t>
  </si>
  <si>
    <t>Kosten je Arbeitsplatz und Jahr</t>
  </si>
  <si>
    <t>Jahreskosten aktueller Bestand</t>
  </si>
  <si>
    <t>Jahreskosten bei fester Zuordnung (1 Platz je Person)</t>
  </si>
  <si>
    <t>Einsparung durch Desk Sharing pro Jahr</t>
  </si>
  <si>
    <t>Zusätzliches Potenzial bei empfohlener Platzzahl</t>
  </si>
  <si>
    <t>Empfohlene Desk-Sharing-Quote</t>
  </si>
  <si>
    <t>Unternehmen</t>
  </si>
  <si>
    <t>Beispielunternehmen GmbH</t>
  </si>
  <si>
    <t>Weiße Felder = Eingabe  ·  Sandfarbene Felder = automatisch berechnet</t>
  </si>
  <si>
    <t>Standort</t>
  </si>
  <si>
    <t>Hauptsitz – Bürogebäude A</t>
  </si>
  <si>
    <t>ARBEITSPLÄTZE</t>
  </si>
  <si>
    <t>TEAM</t>
  </si>
  <si>
    <t>AUSWAHLLISTEN &amp; FEIERTAGE</t>
  </si>
  <si>
    <t>Platz-ID</t>
  </si>
  <si>
    <t>Typ</t>
  </si>
  <si>
    <t>Monitore</t>
  </si>
  <si>
    <t>Docking-
station</t>
  </si>
  <si>
    <t>Höhen-
verstellbar</t>
  </si>
  <si>
    <t>Hinweis</t>
  </si>
  <si>
    <t>Belegte Tage
(Zeitraum)</t>
  </si>
  <si>
    <t>Auslastung
(Zeitraum)</t>
  </si>
  <si>
    <t>Kurzname</t>
  </si>
  <si>
    <t>Bürotage
pro Woche</t>
  </si>
  <si>
    <t>Bevorzugter
Bereich</t>
  </si>
  <si>
    <t>Gebuchte Tage
(Zeitraum)</t>
  </si>
  <si>
    <t>Ø Tage / Woche
(Ist)</t>
  </si>
  <si>
    <t>Abteilungen</t>
  </si>
  <si>
    <t>Bereiche</t>
  </si>
  <si>
    <t>Etagen</t>
  </si>
  <si>
    <t>Arbeitsplatz-
typen</t>
  </si>
  <si>
    <t>Platzstatus</t>
  </si>
  <si>
    <t>Buchungs-
status</t>
  </si>
  <si>
    <t>Ja / Nein</t>
  </si>
  <si>
    <t>Bezeichnung</t>
  </si>
  <si>
    <t>1. OG</t>
  </si>
  <si>
    <t>Teamzone Nord</t>
  </si>
  <si>
    <t>Standard</t>
  </si>
  <si>
    <t>Ja</t>
  </si>
  <si>
    <t>Nein</t>
  </si>
  <si>
    <t>Aktiv</t>
  </si>
  <si>
    <t>Fensterplatz</t>
  </si>
  <si>
    <t>Vertrieb</t>
  </si>
  <si>
    <t>EG</t>
  </si>
  <si>
    <t>Neujahr</t>
  </si>
  <si>
    <t>Marketing</t>
  </si>
  <si>
    <t>Fokuszone</t>
  </si>
  <si>
    <t>Fokusplatz</t>
  </si>
  <si>
    <t>Karfreitag</t>
  </si>
  <si>
    <t>Ergonomieplatz</t>
  </si>
  <si>
    <t>Finanzen</t>
  </si>
  <si>
    <t>Teamzone Süd</t>
  </si>
  <si>
    <t>2. OG</t>
  </si>
  <si>
    <t>Ostermontag</t>
  </si>
  <si>
    <t>Nähe Teeküche</t>
  </si>
  <si>
    <t>Personal</t>
  </si>
  <si>
    <t>Projektfläche</t>
  </si>
  <si>
    <t>3. OG</t>
  </si>
  <si>
    <t>Barrierefrei</t>
  </si>
  <si>
    <t>Tag der Arbeit</t>
  </si>
  <si>
    <t>IT</t>
  </si>
  <si>
    <t>Christi Himmelfahrt</t>
  </si>
  <si>
    <t>Projektmanagement</t>
  </si>
  <si>
    <t>Pfingstmontag</t>
  </si>
  <si>
    <t>Tag der Deutschen Einheit</t>
  </si>
  <si>
    <t>1. Weihnachtstag</t>
  </si>
  <si>
    <t>Telefonate bitte in Telefonbox</t>
  </si>
  <si>
    <t>2. Weihnachtstag</t>
  </si>
  <si>
    <t>Feste Listen (sandfarben) steuern Formeln – nur Werte ergänzen, nicht umbenennen.</t>
  </si>
  <si>
    <t>Nähe Aufzug</t>
  </si>
  <si>
    <t>Monitor defekt – Austausch geplant</t>
  </si>
  <si>
    <t>Whiteboard am Tisch</t>
  </si>
  <si>
    <t>Bundesweite Feiertage 2026 – regionale Feiertage bitte ergänzen.</t>
  </si>
  <si>
    <t>Nähe Besprechungsraum</t>
  </si>
  <si>
    <t>Desk Sharing  - Belegungsplan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</si>
</sst>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.mm\.yyyy"/>
    <numFmt numFmtId="165" formatCode="dd\.mm\."/>
    <numFmt numFmtId="166" formatCode="\+0;\-0;0"/>
    <numFmt numFmtId="167" formatCode="0.0"/>
    <numFmt numFmtId="168" formatCode="0.0&quot; m²&quot;"/>
    <numFmt numFmtId="169" formatCode="#,##0.00&quot; €&quot;"/>
    <numFmt numFmtId="170" formatCode="#,##0&quot; €&quot;"/>
  </numFmts>
  <fonts count="36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9"/>
      <color rgb="FFE8C98A"/>
      <name val="Calibri"/>
      <charset val="1"/>
    </font>
    <font>
      <sz val="10"/>
      <color rgb="FFE8C98A"/>
      <name val="Calibri"/>
      <charset val="1"/>
    </font>
    <font>
      <sz val="10.5"/>
      <color rgb="FF2B2B2B"/>
      <name val="Calibri"/>
      <charset val="1"/>
    </font>
    <font>
      <b/>
      <sz val="11"/>
      <color rgb="FF1B6B73"/>
      <name val="Calibri"/>
      <charset val="1"/>
    </font>
    <font>
      <b/>
      <sz val="18"/>
      <color rgb="FFFFFFFF"/>
      <name val="Calibri"/>
      <charset val="1"/>
    </font>
    <font>
      <b/>
      <sz val="11"/>
      <color rgb="FF0E3B43"/>
      <name val="Calibri"/>
      <charset val="1"/>
    </font>
    <font>
      <sz val="9.5"/>
      <color rgb="FF2B2B2B"/>
      <name val="Calibri"/>
      <charset val="1"/>
    </font>
    <font>
      <b/>
      <sz val="10"/>
      <color rgb="FF0E3B43"/>
      <name val="Calibri"/>
      <charset val="1"/>
    </font>
    <font>
      <b/>
      <sz val="10"/>
      <color rgb="FF7A5A12"/>
      <name val="Calibri"/>
      <charset val="1"/>
    </font>
    <font>
      <b/>
      <sz val="10"/>
      <color rgb="FF9E2B22"/>
      <name val="Calibri"/>
      <charset val="1"/>
    </font>
    <font>
      <b/>
      <sz val="10"/>
      <color rgb="FFFFFFFF"/>
      <name val="Calibri"/>
      <charset val="1"/>
    </font>
    <font>
      <b/>
      <sz val="10"/>
      <color rgb="FF4B3F66"/>
      <name val="Calibri"/>
      <charset val="1"/>
    </font>
    <font>
      <b/>
      <sz val="11"/>
      <color rgb="FFC9973A"/>
      <name val="Calibri"/>
      <charset val="1"/>
    </font>
    <font>
      <b/>
      <sz val="10"/>
      <color rgb="FF7A7466"/>
      <name val="Calibri"/>
      <charset val="1"/>
    </font>
    <font>
      <i/>
      <sz val="9"/>
      <color rgb="FF7A7466"/>
      <name val="Calibri"/>
      <charset val="1"/>
    </font>
    <font>
      <b/>
      <sz val="9"/>
      <color rgb="FF7A7466"/>
      <name val="Calibri"/>
      <charset val="1"/>
    </font>
    <font>
      <b/>
      <sz val="9"/>
      <color rgb="FF0E3B43"/>
      <name val="Calibri"/>
      <charset val="1"/>
    </font>
    <font>
      <b/>
      <sz val="9"/>
      <color rgb="FF7A5A12"/>
      <name val="Calibri"/>
      <charset val="1"/>
    </font>
    <font>
      <b/>
      <sz val="9"/>
      <color rgb="FF9E2B22"/>
      <name val="Calibri"/>
      <charset val="1"/>
    </font>
    <font>
      <b/>
      <sz val="9"/>
      <color rgb="FFFFFFFF"/>
      <name val="Calibri"/>
      <charset val="1"/>
    </font>
    <font>
      <b/>
      <sz val="9"/>
      <color rgb="FF4B3F66"/>
      <name val="Calibri"/>
      <charset val="1"/>
    </font>
    <font>
      <b/>
      <sz val="11"/>
      <color rgb="FFFFFFFF"/>
      <name val="Calibri"/>
      <charset val="1"/>
    </font>
    <font>
      <sz val="9"/>
      <color rgb="FF7A7466"/>
      <name val="Calibri"/>
      <charset val="1"/>
    </font>
    <font>
      <sz val="9"/>
      <color rgb="FF2B2B2B"/>
      <name val="Calibri"/>
      <charset val="1"/>
    </font>
    <font>
      <sz val="9"/>
      <color rgb="FF0E3B43"/>
      <name val="Calibri"/>
      <charset val="1"/>
    </font>
    <font>
      <sz val="10"/>
      <color rgb="FF0E3B43"/>
      <name val="Calibri"/>
      <charset val="1"/>
    </font>
    <font>
      <sz val="10"/>
      <name val="Arial"/>
      <family val="2"/>
    </font>
    <font>
      <sz val="10"/>
      <color rgb="FF2B2B2B"/>
      <name val="Calibri"/>
      <charset val="1"/>
    </font>
    <font>
      <b/>
      <sz val="10"/>
      <color rgb="FF2B2B2B"/>
      <name val="Calibri"/>
      <charset val="1"/>
    </font>
    <font>
      <b/>
      <sz val="12"/>
      <color rgb="FF0E3B43"/>
      <name val="Calibri"/>
      <charset val="1"/>
    </font>
    <font>
      <b/>
      <sz val="26"/>
      <color rgb="FF0E3B43"/>
      <name val="Calibri"/>
      <charset val="1"/>
    </font>
    <font>
      <b/>
      <sz val="10"/>
      <color rgb="FF1B6B73"/>
      <name val="Calibri"/>
      <charset val="1"/>
    </font>
    <font>
      <b/>
      <sz val="9"/>
      <color rgb="FFC9973A"/>
      <name val="Calibri"/>
      <charset val="1"/>
    </font>
    <font>
      <b/>
      <sz val="28"/>
      <color rgb="FF1B6B73"/>
      <name val="Calibri"/>
      <charset val="1"/>
    </font>
  </fonts>
  <fills count="15">
    <fill>
      <patternFill patternType="none"/>
    </fill>
    <fill>
      <patternFill patternType="gray125"/>
    </fill>
    <fill>
      <patternFill patternType="solid">
        <fgColor rgb="FFC9973A"/>
        <bgColor rgb="FFB07A16"/>
      </patternFill>
    </fill>
    <fill>
      <patternFill patternType="solid">
        <fgColor rgb="FF0E3B43"/>
        <bgColor rgb="FF2B2B2B"/>
      </patternFill>
    </fill>
    <fill>
      <patternFill patternType="solid">
        <fgColor rgb="FF1B6B73"/>
        <bgColor rgb="FF008080"/>
      </patternFill>
    </fill>
    <fill>
      <patternFill patternType="solid">
        <fgColor rgb="FFFFFFFF"/>
        <bgColor rgb="FFFFFBF2"/>
      </patternFill>
    </fill>
    <fill>
      <patternFill patternType="solid">
        <fgColor rgb="FFEFEAE0"/>
        <bgColor rgb="FFF5F2EA"/>
      </patternFill>
    </fill>
    <fill>
      <patternFill patternType="solid">
        <fgColor rgb="FFFFFBF2"/>
        <bgColor rgb="FFFFFFFF"/>
      </patternFill>
    </fill>
    <fill>
      <patternFill patternType="solid">
        <fgColor rgb="FFCFE6E2"/>
        <bgColor rgb="FFD9D9D9"/>
      </patternFill>
    </fill>
    <fill>
      <patternFill patternType="solid">
        <fgColor rgb="FFF7E4B5"/>
        <bgColor rgb="FFEFEAE0"/>
      </patternFill>
    </fill>
    <fill>
      <patternFill patternType="solid">
        <fgColor rgb="FFF2C4BE"/>
        <bgColor rgb="FFD9D3C5"/>
      </patternFill>
    </fill>
    <fill>
      <patternFill patternType="solid">
        <fgColor rgb="FF8C9196"/>
        <bgColor rgb="FF878787"/>
      </patternFill>
    </fill>
    <fill>
      <patternFill patternType="solid">
        <fgColor rgb="FFE6E0EF"/>
        <bgColor rgb="FFEFEAE0"/>
      </patternFill>
    </fill>
    <fill>
      <patternFill patternType="solid">
        <fgColor rgb="FF7A7466"/>
        <bgColor rgb="FF878787"/>
      </patternFill>
    </fill>
    <fill>
      <patternFill patternType="solid">
        <fgColor rgb="FFF5F2EA"/>
        <bgColor rgb="FFFBF3DE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C9973A"/>
      </bottom>
      <diagonal/>
    </border>
    <border>
      <left style="thin">
        <color rgb="FFD9D3C5"/>
      </left>
      <right style="thin">
        <color rgb="FFD9D3C5"/>
      </right>
      <top style="thin">
        <color rgb="FFD9D3C5"/>
      </top>
      <bottom style="thin">
        <color rgb="FFD9D3C5"/>
      </bottom>
      <diagonal/>
    </border>
    <border>
      <left style="medium">
        <color rgb="FFC9973A"/>
      </left>
      <right style="medium">
        <color rgb="FFC9973A"/>
      </right>
      <top style="medium">
        <color rgb="FFC9973A"/>
      </top>
      <bottom style="medium">
        <color rgb="FFC9973A"/>
      </bottom>
      <diagonal/>
    </border>
    <border>
      <left style="thin">
        <color rgb="FF1B6B73"/>
      </left>
      <right style="thin">
        <color rgb="FF1B6B73"/>
      </right>
      <top/>
      <bottom/>
      <diagonal/>
    </border>
    <border>
      <left/>
      <right/>
      <top style="thick">
        <color rgb="FFC9973A"/>
      </top>
      <bottom/>
      <diagonal/>
    </border>
    <border>
      <left/>
      <right/>
      <top style="medium">
        <color rgb="FF1B6B73"/>
      </top>
      <bottom style="thin">
        <color rgb="FFD9D3C5"/>
      </bottom>
      <diagonal/>
    </border>
    <border>
      <left/>
      <right/>
      <top/>
      <bottom style="thin">
        <color rgb="FFD9D3C5"/>
      </bottom>
      <diagonal/>
    </border>
  </borders>
  <cellStyleXfs count="1">
    <xf numFmtId="0" fontId="0" fillId="0" borderId="0"/>
  </cellStyleXfs>
  <cellXfs count="108">
    <xf numFmtId="0" fontId="0" fillId="0" borderId="0" xfId="0"/>
    <xf numFmtId="164" fontId="7" fillId="7" borderId="3" xfId="0" applyNumberFormat="1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9" fillId="5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 indent="1"/>
    </xf>
    <xf numFmtId="0" fontId="6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 indent="1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5" fillId="0" borderId="1" xfId="0" applyFont="1" applyBorder="1"/>
    <xf numFmtId="0" fontId="0" fillId="0" borderId="1" xfId="0" applyBorder="1"/>
    <xf numFmtId="0" fontId="7" fillId="0" borderId="0" xfId="0" applyFont="1" applyAlignment="1">
      <alignment horizontal="left" vertical="center" indent="1"/>
    </xf>
    <xf numFmtId="0" fontId="9" fillId="6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164" fontId="7" fillId="7" borderId="3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 vertical="center"/>
    </xf>
    <xf numFmtId="0" fontId="18" fillId="8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0" fillId="5" borderId="0" xfId="0" applyFill="1"/>
    <xf numFmtId="0" fontId="2" fillId="3" borderId="0" xfId="0" applyFont="1" applyFill="1"/>
    <xf numFmtId="165" fontId="23" fillId="4" borderId="0" xfId="0" applyNumberFormat="1" applyFont="1" applyFill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left" vertical="center" indent="1"/>
    </xf>
    <xf numFmtId="0" fontId="24" fillId="6" borderId="2" xfId="0" applyFont="1" applyFill="1" applyBorder="1" applyAlignment="1">
      <alignment horizontal="left" vertical="center" indent="1"/>
    </xf>
    <xf numFmtId="0" fontId="26" fillId="0" borderId="2" xfId="0" applyFont="1" applyBorder="1" applyAlignment="1">
      <alignment horizontal="center" vertical="center" shrinkToFit="1"/>
    </xf>
    <xf numFmtId="0" fontId="27" fillId="6" borderId="2" xfId="0" applyFont="1" applyFill="1" applyBorder="1" applyAlignment="1">
      <alignment horizontal="center" vertical="center" wrapText="1"/>
    </xf>
    <xf numFmtId="9" fontId="7" fillId="5" borderId="2" xfId="0" applyNumberFormat="1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1" fontId="24" fillId="6" borderId="2" xfId="0" applyNumberFormat="1" applyFont="1" applyFill="1" applyBorder="1" applyAlignment="1">
      <alignment horizontal="center" vertical="center" wrapText="1"/>
    </xf>
    <xf numFmtId="164" fontId="29" fillId="5" borderId="2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1" fontId="29" fillId="6" borderId="2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left" vertical="center" indent="1"/>
    </xf>
    <xf numFmtId="0" fontId="29" fillId="6" borderId="2" xfId="0" applyFont="1" applyFill="1" applyBorder="1" applyAlignment="1">
      <alignment horizontal="left" vertical="center" indent="1"/>
    </xf>
    <xf numFmtId="0" fontId="30" fillId="6" borderId="2" xfId="0" applyFont="1" applyFill="1" applyBorder="1" applyAlignment="1">
      <alignment horizontal="center" vertical="center" wrapText="1"/>
    </xf>
    <xf numFmtId="0" fontId="24" fillId="0" borderId="0" xfId="0" applyFont="1"/>
    <xf numFmtId="0" fontId="9" fillId="6" borderId="2" xfId="0" applyFont="1" applyFill="1" applyBorder="1" applyAlignment="1">
      <alignment horizontal="left" vertical="center" indent="1"/>
    </xf>
    <xf numFmtId="1" fontId="25" fillId="6" borderId="2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shrinkToFit="1"/>
    </xf>
    <xf numFmtId="166" fontId="30" fillId="6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31" fillId="6" borderId="0" xfId="0" applyFont="1" applyFill="1" applyAlignment="1">
      <alignment horizontal="center" vertical="center" wrapText="1"/>
    </xf>
    <xf numFmtId="1" fontId="27" fillId="6" borderId="2" xfId="0" applyNumberFormat="1" applyFont="1" applyFill="1" applyBorder="1" applyAlignment="1">
      <alignment horizontal="center" vertical="center" wrapText="1"/>
    </xf>
    <xf numFmtId="167" fontId="27" fillId="6" borderId="2" xfId="0" applyNumberFormat="1" applyFont="1" applyFill="1" applyBorder="1" applyAlignment="1">
      <alignment horizontal="center" vertical="center" wrapText="1"/>
    </xf>
    <xf numFmtId="9" fontId="9" fillId="6" borderId="2" xfId="0" applyNumberFormat="1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indent="1"/>
    </xf>
    <xf numFmtId="1" fontId="9" fillId="8" borderId="6" xfId="0" applyNumberFormat="1" applyFont="1" applyFill="1" applyBorder="1" applyAlignment="1">
      <alignment horizontal="center" vertical="center" wrapText="1"/>
    </xf>
    <xf numFmtId="167" fontId="9" fillId="8" borderId="6" xfId="0" applyNumberFormat="1" applyFont="1" applyFill="1" applyBorder="1" applyAlignment="1">
      <alignment horizontal="center" vertical="center" wrapText="1"/>
    </xf>
    <xf numFmtId="9" fontId="9" fillId="8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14" fillId="0" borderId="0" xfId="0" applyNumberFormat="1" applyFont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168" fontId="7" fillId="7" borderId="3" xfId="0" applyNumberFormat="1" applyFont="1" applyFill="1" applyBorder="1" applyAlignment="1">
      <alignment horizontal="center" vertical="center"/>
    </xf>
    <xf numFmtId="169" fontId="7" fillId="7" borderId="3" xfId="0" applyNumberFormat="1" applyFont="1" applyFill="1" applyBorder="1" applyAlignment="1">
      <alignment horizontal="center" vertical="center"/>
    </xf>
    <xf numFmtId="170" fontId="7" fillId="7" borderId="3" xfId="0" applyNumberFormat="1" applyFont="1" applyFill="1" applyBorder="1" applyAlignment="1">
      <alignment horizontal="center" vertical="center"/>
    </xf>
    <xf numFmtId="9" fontId="7" fillId="7" borderId="3" xfId="0" applyNumberFormat="1" applyFont="1" applyFill="1" applyBorder="1" applyAlignment="1">
      <alignment horizontal="center" vertical="center"/>
    </xf>
    <xf numFmtId="1" fontId="7" fillId="6" borderId="7" xfId="0" applyNumberFormat="1" applyFont="1" applyFill="1" applyBorder="1" applyAlignment="1">
      <alignment horizontal="right" vertical="center" indent="1"/>
    </xf>
    <xf numFmtId="167" fontId="7" fillId="6" borderId="7" xfId="0" applyNumberFormat="1" applyFont="1" applyFill="1" applyBorder="1" applyAlignment="1">
      <alignment horizontal="right" vertical="center" indent="1"/>
    </xf>
    <xf numFmtId="1" fontId="7" fillId="8" borderId="7" xfId="0" applyNumberFormat="1" applyFont="1" applyFill="1" applyBorder="1" applyAlignment="1">
      <alignment horizontal="right" vertical="center" indent="1"/>
    </xf>
    <xf numFmtId="0" fontId="17" fillId="14" borderId="5" xfId="0" applyFont="1" applyFill="1" applyBorder="1"/>
    <xf numFmtId="0" fontId="0" fillId="14" borderId="5" xfId="0" applyFill="1" applyBorder="1"/>
    <xf numFmtId="166" fontId="7" fillId="6" borderId="7" xfId="0" applyNumberFormat="1" applyFont="1" applyFill="1" applyBorder="1" applyAlignment="1">
      <alignment horizontal="right" vertical="center" indent="1"/>
    </xf>
    <xf numFmtId="0" fontId="7" fillId="8" borderId="7" xfId="0" applyFont="1" applyFill="1" applyBorder="1" applyAlignment="1">
      <alignment horizontal="right" vertical="center" indent="1"/>
    </xf>
    <xf numFmtId="170" fontId="7" fillId="6" borderId="7" xfId="0" applyNumberFormat="1" applyFont="1" applyFill="1" applyBorder="1" applyAlignment="1">
      <alignment horizontal="right" vertical="center" indent="1"/>
    </xf>
    <xf numFmtId="170" fontId="7" fillId="8" borderId="7" xfId="0" applyNumberFormat="1" applyFont="1" applyFill="1" applyBorder="1" applyAlignment="1">
      <alignment horizontal="right" vertical="center" indent="1"/>
    </xf>
    <xf numFmtId="2" fontId="7" fillId="6" borderId="7" xfId="0" applyNumberFormat="1" applyFont="1" applyFill="1" applyBorder="1" applyAlignment="1">
      <alignment horizontal="right" vertical="center" indent="1"/>
    </xf>
    <xf numFmtId="167" fontId="29" fillId="6" borderId="2" xfId="0" applyNumberFormat="1" applyFont="1" applyFill="1" applyBorder="1" applyAlignment="1">
      <alignment horizontal="center" vertical="center" wrapText="1"/>
    </xf>
    <xf numFmtId="9" fontId="29" fillId="6" borderId="2" xfId="0" applyNumberFormat="1" applyFont="1" applyFill="1" applyBorder="1" applyAlignment="1">
      <alignment horizontal="center" vertical="center" wrapText="1"/>
    </xf>
    <xf numFmtId="1" fontId="29" fillId="5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0" xfId="0" applyFont="1" applyFill="1" applyAlignment="1">
      <alignment horizontal="right" vertical="center" indent="1"/>
    </xf>
    <xf numFmtId="0" fontId="12" fillId="3" borderId="0" xfId="0" applyFont="1" applyFill="1" applyAlignment="1">
      <alignment horizontal="right" vertical="center" indent="1"/>
    </xf>
    <xf numFmtId="0" fontId="17" fillId="0" borderId="0" xfId="0" applyFont="1"/>
    <xf numFmtId="0" fontId="15" fillId="0" borderId="0" xfId="0" applyFont="1" applyAlignment="1">
      <alignment horizontal="right" vertical="center"/>
    </xf>
    <xf numFmtId="0" fontId="17" fillId="14" borderId="5" xfId="0" applyFont="1" applyFill="1" applyBorder="1" applyAlignment="1">
      <alignment horizontal="left" vertical="center" indent="1"/>
    </xf>
    <xf numFmtId="1" fontId="32" fillId="14" borderId="0" xfId="0" applyNumberFormat="1" applyFont="1" applyFill="1" applyAlignment="1">
      <alignment horizontal="left" vertical="center" indent="1"/>
    </xf>
    <xf numFmtId="2" fontId="32" fillId="14" borderId="0" xfId="0" applyNumberFormat="1" applyFont="1" applyFill="1" applyAlignment="1">
      <alignment horizontal="left" vertical="center" indent="1"/>
    </xf>
    <xf numFmtId="9" fontId="32" fillId="14" borderId="0" xfId="0" applyNumberFormat="1" applyFont="1" applyFill="1" applyAlignment="1">
      <alignment horizontal="left" vertical="center" indent="1"/>
    </xf>
    <xf numFmtId="0" fontId="16" fillId="14" borderId="0" xfId="0" applyFont="1" applyFill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top" wrapText="1" indent="1"/>
    </xf>
    <xf numFmtId="0" fontId="29" fillId="0" borderId="7" xfId="0" applyFont="1" applyBorder="1" applyAlignment="1">
      <alignment horizontal="left" vertical="center" indent="1"/>
    </xf>
    <xf numFmtId="0" fontId="29" fillId="5" borderId="7" xfId="0" applyFont="1" applyFill="1" applyBorder="1" applyAlignment="1">
      <alignment horizontal="left" vertical="center" indent="1"/>
    </xf>
    <xf numFmtId="0" fontId="9" fillId="8" borderId="7" xfId="0" applyFont="1" applyFill="1" applyBorder="1" applyAlignment="1">
      <alignment horizontal="left" vertical="center" indent="1"/>
    </xf>
    <xf numFmtId="170" fontId="35" fillId="14" borderId="0" xfId="0" applyNumberFormat="1" applyFont="1" applyFill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</cellXfs>
  <cellStyles count="1">
    <cellStyle name="Standard" xfId="0" builtinId="0"/>
  </cellStyles>
  <dxfs count="42">
    <dxf>
      <font>
        <b/>
        <color rgb="FFFFFFFF"/>
        <name val="Calibri"/>
        <charset val="1"/>
      </font>
      <fill>
        <patternFill>
          <bgColor rgb="FF8C9196"/>
        </patternFill>
      </fill>
    </dxf>
    <dxf>
      <fill>
        <patternFill>
          <bgColor rgb="FFF2C4BE"/>
        </patternFill>
      </fill>
    </dxf>
    <dxf>
      <font>
        <b/>
        <sz val="26"/>
        <color rgb="FF9E2B22"/>
        <name val="Calibri"/>
        <charset val="1"/>
      </font>
    </dxf>
    <dxf>
      <font>
        <b/>
        <sz val="26"/>
        <color rgb="FFB07A16"/>
        <name val="Calibri"/>
        <charset val="1"/>
      </font>
    </dxf>
    <dxf>
      <font>
        <b/>
        <color rgb="FF0E3B43"/>
        <name val="Calibri"/>
        <charset val="1"/>
      </font>
      <fill>
        <patternFill>
          <bgColor rgb="FFCFE6E2"/>
        </patternFill>
      </fill>
    </dxf>
    <dxf>
      <font>
        <b/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</dxf>
    <dxf>
      <font>
        <b/>
        <color rgb="FF1B6B73"/>
        <name val="Calibri"/>
        <charset val="1"/>
      </font>
    </dxf>
    <dxf>
      <font>
        <b/>
        <color rgb="FF9E2B22"/>
        <name val="Calibri"/>
        <charset val="1"/>
      </font>
    </dxf>
    <dxf>
      <fill>
        <patternFill>
          <bgColor rgb="FFCFE6E2"/>
        </patternFill>
      </fill>
    </dxf>
    <dxf>
      <font>
        <color rgb="FF7A5A12"/>
        <name val="Calibri"/>
        <charset val="1"/>
      </font>
      <fill>
        <patternFill>
          <bgColor rgb="FFF7E4B5"/>
        </patternFill>
      </fill>
    </dxf>
    <dxf>
      <font>
        <i/>
        <color rgb="FF4B3F66"/>
        <name val="Calibri"/>
        <charset val="1"/>
      </font>
      <fill>
        <patternFill>
          <bgColor rgb="FFE6E0EF"/>
        </patternFill>
      </fill>
    </dxf>
    <dxf>
      <fill>
        <patternFill>
          <bgColor rgb="FFC9973A"/>
        </patternFill>
      </fill>
    </dxf>
    <dxf>
      <fill>
        <patternFill>
          <bgColor rgb="FFCFE6E2"/>
        </patternFill>
      </fill>
    </dxf>
    <dxf>
      <font>
        <color rgb="FF7A5A12"/>
        <name val="Calibri"/>
        <charset val="1"/>
      </font>
      <fill>
        <patternFill>
          <bgColor rgb="FFF7E4B5"/>
        </patternFill>
      </fill>
    </dxf>
    <dxf>
      <font>
        <i/>
        <color rgb="FF4B3F66"/>
        <name val="Calibri"/>
        <charset val="1"/>
      </font>
      <fill>
        <patternFill>
          <bgColor rgb="FFE6E0EF"/>
        </patternFill>
      </fill>
    </dxf>
    <dxf>
      <fill>
        <patternFill>
          <bgColor rgb="FFC9973A"/>
        </patternFill>
      </fill>
    </dxf>
    <dxf>
      <font>
        <b/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  <fill>
        <patternFill>
          <bgColor rgb="FFF2C4BE"/>
        </patternFill>
      </fill>
    </dxf>
    <dxf>
      <font>
        <b/>
        <color rgb="FF1B6B73"/>
        <name val="Calibri"/>
        <charset val="1"/>
      </font>
    </dxf>
    <dxf>
      <font>
        <color rgb="FF7A5A12"/>
        <name val="Calibri"/>
        <charset val="1"/>
      </font>
      <fill>
        <patternFill>
          <bgColor rgb="FFF7E4B5"/>
        </patternFill>
      </fill>
    </dxf>
    <dxf>
      <font>
        <color rgb="FF0E3B43"/>
        <name val="Calibri"/>
        <charset val="1"/>
      </font>
      <fill>
        <patternFill>
          <bgColor rgb="FFCFE6E2"/>
        </patternFill>
      </fill>
    </dxf>
    <dxf>
      <fill>
        <patternFill>
          <bgColor rgb="FFFBF3DE"/>
        </patternFill>
      </fill>
    </dxf>
    <dxf>
      <font>
        <i/>
        <strike/>
        <color rgb="FFA8A293"/>
        <name val="Calibri"/>
        <charset val="1"/>
      </font>
    </dxf>
    <dxf>
      <font>
        <b/>
        <color rgb="FF0E3B43"/>
        <name val="Calibri"/>
        <charset val="1"/>
      </font>
      <fill>
        <patternFill>
          <bgColor rgb="FFCFE6E2"/>
        </patternFill>
      </fill>
    </dxf>
    <dxf>
      <font>
        <b/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  <fill>
        <patternFill>
          <bgColor rgb="FFF2C4BE"/>
        </patternFill>
      </fill>
    </dxf>
    <dxf>
      <font>
        <b/>
        <color rgb="FF0E3B43"/>
        <name val="Calibri"/>
        <charset val="1"/>
      </font>
      <fill>
        <patternFill>
          <bgColor rgb="FFCFE6E2"/>
        </patternFill>
      </fill>
    </dxf>
    <dxf>
      <font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  <fill>
        <patternFill>
          <bgColor rgb="FFF2C4BE"/>
        </patternFill>
      </fill>
    </dxf>
    <dxf>
      <font>
        <i/>
        <color rgb="FF4B3F66"/>
        <name val="Calibri"/>
        <charset val="1"/>
      </font>
      <fill>
        <patternFill>
          <bgColor rgb="FFE6E0EF"/>
        </patternFill>
      </fill>
    </dxf>
    <dxf>
      <font>
        <i/>
        <color rgb="FFFFFFFF"/>
        <name val="Calibri"/>
        <charset val="1"/>
      </font>
      <fill>
        <patternFill>
          <bgColor rgb="FF8C9196"/>
        </patternFill>
      </fill>
    </dxf>
    <dxf>
      <fill>
        <patternFill>
          <bgColor rgb="FFC9973A"/>
        </patternFill>
      </fill>
    </dxf>
    <dxf>
      <font>
        <b/>
        <color rgb="FF0E3B43"/>
        <name val="Calibri"/>
        <charset val="1"/>
      </font>
      <fill>
        <patternFill>
          <bgColor rgb="FFCFE6E2"/>
        </patternFill>
      </fill>
    </dxf>
    <dxf>
      <font>
        <b/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  <fill>
        <patternFill>
          <bgColor rgb="FFF2C4BE"/>
        </patternFill>
      </fill>
    </dxf>
    <dxf>
      <font>
        <b/>
        <color rgb="FF0E3B43"/>
        <name val="Calibri"/>
        <charset val="1"/>
      </font>
      <fill>
        <patternFill>
          <bgColor rgb="FFCFE6E2"/>
        </patternFill>
      </fill>
    </dxf>
    <dxf>
      <font>
        <color rgb="FF7A5A12"/>
        <name val="Calibri"/>
        <charset val="1"/>
      </font>
      <fill>
        <patternFill>
          <bgColor rgb="FFF7E4B5"/>
        </patternFill>
      </fill>
    </dxf>
    <dxf>
      <font>
        <b/>
        <color rgb="FF9E2B22"/>
        <name val="Calibri"/>
        <charset val="1"/>
      </font>
      <fill>
        <patternFill>
          <bgColor rgb="FFF2C4BE"/>
        </patternFill>
      </fill>
    </dxf>
    <dxf>
      <font>
        <i/>
        <color rgb="FF4B3F66"/>
        <name val="Calibri"/>
        <charset val="1"/>
      </font>
      <fill>
        <patternFill>
          <bgColor rgb="FFE6E0EF"/>
        </patternFill>
      </fill>
    </dxf>
    <dxf>
      <font>
        <i/>
        <color rgb="FFFFFFFF"/>
        <name val="Calibri"/>
        <charset val="1"/>
      </font>
      <fill>
        <patternFill>
          <bgColor rgb="FF8C9196"/>
        </patternFill>
      </fill>
    </dxf>
    <dxf>
      <fill>
        <patternFill>
          <bgColor rgb="FFC9973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BF2"/>
      <rgbColor rgb="FFFF00FF"/>
      <rgbColor rgb="FF00FFFF"/>
      <rgbColor rgb="FF800000"/>
      <rgbColor rgb="FF008000"/>
      <rgbColor rgb="FF000080"/>
      <rgbColor rgb="FFB07A16"/>
      <rgbColor rgb="FF800080"/>
      <rgbColor rgb="FF1B6B73"/>
      <rgbColor rgb="FFD9D3C5"/>
      <rgbColor rgb="FF878787"/>
      <rgbColor rgb="FFA8A293"/>
      <rgbColor rgb="FF7A5A12"/>
      <rgbColor rgb="FFFBF3DE"/>
      <rgbColor rgb="FFF5F2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AE0"/>
      <rgbColor rgb="FFCFE6E2"/>
      <rgbColor rgb="FFF7E4B5"/>
      <rgbColor rgb="FFE6E0EF"/>
      <rgbColor rgb="FFF2C4BE"/>
      <rgbColor rgb="FFCC99FF"/>
      <rgbColor rgb="FFE8C98A"/>
      <rgbColor rgb="FF3366FF"/>
      <rgbColor rgb="FF33CCCC"/>
      <rgbColor rgb="FF99CC00"/>
      <rgbColor rgb="FFFFCC00"/>
      <rgbColor rgb="FFC9973A"/>
      <rgbColor rgb="FFFF6600"/>
      <rgbColor rgb="FF7A7466"/>
      <rgbColor rgb="FF8C9196"/>
      <rgbColor rgb="FF0E3B43"/>
      <rgbColor rgb="FF339966"/>
      <rgbColor rgb="FF003300"/>
      <rgbColor rgb="FF333300"/>
      <rgbColor rgb="FF9E2B22"/>
      <rgbColor rgb="FF993366"/>
      <rgbColor rgb="FF4B3F66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Auswertung!$G$14</c:f>
              <c:strCache>
                <c:ptCount val="1"/>
                <c:pt idx="0">
                  <c:v>Auslastung</c:v>
                </c:pt>
              </c:strCache>
            </c:strRef>
          </c:tx>
          <c:spPr>
            <a:solidFill>
              <a:srgbClr val="1B6B73"/>
            </a:solidFill>
            <a:ln w="9360">
              <a:solidFill>
                <a:srgbClr val="1B6B73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Auswertung!$B$15:$B$19</c:f>
              <c:strCache>
                <c:ptCount val="5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</c:strCache>
            </c:strRef>
          </c:cat>
          <c:val>
            <c:numRef>
              <c:f>Auswertung!$G$15:$G$19</c:f>
              <c:numCache>
                <c:formatCode>0%</c:formatCode>
                <c:ptCount val="5"/>
                <c:pt idx="0">
                  <c:v>0.71739130434782605</c:v>
                </c:pt>
                <c:pt idx="1">
                  <c:v>0.78260869565217395</c:v>
                </c:pt>
                <c:pt idx="2">
                  <c:v>0.78260869565217395</c:v>
                </c:pt>
                <c:pt idx="3">
                  <c:v>0.72826086956521741</c:v>
                </c:pt>
                <c:pt idx="4">
                  <c:v>0.56521739130434778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1-4BCB-96C5-4F07AEBCF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996619"/>
        <c:axId val="29870533"/>
      </c:barChart>
      <c:catAx>
        <c:axId val="479966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9870533"/>
        <c:crosses val="autoZero"/>
        <c:auto val="1"/>
        <c:lblAlgn val="ctr"/>
        <c:lblOffset val="100"/>
        <c:noMultiLvlLbl val="0"/>
      </c:catAx>
      <c:valAx>
        <c:axId val="29870533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79966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Auswertung!$G$25</c:f>
              <c:strCache>
                <c:ptCount val="1"/>
                <c:pt idx="0">
                  <c:v>Auslastung</c:v>
                </c:pt>
              </c:strCache>
            </c:strRef>
          </c:tx>
          <c:spPr>
            <a:solidFill>
              <a:srgbClr val="C9973A"/>
            </a:solidFill>
            <a:ln w="9360">
              <a:solidFill>
                <a:srgbClr val="C9973A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Auswertung!$B$26:$B$29</c:f>
              <c:strCache>
                <c:ptCount val="4"/>
                <c:pt idx="0">
                  <c:v>Teamzone Nord</c:v>
                </c:pt>
                <c:pt idx="1">
                  <c:v>Fokuszone</c:v>
                </c:pt>
                <c:pt idx="2">
                  <c:v>Teamzone Süd</c:v>
                </c:pt>
                <c:pt idx="3">
                  <c:v>Projektfläche</c:v>
                </c:pt>
              </c:strCache>
            </c:strRef>
          </c:cat>
          <c:val>
            <c:numRef>
              <c:f>Auswertung!$G$26:$G$29</c:f>
              <c:numCache>
                <c:formatCode>0%</c:formatCode>
                <c:ptCount val="4"/>
                <c:pt idx="0">
                  <c:v>0.75</c:v>
                </c:pt>
                <c:pt idx="1">
                  <c:v>0.63749999999999996</c:v>
                </c:pt>
                <c:pt idx="2">
                  <c:v>0.59285714285714286</c:v>
                </c:pt>
                <c:pt idx="3">
                  <c:v>0.9375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1-458B-A9E7-EBBF6C994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73000"/>
        <c:axId val="32456860"/>
      </c:barChart>
      <c:catAx>
        <c:axId val="34973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2456860"/>
        <c:crosses val="autoZero"/>
        <c:auto val="1"/>
        <c:lblAlgn val="ctr"/>
        <c:lblOffset val="100"/>
        <c:noMultiLvlLbl val="0"/>
      </c:catAx>
      <c:valAx>
        <c:axId val="32456860"/>
        <c:scaling>
          <c:orientation val="minMax"/>
          <c:max val="1"/>
          <c:min val="0"/>
        </c:scaling>
        <c:delete val="0"/>
        <c:axPos val="t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9730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13</xdr:col>
      <xdr:colOff>450360</xdr:colOff>
      <xdr:row>19</xdr:row>
      <xdr:rowOff>239760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23</xdr:row>
      <xdr:rowOff>0</xdr:rowOff>
    </xdr:from>
    <xdr:to>
      <xdr:col>13</xdr:col>
      <xdr:colOff>450360</xdr:colOff>
      <xdr:row>29</xdr:row>
      <xdr:rowOff>154080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3B43"/>
    <pageSetUpPr fitToPage="1"/>
  </sheetPr>
  <dimension ref="A1:Q56"/>
  <sheetViews>
    <sheetView showGridLines="0" tabSelected="1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Q34" sqref="Q34"/>
    </sheetView>
  </sheetViews>
  <sheetFormatPr baseColWidth="10" defaultColWidth="8.7109375" defaultRowHeight="15" x14ac:dyDescent="0.25"/>
  <cols>
    <col min="1" max="1" width="2.42578125" customWidth="1"/>
    <col min="2" max="2" width="11" customWidth="1"/>
    <col min="3" max="3" width="7" customWidth="1"/>
    <col min="4" max="4" width="15" customWidth="1"/>
    <col min="5" max="5" width="17" customWidth="1"/>
    <col min="6" max="10" width="14.5703125" customWidth="1"/>
    <col min="11" max="11" width="1.140625" customWidth="1"/>
    <col min="12" max="16" width="14.5703125" customWidth="1"/>
  </cols>
  <sheetData>
    <row r="1" spans="1:17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3.75" customHeight="1" x14ac:dyDescent="0.25">
      <c r="A2" s="16"/>
      <c r="B2" s="17" t="s">
        <v>287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8" t="s">
        <v>40</v>
      </c>
      <c r="Q2" s="16"/>
    </row>
    <row r="3" spans="1:17" ht="19.5" customHeight="1" x14ac:dyDescent="0.25">
      <c r="A3" s="16"/>
      <c r="B3" s="19" t="str">
        <f>Stammdaten!$C$5&amp;"  ·  "&amp;Stammdaten!$C$6</f>
        <v>Beispielunternehmen GmbH  ·  Hauptsitz – Bürogebäude A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2" customHeight="1" x14ac:dyDescent="0.25"/>
    <row r="5" spans="1:17" ht="21.75" customHeight="1" x14ac:dyDescent="0.25">
      <c r="B5" s="25" t="s">
        <v>41</v>
      </c>
      <c r="C5" s="1">
        <v>46307</v>
      </c>
      <c r="D5" s="1"/>
      <c r="E5" s="27" t="s">
        <v>42</v>
      </c>
      <c r="I5" s="28" t="s">
        <v>43</v>
      </c>
      <c r="J5" s="29" t="s">
        <v>22</v>
      </c>
      <c r="L5" s="30" t="s">
        <v>44</v>
      </c>
      <c r="M5" s="31" t="s">
        <v>26</v>
      </c>
      <c r="N5" s="32" t="s">
        <v>28</v>
      </c>
      <c r="O5" s="33" t="s">
        <v>30</v>
      </c>
      <c r="P5" s="34" t="s">
        <v>45</v>
      </c>
    </row>
    <row r="6" spans="1:17" ht="7.5" customHeight="1" x14ac:dyDescent="0.25"/>
    <row r="7" spans="1:17" ht="19.5" customHeight="1" x14ac:dyDescent="0.25">
      <c r="F7" s="91" t="str">
        <f>"KALENDERWOCHE "&amp;_xlfn.ISOWEEKNUM(F8)</f>
        <v>KALENDERWOCHE 42</v>
      </c>
      <c r="G7" s="91"/>
      <c r="H7" s="91"/>
      <c r="I7" s="91"/>
      <c r="J7" s="91"/>
      <c r="K7" s="35"/>
      <c r="L7" s="91" t="str">
        <f>"KALENDERWOCHE "&amp;_xlfn.ISOWEEKNUM(L8)</f>
        <v>KALENDERWOCHE 43</v>
      </c>
      <c r="M7" s="91"/>
      <c r="N7" s="91"/>
      <c r="O7" s="91"/>
      <c r="P7" s="91"/>
    </row>
    <row r="8" spans="1:17" ht="21.75" customHeight="1" x14ac:dyDescent="0.25">
      <c r="B8" s="36" t="s">
        <v>46</v>
      </c>
      <c r="C8" s="16"/>
      <c r="D8" s="16"/>
      <c r="E8" s="16"/>
      <c r="F8" s="37">
        <f>$C$5-WEEKDAY($C$5,2)+1</f>
        <v>46307</v>
      </c>
      <c r="G8" s="37">
        <f>$F$8+1</f>
        <v>46308</v>
      </c>
      <c r="H8" s="37">
        <f>$F$8+2</f>
        <v>46309</v>
      </c>
      <c r="I8" s="37">
        <f>$F$8+3</f>
        <v>46310</v>
      </c>
      <c r="J8" s="37">
        <f>$F$8+4</f>
        <v>46311</v>
      </c>
      <c r="K8" s="35"/>
      <c r="L8" s="37">
        <f>$F$8+7</f>
        <v>46314</v>
      </c>
      <c r="M8" s="37">
        <f>$F$8+8</f>
        <v>46315</v>
      </c>
      <c r="N8" s="37">
        <f>$F$8+9</f>
        <v>46316</v>
      </c>
      <c r="O8" s="37">
        <f>$F$8+10</f>
        <v>46317</v>
      </c>
      <c r="P8" s="37">
        <f>$F$8+11</f>
        <v>46318</v>
      </c>
    </row>
    <row r="9" spans="1:17" ht="21.75" customHeight="1" x14ac:dyDescent="0.25">
      <c r="B9" s="38" t="s">
        <v>47</v>
      </c>
      <c r="C9" s="38" t="s">
        <v>48</v>
      </c>
      <c r="D9" s="38" t="s">
        <v>49</v>
      </c>
      <c r="E9" s="38" t="s">
        <v>50</v>
      </c>
      <c r="F9" s="39" t="str">
        <f>CHOOSE(WEEKDAY(F$8,2),"Montag","Dienstag","Mittwoch","Donnerstag","Freitag","Samstag","Sonntag")</f>
        <v>Montag</v>
      </c>
      <c r="G9" s="39" t="str">
        <f>CHOOSE(WEEKDAY(G$8,2),"Montag","Dienstag","Mittwoch","Donnerstag","Freitag","Samstag","Sonntag")</f>
        <v>Dienstag</v>
      </c>
      <c r="H9" s="39" t="str">
        <f>CHOOSE(WEEKDAY(H$8,2),"Montag","Dienstag","Mittwoch","Donnerstag","Freitag","Samstag","Sonntag")</f>
        <v>Mittwoch</v>
      </c>
      <c r="I9" s="39" t="str">
        <f>CHOOSE(WEEKDAY(I$8,2),"Montag","Dienstag","Mittwoch","Donnerstag","Freitag","Samstag","Sonntag")</f>
        <v>Donnerstag</v>
      </c>
      <c r="J9" s="39" t="str">
        <f>CHOOSE(WEEKDAY(J$8,2),"Montag","Dienstag","Mittwoch","Donnerstag","Freitag","Samstag","Sonntag")</f>
        <v>Freitag</v>
      </c>
      <c r="K9" s="35"/>
      <c r="L9" s="39" t="str">
        <f>CHOOSE(WEEKDAY(L$8,2),"Montag","Dienstag","Mittwoch","Donnerstag","Freitag","Samstag","Sonntag")</f>
        <v>Montag</v>
      </c>
      <c r="M9" s="39" t="str">
        <f>CHOOSE(WEEKDAY(M$8,2),"Montag","Dienstag","Mittwoch","Donnerstag","Freitag","Samstag","Sonntag")</f>
        <v>Dienstag</v>
      </c>
      <c r="N9" s="39" t="str">
        <f>CHOOSE(WEEKDAY(N$8,2),"Montag","Dienstag","Mittwoch","Donnerstag","Freitag","Samstag","Sonntag")</f>
        <v>Mittwoch</v>
      </c>
      <c r="O9" s="39" t="str">
        <f>CHOOSE(WEEKDAY(O$8,2),"Montag","Dienstag","Mittwoch","Donnerstag","Freitag","Samstag","Sonntag")</f>
        <v>Donnerstag</v>
      </c>
      <c r="P9" s="39" t="str">
        <f>CHOOSE(WEEKDAY(P$8,2),"Montag","Dienstag","Mittwoch","Donnerstag","Freitag","Samstag","Sonntag")</f>
        <v>Freitag</v>
      </c>
    </row>
    <row r="10" spans="1:17" ht="19.5" customHeight="1" x14ac:dyDescent="0.25">
      <c r="B10" s="23" t="str">
        <f>IF(Stammdaten!$B10="","",Stammdaten!$B10)</f>
        <v>A-01</v>
      </c>
      <c r="C10" s="40" t="str">
        <f>IF($B10="","",Stammdaten!$C10)</f>
        <v>1. OG</v>
      </c>
      <c r="D10" s="41" t="str">
        <f>IF($B10="","",Stammdaten!$D10)</f>
        <v>Teamzone Nord</v>
      </c>
      <c r="E10" s="42" t="str">
        <f>IF($B10="","",Stammdaten!$F10&amp;" Mon."&amp;IF(Stammdaten!$G10="Ja"," · Dock","")&amp;IF(Stammdaten!$H10="Ja"," · HV",""))</f>
        <v>2 Mon. · Dock</v>
      </c>
      <c r="F10" s="43" t="str">
        <f>IF($B10="","",IF(Stammdaten!$I10="Gesperrt","gesperrt",IF(COUNTIF(Stammdaten!$AD$10:$AD$30,F$8)&gt;0,"Feiertag",IFERROR(INDEX(Buchungen!$T$6:$T$605,MATCH($B10&amp;"|"&amp;F$8&amp;"|1",Buchungen!$Q$6:$Q$605,0)),"")&amp;IFERROR(" / "&amp;INDEX(Buchungen!$T$6:$T$605,MATCH($B10&amp;"|"&amp;F$8&amp;"|2",Buchungen!$Q$6:$Q$605,0)),""))))</f>
        <v>J. Weber</v>
      </c>
      <c r="G10" s="43" t="str">
        <f>IF($B10="","",IF(Stammdaten!$I10="Gesperrt","gesperrt",IF(COUNTIF(Stammdaten!$AD$10:$AD$30,G$8)&gt;0,"Feiertag",IFERROR(INDEX(Buchungen!$T$6:$T$605,MATCH($B10&amp;"|"&amp;G$8&amp;"|1",Buchungen!$Q$6:$Q$605,0)),"")&amp;IFERROR(" / "&amp;INDEX(Buchungen!$T$6:$T$605,MATCH($B10&amp;"|"&amp;G$8&amp;"|2",Buchungen!$Q$6:$Q$605,0)),""))))</f>
        <v/>
      </c>
      <c r="H10" s="43" t="str">
        <f>IF($B10="","",IF(Stammdaten!$I10="Gesperrt","gesperrt",IF(COUNTIF(Stammdaten!$AD$10:$AD$30,H$8)&gt;0,"Feiertag",IFERROR(INDEX(Buchungen!$T$6:$T$605,MATCH($B10&amp;"|"&amp;H$8&amp;"|1",Buchungen!$Q$6:$Q$605,0)),"")&amp;IFERROR(" / "&amp;INDEX(Buchungen!$T$6:$T$605,MATCH($B10&amp;"|"&amp;H$8&amp;"|2",Buchungen!$Q$6:$Q$605,0)),""))))</f>
        <v>J. Weber</v>
      </c>
      <c r="I10" s="43" t="str">
        <f>IF($B10="","",IF(Stammdaten!$I10="Gesperrt","gesperrt",IF(COUNTIF(Stammdaten!$AD$10:$AD$30,I$8)&gt;0,"Feiertag",IFERROR(INDEX(Buchungen!$T$6:$T$605,MATCH($B10&amp;"|"&amp;I$8&amp;"|1",Buchungen!$Q$6:$Q$605,0)),"")&amp;IFERROR(" / "&amp;INDEX(Buchungen!$T$6:$T$605,MATCH($B10&amp;"|"&amp;I$8&amp;"|2",Buchungen!$Q$6:$Q$605,0)),""))))</f>
        <v>M. Seidel</v>
      </c>
      <c r="J10" s="43" t="str">
        <f>IF($B10="","",IF(Stammdaten!$I10="Gesperrt","gesperrt",IF(COUNTIF(Stammdaten!$AD$10:$AD$30,J$8)&gt;0,"Feiertag",IFERROR(INDEX(Buchungen!$T$6:$T$605,MATCH($B10&amp;"|"&amp;J$8&amp;"|1",Buchungen!$Q$6:$Q$605,0)),"")&amp;IFERROR(" / "&amp;INDEX(Buchungen!$T$6:$T$605,MATCH($B10&amp;"|"&amp;J$8&amp;"|2",Buchungen!$Q$6:$Q$605,0)),""))))</f>
        <v>F. Engel</v>
      </c>
      <c r="K10" s="16"/>
      <c r="L10" s="43" t="str">
        <f>IF($B10="","",IF(Stammdaten!$I10="Gesperrt","gesperrt",IF(COUNTIF(Stammdaten!$AD$10:$AD$30,L$8)&gt;0,"Feiertag",IFERROR(INDEX(Buchungen!$T$6:$T$605,MATCH($B10&amp;"|"&amp;L$8&amp;"|1",Buchungen!$Q$6:$Q$605,0)),"")&amp;IFERROR(" / "&amp;INDEX(Buchungen!$T$6:$T$605,MATCH($B10&amp;"|"&amp;L$8&amp;"|2",Buchungen!$Q$6:$Q$605,0)),""))))</f>
        <v>M. Seidel</v>
      </c>
      <c r="M10" s="43" t="str">
        <f>IF($B10="","",IF(Stammdaten!$I10="Gesperrt","gesperrt",IF(COUNTIF(Stammdaten!$AD$10:$AD$30,M$8)&gt;0,"Feiertag",IFERROR(INDEX(Buchungen!$T$6:$T$605,MATCH($B10&amp;"|"&amp;M$8&amp;"|1",Buchungen!$Q$6:$Q$605,0)),"")&amp;IFERROR(" / "&amp;INDEX(Buchungen!$T$6:$T$605,MATCH($B10&amp;"|"&amp;M$8&amp;"|2",Buchungen!$Q$6:$Q$605,0)),""))))</f>
        <v>M. Seidel</v>
      </c>
      <c r="N10" s="43" t="str">
        <f>IF($B10="","",IF(Stammdaten!$I10="Gesperrt","gesperrt",IF(COUNTIF(Stammdaten!$AD$10:$AD$30,N$8)&gt;0,"Feiertag",IFERROR(INDEX(Buchungen!$T$6:$T$605,MATCH($B10&amp;"|"&amp;N$8&amp;"|1",Buchungen!$Q$6:$Q$605,0)),"")&amp;IFERROR(" / "&amp;INDEX(Buchungen!$T$6:$T$605,MATCH($B10&amp;"|"&amp;N$8&amp;"|2",Buchungen!$Q$6:$Q$605,0)),""))))</f>
        <v/>
      </c>
      <c r="O10" s="43" t="str">
        <f>IF($B10="","",IF(Stammdaten!$I10="Gesperrt","gesperrt",IF(COUNTIF(Stammdaten!$AD$10:$AD$30,O$8)&gt;0,"Feiertag",IFERROR(INDEX(Buchungen!$T$6:$T$605,MATCH($B10&amp;"|"&amp;O$8&amp;"|1",Buchungen!$Q$6:$Q$605,0)),"")&amp;IFERROR(" / "&amp;INDEX(Buchungen!$T$6:$T$605,MATCH($B10&amp;"|"&amp;O$8&amp;"|2",Buchungen!$Q$6:$Q$605,0)),""))))</f>
        <v>A. Demir</v>
      </c>
      <c r="P10" s="43" t="str">
        <f>IF($B10="","",IF(Stammdaten!$I10="Gesperrt","gesperrt",IF(COUNTIF(Stammdaten!$AD$10:$AD$30,P$8)&gt;0,"Feiertag",IFERROR(INDEX(Buchungen!$T$6:$T$605,MATCH($B10&amp;"|"&amp;P$8&amp;"|1",Buchungen!$Q$6:$Q$605,0)),"")&amp;IFERROR(" / "&amp;INDEX(Buchungen!$T$6:$T$605,MATCH($B10&amp;"|"&amp;P$8&amp;"|2",Buchungen!$Q$6:$Q$605,0)),""))))</f>
        <v>M. Seidel</v>
      </c>
    </row>
    <row r="11" spans="1:17" ht="19.5" customHeight="1" x14ac:dyDescent="0.25">
      <c r="B11" s="23" t="str">
        <f>IF(Stammdaten!$B11="","",Stammdaten!$B11)</f>
        <v>A-02</v>
      </c>
      <c r="C11" s="40" t="str">
        <f>IF($B11="","",Stammdaten!$C11)</f>
        <v>1. OG</v>
      </c>
      <c r="D11" s="41" t="str">
        <f>IF($B11="","",Stammdaten!$D11)</f>
        <v>Teamzone Nord</v>
      </c>
      <c r="E11" s="42" t="str">
        <f>IF($B11="","",Stammdaten!$F11&amp;" Mon."&amp;IF(Stammdaten!$G11="Ja"," · Dock","")&amp;IF(Stammdaten!$H11="Ja"," · HV",""))</f>
        <v>2 Mon. · Dock</v>
      </c>
      <c r="F11" s="43" t="str">
        <f>IF($B11="","",IF(Stammdaten!$I11="Gesperrt","gesperrt",IF(COUNTIF(Stammdaten!$AD$10:$AD$30,F$8)&gt;0,"Feiertag",IFERROR(INDEX(Buchungen!$T$6:$T$605,MATCH($B11&amp;"|"&amp;F$8&amp;"|1",Buchungen!$Q$6:$Q$605,0)),"")&amp;IFERROR(" / "&amp;INDEX(Buchungen!$T$6:$T$605,MATCH($B11&amp;"|"&amp;F$8&amp;"|2",Buchungen!$Q$6:$Q$605,0)),""))))</f>
        <v>P. Schreiber</v>
      </c>
      <c r="G11" s="43" t="str">
        <f>IF($B11="","",IF(Stammdaten!$I11="Gesperrt","gesperrt",IF(COUNTIF(Stammdaten!$AD$10:$AD$30,G$8)&gt;0,"Feiertag",IFERROR(INDEX(Buchungen!$T$6:$T$605,MATCH($B11&amp;"|"&amp;G$8&amp;"|1",Buchungen!$Q$6:$Q$605,0)),"")&amp;IFERROR(" / "&amp;INDEX(Buchungen!$T$6:$T$605,MATCH($B11&amp;"|"&amp;G$8&amp;"|2",Buchungen!$Q$6:$Q$605,0)),""))))</f>
        <v>F. Engel</v>
      </c>
      <c r="H11" s="43" t="str">
        <f>IF($B11="","",IF(Stammdaten!$I11="Gesperrt","gesperrt",IF(COUNTIF(Stammdaten!$AD$10:$AD$30,H$8)&gt;0,"Feiertag",IFERROR(INDEX(Buchungen!$T$6:$T$605,MATCH($B11&amp;"|"&amp;H$8&amp;"|1",Buchungen!$Q$6:$Q$605,0)),"")&amp;IFERROR(" / "&amp;INDEX(Buchungen!$T$6:$T$605,MATCH($B11&amp;"|"&amp;H$8&amp;"|2",Buchungen!$Q$6:$Q$605,0)),""))))</f>
        <v>N. Albrecht</v>
      </c>
      <c r="I11" s="43" t="str">
        <f>IF($B11="","",IF(Stammdaten!$I11="Gesperrt","gesperrt",IF(COUNTIF(Stammdaten!$AD$10:$AD$30,I$8)&gt;0,"Feiertag",IFERROR(INDEX(Buchungen!$T$6:$T$605,MATCH($B11&amp;"|"&amp;I$8&amp;"|1",Buchungen!$Q$6:$Q$605,0)),"")&amp;IFERROR(" / "&amp;INDEX(Buchungen!$T$6:$T$605,MATCH($B11&amp;"|"&amp;I$8&amp;"|2",Buchungen!$Q$6:$Q$605,0)),""))))</f>
        <v>L. Hartmann</v>
      </c>
      <c r="J11" s="43" t="str">
        <f>IF($B11="","",IF(Stammdaten!$I11="Gesperrt","gesperrt",IF(COUNTIF(Stammdaten!$AD$10:$AD$30,J$8)&gt;0,"Feiertag",IFERROR(INDEX(Buchungen!$T$6:$T$605,MATCH($B11&amp;"|"&amp;J$8&amp;"|1",Buchungen!$Q$6:$Q$605,0)),"")&amp;IFERROR(" / "&amp;INDEX(Buchungen!$T$6:$T$605,MATCH($B11&amp;"|"&amp;J$8&amp;"|2",Buchungen!$Q$6:$Q$605,0)),""))))</f>
        <v>L. Hartmann</v>
      </c>
      <c r="K11" s="16"/>
      <c r="L11" s="43" t="str">
        <f>IF($B11="","",IF(Stammdaten!$I11="Gesperrt","gesperrt",IF(COUNTIF(Stammdaten!$AD$10:$AD$30,L$8)&gt;0,"Feiertag",IFERROR(INDEX(Buchungen!$T$6:$T$605,MATCH($B11&amp;"|"&amp;L$8&amp;"|1",Buchungen!$Q$6:$Q$605,0)),"")&amp;IFERROR(" / "&amp;INDEX(Buchungen!$T$6:$T$605,MATCH($B11&amp;"|"&amp;L$8&amp;"|2",Buchungen!$Q$6:$Q$605,0)),""))))</f>
        <v>N. Albrecht</v>
      </c>
      <c r="M11" s="43" t="str">
        <f>IF($B11="","",IF(Stammdaten!$I11="Gesperrt","gesperrt",IF(COUNTIF(Stammdaten!$AD$10:$AD$30,M$8)&gt;0,"Feiertag",IFERROR(INDEX(Buchungen!$T$6:$T$605,MATCH($B11&amp;"|"&amp;M$8&amp;"|1",Buchungen!$Q$6:$Q$605,0)),"")&amp;IFERROR(" / "&amp;INDEX(Buchungen!$T$6:$T$605,MATCH($B11&amp;"|"&amp;M$8&amp;"|2",Buchungen!$Q$6:$Q$605,0)),""))))</f>
        <v>P. Schreiber</v>
      </c>
      <c r="N11" s="43" t="str">
        <f>IF($B11="","",IF(Stammdaten!$I11="Gesperrt","gesperrt",IF(COUNTIF(Stammdaten!$AD$10:$AD$30,N$8)&gt;0,"Feiertag",IFERROR(INDEX(Buchungen!$T$6:$T$605,MATCH($B11&amp;"|"&amp;N$8&amp;"|1",Buchungen!$Q$6:$Q$605,0)),"")&amp;IFERROR(" / "&amp;INDEX(Buchungen!$T$6:$T$605,MATCH($B11&amp;"|"&amp;N$8&amp;"|2",Buchungen!$Q$6:$Q$605,0)),""))))</f>
        <v>L. Hartmann</v>
      </c>
      <c r="O11" s="43" t="str">
        <f>IF($B11="","",IF(Stammdaten!$I11="Gesperrt","gesperrt",IF(COUNTIF(Stammdaten!$AD$10:$AD$30,O$8)&gt;0,"Feiertag",IFERROR(INDEX(Buchungen!$T$6:$T$605,MATCH($B11&amp;"|"&amp;O$8&amp;"|1",Buchungen!$Q$6:$Q$605,0)),"")&amp;IFERROR(" / "&amp;INDEX(Buchungen!$T$6:$T$605,MATCH($B11&amp;"|"&amp;O$8&amp;"|2",Buchungen!$Q$6:$Q$605,0)),""))))</f>
        <v>N. Albrecht</v>
      </c>
      <c r="P11" s="43" t="str">
        <f>IF($B11="","",IF(Stammdaten!$I11="Gesperrt","gesperrt",IF(COUNTIF(Stammdaten!$AD$10:$AD$30,P$8)&gt;0,"Feiertag",IFERROR(INDEX(Buchungen!$T$6:$T$605,MATCH($B11&amp;"|"&amp;P$8&amp;"|1",Buchungen!$Q$6:$Q$605,0)),"")&amp;IFERROR(" / "&amp;INDEX(Buchungen!$T$6:$T$605,MATCH($B11&amp;"|"&amp;P$8&amp;"|2",Buchungen!$Q$6:$Q$605,0)),""))))</f>
        <v>F. Engel</v>
      </c>
    </row>
    <row r="12" spans="1:17" ht="19.5" customHeight="1" x14ac:dyDescent="0.25">
      <c r="B12" s="23" t="str">
        <f>IF(Stammdaten!$B12="","",Stammdaten!$B12)</f>
        <v>A-03</v>
      </c>
      <c r="C12" s="40" t="str">
        <f>IF($B12="","",Stammdaten!$C12)</f>
        <v>1. OG</v>
      </c>
      <c r="D12" s="41" t="str">
        <f>IF($B12="","",Stammdaten!$D12)</f>
        <v>Teamzone Nord</v>
      </c>
      <c r="E12" s="42" t="str">
        <f>IF($B12="","",Stammdaten!$F12&amp;" Mon."&amp;IF(Stammdaten!$G12="Ja"," · Dock","")&amp;IF(Stammdaten!$H12="Ja"," · HV",""))</f>
        <v>2 Mon. · Dock · HV</v>
      </c>
      <c r="F12" s="43" t="str">
        <f>IF($B12="","",IF(Stammdaten!$I12="Gesperrt","gesperrt",IF(COUNTIF(Stammdaten!$AD$10:$AD$30,F$8)&gt;0,"Feiertag",IFERROR(INDEX(Buchungen!$T$6:$T$605,MATCH($B12&amp;"|"&amp;F$8&amp;"|1",Buchungen!$Q$6:$Q$605,0)),"")&amp;IFERROR(" / "&amp;INDEX(Buchungen!$T$6:$T$605,MATCH($B12&amp;"|"&amp;F$8&amp;"|2",Buchungen!$Q$6:$Q$605,0)),""))))</f>
        <v/>
      </c>
      <c r="G12" s="43" t="str">
        <f>IF($B12="","",IF(Stammdaten!$I12="Gesperrt","gesperrt",IF(COUNTIF(Stammdaten!$AD$10:$AD$30,G$8)&gt;0,"Feiertag",IFERROR(INDEX(Buchungen!$T$6:$T$605,MATCH($B12&amp;"|"&amp;G$8&amp;"|1",Buchungen!$Q$6:$Q$605,0)),"")&amp;IFERROR(" / "&amp;INDEX(Buchungen!$T$6:$T$605,MATCH($B12&amp;"|"&amp;G$8&amp;"|2",Buchungen!$Q$6:$Q$605,0)),""))))</f>
        <v/>
      </c>
      <c r="H12" s="43" t="str">
        <f>IF($B12="","",IF(Stammdaten!$I12="Gesperrt","gesperrt",IF(COUNTIF(Stammdaten!$AD$10:$AD$30,H$8)&gt;0,"Feiertag",IFERROR(INDEX(Buchungen!$T$6:$T$605,MATCH($B12&amp;"|"&amp;H$8&amp;"|1",Buchungen!$Q$6:$Q$605,0)),"")&amp;IFERROR(" / "&amp;INDEX(Buchungen!$T$6:$T$605,MATCH($B12&amp;"|"&amp;H$8&amp;"|2",Buchungen!$Q$6:$Q$605,0)),""))))</f>
        <v>M. Krause</v>
      </c>
      <c r="I12" s="43" t="str">
        <f>IF($B12="","",IF(Stammdaten!$I12="Gesperrt","gesperrt",IF(COUNTIF(Stammdaten!$AD$10:$AD$30,I$8)&gt;0,"Feiertag",IFERROR(INDEX(Buchungen!$T$6:$T$605,MATCH($B12&amp;"|"&amp;I$8&amp;"|1",Buchungen!$Q$6:$Q$605,0)),"")&amp;IFERROR(" / "&amp;INDEX(Buchungen!$T$6:$T$605,MATCH($B12&amp;"|"&amp;I$8&amp;"|2",Buchungen!$Q$6:$Q$605,0)),""))))</f>
        <v/>
      </c>
      <c r="J12" s="43" t="str">
        <f>IF($B12="","",IF(Stammdaten!$I12="Gesperrt","gesperrt",IF(COUNTIF(Stammdaten!$AD$10:$AD$30,J$8)&gt;0,"Feiertag",IFERROR(INDEX(Buchungen!$T$6:$T$605,MATCH($B12&amp;"|"&amp;J$8&amp;"|1",Buchungen!$Q$6:$Q$605,0)),"")&amp;IFERROR(" / "&amp;INDEX(Buchungen!$T$6:$T$605,MATCH($B12&amp;"|"&amp;J$8&amp;"|2",Buchungen!$Q$6:$Q$605,0)),""))))</f>
        <v>A. Demir</v>
      </c>
      <c r="K12" s="16"/>
      <c r="L12" s="43" t="str">
        <f>IF($B12="","",IF(Stammdaten!$I12="Gesperrt","gesperrt",IF(COUNTIF(Stammdaten!$AD$10:$AD$30,L$8)&gt;0,"Feiertag",IFERROR(INDEX(Buchungen!$T$6:$T$605,MATCH($B12&amp;"|"&amp;L$8&amp;"|1",Buchungen!$Q$6:$Q$605,0)),"")&amp;IFERROR(" / "&amp;INDEX(Buchungen!$T$6:$T$605,MATCH($B12&amp;"|"&amp;L$8&amp;"|2",Buchungen!$Q$6:$Q$605,0)),""))))</f>
        <v>P. Schreiber</v>
      </c>
      <c r="M12" s="43" t="str">
        <f>IF($B12="","",IF(Stammdaten!$I12="Gesperrt","gesperrt",IF(COUNTIF(Stammdaten!$AD$10:$AD$30,M$8)&gt;0,"Feiertag",IFERROR(INDEX(Buchungen!$T$6:$T$605,MATCH($B12&amp;"|"&amp;M$8&amp;"|1",Buchungen!$Q$6:$Q$605,0)),"")&amp;IFERROR(" / "&amp;INDEX(Buchungen!$T$6:$T$605,MATCH($B12&amp;"|"&amp;M$8&amp;"|2",Buchungen!$Q$6:$Q$605,0)),""))))</f>
        <v/>
      </c>
      <c r="N12" s="43" t="str">
        <f>IF($B12="","",IF(Stammdaten!$I12="Gesperrt","gesperrt",IF(COUNTIF(Stammdaten!$AD$10:$AD$30,N$8)&gt;0,"Feiertag",IFERROR(INDEX(Buchungen!$T$6:$T$605,MATCH($B12&amp;"|"&amp;N$8&amp;"|1",Buchungen!$Q$6:$Q$605,0)),"")&amp;IFERROR(" / "&amp;INDEX(Buchungen!$T$6:$T$605,MATCH($B12&amp;"|"&amp;N$8&amp;"|2",Buchungen!$Q$6:$Q$605,0)),""))))</f>
        <v>T. Lindner</v>
      </c>
      <c r="O12" s="43" t="str">
        <f>IF($B12="","",IF(Stammdaten!$I12="Gesperrt","gesperrt",IF(COUNTIF(Stammdaten!$AD$10:$AD$30,O$8)&gt;0,"Feiertag",IFERROR(INDEX(Buchungen!$T$6:$T$605,MATCH($B12&amp;"|"&amp;O$8&amp;"|1",Buchungen!$Q$6:$Q$605,0)),"")&amp;IFERROR(" / "&amp;INDEX(Buchungen!$T$6:$T$605,MATCH($B12&amp;"|"&amp;O$8&amp;"|2",Buchungen!$Q$6:$Q$605,0)),""))))</f>
        <v>M. Keller</v>
      </c>
      <c r="P12" s="43" t="str">
        <f>IF($B12="","",IF(Stammdaten!$I12="Gesperrt","gesperrt",IF(COUNTIF(Stammdaten!$AD$10:$AD$30,P$8)&gt;0,"Feiertag",IFERROR(INDEX(Buchungen!$T$6:$T$605,MATCH($B12&amp;"|"&amp;P$8&amp;"|1",Buchungen!$Q$6:$Q$605,0)),"")&amp;IFERROR(" / "&amp;INDEX(Buchungen!$T$6:$T$605,MATCH($B12&amp;"|"&amp;P$8&amp;"|2",Buchungen!$Q$6:$Q$605,0)),""))))</f>
        <v/>
      </c>
    </row>
    <row r="13" spans="1:17" ht="19.5" customHeight="1" x14ac:dyDescent="0.25">
      <c r="B13" s="23" t="str">
        <f>IF(Stammdaten!$B13="","",Stammdaten!$B13)</f>
        <v>A-04</v>
      </c>
      <c r="C13" s="40" t="str">
        <f>IF($B13="","",Stammdaten!$C13)</f>
        <v>1. OG</v>
      </c>
      <c r="D13" s="41" t="str">
        <f>IF($B13="","",Stammdaten!$D13)</f>
        <v>Teamzone Nord</v>
      </c>
      <c r="E13" s="42" t="str">
        <f>IF($B13="","",Stammdaten!$F13&amp;" Mon."&amp;IF(Stammdaten!$G13="Ja"," · Dock","")&amp;IF(Stammdaten!$H13="Ja"," · HV",""))</f>
        <v>2 Mon. · Dock</v>
      </c>
      <c r="F13" s="43" t="str">
        <f>IF($B13="","",IF(Stammdaten!$I13="Gesperrt","gesperrt",IF(COUNTIF(Stammdaten!$AD$10:$AD$30,F$8)&gt;0,"Feiertag",IFERROR(INDEX(Buchungen!$T$6:$T$605,MATCH($B13&amp;"|"&amp;F$8&amp;"|1",Buchungen!$Q$6:$Q$605,0)),"")&amp;IFERROR(" / "&amp;INDEX(Buchungen!$T$6:$T$605,MATCH($B13&amp;"|"&amp;F$8&amp;"|2",Buchungen!$Q$6:$Q$605,0)),""))))</f>
        <v>M. Krause</v>
      </c>
      <c r="G13" s="43" t="str">
        <f>IF($B13="","",IF(Stammdaten!$I13="Gesperrt","gesperrt",IF(COUNTIF(Stammdaten!$AD$10:$AD$30,G$8)&gt;0,"Feiertag",IFERROR(INDEX(Buchungen!$T$6:$T$605,MATCH($B13&amp;"|"&amp;G$8&amp;"|1",Buchungen!$Q$6:$Q$605,0)),"")&amp;IFERROR(" / "&amp;INDEX(Buchungen!$T$6:$T$605,MATCH($B13&amp;"|"&amp;G$8&amp;"|2",Buchungen!$Q$6:$Q$605,0)),""))))</f>
        <v>T. Lindner</v>
      </c>
      <c r="H13" s="43" t="str">
        <f>IF($B13="","",IF(Stammdaten!$I13="Gesperrt","gesperrt",IF(COUNTIF(Stammdaten!$AD$10:$AD$30,H$8)&gt;0,"Feiertag",IFERROR(INDEX(Buchungen!$T$6:$T$605,MATCH($B13&amp;"|"&amp;H$8&amp;"|1",Buchungen!$Q$6:$Q$605,0)),"")&amp;IFERROR(" / "&amp;INDEX(Buchungen!$T$6:$T$605,MATCH($B13&amp;"|"&amp;H$8&amp;"|2",Buchungen!$Q$6:$Q$605,0)),""))))</f>
        <v>C. Vogt</v>
      </c>
      <c r="I13" s="43" t="str">
        <f>IF($B13="","",IF(Stammdaten!$I13="Gesperrt","gesperrt",IF(COUNTIF(Stammdaten!$AD$10:$AD$30,I$8)&gt;0,"Feiertag",IFERROR(INDEX(Buchungen!$T$6:$T$605,MATCH($B13&amp;"|"&amp;I$8&amp;"|1",Buchungen!$Q$6:$Q$605,0)),"")&amp;IFERROR(" / "&amp;INDEX(Buchungen!$T$6:$T$605,MATCH($B13&amp;"|"&amp;I$8&amp;"|2",Buchungen!$Q$6:$Q$605,0)),""))))</f>
        <v/>
      </c>
      <c r="J13" s="43" t="str">
        <f>IF($B13="","",IF(Stammdaten!$I13="Gesperrt","gesperrt",IF(COUNTIF(Stammdaten!$AD$10:$AD$30,J$8)&gt;0,"Feiertag",IFERROR(INDEX(Buchungen!$T$6:$T$605,MATCH($B13&amp;"|"&amp;J$8&amp;"|1",Buchungen!$Q$6:$Q$605,0)),"")&amp;IFERROR(" / "&amp;INDEX(Buchungen!$T$6:$T$605,MATCH($B13&amp;"|"&amp;J$8&amp;"|2",Buchungen!$Q$6:$Q$605,0)),""))))</f>
        <v>T. Lindner</v>
      </c>
      <c r="K13" s="16"/>
      <c r="L13" s="43" t="str">
        <f>IF($B13="","",IF(Stammdaten!$I13="Gesperrt","gesperrt",IF(COUNTIF(Stammdaten!$AD$10:$AD$30,L$8)&gt;0,"Feiertag",IFERROR(INDEX(Buchungen!$T$6:$T$605,MATCH($B13&amp;"|"&amp;L$8&amp;"|1",Buchungen!$Q$6:$Q$605,0)),"")&amp;IFERROR(" / "&amp;INDEX(Buchungen!$T$6:$T$605,MATCH($B13&amp;"|"&amp;L$8&amp;"|2",Buchungen!$Q$6:$Q$605,0)),""))))</f>
        <v>S. Brandt</v>
      </c>
      <c r="M13" s="43" t="str">
        <f>IF($B13="","",IF(Stammdaten!$I13="Gesperrt","gesperrt",IF(COUNTIF(Stammdaten!$AD$10:$AD$30,M$8)&gt;0,"Feiertag",IFERROR(INDEX(Buchungen!$T$6:$T$605,MATCH($B13&amp;"|"&amp;M$8&amp;"|1",Buchungen!$Q$6:$Q$605,0)),"")&amp;IFERROR(" / "&amp;INDEX(Buchungen!$T$6:$T$605,MATCH($B13&amp;"|"&amp;M$8&amp;"|2",Buchungen!$Q$6:$Q$605,0)),""))))</f>
        <v>L. Hartmann</v>
      </c>
      <c r="N13" s="43" t="str">
        <f>IF($B13="","",IF(Stammdaten!$I13="Gesperrt","gesperrt",IF(COUNTIF(Stammdaten!$AD$10:$AD$30,N$8)&gt;0,"Feiertag",IFERROR(INDEX(Buchungen!$T$6:$T$605,MATCH($B13&amp;"|"&amp;N$8&amp;"|1",Buchungen!$Q$6:$Q$605,0)),"")&amp;IFERROR(" / "&amp;INDEX(Buchungen!$T$6:$T$605,MATCH($B13&amp;"|"&amp;N$8&amp;"|2",Buchungen!$Q$6:$Q$605,0)),""))))</f>
        <v>D. Kühn</v>
      </c>
      <c r="O13" s="43" t="str">
        <f>IF($B13="","",IF(Stammdaten!$I13="Gesperrt","gesperrt",IF(COUNTIF(Stammdaten!$AD$10:$AD$30,O$8)&gt;0,"Feiertag",IFERROR(INDEX(Buchungen!$T$6:$T$605,MATCH($B13&amp;"|"&amp;O$8&amp;"|1",Buchungen!$Q$6:$Q$605,0)),"")&amp;IFERROR(" / "&amp;INDEX(Buchungen!$T$6:$T$605,MATCH($B13&amp;"|"&amp;O$8&amp;"|2",Buchungen!$Q$6:$Q$605,0)),""))))</f>
        <v>J. Weber</v>
      </c>
      <c r="P13" s="43" t="str">
        <f>IF($B13="","",IF(Stammdaten!$I13="Gesperrt","gesperrt",IF(COUNTIF(Stammdaten!$AD$10:$AD$30,P$8)&gt;0,"Feiertag",IFERROR(INDEX(Buchungen!$T$6:$T$605,MATCH($B13&amp;"|"&amp;P$8&amp;"|1",Buchungen!$Q$6:$Q$605,0)),"")&amp;IFERROR(" / "&amp;INDEX(Buchungen!$T$6:$T$605,MATCH($B13&amp;"|"&amp;P$8&amp;"|2",Buchungen!$Q$6:$Q$605,0)),""))))</f>
        <v>S. Brandt</v>
      </c>
    </row>
    <row r="14" spans="1:17" ht="19.5" customHeight="1" x14ac:dyDescent="0.25">
      <c r="B14" s="23" t="str">
        <f>IF(Stammdaten!$B14="","",Stammdaten!$B14)</f>
        <v>A-05</v>
      </c>
      <c r="C14" s="40" t="str">
        <f>IF($B14="","",Stammdaten!$C14)</f>
        <v>1. OG</v>
      </c>
      <c r="D14" s="41" t="str">
        <f>IF($B14="","",Stammdaten!$D14)</f>
        <v>Teamzone Nord</v>
      </c>
      <c r="E14" s="42" t="str">
        <f>IF($B14="","",Stammdaten!$F14&amp;" Mon."&amp;IF(Stammdaten!$G14="Ja"," · Dock","")&amp;IF(Stammdaten!$H14="Ja"," · HV",""))</f>
        <v>2 Mon. · Dock</v>
      </c>
      <c r="F14" s="43" t="str">
        <f>IF($B14="","",IF(Stammdaten!$I14="Gesperrt","gesperrt",IF(COUNTIF(Stammdaten!$AD$10:$AD$30,F$8)&gt;0,"Feiertag",IFERROR(INDEX(Buchungen!$T$6:$T$605,MATCH($B14&amp;"|"&amp;F$8&amp;"|1",Buchungen!$Q$6:$Q$605,0)),"")&amp;IFERROR(" / "&amp;INDEX(Buchungen!$T$6:$T$605,MATCH($B14&amp;"|"&amp;F$8&amp;"|2",Buchungen!$Q$6:$Q$605,0)),""))))</f>
        <v>F. Engel</v>
      </c>
      <c r="G14" s="43" t="str">
        <f>IF($B14="","",IF(Stammdaten!$I14="Gesperrt","gesperrt",IF(COUNTIF(Stammdaten!$AD$10:$AD$30,G$8)&gt;0,"Feiertag",IFERROR(INDEX(Buchungen!$T$6:$T$605,MATCH($B14&amp;"|"&amp;G$8&amp;"|1",Buchungen!$Q$6:$Q$605,0)),"")&amp;IFERROR(" / "&amp;INDEX(Buchungen!$T$6:$T$605,MATCH($B14&amp;"|"&amp;G$8&amp;"|2",Buchungen!$Q$6:$Q$605,0)),""))))</f>
        <v>M. Krause</v>
      </c>
      <c r="H14" s="43" t="str">
        <f>IF($B14="","",IF(Stammdaten!$I14="Gesperrt","gesperrt",IF(COUNTIF(Stammdaten!$AD$10:$AD$30,H$8)&gt;0,"Feiertag",IFERROR(INDEX(Buchungen!$T$6:$T$605,MATCH($B14&amp;"|"&amp;H$8&amp;"|1",Buchungen!$Q$6:$Q$605,0)),"")&amp;IFERROR(" / "&amp;INDEX(Buchungen!$T$6:$T$605,MATCH($B14&amp;"|"&amp;H$8&amp;"|2",Buchungen!$Q$6:$Q$605,0)),""))))</f>
        <v>L. Hartmann</v>
      </c>
      <c r="I14" s="43" t="str">
        <f>IF($B14="","",IF(Stammdaten!$I14="Gesperrt","gesperrt",IF(COUNTIF(Stammdaten!$AD$10:$AD$30,I$8)&gt;0,"Feiertag",IFERROR(INDEX(Buchungen!$T$6:$T$605,MATCH($B14&amp;"|"&amp;I$8&amp;"|1",Buchungen!$Q$6:$Q$605,0)),"")&amp;IFERROR(" / "&amp;INDEX(Buchungen!$T$6:$T$605,MATCH($B14&amp;"|"&amp;I$8&amp;"|2",Buchungen!$Q$6:$Q$605,0)),""))))</f>
        <v>M. Krause</v>
      </c>
      <c r="J14" s="43" t="str">
        <f>IF($B14="","",IF(Stammdaten!$I14="Gesperrt","gesperrt",IF(COUNTIF(Stammdaten!$AD$10:$AD$30,J$8)&gt;0,"Feiertag",IFERROR(INDEX(Buchungen!$T$6:$T$605,MATCH($B14&amp;"|"&amp;J$8&amp;"|1",Buchungen!$Q$6:$Q$605,0)),"")&amp;IFERROR(" / "&amp;INDEX(Buchungen!$T$6:$T$605,MATCH($B14&amp;"|"&amp;J$8&amp;"|2",Buchungen!$Q$6:$Q$605,0)),""))))</f>
        <v>D. Kühn</v>
      </c>
      <c r="K14" s="16"/>
      <c r="L14" s="43" t="str">
        <f>IF($B14="","",IF(Stammdaten!$I14="Gesperrt","gesperrt",IF(COUNTIF(Stammdaten!$AD$10:$AD$30,L$8)&gt;0,"Feiertag",IFERROR(INDEX(Buchungen!$T$6:$T$605,MATCH($B14&amp;"|"&amp;L$8&amp;"|1",Buchungen!$Q$6:$Q$605,0)),"")&amp;IFERROR(" / "&amp;INDEX(Buchungen!$T$6:$T$605,MATCH($B14&amp;"|"&amp;L$8&amp;"|2",Buchungen!$Q$6:$Q$605,0)),""))))</f>
        <v>F. Engel</v>
      </c>
      <c r="M14" s="43" t="str">
        <f>IF($B14="","",IF(Stammdaten!$I14="Gesperrt","gesperrt",IF(COUNTIF(Stammdaten!$AD$10:$AD$30,M$8)&gt;0,"Feiertag",IFERROR(INDEX(Buchungen!$T$6:$T$605,MATCH($B14&amp;"|"&amp;M$8&amp;"|1",Buchungen!$Q$6:$Q$605,0)),"")&amp;IFERROR(" / "&amp;INDEX(Buchungen!$T$6:$T$605,MATCH($B14&amp;"|"&amp;M$8&amp;"|2",Buchungen!$Q$6:$Q$605,0)),""))))</f>
        <v>M. Krause (VM) / J. Weber (NM)</v>
      </c>
      <c r="N14" s="43" t="str">
        <f>IF($B14="","",IF(Stammdaten!$I14="Gesperrt","gesperrt",IF(COUNTIF(Stammdaten!$AD$10:$AD$30,N$8)&gt;0,"Feiertag",IFERROR(INDEX(Buchungen!$T$6:$T$605,MATCH($B14&amp;"|"&amp;N$8&amp;"|1",Buchungen!$Q$6:$Q$605,0)),"")&amp;IFERROR(" / "&amp;INDEX(Buchungen!$T$6:$T$605,MATCH($B14&amp;"|"&amp;N$8&amp;"|2",Buchungen!$Q$6:$Q$605,0)),""))))</f>
        <v>M. Krause ?</v>
      </c>
      <c r="O14" s="43" t="str">
        <f>IF($B14="","",IF(Stammdaten!$I14="Gesperrt","gesperrt",IF(COUNTIF(Stammdaten!$AD$10:$AD$30,O$8)&gt;0,"Feiertag",IFERROR(INDEX(Buchungen!$T$6:$T$605,MATCH($B14&amp;"|"&amp;O$8&amp;"|1",Buchungen!$Q$6:$Q$605,0)),"")&amp;IFERROR(" / "&amp;INDEX(Buchungen!$T$6:$T$605,MATCH($B14&amp;"|"&amp;O$8&amp;"|2",Buchungen!$Q$6:$Q$605,0)),""))))</f>
        <v>M. Krause ?</v>
      </c>
      <c r="P14" s="43" t="str">
        <f>IF($B14="","",IF(Stammdaten!$I14="Gesperrt","gesperrt",IF(COUNTIF(Stammdaten!$AD$10:$AD$30,P$8)&gt;0,"Feiertag",IFERROR(INDEX(Buchungen!$T$6:$T$605,MATCH($B14&amp;"|"&amp;P$8&amp;"|1",Buchungen!$Q$6:$Q$605,0)),"")&amp;IFERROR(" / "&amp;INDEX(Buchungen!$T$6:$T$605,MATCH($B14&amp;"|"&amp;P$8&amp;"|2",Buchungen!$Q$6:$Q$605,0)),""))))</f>
        <v>C. Vogt ?</v>
      </c>
    </row>
    <row r="15" spans="1:17" ht="19.5" customHeight="1" x14ac:dyDescent="0.25">
      <c r="B15" s="23" t="str">
        <f>IF(Stammdaten!$B15="","",Stammdaten!$B15)</f>
        <v>A-06</v>
      </c>
      <c r="C15" s="40" t="str">
        <f>IF($B15="","",Stammdaten!$C15)</f>
        <v>1. OG</v>
      </c>
      <c r="D15" s="41" t="str">
        <f>IF($B15="","",Stammdaten!$D15)</f>
        <v>Teamzone Nord</v>
      </c>
      <c r="E15" s="42" t="str">
        <f>IF($B15="","",Stammdaten!$F15&amp;" Mon."&amp;IF(Stammdaten!$G15="Ja"," · Dock","")&amp;IF(Stammdaten!$H15="Ja"," · HV",""))</f>
        <v>2 Mon. · Dock · HV</v>
      </c>
      <c r="F15" s="43" t="str">
        <f>IF($B15="","",IF(Stammdaten!$I15="Gesperrt","gesperrt",IF(COUNTIF(Stammdaten!$AD$10:$AD$30,F$8)&gt;0,"Feiertag",IFERROR(INDEX(Buchungen!$T$6:$T$605,MATCH($B15&amp;"|"&amp;F$8&amp;"|1",Buchungen!$Q$6:$Q$605,0)),"")&amp;IFERROR(" / "&amp;INDEX(Buchungen!$T$6:$T$605,MATCH($B15&amp;"|"&amp;F$8&amp;"|2",Buchungen!$Q$6:$Q$605,0)),""))))</f>
        <v/>
      </c>
      <c r="G15" s="43" t="str">
        <f>IF($B15="","",IF(Stammdaten!$I15="Gesperrt","gesperrt",IF(COUNTIF(Stammdaten!$AD$10:$AD$30,G$8)&gt;0,"Feiertag",IFERROR(INDEX(Buchungen!$T$6:$T$605,MATCH($B15&amp;"|"&amp;G$8&amp;"|1",Buchungen!$Q$6:$Q$605,0)),"")&amp;IFERROR(" / "&amp;INDEX(Buchungen!$T$6:$T$605,MATCH($B15&amp;"|"&amp;G$8&amp;"|2",Buchungen!$Q$6:$Q$605,0)),""))))</f>
        <v>P. Schreiber</v>
      </c>
      <c r="H15" s="43" t="str">
        <f>IF($B15="","",IF(Stammdaten!$I15="Gesperrt","gesperrt",IF(COUNTIF(Stammdaten!$AD$10:$AD$30,H$8)&gt;0,"Feiertag",IFERROR(INDEX(Buchungen!$T$6:$T$605,MATCH($B15&amp;"|"&amp;H$8&amp;"|1",Buchungen!$Q$6:$Q$605,0)),"")&amp;IFERROR(" / "&amp;INDEX(Buchungen!$T$6:$T$605,MATCH($B15&amp;"|"&amp;H$8&amp;"|2",Buchungen!$Q$6:$Q$605,0)),""))))</f>
        <v>M. Seidel</v>
      </c>
      <c r="I15" s="43" t="str">
        <f>IF($B15="","",IF(Stammdaten!$I15="Gesperrt","gesperrt",IF(COUNTIF(Stammdaten!$AD$10:$AD$30,I$8)&gt;0,"Feiertag",IFERROR(INDEX(Buchungen!$T$6:$T$605,MATCH($B15&amp;"|"&amp;I$8&amp;"|1",Buchungen!$Q$6:$Q$605,0)),"")&amp;IFERROR(" / "&amp;INDEX(Buchungen!$T$6:$T$605,MATCH($B15&amp;"|"&amp;I$8&amp;"|2",Buchungen!$Q$6:$Q$605,0)),""))))</f>
        <v/>
      </c>
      <c r="J15" s="43" t="str">
        <f>IF($B15="","",IF(Stammdaten!$I15="Gesperrt","gesperrt",IF(COUNTIF(Stammdaten!$AD$10:$AD$30,J$8)&gt;0,"Feiertag",IFERROR(INDEX(Buchungen!$T$6:$T$605,MATCH($B15&amp;"|"&amp;J$8&amp;"|1",Buchungen!$Q$6:$Q$605,0)),"")&amp;IFERROR(" / "&amp;INDEX(Buchungen!$T$6:$T$605,MATCH($B15&amp;"|"&amp;J$8&amp;"|2",Buchungen!$Q$6:$Q$605,0)),""))))</f>
        <v>P. Schreiber</v>
      </c>
      <c r="K15" s="16"/>
      <c r="L15" s="43" t="str">
        <f>IF($B15="","",IF(Stammdaten!$I15="Gesperrt","gesperrt",IF(COUNTIF(Stammdaten!$AD$10:$AD$30,L$8)&gt;0,"Feiertag",IFERROR(INDEX(Buchungen!$T$6:$T$605,MATCH($B15&amp;"|"&amp;L$8&amp;"|1",Buchungen!$Q$6:$Q$605,0)),"")&amp;IFERROR(" / "&amp;INDEX(Buchungen!$T$6:$T$605,MATCH($B15&amp;"|"&amp;L$8&amp;"|2",Buchungen!$Q$6:$Q$605,0)),""))))</f>
        <v>J. Weber</v>
      </c>
      <c r="M15" s="43" t="str">
        <f>IF($B15="","",IF(Stammdaten!$I15="Gesperrt","gesperrt",IF(COUNTIF(Stammdaten!$AD$10:$AD$30,M$8)&gt;0,"Feiertag",IFERROR(INDEX(Buchungen!$T$6:$T$605,MATCH($B15&amp;"|"&amp;M$8&amp;"|1",Buchungen!$Q$6:$Q$605,0)),"")&amp;IFERROR(" / "&amp;INDEX(Buchungen!$T$6:$T$605,MATCH($B15&amp;"|"&amp;M$8&amp;"|2",Buchungen!$Q$6:$Q$605,0)),""))))</f>
        <v/>
      </c>
      <c r="N15" s="43" t="str">
        <f>IF($B15="","",IF(Stammdaten!$I15="Gesperrt","gesperrt",IF(COUNTIF(Stammdaten!$AD$10:$AD$30,N$8)&gt;0,"Feiertag",IFERROR(INDEX(Buchungen!$T$6:$T$605,MATCH($B15&amp;"|"&amp;N$8&amp;"|1",Buchungen!$Q$6:$Q$605,0)),"")&amp;IFERROR(" / "&amp;INDEX(Buchungen!$T$6:$T$605,MATCH($B15&amp;"|"&amp;N$8&amp;"|2",Buchungen!$Q$6:$Q$605,0)),""))))</f>
        <v>P. Schreiber</v>
      </c>
      <c r="O15" s="43" t="str">
        <f>IF($B15="","",IF(Stammdaten!$I15="Gesperrt","gesperrt",IF(COUNTIF(Stammdaten!$AD$10:$AD$30,O$8)&gt;0,"Feiertag",IFERROR(INDEX(Buchungen!$T$6:$T$605,MATCH($B15&amp;"|"&amp;O$8&amp;"|1",Buchungen!$Q$6:$Q$605,0)),"")&amp;IFERROR(" / "&amp;INDEX(Buchungen!$T$6:$T$605,MATCH($B15&amp;"|"&amp;O$8&amp;"|2",Buchungen!$Q$6:$Q$605,0)),""))))</f>
        <v/>
      </c>
      <c r="P15" s="43" t="str">
        <f>IF($B15="","",IF(Stammdaten!$I15="Gesperrt","gesperrt",IF(COUNTIF(Stammdaten!$AD$10:$AD$30,P$8)&gt;0,"Feiertag",IFERROR(INDEX(Buchungen!$T$6:$T$605,MATCH($B15&amp;"|"&amp;P$8&amp;"|1",Buchungen!$Q$6:$Q$605,0)),"")&amp;IFERROR(" / "&amp;INDEX(Buchungen!$T$6:$T$605,MATCH($B15&amp;"|"&amp;P$8&amp;"|2",Buchungen!$Q$6:$Q$605,0)),""))))</f>
        <v/>
      </c>
    </row>
    <row r="16" spans="1:17" ht="19.5" customHeight="1" x14ac:dyDescent="0.25">
      <c r="B16" s="23" t="str">
        <f>IF(Stammdaten!$B16="","",Stammdaten!$B16)</f>
        <v>A-07</v>
      </c>
      <c r="C16" s="40" t="str">
        <f>IF($B16="","",Stammdaten!$C16)</f>
        <v>1. OG</v>
      </c>
      <c r="D16" s="41" t="str">
        <f>IF($B16="","",Stammdaten!$D16)</f>
        <v>Teamzone Nord</v>
      </c>
      <c r="E16" s="42" t="str">
        <f>IF($B16="","",Stammdaten!$F16&amp;" Mon."&amp;IF(Stammdaten!$G16="Ja"," · Dock","")&amp;IF(Stammdaten!$H16="Ja"," · HV",""))</f>
        <v>2 Mon. · Dock</v>
      </c>
      <c r="F16" s="43" t="str">
        <f>IF($B16="","",IF(Stammdaten!$I16="Gesperrt","gesperrt",IF(COUNTIF(Stammdaten!$AD$10:$AD$30,F$8)&gt;0,"Feiertag",IFERROR(INDEX(Buchungen!$T$6:$T$605,MATCH($B16&amp;"|"&amp;F$8&amp;"|1",Buchungen!$Q$6:$Q$605,0)),"")&amp;IFERROR(" / "&amp;INDEX(Buchungen!$T$6:$T$605,MATCH($B16&amp;"|"&amp;F$8&amp;"|2",Buchungen!$Q$6:$Q$605,0)),""))))</f>
        <v>M. Seidel</v>
      </c>
      <c r="G16" s="43" t="str">
        <f>IF($B16="","",IF(Stammdaten!$I16="Gesperrt","gesperrt",IF(COUNTIF(Stammdaten!$AD$10:$AD$30,G$8)&gt;0,"Feiertag",IFERROR(INDEX(Buchungen!$T$6:$T$605,MATCH($B16&amp;"|"&amp;G$8&amp;"|1",Buchungen!$Q$6:$Q$605,0)),"")&amp;IFERROR(" / "&amp;INDEX(Buchungen!$T$6:$T$605,MATCH($B16&amp;"|"&amp;G$8&amp;"|2",Buchungen!$Q$6:$Q$605,0)),""))))</f>
        <v>C. Vogt (VM) / P. Haas (NM)</v>
      </c>
      <c r="H16" s="43" t="str">
        <f>IF($B16="","",IF(Stammdaten!$I16="Gesperrt","gesperrt",IF(COUNTIF(Stammdaten!$AD$10:$AD$30,H$8)&gt;0,"Feiertag",IFERROR(INDEX(Buchungen!$T$6:$T$605,MATCH($B16&amp;"|"&amp;H$8&amp;"|1",Buchungen!$Q$6:$Q$605,0)),"")&amp;IFERROR(" / "&amp;INDEX(Buchungen!$T$6:$T$605,MATCH($B16&amp;"|"&amp;H$8&amp;"|2",Buchungen!$Q$6:$Q$605,0)),""))))</f>
        <v>P. Schreiber</v>
      </c>
      <c r="I16" s="43" t="str">
        <f>IF($B16="","",IF(Stammdaten!$I16="Gesperrt","gesperrt",IF(COUNTIF(Stammdaten!$AD$10:$AD$30,I$8)&gt;0,"Feiertag",IFERROR(INDEX(Buchungen!$T$6:$T$605,MATCH($B16&amp;"|"&amp;I$8&amp;"|1",Buchungen!$Q$6:$Q$605,0)),"")&amp;IFERROR(" / "&amp;INDEX(Buchungen!$T$6:$T$605,MATCH($B16&amp;"|"&amp;I$8&amp;"|2",Buchungen!$Q$6:$Q$605,0)),""))))</f>
        <v/>
      </c>
      <c r="J16" s="43" t="str">
        <f>IF($B16="","",IF(Stammdaten!$I16="Gesperrt","gesperrt",IF(COUNTIF(Stammdaten!$AD$10:$AD$30,J$8)&gt;0,"Feiertag",IFERROR(INDEX(Buchungen!$T$6:$T$605,MATCH($B16&amp;"|"&amp;J$8&amp;"|1",Buchungen!$Q$6:$Q$605,0)),"")&amp;IFERROR(" / "&amp;INDEX(Buchungen!$T$6:$T$605,MATCH($B16&amp;"|"&amp;J$8&amp;"|2",Buchungen!$Q$6:$Q$605,0)),""))))</f>
        <v>N. Albrecht</v>
      </c>
      <c r="K16" s="16"/>
      <c r="L16" s="43" t="str">
        <f>IF($B16="","",IF(Stammdaten!$I16="Gesperrt","gesperrt",IF(COUNTIF(Stammdaten!$AD$10:$AD$30,L$8)&gt;0,"Feiertag",IFERROR(INDEX(Buchungen!$T$6:$T$605,MATCH($B16&amp;"|"&amp;L$8&amp;"|1",Buchungen!$Q$6:$Q$605,0)),"")&amp;IFERROR(" / "&amp;INDEX(Buchungen!$T$6:$T$605,MATCH($B16&amp;"|"&amp;L$8&amp;"|2",Buchungen!$Q$6:$Q$605,0)),""))))</f>
        <v>L. Hartmann</v>
      </c>
      <c r="M16" s="43" t="str">
        <f>IF($B16="","",IF(Stammdaten!$I16="Gesperrt","gesperrt",IF(COUNTIF(Stammdaten!$AD$10:$AD$30,M$8)&gt;0,"Feiertag",IFERROR(INDEX(Buchungen!$T$6:$T$605,MATCH($B16&amp;"|"&amp;M$8&amp;"|1",Buchungen!$Q$6:$Q$605,0)),"")&amp;IFERROR(" / "&amp;INDEX(Buchungen!$T$6:$T$605,MATCH($B16&amp;"|"&amp;M$8&amp;"|2",Buchungen!$Q$6:$Q$605,0)),""))))</f>
        <v/>
      </c>
      <c r="N16" s="43" t="str">
        <f>IF($B16="","",IF(Stammdaten!$I16="Gesperrt","gesperrt",IF(COUNTIF(Stammdaten!$AD$10:$AD$30,N$8)&gt;0,"Feiertag",IFERROR(INDEX(Buchungen!$T$6:$T$605,MATCH($B16&amp;"|"&amp;N$8&amp;"|1",Buchungen!$Q$6:$Q$605,0)),"")&amp;IFERROR(" / "&amp;INDEX(Buchungen!$T$6:$T$605,MATCH($B16&amp;"|"&amp;N$8&amp;"|2",Buchungen!$Q$6:$Q$605,0)),""))))</f>
        <v>F. Engel</v>
      </c>
      <c r="O16" s="43" t="str">
        <f>IF($B16="","",IF(Stammdaten!$I16="Gesperrt","gesperrt",IF(COUNTIF(Stammdaten!$AD$10:$AD$30,O$8)&gt;0,"Feiertag",IFERROR(INDEX(Buchungen!$T$6:$T$605,MATCH($B16&amp;"|"&amp;O$8&amp;"|1",Buchungen!$Q$6:$Q$605,0)),"")&amp;IFERROR(" / "&amp;INDEX(Buchungen!$T$6:$T$605,MATCH($B16&amp;"|"&amp;O$8&amp;"|2",Buchungen!$Q$6:$Q$605,0)),""))))</f>
        <v>C. Vogt</v>
      </c>
      <c r="P16" s="43" t="str">
        <f>IF($B16="","",IF(Stammdaten!$I16="Gesperrt","gesperrt",IF(COUNTIF(Stammdaten!$AD$10:$AD$30,P$8)&gt;0,"Feiertag",IFERROR(INDEX(Buchungen!$T$6:$T$605,MATCH($B16&amp;"|"&amp;P$8&amp;"|1",Buchungen!$Q$6:$Q$605,0)),"")&amp;IFERROR(" / "&amp;INDEX(Buchungen!$T$6:$T$605,MATCH($B16&amp;"|"&amp;P$8&amp;"|2",Buchungen!$Q$6:$Q$605,0)),""))))</f>
        <v>P. Schreiber</v>
      </c>
    </row>
    <row r="17" spans="2:16" ht="19.5" customHeight="1" x14ac:dyDescent="0.25">
      <c r="B17" s="23" t="str">
        <f>IF(Stammdaten!$B17="","",Stammdaten!$B17)</f>
        <v>A-08</v>
      </c>
      <c r="C17" s="40" t="str">
        <f>IF($B17="","",Stammdaten!$C17)</f>
        <v>1. OG</v>
      </c>
      <c r="D17" s="41" t="str">
        <f>IF($B17="","",Stammdaten!$D17)</f>
        <v>Teamzone Nord</v>
      </c>
      <c r="E17" s="42" t="str">
        <f>IF($B17="","",Stammdaten!$F17&amp;" Mon."&amp;IF(Stammdaten!$G17="Ja"," · Dock","")&amp;IF(Stammdaten!$H17="Ja"," · HV",""))</f>
        <v>2 Mon. · Dock</v>
      </c>
      <c r="F17" s="43" t="str">
        <f>IF($B17="","",IF(Stammdaten!$I17="Gesperrt","gesperrt",IF(COUNTIF(Stammdaten!$AD$10:$AD$30,F$8)&gt;0,"Feiertag",IFERROR(INDEX(Buchungen!$T$6:$T$605,MATCH($B17&amp;"|"&amp;F$8&amp;"|1",Buchungen!$Q$6:$Q$605,0)),"")&amp;IFERROR(" / "&amp;INDEX(Buchungen!$T$6:$T$605,MATCH($B17&amp;"|"&amp;F$8&amp;"|2",Buchungen!$Q$6:$Q$605,0)),""))))</f>
        <v/>
      </c>
      <c r="G17" s="43" t="str">
        <f>IF($B17="","",IF(Stammdaten!$I17="Gesperrt","gesperrt",IF(COUNTIF(Stammdaten!$AD$10:$AD$30,G$8)&gt;0,"Feiertag",IFERROR(INDEX(Buchungen!$T$6:$T$605,MATCH($B17&amp;"|"&amp;G$8&amp;"|1",Buchungen!$Q$6:$Q$605,0)),"")&amp;IFERROR(" / "&amp;INDEX(Buchungen!$T$6:$T$605,MATCH($B17&amp;"|"&amp;G$8&amp;"|2",Buchungen!$Q$6:$Q$605,0)),""))))</f>
        <v>S. Brandt</v>
      </c>
      <c r="H17" s="43" t="str">
        <f>IF($B17="","",IF(Stammdaten!$I17="Gesperrt","gesperrt",IF(COUNTIF(Stammdaten!$AD$10:$AD$30,H$8)&gt;0,"Feiertag",IFERROR(INDEX(Buchungen!$T$6:$T$605,MATCH($B17&amp;"|"&amp;H$8&amp;"|1",Buchungen!$Q$6:$Q$605,0)),"")&amp;IFERROR(" / "&amp;INDEX(Buchungen!$T$6:$T$605,MATCH($B17&amp;"|"&amp;H$8&amp;"|2",Buchungen!$Q$6:$Q$605,0)),""))))</f>
        <v>A. Demir</v>
      </c>
      <c r="I17" s="43" t="str">
        <f>IF($B17="","",IF(Stammdaten!$I17="Gesperrt","gesperrt",IF(COUNTIF(Stammdaten!$AD$10:$AD$30,I$8)&gt;0,"Feiertag",IFERROR(INDEX(Buchungen!$T$6:$T$605,MATCH($B17&amp;"|"&amp;I$8&amp;"|1",Buchungen!$Q$6:$Q$605,0)),"")&amp;IFERROR(" / "&amp;INDEX(Buchungen!$T$6:$T$605,MATCH($B17&amp;"|"&amp;I$8&amp;"|2",Buchungen!$Q$6:$Q$605,0)),""))))</f>
        <v>N. Albrecht</v>
      </c>
      <c r="J17" s="43" t="str">
        <f>IF($B17="","",IF(Stammdaten!$I17="Gesperrt","gesperrt",IF(COUNTIF(Stammdaten!$AD$10:$AD$30,J$8)&gt;0,"Feiertag",IFERROR(INDEX(Buchungen!$T$6:$T$605,MATCH($B17&amp;"|"&amp;J$8&amp;"|1",Buchungen!$Q$6:$Q$605,0)),"")&amp;IFERROR(" / "&amp;INDEX(Buchungen!$T$6:$T$605,MATCH($B17&amp;"|"&amp;J$8&amp;"|2",Buchungen!$Q$6:$Q$605,0)),""))))</f>
        <v/>
      </c>
      <c r="K17" s="16"/>
      <c r="L17" s="43" t="str">
        <f>IF($B17="","",IF(Stammdaten!$I17="Gesperrt","gesperrt",IF(COUNTIF(Stammdaten!$AD$10:$AD$30,L$8)&gt;0,"Feiertag",IFERROR(INDEX(Buchungen!$T$6:$T$605,MATCH($B17&amp;"|"&amp;L$8&amp;"|1",Buchungen!$Q$6:$Q$605,0)),"")&amp;IFERROR(" / "&amp;INDEX(Buchungen!$T$6:$T$605,MATCH($B17&amp;"|"&amp;L$8&amp;"|2",Buchungen!$Q$6:$Q$605,0)),""))))</f>
        <v>A. Demir</v>
      </c>
      <c r="M17" s="43" t="str">
        <f>IF($B17="","",IF(Stammdaten!$I17="Gesperrt","gesperrt",IF(COUNTIF(Stammdaten!$AD$10:$AD$30,M$8)&gt;0,"Feiertag",IFERROR(INDEX(Buchungen!$T$6:$T$605,MATCH($B17&amp;"|"&amp;M$8&amp;"|1",Buchungen!$Q$6:$Q$605,0)),"")&amp;IFERROR(" / "&amp;INDEX(Buchungen!$T$6:$T$605,MATCH($B17&amp;"|"&amp;M$8&amp;"|2",Buchungen!$Q$6:$Q$605,0)),""))))</f>
        <v/>
      </c>
      <c r="N17" s="43" t="str">
        <f>IF($B17="","",IF(Stammdaten!$I17="Gesperrt","gesperrt",IF(COUNTIF(Stammdaten!$AD$10:$AD$30,N$8)&gt;0,"Feiertag",IFERROR(INDEX(Buchungen!$T$6:$T$605,MATCH($B17&amp;"|"&amp;N$8&amp;"|1",Buchungen!$Q$6:$Q$605,0)),"")&amp;IFERROR(" / "&amp;INDEX(Buchungen!$T$6:$T$605,MATCH($B17&amp;"|"&amp;N$8&amp;"|2",Buchungen!$Q$6:$Q$605,0)),""))))</f>
        <v>N. Albrecht ?</v>
      </c>
      <c r="O17" s="43" t="str">
        <f>IF($B17="","",IF(Stammdaten!$I17="Gesperrt","gesperrt",IF(COUNTIF(Stammdaten!$AD$10:$AD$30,O$8)&gt;0,"Feiertag",IFERROR(INDEX(Buchungen!$T$6:$T$605,MATCH($B17&amp;"|"&amp;O$8&amp;"|1",Buchungen!$Q$6:$Q$605,0)),"")&amp;IFERROR(" / "&amp;INDEX(Buchungen!$T$6:$T$605,MATCH($B17&amp;"|"&amp;O$8&amp;"|2",Buchungen!$Q$6:$Q$605,0)),""))))</f>
        <v>S. Brandt</v>
      </c>
      <c r="P17" s="43" t="str">
        <f>IF($B17="","",IF(Stammdaten!$I17="Gesperrt","gesperrt",IF(COUNTIF(Stammdaten!$AD$10:$AD$30,P$8)&gt;0,"Feiertag",IFERROR(INDEX(Buchungen!$T$6:$T$605,MATCH($B17&amp;"|"&amp;P$8&amp;"|1",Buchungen!$Q$6:$Q$605,0)),"")&amp;IFERROR(" / "&amp;INDEX(Buchungen!$T$6:$T$605,MATCH($B17&amp;"|"&amp;P$8&amp;"|2",Buchungen!$Q$6:$Q$605,0)),""))))</f>
        <v/>
      </c>
    </row>
    <row r="18" spans="2:16" ht="19.5" customHeight="1" x14ac:dyDescent="0.25">
      <c r="B18" s="23" t="str">
        <f>IF(Stammdaten!$B18="","",Stammdaten!$B18)</f>
        <v>A-09</v>
      </c>
      <c r="C18" s="40" t="str">
        <f>IF($B18="","",Stammdaten!$C18)</f>
        <v>1. OG</v>
      </c>
      <c r="D18" s="41" t="str">
        <f>IF($B18="","",Stammdaten!$D18)</f>
        <v>Fokuszone</v>
      </c>
      <c r="E18" s="42" t="str">
        <f>IF($B18="","",Stammdaten!$F18&amp;" Mon."&amp;IF(Stammdaten!$G18="Ja"," · Dock","")&amp;IF(Stammdaten!$H18="Ja"," · HV",""))</f>
        <v>1 Mon. · Dock</v>
      </c>
      <c r="F18" s="43" t="str">
        <f>IF($B18="","",IF(Stammdaten!$I18="Gesperrt","gesperrt",IF(COUNTIF(Stammdaten!$AD$10:$AD$30,F$8)&gt;0,"Feiertag",IFERROR(INDEX(Buchungen!$T$6:$T$605,MATCH($B18&amp;"|"&amp;F$8&amp;"|1",Buchungen!$Q$6:$Q$605,0)),"")&amp;IFERROR(" / "&amp;INDEX(Buchungen!$T$6:$T$605,MATCH($B18&amp;"|"&amp;F$8&amp;"|2",Buchungen!$Q$6:$Q$605,0)),""))))</f>
        <v/>
      </c>
      <c r="G18" s="43" t="str">
        <f>IF($B18="","",IF(Stammdaten!$I18="Gesperrt","gesperrt",IF(COUNTIF(Stammdaten!$AD$10:$AD$30,G$8)&gt;0,"Feiertag",IFERROR(INDEX(Buchungen!$T$6:$T$605,MATCH($B18&amp;"|"&amp;G$8&amp;"|1",Buchungen!$Q$6:$Q$605,0)),"")&amp;IFERROR(" / "&amp;INDEX(Buchungen!$T$6:$T$605,MATCH($B18&amp;"|"&amp;G$8&amp;"|2",Buchungen!$Q$6:$Q$605,0)),""))))</f>
        <v>I. Marx</v>
      </c>
      <c r="H18" s="43" t="str">
        <f>IF($B18="","",IF(Stammdaten!$I18="Gesperrt","gesperrt",IF(COUNTIF(Stammdaten!$AD$10:$AD$30,H$8)&gt;0,"Feiertag",IFERROR(INDEX(Buchungen!$T$6:$T$605,MATCH($B18&amp;"|"&amp;H$8&amp;"|1",Buchungen!$Q$6:$Q$605,0)),"")&amp;IFERROR(" / "&amp;INDEX(Buchungen!$T$6:$T$605,MATCH($B18&amp;"|"&amp;H$8&amp;"|2",Buchungen!$Q$6:$Q$605,0)),""))))</f>
        <v>S. Brandt</v>
      </c>
      <c r="I18" s="43" t="str">
        <f>IF($B18="","",IF(Stammdaten!$I18="Gesperrt","gesperrt",IF(COUNTIF(Stammdaten!$AD$10:$AD$30,I$8)&gt;0,"Feiertag",IFERROR(INDEX(Buchungen!$T$6:$T$605,MATCH($B18&amp;"|"&amp;I$8&amp;"|1",Buchungen!$Q$6:$Q$605,0)),"")&amp;IFERROR(" / "&amp;INDEX(Buchungen!$T$6:$T$605,MATCH($B18&amp;"|"&amp;I$8&amp;"|2",Buchungen!$Q$6:$Q$605,0)),""))))</f>
        <v>T. Jung</v>
      </c>
      <c r="J18" s="43" t="str">
        <f>IF($B18="","",IF(Stammdaten!$I18="Gesperrt","gesperrt",IF(COUNTIF(Stammdaten!$AD$10:$AD$30,J$8)&gt;0,"Feiertag",IFERROR(INDEX(Buchungen!$T$6:$T$605,MATCH($B18&amp;"|"&amp;J$8&amp;"|1",Buchungen!$Q$6:$Q$605,0)),"")&amp;IFERROR(" / "&amp;INDEX(Buchungen!$T$6:$T$605,MATCH($B18&amp;"|"&amp;J$8&amp;"|2",Buchungen!$Q$6:$Q$605,0)),""))))</f>
        <v>J. Peters</v>
      </c>
      <c r="K18" s="16"/>
      <c r="L18" s="43" t="str">
        <f>IF($B18="","",IF(Stammdaten!$I18="Gesperrt","gesperrt",IF(COUNTIF(Stammdaten!$AD$10:$AD$30,L$8)&gt;0,"Feiertag",IFERROR(INDEX(Buchungen!$T$6:$T$605,MATCH($B18&amp;"|"&amp;L$8&amp;"|1",Buchungen!$Q$6:$Q$605,0)),"")&amp;IFERROR(" / "&amp;INDEX(Buchungen!$T$6:$T$605,MATCH($B18&amp;"|"&amp;L$8&amp;"|2",Buchungen!$Q$6:$Q$605,0)),""))))</f>
        <v>M. Krause</v>
      </c>
      <c r="M18" s="43" t="str">
        <f>IF($B18="","",IF(Stammdaten!$I18="Gesperrt","gesperrt",IF(COUNTIF(Stammdaten!$AD$10:$AD$30,M$8)&gt;0,"Feiertag",IFERROR(INDEX(Buchungen!$T$6:$T$605,MATCH($B18&amp;"|"&amp;M$8&amp;"|1",Buchungen!$Q$6:$Q$605,0)),"")&amp;IFERROR(" / "&amp;INDEX(Buchungen!$T$6:$T$605,MATCH($B18&amp;"|"&amp;M$8&amp;"|2",Buchungen!$Q$6:$Q$605,0)),""))))</f>
        <v>S. Graf</v>
      </c>
      <c r="N18" s="43" t="str">
        <f>IF($B18="","",IF(Stammdaten!$I18="Gesperrt","gesperrt",IF(COUNTIF(Stammdaten!$AD$10:$AD$30,N$8)&gt;0,"Feiertag",IFERROR(INDEX(Buchungen!$T$6:$T$605,MATCH($B18&amp;"|"&amp;N$8&amp;"|1",Buchungen!$Q$6:$Q$605,0)),"")&amp;IFERROR(" / "&amp;INDEX(Buchungen!$T$6:$T$605,MATCH($B18&amp;"|"&amp;N$8&amp;"|2",Buchungen!$Q$6:$Q$605,0)),""))))</f>
        <v>J. Peters</v>
      </c>
      <c r="O18" s="43" t="str">
        <f>IF($B18="","",IF(Stammdaten!$I18="Gesperrt","gesperrt",IF(COUNTIF(Stammdaten!$AD$10:$AD$30,O$8)&gt;0,"Feiertag",IFERROR(INDEX(Buchungen!$T$6:$T$605,MATCH($B18&amp;"|"&amp;O$8&amp;"|1",Buchungen!$Q$6:$Q$605,0)),"")&amp;IFERROR(" / "&amp;INDEX(Buchungen!$T$6:$T$605,MATCH($B18&amp;"|"&amp;O$8&amp;"|2",Buchungen!$Q$6:$Q$605,0)),""))))</f>
        <v/>
      </c>
      <c r="P18" s="43" t="str">
        <f>IF($B18="","",IF(Stammdaten!$I18="Gesperrt","gesperrt",IF(COUNTIF(Stammdaten!$AD$10:$AD$30,P$8)&gt;0,"Feiertag",IFERROR(INDEX(Buchungen!$T$6:$T$605,MATCH($B18&amp;"|"&amp;P$8&amp;"|1",Buchungen!$Q$6:$Q$605,0)),"")&amp;IFERROR(" / "&amp;INDEX(Buchungen!$T$6:$T$605,MATCH($B18&amp;"|"&amp;P$8&amp;"|2",Buchungen!$Q$6:$Q$605,0)),""))))</f>
        <v/>
      </c>
    </row>
    <row r="19" spans="2:16" ht="19.5" customHeight="1" x14ac:dyDescent="0.25">
      <c r="B19" s="23" t="str">
        <f>IF(Stammdaten!$B19="","",Stammdaten!$B19)</f>
        <v>A-10</v>
      </c>
      <c r="C19" s="40" t="str">
        <f>IF($B19="","",Stammdaten!$C19)</f>
        <v>1. OG</v>
      </c>
      <c r="D19" s="41" t="str">
        <f>IF($B19="","",Stammdaten!$D19)</f>
        <v>Fokuszone</v>
      </c>
      <c r="E19" s="42" t="str">
        <f>IF($B19="","",Stammdaten!$F19&amp;" Mon."&amp;IF(Stammdaten!$G19="Ja"," · Dock","")&amp;IF(Stammdaten!$H19="Ja"," · HV",""))</f>
        <v>2 Mon. · Dock · HV</v>
      </c>
      <c r="F19" s="43" t="str">
        <f>IF($B19="","",IF(Stammdaten!$I19="Gesperrt","gesperrt",IF(COUNTIF(Stammdaten!$AD$10:$AD$30,F$8)&gt;0,"Feiertag",IFERROR(INDEX(Buchungen!$T$6:$T$605,MATCH($B19&amp;"|"&amp;F$8&amp;"|1",Buchungen!$Q$6:$Q$605,0)),"")&amp;IFERROR(" / "&amp;INDEX(Buchungen!$T$6:$T$605,MATCH($B19&amp;"|"&amp;F$8&amp;"|2",Buchungen!$Q$6:$Q$605,0)),""))))</f>
        <v>P. Haas</v>
      </c>
      <c r="G19" s="43" t="str">
        <f>IF($B19="","",IF(Stammdaten!$I19="Gesperrt","gesperrt",IF(COUNTIF(Stammdaten!$AD$10:$AD$30,G$8)&gt;0,"Feiertag",IFERROR(INDEX(Buchungen!$T$6:$T$605,MATCH($B19&amp;"|"&amp;G$8&amp;"|1",Buchungen!$Q$6:$Q$605,0)),"")&amp;IFERROR(" / "&amp;INDEX(Buchungen!$T$6:$T$605,MATCH($B19&amp;"|"&amp;G$8&amp;"|2",Buchungen!$Q$6:$Q$605,0)),""))))</f>
        <v/>
      </c>
      <c r="H19" s="43" t="str">
        <f>IF($B19="","",IF(Stammdaten!$I19="Gesperrt","gesperrt",IF(COUNTIF(Stammdaten!$AD$10:$AD$30,H$8)&gt;0,"Feiertag",IFERROR(INDEX(Buchungen!$T$6:$T$605,MATCH($B19&amp;"|"&amp;H$8&amp;"|1",Buchungen!$Q$6:$Q$605,0)),"")&amp;IFERROR(" / "&amp;INDEX(Buchungen!$T$6:$T$605,MATCH($B19&amp;"|"&amp;H$8&amp;"|2",Buchungen!$Q$6:$Q$605,0)),""))))</f>
        <v>I. Marx</v>
      </c>
      <c r="I19" s="43" t="str">
        <f>IF($B19="","",IF(Stammdaten!$I19="Gesperrt","gesperrt",IF(COUNTIF(Stammdaten!$AD$10:$AD$30,I$8)&gt;0,"Feiertag",IFERROR(INDEX(Buchungen!$T$6:$T$605,MATCH($B19&amp;"|"&amp;I$8&amp;"|1",Buchungen!$Q$6:$Q$605,0)),"")&amp;IFERROR(" / "&amp;INDEX(Buchungen!$T$6:$T$605,MATCH($B19&amp;"|"&amp;I$8&amp;"|2",Buchungen!$Q$6:$Q$605,0)),""))))</f>
        <v/>
      </c>
      <c r="J19" s="43" t="str">
        <f>IF($B19="","",IF(Stammdaten!$I19="Gesperrt","gesperrt",IF(COUNTIF(Stammdaten!$AD$10:$AD$30,J$8)&gt;0,"Feiertag",IFERROR(INDEX(Buchungen!$T$6:$T$605,MATCH($B19&amp;"|"&amp;J$8&amp;"|1",Buchungen!$Q$6:$Q$605,0)),"")&amp;IFERROR(" / "&amp;INDEX(Buchungen!$T$6:$T$605,MATCH($B19&amp;"|"&amp;J$8&amp;"|2",Buchungen!$Q$6:$Q$605,0)),""))))</f>
        <v>L. Sommer</v>
      </c>
      <c r="K19" s="16"/>
      <c r="L19" s="43" t="str">
        <f>IF($B19="","",IF(Stammdaten!$I19="Gesperrt","gesperrt",IF(COUNTIF(Stammdaten!$AD$10:$AD$30,L$8)&gt;0,"Feiertag",IFERROR(INDEX(Buchungen!$T$6:$T$605,MATCH($B19&amp;"|"&amp;L$8&amp;"|1",Buchungen!$Q$6:$Q$605,0)),"")&amp;IFERROR(" / "&amp;INDEX(Buchungen!$T$6:$T$605,MATCH($B19&amp;"|"&amp;L$8&amp;"|2",Buchungen!$Q$6:$Q$605,0)),""))))</f>
        <v>I. Marx</v>
      </c>
      <c r="M19" s="43" t="str">
        <f>IF($B19="","",IF(Stammdaten!$I19="Gesperrt","gesperrt",IF(COUNTIF(Stammdaten!$AD$10:$AD$30,M$8)&gt;0,"Feiertag",IFERROR(INDEX(Buchungen!$T$6:$T$605,MATCH($B19&amp;"|"&amp;M$8&amp;"|1",Buchungen!$Q$6:$Q$605,0)),"")&amp;IFERROR(" / "&amp;INDEX(Buchungen!$T$6:$T$605,MATCH($B19&amp;"|"&amp;M$8&amp;"|2",Buchungen!$Q$6:$Q$605,0)),""))))</f>
        <v>I. Marx</v>
      </c>
      <c r="N19" s="43" t="str">
        <f>IF($B19="","",IF(Stammdaten!$I19="Gesperrt","gesperrt",IF(COUNTIF(Stammdaten!$AD$10:$AD$30,N$8)&gt;0,"Feiertag",IFERROR(INDEX(Buchungen!$T$6:$T$605,MATCH($B19&amp;"|"&amp;N$8&amp;"|1",Buchungen!$Q$6:$Q$605,0)),"")&amp;IFERROR(" / "&amp;INDEX(Buchungen!$T$6:$T$605,MATCH($B19&amp;"|"&amp;N$8&amp;"|2",Buchungen!$Q$6:$Q$605,0)),""))))</f>
        <v/>
      </c>
      <c r="O19" s="43" t="str">
        <f>IF($B19="","",IF(Stammdaten!$I19="Gesperrt","gesperrt",IF(COUNTIF(Stammdaten!$AD$10:$AD$30,O$8)&gt;0,"Feiertag",IFERROR(INDEX(Buchungen!$T$6:$T$605,MATCH($B19&amp;"|"&amp;O$8&amp;"|1",Buchungen!$Q$6:$Q$605,0)),"")&amp;IFERROR(" / "&amp;INDEX(Buchungen!$T$6:$T$605,MATCH($B19&amp;"|"&amp;O$8&amp;"|2",Buchungen!$Q$6:$Q$605,0)),""))))</f>
        <v>I. Marx</v>
      </c>
      <c r="P19" s="43" t="str">
        <f>IF($B19="","",IF(Stammdaten!$I19="Gesperrt","gesperrt",IF(COUNTIF(Stammdaten!$AD$10:$AD$30,P$8)&gt;0,"Feiertag",IFERROR(INDEX(Buchungen!$T$6:$T$605,MATCH($B19&amp;"|"&amp;P$8&amp;"|1",Buchungen!$Q$6:$Q$605,0)),"")&amp;IFERROR(" / "&amp;INDEX(Buchungen!$T$6:$T$605,MATCH($B19&amp;"|"&amp;P$8&amp;"|2",Buchungen!$Q$6:$Q$605,0)),""))))</f>
        <v>K. Brandl ?</v>
      </c>
    </row>
    <row r="20" spans="2:16" ht="19.5" customHeight="1" x14ac:dyDescent="0.25">
      <c r="B20" s="23" t="str">
        <f>IF(Stammdaten!$B20="","",Stammdaten!$B20)</f>
        <v>A-11</v>
      </c>
      <c r="C20" s="40" t="str">
        <f>IF($B20="","",Stammdaten!$C20)</f>
        <v>1. OG</v>
      </c>
      <c r="D20" s="41" t="str">
        <f>IF($B20="","",Stammdaten!$D20)</f>
        <v>Fokuszone</v>
      </c>
      <c r="E20" s="42" t="str">
        <f>IF($B20="","",Stammdaten!$F20&amp;" Mon."&amp;IF(Stammdaten!$G20="Ja"," · Dock","")&amp;IF(Stammdaten!$H20="Ja"," · HV",""))</f>
        <v>1 Mon. · Dock</v>
      </c>
      <c r="F20" s="43" t="str">
        <f>IF($B20="","",IF(Stammdaten!$I20="Gesperrt","gesperrt",IF(COUNTIF(Stammdaten!$AD$10:$AD$30,F$8)&gt;0,"Feiertag",IFERROR(INDEX(Buchungen!$T$6:$T$605,MATCH($B20&amp;"|"&amp;F$8&amp;"|1",Buchungen!$Q$6:$Q$605,0)),"")&amp;IFERROR(" / "&amp;INDEX(Buchungen!$T$6:$T$605,MATCH($B20&amp;"|"&amp;F$8&amp;"|2",Buchungen!$Q$6:$Q$605,0)),""))))</f>
        <v>T. Jung</v>
      </c>
      <c r="G20" s="43" t="str">
        <f>IF($B20="","",IF(Stammdaten!$I20="Gesperrt","gesperrt",IF(COUNTIF(Stammdaten!$AD$10:$AD$30,G$8)&gt;0,"Feiertag",IFERROR(INDEX(Buchungen!$T$6:$T$605,MATCH($B20&amp;"|"&amp;G$8&amp;"|1",Buchungen!$Q$6:$Q$605,0)),"")&amp;IFERROR(" / "&amp;INDEX(Buchungen!$T$6:$T$605,MATCH($B20&amp;"|"&amp;G$8&amp;"|2",Buchungen!$Q$6:$Q$605,0)),""))))</f>
        <v>T. Jung</v>
      </c>
      <c r="H20" s="43" t="str">
        <f>IF($B20="","",IF(Stammdaten!$I20="Gesperrt","gesperrt",IF(COUNTIF(Stammdaten!$AD$10:$AD$30,H$8)&gt;0,"Feiertag",IFERROR(INDEX(Buchungen!$T$6:$T$605,MATCH($B20&amp;"|"&amp;H$8&amp;"|1",Buchungen!$Q$6:$Q$605,0)),"")&amp;IFERROR(" / "&amp;INDEX(Buchungen!$T$6:$T$605,MATCH($B20&amp;"|"&amp;H$8&amp;"|2",Buchungen!$Q$6:$Q$605,0)),""))))</f>
        <v>L. Sommer</v>
      </c>
      <c r="I20" s="43" t="str">
        <f>IF($B20="","",IF(Stammdaten!$I20="Gesperrt","gesperrt",IF(COUNTIF(Stammdaten!$AD$10:$AD$30,I$8)&gt;0,"Feiertag",IFERROR(INDEX(Buchungen!$T$6:$T$605,MATCH($B20&amp;"|"&amp;I$8&amp;"|1",Buchungen!$Q$6:$Q$605,0)),"")&amp;IFERROR(" / "&amp;INDEX(Buchungen!$T$6:$T$605,MATCH($B20&amp;"|"&amp;I$8&amp;"|2",Buchungen!$Q$6:$Q$605,0)),""))))</f>
        <v>I. Marx / F. Engel</v>
      </c>
      <c r="J20" s="43" t="str">
        <f>IF($B20="","",IF(Stammdaten!$I20="Gesperrt","gesperrt",IF(COUNTIF(Stammdaten!$AD$10:$AD$30,J$8)&gt;0,"Feiertag",IFERROR(INDEX(Buchungen!$T$6:$T$605,MATCH($B20&amp;"|"&amp;J$8&amp;"|1",Buchungen!$Q$6:$Q$605,0)),"")&amp;IFERROR(" / "&amp;INDEX(Buchungen!$T$6:$T$605,MATCH($B20&amp;"|"&amp;J$8&amp;"|2",Buchungen!$Q$6:$Q$605,0)),""))))</f>
        <v>T. Jung</v>
      </c>
      <c r="K20" s="16"/>
      <c r="L20" s="43" t="str">
        <f>IF($B20="","",IF(Stammdaten!$I20="Gesperrt","gesperrt",IF(COUNTIF(Stammdaten!$AD$10:$AD$30,L$8)&gt;0,"Feiertag",IFERROR(INDEX(Buchungen!$T$6:$T$605,MATCH($B20&amp;"|"&amp;L$8&amp;"|1",Buchungen!$Q$6:$Q$605,0)),"")&amp;IFERROR(" / "&amp;INDEX(Buchungen!$T$6:$T$605,MATCH($B20&amp;"|"&amp;L$8&amp;"|2",Buchungen!$Q$6:$Q$605,0)),""))))</f>
        <v>T. Jung</v>
      </c>
      <c r="M20" s="43" t="str">
        <f>IF($B20="","",IF(Stammdaten!$I20="Gesperrt","gesperrt",IF(COUNTIF(Stammdaten!$AD$10:$AD$30,M$8)&gt;0,"Feiertag",IFERROR(INDEX(Buchungen!$T$6:$T$605,MATCH($B20&amp;"|"&amp;M$8&amp;"|1",Buchungen!$Q$6:$Q$605,0)),"")&amp;IFERROR(" / "&amp;INDEX(Buchungen!$T$6:$T$605,MATCH($B20&amp;"|"&amp;M$8&amp;"|2",Buchungen!$Q$6:$Q$605,0)),""))))</f>
        <v>T. Jung</v>
      </c>
      <c r="N20" s="43" t="str">
        <f>IF($B20="","",IF(Stammdaten!$I20="Gesperrt","gesperrt",IF(COUNTIF(Stammdaten!$AD$10:$AD$30,N$8)&gt;0,"Feiertag",IFERROR(INDEX(Buchungen!$T$6:$T$605,MATCH($B20&amp;"|"&amp;N$8&amp;"|1",Buchungen!$Q$6:$Q$605,0)),"")&amp;IFERROR(" / "&amp;INDEX(Buchungen!$T$6:$T$605,MATCH($B20&amp;"|"&amp;N$8&amp;"|2",Buchungen!$Q$6:$Q$605,0)),""))))</f>
        <v>T. Jung</v>
      </c>
      <c r="O20" s="43" t="str">
        <f>IF($B20="","",IF(Stammdaten!$I20="Gesperrt","gesperrt",IF(COUNTIF(Stammdaten!$AD$10:$AD$30,O$8)&gt;0,"Feiertag",IFERROR(INDEX(Buchungen!$T$6:$T$605,MATCH($B20&amp;"|"&amp;O$8&amp;"|1",Buchungen!$Q$6:$Q$605,0)),"")&amp;IFERROR(" / "&amp;INDEX(Buchungen!$T$6:$T$605,MATCH($B20&amp;"|"&amp;O$8&amp;"|2",Buchungen!$Q$6:$Q$605,0)),""))))</f>
        <v>T. Jung</v>
      </c>
      <c r="P20" s="43" t="str">
        <f>IF($B20="","",IF(Stammdaten!$I20="Gesperrt","gesperrt",IF(COUNTIF(Stammdaten!$AD$10:$AD$30,P$8)&gt;0,"Feiertag",IFERROR(INDEX(Buchungen!$T$6:$T$605,MATCH($B20&amp;"|"&amp;P$8&amp;"|1",Buchungen!$Q$6:$Q$605,0)),"")&amp;IFERROR(" / "&amp;INDEX(Buchungen!$T$6:$T$605,MATCH($B20&amp;"|"&amp;P$8&amp;"|2",Buchungen!$Q$6:$Q$605,0)),""))))</f>
        <v/>
      </c>
    </row>
    <row r="21" spans="2:16" ht="19.5" customHeight="1" x14ac:dyDescent="0.25">
      <c r="B21" s="23" t="str">
        <f>IF(Stammdaten!$B21="","",Stammdaten!$B21)</f>
        <v>A-12</v>
      </c>
      <c r="C21" s="40" t="str">
        <f>IF($B21="","",Stammdaten!$C21)</f>
        <v>1. OG</v>
      </c>
      <c r="D21" s="41" t="str">
        <f>IF($B21="","",Stammdaten!$D21)</f>
        <v>Fokuszone</v>
      </c>
      <c r="E21" s="42" t="str">
        <f>IF($B21="","",Stammdaten!$F21&amp;" Mon."&amp;IF(Stammdaten!$G21="Ja"," · Dock","")&amp;IF(Stammdaten!$H21="Ja"," · HV",""))</f>
        <v>2 Mon. · Dock · HV</v>
      </c>
      <c r="F21" s="43" t="str">
        <f>IF($B21="","",IF(Stammdaten!$I21="Gesperrt","gesperrt",IF(COUNTIF(Stammdaten!$AD$10:$AD$30,F$8)&gt;0,"Feiertag",IFERROR(INDEX(Buchungen!$T$6:$T$605,MATCH($B21&amp;"|"&amp;F$8&amp;"|1",Buchungen!$Q$6:$Q$605,0)),"")&amp;IFERROR(" / "&amp;INDEX(Buchungen!$T$6:$T$605,MATCH($B21&amp;"|"&amp;F$8&amp;"|2",Buchungen!$Q$6:$Q$605,0)),""))))</f>
        <v/>
      </c>
      <c r="G21" s="43" t="str">
        <f>IF($B21="","",IF(Stammdaten!$I21="Gesperrt","gesperrt",IF(COUNTIF(Stammdaten!$AD$10:$AD$30,G$8)&gt;0,"Feiertag",IFERROR(INDEX(Buchungen!$T$6:$T$605,MATCH($B21&amp;"|"&amp;G$8&amp;"|1",Buchungen!$Q$6:$Q$605,0)),"")&amp;IFERROR(" / "&amp;INDEX(Buchungen!$T$6:$T$605,MATCH($B21&amp;"|"&amp;G$8&amp;"|2",Buchungen!$Q$6:$Q$605,0)),""))))</f>
        <v/>
      </c>
      <c r="H21" s="43" t="str">
        <f>IF($B21="","",IF(Stammdaten!$I21="Gesperrt","gesperrt",IF(COUNTIF(Stammdaten!$AD$10:$AD$30,H$8)&gt;0,"Feiertag",IFERROR(INDEX(Buchungen!$T$6:$T$605,MATCH($B21&amp;"|"&amp;H$8&amp;"|1",Buchungen!$Q$6:$Q$605,0)),"")&amp;IFERROR(" / "&amp;INDEX(Buchungen!$T$6:$T$605,MATCH($B21&amp;"|"&amp;H$8&amp;"|2",Buchungen!$Q$6:$Q$605,0)),""))))</f>
        <v/>
      </c>
      <c r="I21" s="43" t="str">
        <f>IF($B21="","",IF(Stammdaten!$I21="Gesperrt","gesperrt",IF(COUNTIF(Stammdaten!$AD$10:$AD$30,I$8)&gt;0,"Feiertag",IFERROR(INDEX(Buchungen!$T$6:$T$605,MATCH($B21&amp;"|"&amp;I$8&amp;"|1",Buchungen!$Q$6:$Q$605,0)),"")&amp;IFERROR(" / "&amp;INDEX(Buchungen!$T$6:$T$605,MATCH($B21&amp;"|"&amp;I$8&amp;"|2",Buchungen!$Q$6:$Q$605,0)),""))))</f>
        <v>J. Peters</v>
      </c>
      <c r="J21" s="43" t="str">
        <f>IF($B21="","",IF(Stammdaten!$I21="Gesperrt","gesperrt",IF(COUNTIF(Stammdaten!$AD$10:$AD$30,J$8)&gt;0,"Feiertag",IFERROR(INDEX(Buchungen!$T$6:$T$605,MATCH($B21&amp;"|"&amp;J$8&amp;"|1",Buchungen!$Q$6:$Q$605,0)),"")&amp;IFERROR(" / "&amp;INDEX(Buchungen!$T$6:$T$605,MATCH($B21&amp;"|"&amp;J$8&amp;"|2",Buchungen!$Q$6:$Q$605,0)),""))))</f>
        <v>K. Busch</v>
      </c>
      <c r="K21" s="16"/>
      <c r="L21" s="43" t="str">
        <f>IF($B21="","",IF(Stammdaten!$I21="Gesperrt","gesperrt",IF(COUNTIF(Stammdaten!$AD$10:$AD$30,L$8)&gt;0,"Feiertag",IFERROR(INDEX(Buchungen!$T$6:$T$605,MATCH($B21&amp;"|"&amp;L$8&amp;"|1",Buchungen!$Q$6:$Q$605,0)),"")&amp;IFERROR(" / "&amp;INDEX(Buchungen!$T$6:$T$605,MATCH($B21&amp;"|"&amp;L$8&amp;"|2",Buchungen!$Q$6:$Q$605,0)),""))))</f>
        <v>T. Lindner</v>
      </c>
      <c r="M21" s="43" t="str">
        <f>IF($B21="","",IF(Stammdaten!$I21="Gesperrt","gesperrt",IF(COUNTIF(Stammdaten!$AD$10:$AD$30,M$8)&gt;0,"Feiertag",IFERROR(INDEX(Buchungen!$T$6:$T$605,MATCH($B21&amp;"|"&amp;M$8&amp;"|1",Buchungen!$Q$6:$Q$605,0)),"")&amp;IFERROR(" / "&amp;INDEX(Buchungen!$T$6:$T$605,MATCH($B21&amp;"|"&amp;M$8&amp;"|2",Buchungen!$Q$6:$Q$605,0)),""))))</f>
        <v>K. Brandl ?</v>
      </c>
      <c r="N21" s="43" t="str">
        <f>IF($B21="","",IF(Stammdaten!$I21="Gesperrt","gesperrt",IF(COUNTIF(Stammdaten!$AD$10:$AD$30,N$8)&gt;0,"Feiertag",IFERROR(INDEX(Buchungen!$T$6:$T$605,MATCH($B21&amp;"|"&amp;N$8&amp;"|1",Buchungen!$Q$6:$Q$605,0)),"")&amp;IFERROR(" / "&amp;INDEX(Buchungen!$T$6:$T$605,MATCH($B21&amp;"|"&amp;N$8&amp;"|2",Buchungen!$Q$6:$Q$605,0)),""))))</f>
        <v/>
      </c>
      <c r="O21" s="43" t="str">
        <f>IF($B21="","",IF(Stammdaten!$I21="Gesperrt","gesperrt",IF(COUNTIF(Stammdaten!$AD$10:$AD$30,O$8)&gt;0,"Feiertag",IFERROR(INDEX(Buchungen!$T$6:$T$605,MATCH($B21&amp;"|"&amp;O$8&amp;"|1",Buchungen!$Q$6:$Q$605,0)),"")&amp;IFERROR(" / "&amp;INDEX(Buchungen!$T$6:$T$605,MATCH($B21&amp;"|"&amp;O$8&amp;"|2",Buchungen!$Q$6:$Q$605,0)),""))))</f>
        <v>J. Peters</v>
      </c>
      <c r="P21" s="43" t="str">
        <f>IF($B21="","",IF(Stammdaten!$I21="Gesperrt","gesperrt",IF(COUNTIF(Stammdaten!$AD$10:$AD$30,P$8)&gt;0,"Feiertag",IFERROR(INDEX(Buchungen!$T$6:$T$605,MATCH($B21&amp;"|"&amp;P$8&amp;"|1",Buchungen!$Q$6:$Q$605,0)),"")&amp;IFERROR(" / "&amp;INDEX(Buchungen!$T$6:$T$605,MATCH($B21&amp;"|"&amp;P$8&amp;"|2",Buchungen!$Q$6:$Q$605,0)),""))))</f>
        <v>M. Winter</v>
      </c>
    </row>
    <row r="22" spans="2:16" ht="19.5" customHeight="1" x14ac:dyDescent="0.25">
      <c r="B22" s="23" t="str">
        <f>IF(Stammdaten!$B22="","",Stammdaten!$B22)</f>
        <v>B-01</v>
      </c>
      <c r="C22" s="40" t="str">
        <f>IF($B22="","",Stammdaten!$C22)</f>
        <v>2. OG</v>
      </c>
      <c r="D22" s="41" t="str">
        <f>IF($B22="","",Stammdaten!$D22)</f>
        <v>Teamzone Süd</v>
      </c>
      <c r="E22" s="42" t="str">
        <f>IF($B22="","",Stammdaten!$F22&amp;" Mon."&amp;IF(Stammdaten!$G22="Ja"," · Dock","")&amp;IF(Stammdaten!$H22="Ja"," · HV",""))</f>
        <v>2 Mon. · Dock · HV</v>
      </c>
      <c r="F22" s="43" t="str">
        <f>IF($B22="","",IF(Stammdaten!$I22="Gesperrt","gesperrt",IF(COUNTIF(Stammdaten!$AD$10:$AD$30,F$8)&gt;0,"Feiertag",IFERROR(INDEX(Buchungen!$T$6:$T$605,MATCH($B22&amp;"|"&amp;F$8&amp;"|1",Buchungen!$Q$6:$Q$605,0)),"")&amp;IFERROR(" / "&amp;INDEX(Buchungen!$T$6:$T$605,MATCH($B22&amp;"|"&amp;F$8&amp;"|2",Buchungen!$Q$6:$Q$605,0)),""))))</f>
        <v/>
      </c>
      <c r="G22" s="43" t="str">
        <f>IF($B22="","",IF(Stammdaten!$I22="Gesperrt","gesperrt",IF(COUNTIF(Stammdaten!$AD$10:$AD$30,G$8)&gt;0,"Feiertag",IFERROR(INDEX(Buchungen!$T$6:$T$605,MATCH($B22&amp;"|"&amp;G$8&amp;"|1",Buchungen!$Q$6:$Q$605,0)),"")&amp;IFERROR(" / "&amp;INDEX(Buchungen!$T$6:$T$605,MATCH($B22&amp;"|"&amp;G$8&amp;"|2",Buchungen!$Q$6:$Q$605,0)),""))))</f>
        <v>M. Keller</v>
      </c>
      <c r="H22" s="43" t="str">
        <f>IF($B22="","",IF(Stammdaten!$I22="Gesperrt","gesperrt",IF(COUNTIF(Stammdaten!$AD$10:$AD$30,H$8)&gt;0,"Feiertag",IFERROR(INDEX(Buchungen!$T$6:$T$605,MATCH($B22&amp;"|"&amp;H$8&amp;"|1",Buchungen!$Q$6:$Q$605,0)),"")&amp;IFERROR(" / "&amp;INDEX(Buchungen!$T$6:$T$605,MATCH($B22&amp;"|"&amp;H$8&amp;"|2",Buchungen!$Q$6:$Q$605,0)),""))))</f>
        <v>S. Böhm</v>
      </c>
      <c r="I22" s="43" t="str">
        <f>IF($B22="","",IF(Stammdaten!$I22="Gesperrt","gesperrt",IF(COUNTIF(Stammdaten!$AD$10:$AD$30,I$8)&gt;0,"Feiertag",IFERROR(INDEX(Buchungen!$T$6:$T$605,MATCH($B22&amp;"|"&amp;I$8&amp;"|1",Buchungen!$Q$6:$Q$605,0)),"")&amp;IFERROR(" / "&amp;INDEX(Buchungen!$T$6:$T$605,MATCH($B22&amp;"|"&amp;I$8&amp;"|2",Buchungen!$Q$6:$Q$605,0)),""))))</f>
        <v>J. Herrmann</v>
      </c>
      <c r="J22" s="43" t="str">
        <f>IF($B22="","",IF(Stammdaten!$I22="Gesperrt","gesperrt",IF(COUNTIF(Stammdaten!$AD$10:$AD$30,J$8)&gt;0,"Feiertag",IFERROR(INDEX(Buchungen!$T$6:$T$605,MATCH($B22&amp;"|"&amp;J$8&amp;"|1",Buchungen!$Q$6:$Q$605,0)),"")&amp;IFERROR(" / "&amp;INDEX(Buchungen!$T$6:$T$605,MATCH($B22&amp;"|"&amp;J$8&amp;"|2",Buchungen!$Q$6:$Q$605,0)),""))))</f>
        <v/>
      </c>
      <c r="K22" s="16"/>
      <c r="L22" s="43" t="str">
        <f>IF($B22="","",IF(Stammdaten!$I22="Gesperrt","gesperrt",IF(COUNTIF(Stammdaten!$AD$10:$AD$30,L$8)&gt;0,"Feiertag",IFERROR(INDEX(Buchungen!$T$6:$T$605,MATCH($B22&amp;"|"&amp;L$8&amp;"|1",Buchungen!$Q$6:$Q$605,0)),"")&amp;IFERROR(" / "&amp;INDEX(Buchungen!$T$6:$T$605,MATCH($B22&amp;"|"&amp;L$8&amp;"|2",Buchungen!$Q$6:$Q$605,0)),""))))</f>
        <v>J. Herrmann</v>
      </c>
      <c r="M22" s="43" t="str">
        <f>IF($B22="","",IF(Stammdaten!$I22="Gesperrt","gesperrt",IF(COUNTIF(Stammdaten!$AD$10:$AD$30,M$8)&gt;0,"Feiertag",IFERROR(INDEX(Buchungen!$T$6:$T$605,MATCH($B22&amp;"|"&amp;M$8&amp;"|1",Buchungen!$Q$6:$Q$605,0)),"")&amp;IFERROR(" / "&amp;INDEX(Buchungen!$T$6:$T$605,MATCH($B22&amp;"|"&amp;M$8&amp;"|2",Buchungen!$Q$6:$Q$605,0)),""))))</f>
        <v/>
      </c>
      <c r="N22" s="43" t="str">
        <f>IF($B22="","",IF(Stammdaten!$I22="Gesperrt","gesperrt",IF(COUNTIF(Stammdaten!$AD$10:$AD$30,N$8)&gt;0,"Feiertag",IFERROR(INDEX(Buchungen!$T$6:$T$605,MATCH($B22&amp;"|"&amp;N$8&amp;"|1",Buchungen!$Q$6:$Q$605,0)),"")&amp;IFERROR(" / "&amp;INDEX(Buchungen!$T$6:$T$605,MATCH($B22&amp;"|"&amp;N$8&amp;"|2",Buchungen!$Q$6:$Q$605,0)),""))))</f>
        <v>S. Böhm</v>
      </c>
      <c r="O22" s="43" t="str">
        <f>IF($B22="","",IF(Stammdaten!$I22="Gesperrt","gesperrt",IF(COUNTIF(Stammdaten!$AD$10:$AD$30,O$8)&gt;0,"Feiertag",IFERROR(INDEX(Buchungen!$T$6:$T$605,MATCH($B22&amp;"|"&amp;O$8&amp;"|1",Buchungen!$Q$6:$Q$605,0)),"")&amp;IFERROR(" / "&amp;INDEX(Buchungen!$T$6:$T$605,MATCH($B22&amp;"|"&amp;O$8&amp;"|2",Buchungen!$Q$6:$Q$605,0)),""))))</f>
        <v>H. Roth</v>
      </c>
      <c r="P22" s="43" t="str">
        <f>IF($B22="","",IF(Stammdaten!$I22="Gesperrt","gesperrt",IF(COUNTIF(Stammdaten!$AD$10:$AD$30,P$8)&gt;0,"Feiertag",IFERROR(INDEX(Buchungen!$T$6:$T$605,MATCH($B22&amp;"|"&amp;P$8&amp;"|1",Buchungen!$Q$6:$Q$605,0)),"")&amp;IFERROR(" / "&amp;INDEX(Buchungen!$T$6:$T$605,MATCH($B22&amp;"|"&amp;P$8&amp;"|2",Buchungen!$Q$6:$Q$605,0)),""))))</f>
        <v>E. Neumann</v>
      </c>
    </row>
    <row r="23" spans="2:16" ht="19.5" customHeight="1" x14ac:dyDescent="0.25">
      <c r="B23" s="23" t="str">
        <f>IF(Stammdaten!$B23="","",Stammdaten!$B23)</f>
        <v>B-02</v>
      </c>
      <c r="C23" s="40" t="str">
        <f>IF($B23="","",Stammdaten!$C23)</f>
        <v>2. OG</v>
      </c>
      <c r="D23" s="41" t="str">
        <f>IF($B23="","",Stammdaten!$D23)</f>
        <v>Teamzone Süd</v>
      </c>
      <c r="E23" s="42" t="str">
        <f>IF($B23="","",Stammdaten!$F23&amp;" Mon."&amp;IF(Stammdaten!$G23="Ja"," · Dock","")&amp;IF(Stammdaten!$H23="Ja"," · HV",""))</f>
        <v>2 Mon. · Dock</v>
      </c>
      <c r="F23" s="43" t="str">
        <f>IF($B23="","",IF(Stammdaten!$I23="Gesperrt","gesperrt",IF(COUNTIF(Stammdaten!$AD$10:$AD$30,F$8)&gt;0,"Feiertag",IFERROR(INDEX(Buchungen!$T$6:$T$605,MATCH($B23&amp;"|"&amp;F$8&amp;"|1",Buchungen!$Q$6:$Q$605,0)),"")&amp;IFERROR(" / "&amp;INDEX(Buchungen!$T$6:$T$605,MATCH($B23&amp;"|"&amp;F$8&amp;"|2",Buchungen!$Q$6:$Q$605,0)),""))))</f>
        <v/>
      </c>
      <c r="G23" s="43" t="str">
        <f>IF($B23="","",IF(Stammdaten!$I23="Gesperrt","gesperrt",IF(COUNTIF(Stammdaten!$AD$10:$AD$30,G$8)&gt;0,"Feiertag",IFERROR(INDEX(Buchungen!$T$6:$T$605,MATCH($B23&amp;"|"&amp;G$8&amp;"|1",Buchungen!$Q$6:$Q$605,0)),"")&amp;IFERROR(" / "&amp;INDEX(Buchungen!$T$6:$T$605,MATCH($B23&amp;"|"&amp;G$8&amp;"|2",Buchungen!$Q$6:$Q$605,0)),""))))</f>
        <v>E. Yilmaz</v>
      </c>
      <c r="H23" s="43" t="str">
        <f>IF($B23="","",IF(Stammdaten!$I23="Gesperrt","gesperrt",IF(COUNTIF(Stammdaten!$AD$10:$AD$30,H$8)&gt;0,"Feiertag",IFERROR(INDEX(Buchungen!$T$6:$T$605,MATCH($B23&amp;"|"&amp;H$8&amp;"|1",Buchungen!$Q$6:$Q$605,0)),"")&amp;IFERROR(" / "&amp;INDEX(Buchungen!$T$6:$T$605,MATCH($B23&amp;"|"&amp;H$8&amp;"|2",Buchungen!$Q$6:$Q$605,0)),""))))</f>
        <v>N. Wolf</v>
      </c>
      <c r="I23" s="43" t="str">
        <f>IF($B23="","",IF(Stammdaten!$I23="Gesperrt","gesperrt",IF(COUNTIF(Stammdaten!$AD$10:$AD$30,I$8)&gt;0,"Feiertag",IFERROR(INDEX(Buchungen!$T$6:$T$605,MATCH($B23&amp;"|"&amp;I$8&amp;"|1",Buchungen!$Q$6:$Q$605,0)),"")&amp;IFERROR(" / "&amp;INDEX(Buchungen!$T$6:$T$605,MATCH($B23&amp;"|"&amp;I$8&amp;"|2",Buchungen!$Q$6:$Q$605,0)),""))))</f>
        <v>H. Roth</v>
      </c>
      <c r="J23" s="43" t="str">
        <f>IF($B23="","",IF(Stammdaten!$I23="Gesperrt","gesperrt",IF(COUNTIF(Stammdaten!$AD$10:$AD$30,J$8)&gt;0,"Feiertag",IFERROR(INDEX(Buchungen!$T$6:$T$605,MATCH($B23&amp;"|"&amp;J$8&amp;"|1",Buchungen!$Q$6:$Q$605,0)),"")&amp;IFERROR(" / "&amp;INDEX(Buchungen!$T$6:$T$605,MATCH($B23&amp;"|"&amp;J$8&amp;"|2",Buchungen!$Q$6:$Q$605,0)),""))))</f>
        <v>L. Fuchs</v>
      </c>
      <c r="K23" s="16"/>
      <c r="L23" s="43" t="str">
        <f>IF($B23="","",IF(Stammdaten!$I23="Gesperrt","gesperrt",IF(COUNTIF(Stammdaten!$AD$10:$AD$30,L$8)&gt;0,"Feiertag",IFERROR(INDEX(Buchungen!$T$6:$T$605,MATCH($B23&amp;"|"&amp;L$8&amp;"|1",Buchungen!$Q$6:$Q$605,0)),"")&amp;IFERROR(" / "&amp;INDEX(Buchungen!$T$6:$T$605,MATCH($B23&amp;"|"&amp;L$8&amp;"|2",Buchungen!$Q$6:$Q$605,0)),""))))</f>
        <v>S. Böhm ?</v>
      </c>
      <c r="M23" s="43" t="str">
        <f>IF($B23="","",IF(Stammdaten!$I23="Gesperrt","gesperrt",IF(COUNTIF(Stammdaten!$AD$10:$AD$30,M$8)&gt;0,"Feiertag",IFERROR(INDEX(Buchungen!$T$6:$T$605,MATCH($B23&amp;"|"&amp;M$8&amp;"|1",Buchungen!$Q$6:$Q$605,0)),"")&amp;IFERROR(" / "&amp;INDEX(Buchungen!$T$6:$T$605,MATCH($B23&amp;"|"&amp;M$8&amp;"|2",Buchungen!$Q$6:$Q$605,0)),""))))</f>
        <v/>
      </c>
      <c r="N23" s="43" t="str">
        <f>IF($B23="","",IF(Stammdaten!$I23="Gesperrt","gesperrt",IF(COUNTIF(Stammdaten!$AD$10:$AD$30,N$8)&gt;0,"Feiertag",IFERROR(INDEX(Buchungen!$T$6:$T$605,MATCH($B23&amp;"|"&amp;N$8&amp;"|1",Buchungen!$Q$6:$Q$605,0)),"")&amp;IFERROR(" / "&amp;INDEX(Buchungen!$T$6:$T$605,MATCH($B23&amp;"|"&amp;N$8&amp;"|2",Buchungen!$Q$6:$Q$605,0)),""))))</f>
        <v>H. Roth ?</v>
      </c>
      <c r="O23" s="43" t="str">
        <f>IF($B23="","",IF(Stammdaten!$I23="Gesperrt","gesperrt",IF(COUNTIF(Stammdaten!$AD$10:$AD$30,O$8)&gt;0,"Feiertag",IFERROR(INDEX(Buchungen!$T$6:$T$605,MATCH($B23&amp;"|"&amp;O$8&amp;"|1",Buchungen!$Q$6:$Q$605,0)),"")&amp;IFERROR(" / "&amp;INDEX(Buchungen!$T$6:$T$605,MATCH($B23&amp;"|"&amp;O$8&amp;"|2",Buchungen!$Q$6:$Q$605,0)),""))))</f>
        <v>A. Lorenz</v>
      </c>
      <c r="P23" s="43" t="str">
        <f>IF($B23="","",IF(Stammdaten!$I23="Gesperrt","gesperrt",IF(COUNTIF(Stammdaten!$AD$10:$AD$30,P$8)&gt;0,"Feiertag",IFERROR(INDEX(Buchungen!$T$6:$T$605,MATCH($B23&amp;"|"&amp;P$8&amp;"|1",Buchungen!$Q$6:$Q$605,0)),"")&amp;IFERROR(" / "&amp;INDEX(Buchungen!$T$6:$T$605,MATCH($B23&amp;"|"&amp;P$8&amp;"|2",Buchungen!$Q$6:$Q$605,0)),""))))</f>
        <v>H. Roth</v>
      </c>
    </row>
    <row r="24" spans="2:16" ht="19.5" customHeight="1" x14ac:dyDescent="0.25">
      <c r="B24" s="23" t="str">
        <f>IF(Stammdaten!$B24="","",Stammdaten!$B24)</f>
        <v>B-03</v>
      </c>
      <c r="C24" s="40" t="str">
        <f>IF($B24="","",Stammdaten!$C24)</f>
        <v>2. OG</v>
      </c>
      <c r="D24" s="41" t="str">
        <f>IF($B24="","",Stammdaten!$D24)</f>
        <v>Teamzone Süd</v>
      </c>
      <c r="E24" s="42" t="str">
        <f>IF($B24="","",Stammdaten!$F24&amp;" Mon."&amp;IF(Stammdaten!$G24="Ja"," · Dock","")&amp;IF(Stammdaten!$H24="Ja"," · HV",""))</f>
        <v>2 Mon. · Dock</v>
      </c>
      <c r="F24" s="43" t="str">
        <f>IF($B24="","",IF(Stammdaten!$I24="Gesperrt","gesperrt",IF(COUNTIF(Stammdaten!$AD$10:$AD$30,F$8)&gt;0,"Feiertag",IFERROR(INDEX(Buchungen!$T$6:$T$605,MATCH($B24&amp;"|"&amp;F$8&amp;"|1",Buchungen!$Q$6:$Q$605,0)),"")&amp;IFERROR(" / "&amp;INDEX(Buchungen!$T$6:$T$605,MATCH($B24&amp;"|"&amp;F$8&amp;"|2",Buchungen!$Q$6:$Q$605,0)),""))))</f>
        <v>S. Böhm</v>
      </c>
      <c r="G24" s="43" t="str">
        <f>IF($B24="","",IF(Stammdaten!$I24="Gesperrt","gesperrt",IF(COUNTIF(Stammdaten!$AD$10:$AD$30,G$8)&gt;0,"Feiertag",IFERROR(INDEX(Buchungen!$T$6:$T$605,MATCH($B24&amp;"|"&amp;G$8&amp;"|1",Buchungen!$Q$6:$Q$605,0)),"")&amp;IFERROR(" / "&amp;INDEX(Buchungen!$T$6:$T$605,MATCH($B24&amp;"|"&amp;G$8&amp;"|2",Buchungen!$Q$6:$Q$605,0)),""))))</f>
        <v>N. Wolf</v>
      </c>
      <c r="H24" s="43" t="str">
        <f>IF($B24="","",IF(Stammdaten!$I24="Gesperrt","gesperrt",IF(COUNTIF(Stammdaten!$AD$10:$AD$30,H$8)&gt;0,"Feiertag",IFERROR(INDEX(Buchungen!$T$6:$T$605,MATCH($B24&amp;"|"&amp;H$8&amp;"|1",Buchungen!$Q$6:$Q$605,0)),"")&amp;IFERROR(" / "&amp;INDEX(Buchungen!$T$6:$T$605,MATCH($B24&amp;"|"&amp;H$8&amp;"|2",Buchungen!$Q$6:$Q$605,0)),""))))</f>
        <v/>
      </c>
      <c r="I24" s="43" t="str">
        <f>IF($B24="","",IF(Stammdaten!$I24="Gesperrt","gesperrt",IF(COUNTIF(Stammdaten!$AD$10:$AD$30,I$8)&gt;0,"Feiertag",IFERROR(INDEX(Buchungen!$T$6:$T$605,MATCH($B24&amp;"|"&amp;I$8&amp;"|1",Buchungen!$Q$6:$Q$605,0)),"")&amp;IFERROR(" / "&amp;INDEX(Buchungen!$T$6:$T$605,MATCH($B24&amp;"|"&amp;I$8&amp;"|2",Buchungen!$Q$6:$Q$605,0)),""))))</f>
        <v>E. Yilmaz</v>
      </c>
      <c r="J24" s="43" t="str">
        <f>IF($B24="","",IF(Stammdaten!$I24="Gesperrt","gesperrt",IF(COUNTIF(Stammdaten!$AD$10:$AD$30,J$8)&gt;0,"Feiertag",IFERROR(INDEX(Buchungen!$T$6:$T$605,MATCH($B24&amp;"|"&amp;J$8&amp;"|1",Buchungen!$Q$6:$Q$605,0)),"")&amp;IFERROR(" / "&amp;INDEX(Buchungen!$T$6:$T$605,MATCH($B24&amp;"|"&amp;J$8&amp;"|2",Buchungen!$Q$6:$Q$605,0)),""))))</f>
        <v/>
      </c>
      <c r="K24" s="16"/>
      <c r="L24" s="43" t="str">
        <f>IF($B24="","",IF(Stammdaten!$I24="Gesperrt","gesperrt",IF(COUNTIF(Stammdaten!$AD$10:$AD$30,L$8)&gt;0,"Feiertag",IFERROR(INDEX(Buchungen!$T$6:$T$605,MATCH($B24&amp;"|"&amp;L$8&amp;"|1",Buchungen!$Q$6:$Q$605,0)),"")&amp;IFERROR(" / "&amp;INDEX(Buchungen!$T$6:$T$605,MATCH($B24&amp;"|"&amp;L$8&amp;"|2",Buchungen!$Q$6:$Q$605,0)),""))))</f>
        <v/>
      </c>
      <c r="M24" s="43" t="str">
        <f>IF($B24="","",IF(Stammdaten!$I24="Gesperrt","gesperrt",IF(COUNTIF(Stammdaten!$AD$10:$AD$30,M$8)&gt;0,"Feiertag",IFERROR(INDEX(Buchungen!$T$6:$T$605,MATCH($B24&amp;"|"&amp;M$8&amp;"|1",Buchungen!$Q$6:$Q$605,0)),"")&amp;IFERROR(" / "&amp;INDEX(Buchungen!$T$6:$T$605,MATCH($B24&amp;"|"&amp;M$8&amp;"|2",Buchungen!$Q$6:$Q$605,0)),""))))</f>
        <v/>
      </c>
      <c r="N24" s="43" t="str">
        <f>IF($B24="","",IF(Stammdaten!$I24="Gesperrt","gesperrt",IF(COUNTIF(Stammdaten!$AD$10:$AD$30,N$8)&gt;0,"Feiertag",IFERROR(INDEX(Buchungen!$T$6:$T$605,MATCH($B24&amp;"|"&amp;N$8&amp;"|1",Buchungen!$Q$6:$Q$605,0)),"")&amp;IFERROR(" / "&amp;INDEX(Buchungen!$T$6:$T$605,MATCH($B24&amp;"|"&amp;N$8&amp;"|2",Buchungen!$Q$6:$Q$605,0)),""))))</f>
        <v/>
      </c>
      <c r="O24" s="43" t="str">
        <f>IF($B24="","",IF(Stammdaten!$I24="Gesperrt","gesperrt",IF(COUNTIF(Stammdaten!$AD$10:$AD$30,O$8)&gt;0,"Feiertag",IFERROR(INDEX(Buchungen!$T$6:$T$605,MATCH($B24&amp;"|"&amp;O$8&amp;"|1",Buchungen!$Q$6:$Q$605,0)),"")&amp;IFERROR(" / "&amp;INDEX(Buchungen!$T$6:$T$605,MATCH($B24&amp;"|"&amp;O$8&amp;"|2",Buchungen!$Q$6:$Q$605,0)),""))))</f>
        <v>S. Böhm ?</v>
      </c>
      <c r="P24" s="43" t="str">
        <f>IF($B24="","",IF(Stammdaten!$I24="Gesperrt","gesperrt",IF(COUNTIF(Stammdaten!$AD$10:$AD$30,P$8)&gt;0,"Feiertag",IFERROR(INDEX(Buchungen!$T$6:$T$605,MATCH($B24&amp;"|"&amp;P$8&amp;"|1",Buchungen!$Q$6:$Q$605,0)),"")&amp;IFERROR(" / "&amp;INDEX(Buchungen!$T$6:$T$605,MATCH($B24&amp;"|"&amp;P$8&amp;"|2",Buchungen!$Q$6:$Q$605,0)),""))))</f>
        <v>L. Fuchs</v>
      </c>
    </row>
    <row r="25" spans="2:16" ht="19.5" customHeight="1" x14ac:dyDescent="0.25">
      <c r="B25" s="23" t="str">
        <f>IF(Stammdaten!$B25="","",Stammdaten!$B25)</f>
        <v>B-04</v>
      </c>
      <c r="C25" s="40" t="str">
        <f>IF($B25="","",Stammdaten!$C25)</f>
        <v>2. OG</v>
      </c>
      <c r="D25" s="41" t="str">
        <f>IF($B25="","",Stammdaten!$D25)</f>
        <v>Teamzone Süd</v>
      </c>
      <c r="E25" s="42" t="str">
        <f>IF($B25="","",Stammdaten!$F25&amp;" Mon."&amp;IF(Stammdaten!$G25="Ja"," · Dock","")&amp;IF(Stammdaten!$H25="Ja"," · HV",""))</f>
        <v>2 Mon.</v>
      </c>
      <c r="F25" s="43" t="str">
        <f>IF($B25="","",IF(Stammdaten!$I25="Gesperrt","gesperrt",IF(COUNTIF(Stammdaten!$AD$10:$AD$30,F$8)&gt;0,"Feiertag",IFERROR(INDEX(Buchungen!$T$6:$T$605,MATCH($B25&amp;"|"&amp;F$8&amp;"|1",Buchungen!$Q$6:$Q$605,0)),"")&amp;IFERROR(" / "&amp;INDEX(Buchungen!$T$6:$T$605,MATCH($B25&amp;"|"&amp;F$8&amp;"|2",Buchungen!$Q$6:$Q$605,0)),""))))</f>
        <v>H. Roth</v>
      </c>
      <c r="G25" s="43" t="str">
        <f>IF($B25="","",IF(Stammdaten!$I25="Gesperrt","gesperrt",IF(COUNTIF(Stammdaten!$AD$10:$AD$30,G$8)&gt;0,"Feiertag",IFERROR(INDEX(Buchungen!$T$6:$T$605,MATCH($B25&amp;"|"&amp;G$8&amp;"|1",Buchungen!$Q$6:$Q$605,0)),"")&amp;IFERROR(" / "&amp;INDEX(Buchungen!$T$6:$T$605,MATCH($B25&amp;"|"&amp;G$8&amp;"|2",Buchungen!$Q$6:$Q$605,0)),""))))</f>
        <v/>
      </c>
      <c r="H25" s="43" t="str">
        <f>IF($B25="","",IF(Stammdaten!$I25="Gesperrt","gesperrt",IF(COUNTIF(Stammdaten!$AD$10:$AD$30,H$8)&gt;0,"Feiertag",IFERROR(INDEX(Buchungen!$T$6:$T$605,MATCH($B25&amp;"|"&amp;H$8&amp;"|1",Buchungen!$Q$6:$Q$605,0)),"")&amp;IFERROR(" / "&amp;INDEX(Buchungen!$T$6:$T$605,MATCH($B25&amp;"|"&amp;H$8&amp;"|2",Buchungen!$Q$6:$Q$605,0)),""))))</f>
        <v>H. Roth</v>
      </c>
      <c r="I25" s="43" t="str">
        <f>IF($B25="","",IF(Stammdaten!$I25="Gesperrt","gesperrt",IF(COUNTIF(Stammdaten!$AD$10:$AD$30,I$8)&gt;0,"Feiertag",IFERROR(INDEX(Buchungen!$T$6:$T$605,MATCH($B25&amp;"|"&amp;I$8&amp;"|1",Buchungen!$Q$6:$Q$605,0)),"")&amp;IFERROR(" / "&amp;INDEX(Buchungen!$T$6:$T$605,MATCH($B25&amp;"|"&amp;I$8&amp;"|2",Buchungen!$Q$6:$Q$605,0)),""))))</f>
        <v/>
      </c>
      <c r="J25" s="43" t="str">
        <f>IF($B25="","",IF(Stammdaten!$I25="Gesperrt","gesperrt",IF(COUNTIF(Stammdaten!$AD$10:$AD$30,J$8)&gt;0,"Feiertag",IFERROR(INDEX(Buchungen!$T$6:$T$605,MATCH($B25&amp;"|"&amp;J$8&amp;"|1",Buchungen!$Q$6:$Q$605,0)),"")&amp;IFERROR(" / "&amp;INDEX(Buchungen!$T$6:$T$605,MATCH($B25&amp;"|"&amp;J$8&amp;"|2",Buchungen!$Q$6:$Q$605,0)),""))))</f>
        <v>S. Böhm</v>
      </c>
      <c r="K25" s="16"/>
      <c r="L25" s="43" t="str">
        <f>IF($B25="","",IF(Stammdaten!$I25="Gesperrt","gesperrt",IF(COUNTIF(Stammdaten!$AD$10:$AD$30,L$8)&gt;0,"Feiertag",IFERROR(INDEX(Buchungen!$T$6:$T$605,MATCH($B25&amp;"|"&amp;L$8&amp;"|1",Buchungen!$Q$6:$Q$605,0)),"")&amp;IFERROR(" / "&amp;INDEX(Buchungen!$T$6:$T$605,MATCH($B25&amp;"|"&amp;L$8&amp;"|2",Buchungen!$Q$6:$Q$605,0)),""))))</f>
        <v/>
      </c>
      <c r="M25" s="43" t="str">
        <f>IF($B25="","",IF(Stammdaten!$I25="Gesperrt","gesperrt",IF(COUNTIF(Stammdaten!$AD$10:$AD$30,M$8)&gt;0,"Feiertag",IFERROR(INDEX(Buchungen!$T$6:$T$605,MATCH($B25&amp;"|"&amp;M$8&amp;"|1",Buchungen!$Q$6:$Q$605,0)),"")&amp;IFERROR(" / "&amp;INDEX(Buchungen!$T$6:$T$605,MATCH($B25&amp;"|"&amp;M$8&amp;"|2",Buchungen!$Q$6:$Q$605,0)),""))))</f>
        <v>M. Keller</v>
      </c>
      <c r="N25" s="43" t="str">
        <f>IF($B25="","",IF(Stammdaten!$I25="Gesperrt","gesperrt",IF(COUNTIF(Stammdaten!$AD$10:$AD$30,N$8)&gt;0,"Feiertag",IFERROR(INDEX(Buchungen!$T$6:$T$605,MATCH($B25&amp;"|"&amp;N$8&amp;"|1",Buchungen!$Q$6:$Q$605,0)),"")&amp;IFERROR(" / "&amp;INDEX(Buchungen!$T$6:$T$605,MATCH($B25&amp;"|"&amp;N$8&amp;"|2",Buchungen!$Q$6:$Q$605,0)),""))))</f>
        <v/>
      </c>
      <c r="O25" s="43" t="str">
        <f>IF($B25="","",IF(Stammdaten!$I25="Gesperrt","gesperrt",IF(COUNTIF(Stammdaten!$AD$10:$AD$30,O$8)&gt;0,"Feiertag",IFERROR(INDEX(Buchungen!$T$6:$T$605,MATCH($B25&amp;"|"&amp;O$8&amp;"|1",Buchungen!$Q$6:$Q$605,0)),"")&amp;IFERROR(" / "&amp;INDEX(Buchungen!$T$6:$T$605,MATCH($B25&amp;"|"&amp;O$8&amp;"|2",Buchungen!$Q$6:$Q$605,0)),""))))</f>
        <v>J. Herrmann</v>
      </c>
      <c r="P25" s="43" t="str">
        <f>IF($B25="","",IF(Stammdaten!$I25="Gesperrt","gesperrt",IF(COUNTIF(Stammdaten!$AD$10:$AD$30,P$8)&gt;0,"Feiertag",IFERROR(INDEX(Buchungen!$T$6:$T$605,MATCH($B25&amp;"|"&amp;P$8&amp;"|1",Buchungen!$Q$6:$Q$605,0)),"")&amp;IFERROR(" / "&amp;INDEX(Buchungen!$T$6:$T$605,MATCH($B25&amp;"|"&amp;P$8&amp;"|2",Buchungen!$Q$6:$Q$605,0)),""))))</f>
        <v/>
      </c>
    </row>
    <row r="26" spans="2:16" ht="19.5" customHeight="1" x14ac:dyDescent="0.25">
      <c r="B26" s="23" t="str">
        <f>IF(Stammdaten!$B26="","",Stammdaten!$B26)</f>
        <v>B-05</v>
      </c>
      <c r="C26" s="40" t="str">
        <f>IF($B26="","",Stammdaten!$C26)</f>
        <v>2. OG</v>
      </c>
      <c r="D26" s="41" t="str">
        <f>IF($B26="","",Stammdaten!$D26)</f>
        <v>Teamzone Süd</v>
      </c>
      <c r="E26" s="42" t="str">
        <f>IF($B26="","",Stammdaten!$F26&amp;" Mon."&amp;IF(Stammdaten!$G26="Ja"," · Dock","")&amp;IF(Stammdaten!$H26="Ja"," · HV",""))</f>
        <v>2 Mon. · Dock · HV</v>
      </c>
      <c r="F26" s="43" t="str">
        <f>IF($B26="","",IF(Stammdaten!$I26="Gesperrt","gesperrt",IF(COUNTIF(Stammdaten!$AD$10:$AD$30,F$8)&gt;0,"Feiertag",IFERROR(INDEX(Buchungen!$T$6:$T$605,MATCH($B26&amp;"|"&amp;F$8&amp;"|1",Buchungen!$Q$6:$Q$605,0)),"")&amp;IFERROR(" / "&amp;INDEX(Buchungen!$T$6:$T$605,MATCH($B26&amp;"|"&amp;F$8&amp;"|2",Buchungen!$Q$6:$Q$605,0)),""))))</f>
        <v>L. Fuchs</v>
      </c>
      <c r="G26" s="43" t="str">
        <f>IF($B26="","",IF(Stammdaten!$I26="Gesperrt","gesperrt",IF(COUNTIF(Stammdaten!$AD$10:$AD$30,G$8)&gt;0,"Feiertag",IFERROR(INDEX(Buchungen!$T$6:$T$605,MATCH($B26&amp;"|"&amp;G$8&amp;"|1",Buchungen!$Q$6:$Q$605,0)),"")&amp;IFERROR(" / "&amp;INDEX(Buchungen!$T$6:$T$605,MATCH($B26&amp;"|"&amp;G$8&amp;"|2",Buchungen!$Q$6:$Q$605,0)),""))))</f>
        <v>E. Neumann</v>
      </c>
      <c r="H26" s="43" t="str">
        <f>IF($B26="","",IF(Stammdaten!$I26="Gesperrt","gesperrt",IF(COUNTIF(Stammdaten!$AD$10:$AD$30,H$8)&gt;0,"Feiertag",IFERROR(INDEX(Buchungen!$T$6:$T$605,MATCH($B26&amp;"|"&amp;H$8&amp;"|1",Buchungen!$Q$6:$Q$605,0)),"")&amp;IFERROR(" / "&amp;INDEX(Buchungen!$T$6:$T$605,MATCH($B26&amp;"|"&amp;H$8&amp;"|2",Buchungen!$Q$6:$Q$605,0)),""))))</f>
        <v>A. Lorenz</v>
      </c>
      <c r="I26" s="43" t="str">
        <f>IF($B26="","",IF(Stammdaten!$I26="Gesperrt","gesperrt",IF(COUNTIF(Stammdaten!$AD$10:$AD$30,I$8)&gt;0,"Feiertag",IFERROR(INDEX(Buchungen!$T$6:$T$605,MATCH($B26&amp;"|"&amp;I$8&amp;"|1",Buchungen!$Q$6:$Q$605,0)),"")&amp;IFERROR(" / "&amp;INDEX(Buchungen!$T$6:$T$605,MATCH($B26&amp;"|"&amp;I$8&amp;"|2",Buchungen!$Q$6:$Q$605,0)),""))))</f>
        <v>N. Wolf</v>
      </c>
      <c r="J26" s="43" t="str">
        <f>IF($B26="","",IF(Stammdaten!$I26="Gesperrt","gesperrt",IF(COUNTIF(Stammdaten!$AD$10:$AD$30,J$8)&gt;0,"Feiertag",IFERROR(INDEX(Buchungen!$T$6:$T$605,MATCH($B26&amp;"|"&amp;J$8&amp;"|1",Buchungen!$Q$6:$Q$605,0)),"")&amp;IFERROR(" / "&amp;INDEX(Buchungen!$T$6:$T$605,MATCH($B26&amp;"|"&amp;J$8&amp;"|2",Buchungen!$Q$6:$Q$605,0)),""))))</f>
        <v/>
      </c>
      <c r="K26" s="16"/>
      <c r="L26" s="43" t="str">
        <f>IF($B26="","",IF(Stammdaten!$I26="Gesperrt","gesperrt",IF(COUNTIF(Stammdaten!$AD$10:$AD$30,L$8)&gt;0,"Feiertag",IFERROR(INDEX(Buchungen!$T$6:$T$605,MATCH($B26&amp;"|"&amp;L$8&amp;"|1",Buchungen!$Q$6:$Q$605,0)),"")&amp;IFERROR(" / "&amp;INDEX(Buchungen!$T$6:$T$605,MATCH($B26&amp;"|"&amp;L$8&amp;"|2",Buchungen!$Q$6:$Q$605,0)),""))))</f>
        <v>N. Wolf</v>
      </c>
      <c r="M26" s="43" t="str">
        <f>IF($B26="","",IF(Stammdaten!$I26="Gesperrt","gesperrt",IF(COUNTIF(Stammdaten!$AD$10:$AD$30,M$8)&gt;0,"Feiertag",IFERROR(INDEX(Buchungen!$T$6:$T$605,MATCH($B26&amp;"|"&amp;M$8&amp;"|1",Buchungen!$Q$6:$Q$605,0)),"")&amp;IFERROR(" / "&amp;INDEX(Buchungen!$T$6:$T$605,MATCH($B26&amp;"|"&amp;M$8&amp;"|2",Buchungen!$Q$6:$Q$605,0)),""))))</f>
        <v>E. Yilmaz</v>
      </c>
      <c r="N26" s="43" t="str">
        <f>IF($B26="","",IF(Stammdaten!$I26="Gesperrt","gesperrt",IF(COUNTIF(Stammdaten!$AD$10:$AD$30,N$8)&gt;0,"Feiertag",IFERROR(INDEX(Buchungen!$T$6:$T$605,MATCH($B26&amp;"|"&amp;N$8&amp;"|1",Buchungen!$Q$6:$Q$605,0)),"")&amp;IFERROR(" / "&amp;INDEX(Buchungen!$T$6:$T$605,MATCH($B26&amp;"|"&amp;N$8&amp;"|2",Buchungen!$Q$6:$Q$605,0)),""))))</f>
        <v/>
      </c>
      <c r="O26" s="43" t="str">
        <f>IF($B26="","",IF(Stammdaten!$I26="Gesperrt","gesperrt",IF(COUNTIF(Stammdaten!$AD$10:$AD$30,O$8)&gt;0,"Feiertag",IFERROR(INDEX(Buchungen!$T$6:$T$605,MATCH($B26&amp;"|"&amp;O$8&amp;"|1",Buchungen!$Q$6:$Q$605,0)),"")&amp;IFERROR(" / "&amp;INDEX(Buchungen!$T$6:$T$605,MATCH($B26&amp;"|"&amp;O$8&amp;"|2",Buchungen!$Q$6:$Q$605,0)),""))))</f>
        <v>N. Wolf ?</v>
      </c>
      <c r="P26" s="43" t="str">
        <f>IF($B26="","",IF(Stammdaten!$I26="Gesperrt","gesperrt",IF(COUNTIF(Stammdaten!$AD$10:$AD$30,P$8)&gt;0,"Feiertag",IFERROR(INDEX(Buchungen!$T$6:$T$605,MATCH($B26&amp;"|"&amp;P$8&amp;"|1",Buchungen!$Q$6:$Q$605,0)),"")&amp;IFERROR(" / "&amp;INDEX(Buchungen!$T$6:$T$605,MATCH($B26&amp;"|"&amp;P$8&amp;"|2",Buchungen!$Q$6:$Q$605,0)),""))))</f>
        <v>N. Wolf ?</v>
      </c>
    </row>
    <row r="27" spans="2:16" ht="19.5" customHeight="1" x14ac:dyDescent="0.25">
      <c r="B27" s="23" t="str">
        <f>IF(Stammdaten!$B27="","",Stammdaten!$B27)</f>
        <v>B-06</v>
      </c>
      <c r="C27" s="40" t="str">
        <f>IF($B27="","",Stammdaten!$C27)</f>
        <v>2. OG</v>
      </c>
      <c r="D27" s="41" t="str">
        <f>IF($B27="","",Stammdaten!$D27)</f>
        <v>Teamzone Süd</v>
      </c>
      <c r="E27" s="42" t="str">
        <f>IF($B27="","",Stammdaten!$F27&amp;" Mon."&amp;IF(Stammdaten!$G27="Ja"," · Dock","")&amp;IF(Stammdaten!$H27="Ja"," · HV",""))</f>
        <v>2 Mon. · Dock</v>
      </c>
      <c r="F27" s="43" t="str">
        <f>IF($B27="","",IF(Stammdaten!$I27="Gesperrt","gesperrt",IF(COUNTIF(Stammdaten!$AD$10:$AD$30,F$8)&gt;0,"Feiertag",IFERROR(INDEX(Buchungen!$T$6:$T$605,MATCH($B27&amp;"|"&amp;F$8&amp;"|1",Buchungen!$Q$6:$Q$605,0)),"")&amp;IFERROR(" / "&amp;INDEX(Buchungen!$T$6:$T$605,MATCH($B27&amp;"|"&amp;F$8&amp;"|2",Buchungen!$Q$6:$Q$605,0)),""))))</f>
        <v>M. Keller</v>
      </c>
      <c r="G27" s="43" t="str">
        <f>IF($B27="","",IF(Stammdaten!$I27="Gesperrt","gesperrt",IF(COUNTIF(Stammdaten!$AD$10:$AD$30,G$8)&gt;0,"Feiertag",IFERROR(INDEX(Buchungen!$T$6:$T$605,MATCH($B27&amp;"|"&amp;G$8&amp;"|1",Buchungen!$Q$6:$Q$605,0)),"")&amp;IFERROR(" / "&amp;INDEX(Buchungen!$T$6:$T$605,MATCH($B27&amp;"|"&amp;G$8&amp;"|2",Buchungen!$Q$6:$Q$605,0)),""))))</f>
        <v>J. Herrmann</v>
      </c>
      <c r="H27" s="43" t="str">
        <f>IF($B27="","",IF(Stammdaten!$I27="Gesperrt","gesperrt",IF(COUNTIF(Stammdaten!$AD$10:$AD$30,H$8)&gt;0,"Feiertag",IFERROR(INDEX(Buchungen!$T$6:$T$605,MATCH($B27&amp;"|"&amp;H$8&amp;"|1",Buchungen!$Q$6:$Q$605,0)),"")&amp;IFERROR(" / "&amp;INDEX(Buchungen!$T$6:$T$605,MATCH($B27&amp;"|"&amp;H$8&amp;"|2",Buchungen!$Q$6:$Q$605,0)),""))))</f>
        <v/>
      </c>
      <c r="I27" s="43" t="str">
        <f>IF($B27="","",IF(Stammdaten!$I27="Gesperrt","gesperrt",IF(COUNTIF(Stammdaten!$AD$10:$AD$30,I$8)&gt;0,"Feiertag",IFERROR(INDEX(Buchungen!$T$6:$T$605,MATCH($B27&amp;"|"&amp;I$8&amp;"|1",Buchungen!$Q$6:$Q$605,0)),"")&amp;IFERROR(" / "&amp;INDEX(Buchungen!$T$6:$T$605,MATCH($B27&amp;"|"&amp;I$8&amp;"|2",Buchungen!$Q$6:$Q$605,0)),""))))</f>
        <v>M. Keller</v>
      </c>
      <c r="J27" s="43" t="str">
        <f>IF($B27="","",IF(Stammdaten!$I27="Gesperrt","gesperrt",IF(COUNTIF(Stammdaten!$AD$10:$AD$30,J$8)&gt;0,"Feiertag",IFERROR(INDEX(Buchungen!$T$6:$T$605,MATCH($B27&amp;"|"&amp;J$8&amp;"|1",Buchungen!$Q$6:$Q$605,0)),"")&amp;IFERROR(" / "&amp;INDEX(Buchungen!$T$6:$T$605,MATCH($B27&amp;"|"&amp;J$8&amp;"|2",Buchungen!$Q$6:$Q$605,0)),""))))</f>
        <v/>
      </c>
      <c r="K27" s="16"/>
      <c r="L27" s="43" t="str">
        <f>IF($B27="","",IF(Stammdaten!$I27="Gesperrt","gesperrt",IF(COUNTIF(Stammdaten!$AD$10:$AD$30,L$8)&gt;0,"Feiertag",IFERROR(INDEX(Buchungen!$T$6:$T$605,MATCH($B27&amp;"|"&amp;L$8&amp;"|1",Buchungen!$Q$6:$Q$605,0)),"")&amp;IFERROR(" / "&amp;INDEX(Buchungen!$T$6:$T$605,MATCH($B27&amp;"|"&amp;L$8&amp;"|2",Buchungen!$Q$6:$Q$605,0)),""))))</f>
        <v>M. Keller</v>
      </c>
      <c r="M27" s="43" t="str">
        <f>IF($B27="","",IF(Stammdaten!$I27="Gesperrt","gesperrt",IF(COUNTIF(Stammdaten!$AD$10:$AD$30,M$8)&gt;0,"Feiertag",IFERROR(INDEX(Buchungen!$T$6:$T$605,MATCH($B27&amp;"|"&amp;M$8&amp;"|1",Buchungen!$Q$6:$Q$605,0)),"")&amp;IFERROR(" / "&amp;INDEX(Buchungen!$T$6:$T$605,MATCH($B27&amp;"|"&amp;M$8&amp;"|2",Buchungen!$Q$6:$Q$605,0)),""))))</f>
        <v>A. Lorenz ?</v>
      </c>
      <c r="N27" s="43" t="str">
        <f>IF($B27="","",IF(Stammdaten!$I27="Gesperrt","gesperrt",IF(COUNTIF(Stammdaten!$AD$10:$AD$30,N$8)&gt;0,"Feiertag",IFERROR(INDEX(Buchungen!$T$6:$T$605,MATCH($B27&amp;"|"&amp;N$8&amp;"|1",Buchungen!$Q$6:$Q$605,0)),"")&amp;IFERROR(" / "&amp;INDEX(Buchungen!$T$6:$T$605,MATCH($B27&amp;"|"&amp;N$8&amp;"|2",Buchungen!$Q$6:$Q$605,0)),""))))</f>
        <v/>
      </c>
      <c r="O27" s="43" t="str">
        <f>IF($B27="","",IF(Stammdaten!$I27="Gesperrt","gesperrt",IF(COUNTIF(Stammdaten!$AD$10:$AD$30,O$8)&gt;0,"Feiertag",IFERROR(INDEX(Buchungen!$T$6:$T$605,MATCH($B27&amp;"|"&amp;O$8&amp;"|1",Buchungen!$Q$6:$Q$605,0)),"")&amp;IFERROR(" / "&amp;INDEX(Buchungen!$T$6:$T$605,MATCH($B27&amp;"|"&amp;O$8&amp;"|2",Buchungen!$Q$6:$Q$605,0)),""))))</f>
        <v>E. Neumann</v>
      </c>
      <c r="P27" s="43" t="str">
        <f>IF($B27="","",IF(Stammdaten!$I27="Gesperrt","gesperrt",IF(COUNTIF(Stammdaten!$AD$10:$AD$30,P$8)&gt;0,"Feiertag",IFERROR(INDEX(Buchungen!$T$6:$T$605,MATCH($B27&amp;"|"&amp;P$8&amp;"|1",Buchungen!$Q$6:$Q$605,0)),"")&amp;IFERROR(" / "&amp;INDEX(Buchungen!$T$6:$T$605,MATCH($B27&amp;"|"&amp;P$8&amp;"|2",Buchungen!$Q$6:$Q$605,0)),""))))</f>
        <v/>
      </c>
    </row>
    <row r="28" spans="2:16" ht="19.5" customHeight="1" x14ac:dyDescent="0.25">
      <c r="B28" s="23" t="str">
        <f>IF(Stammdaten!$B28="","",Stammdaten!$B28)</f>
        <v>B-07</v>
      </c>
      <c r="C28" s="40" t="str">
        <f>IF($B28="","",Stammdaten!$C28)</f>
        <v>2. OG</v>
      </c>
      <c r="D28" s="41" t="str">
        <f>IF($B28="","",Stammdaten!$D28)</f>
        <v>Teamzone Süd</v>
      </c>
      <c r="E28" s="42" t="str">
        <f>IF($B28="","",Stammdaten!$F28&amp;" Mon."&amp;IF(Stammdaten!$G28="Ja"," · Dock","")&amp;IF(Stammdaten!$H28="Ja"," · HV",""))</f>
        <v>2 Mon. · Dock</v>
      </c>
      <c r="F28" s="43" t="str">
        <f>IF($B28="","",IF(Stammdaten!$I28="Gesperrt","gesperrt",IF(COUNTIF(Stammdaten!$AD$10:$AD$30,F$8)&gt;0,"Feiertag",IFERROR(INDEX(Buchungen!$T$6:$T$605,MATCH($B28&amp;"|"&amp;F$8&amp;"|1",Buchungen!$Q$6:$Q$605,0)),"")&amp;IFERROR(" / "&amp;INDEX(Buchungen!$T$6:$T$605,MATCH($B28&amp;"|"&amp;F$8&amp;"|2",Buchungen!$Q$6:$Q$605,0)),""))))</f>
        <v>gesperrt</v>
      </c>
      <c r="G28" s="43" t="str">
        <f>IF($B28="","",IF(Stammdaten!$I28="Gesperrt","gesperrt",IF(COUNTIF(Stammdaten!$AD$10:$AD$30,G$8)&gt;0,"Feiertag",IFERROR(INDEX(Buchungen!$T$6:$T$605,MATCH($B28&amp;"|"&amp;G$8&amp;"|1",Buchungen!$Q$6:$Q$605,0)),"")&amp;IFERROR(" / "&amp;INDEX(Buchungen!$T$6:$T$605,MATCH($B28&amp;"|"&amp;G$8&amp;"|2",Buchungen!$Q$6:$Q$605,0)),""))))</f>
        <v>gesperrt</v>
      </c>
      <c r="H28" s="43" t="str">
        <f>IF($B28="","",IF(Stammdaten!$I28="Gesperrt","gesperrt",IF(COUNTIF(Stammdaten!$AD$10:$AD$30,H$8)&gt;0,"Feiertag",IFERROR(INDEX(Buchungen!$T$6:$T$605,MATCH($B28&amp;"|"&amp;H$8&amp;"|1",Buchungen!$Q$6:$Q$605,0)),"")&amp;IFERROR(" / "&amp;INDEX(Buchungen!$T$6:$T$605,MATCH($B28&amp;"|"&amp;H$8&amp;"|2",Buchungen!$Q$6:$Q$605,0)),""))))</f>
        <v>gesperrt</v>
      </c>
      <c r="I28" s="43" t="str">
        <f>IF($B28="","",IF(Stammdaten!$I28="Gesperrt","gesperrt",IF(COUNTIF(Stammdaten!$AD$10:$AD$30,I$8)&gt;0,"Feiertag",IFERROR(INDEX(Buchungen!$T$6:$T$605,MATCH($B28&amp;"|"&amp;I$8&amp;"|1",Buchungen!$Q$6:$Q$605,0)),"")&amp;IFERROR(" / "&amp;INDEX(Buchungen!$T$6:$T$605,MATCH($B28&amp;"|"&amp;I$8&amp;"|2",Buchungen!$Q$6:$Q$605,0)),""))))</f>
        <v>gesperrt</v>
      </c>
      <c r="J28" s="43" t="str">
        <f>IF($B28="","",IF(Stammdaten!$I28="Gesperrt","gesperrt",IF(COUNTIF(Stammdaten!$AD$10:$AD$30,J$8)&gt;0,"Feiertag",IFERROR(INDEX(Buchungen!$T$6:$T$605,MATCH($B28&amp;"|"&amp;J$8&amp;"|1",Buchungen!$Q$6:$Q$605,0)),"")&amp;IFERROR(" / "&amp;INDEX(Buchungen!$T$6:$T$605,MATCH($B28&amp;"|"&amp;J$8&amp;"|2",Buchungen!$Q$6:$Q$605,0)),""))))</f>
        <v>gesperrt</v>
      </c>
      <c r="K28" s="16"/>
      <c r="L28" s="43" t="str">
        <f>IF($B28="","",IF(Stammdaten!$I28="Gesperrt","gesperrt",IF(COUNTIF(Stammdaten!$AD$10:$AD$30,L$8)&gt;0,"Feiertag",IFERROR(INDEX(Buchungen!$T$6:$T$605,MATCH($B28&amp;"|"&amp;L$8&amp;"|1",Buchungen!$Q$6:$Q$605,0)),"")&amp;IFERROR(" / "&amp;INDEX(Buchungen!$T$6:$T$605,MATCH($B28&amp;"|"&amp;L$8&amp;"|2",Buchungen!$Q$6:$Q$605,0)),""))))</f>
        <v>gesperrt</v>
      </c>
      <c r="M28" s="43" t="str">
        <f>IF($B28="","",IF(Stammdaten!$I28="Gesperrt","gesperrt",IF(COUNTIF(Stammdaten!$AD$10:$AD$30,M$8)&gt;0,"Feiertag",IFERROR(INDEX(Buchungen!$T$6:$T$605,MATCH($B28&amp;"|"&amp;M$8&amp;"|1",Buchungen!$Q$6:$Q$605,0)),"")&amp;IFERROR(" / "&amp;INDEX(Buchungen!$T$6:$T$605,MATCH($B28&amp;"|"&amp;M$8&amp;"|2",Buchungen!$Q$6:$Q$605,0)),""))))</f>
        <v>gesperrt</v>
      </c>
      <c r="N28" s="43" t="str">
        <f>IF($B28="","",IF(Stammdaten!$I28="Gesperrt","gesperrt",IF(COUNTIF(Stammdaten!$AD$10:$AD$30,N$8)&gt;0,"Feiertag",IFERROR(INDEX(Buchungen!$T$6:$T$605,MATCH($B28&amp;"|"&amp;N$8&amp;"|1",Buchungen!$Q$6:$Q$605,0)),"")&amp;IFERROR(" / "&amp;INDEX(Buchungen!$T$6:$T$605,MATCH($B28&amp;"|"&amp;N$8&amp;"|2",Buchungen!$Q$6:$Q$605,0)),""))))</f>
        <v>gesperrt</v>
      </c>
      <c r="O28" s="43" t="str">
        <f>IF($B28="","",IF(Stammdaten!$I28="Gesperrt","gesperrt",IF(COUNTIF(Stammdaten!$AD$10:$AD$30,O$8)&gt;0,"Feiertag",IFERROR(INDEX(Buchungen!$T$6:$T$605,MATCH($B28&amp;"|"&amp;O$8&amp;"|1",Buchungen!$Q$6:$Q$605,0)),"")&amp;IFERROR(" / "&amp;INDEX(Buchungen!$T$6:$T$605,MATCH($B28&amp;"|"&amp;O$8&amp;"|2",Buchungen!$Q$6:$Q$605,0)),""))))</f>
        <v>gesperrt</v>
      </c>
      <c r="P28" s="43" t="str">
        <f>IF($B28="","",IF(Stammdaten!$I28="Gesperrt","gesperrt",IF(COUNTIF(Stammdaten!$AD$10:$AD$30,P$8)&gt;0,"Feiertag",IFERROR(INDEX(Buchungen!$T$6:$T$605,MATCH($B28&amp;"|"&amp;P$8&amp;"|1",Buchungen!$Q$6:$Q$605,0)),"")&amp;IFERROR(" / "&amp;INDEX(Buchungen!$T$6:$T$605,MATCH($B28&amp;"|"&amp;P$8&amp;"|2",Buchungen!$Q$6:$Q$605,0)),""))))</f>
        <v>gesperrt</v>
      </c>
    </row>
    <row r="29" spans="2:16" ht="19.5" customHeight="1" x14ac:dyDescent="0.25">
      <c r="B29" s="23" t="str">
        <f>IF(Stammdaten!$B29="","",Stammdaten!$B29)</f>
        <v>B-08</v>
      </c>
      <c r="C29" s="40" t="str">
        <f>IF($B29="","",Stammdaten!$C29)</f>
        <v>2. OG</v>
      </c>
      <c r="D29" s="41" t="str">
        <f>IF($B29="","",Stammdaten!$D29)</f>
        <v>Teamzone Süd</v>
      </c>
      <c r="E29" s="42" t="str">
        <f>IF($B29="","",Stammdaten!$F29&amp;" Mon."&amp;IF(Stammdaten!$G29="Ja"," · Dock","")&amp;IF(Stammdaten!$H29="Ja"," · HV",""))</f>
        <v>2 Mon. · Dock</v>
      </c>
      <c r="F29" s="43" t="str">
        <f>IF($B29="","",IF(Stammdaten!$I29="Gesperrt","gesperrt",IF(COUNTIF(Stammdaten!$AD$10:$AD$30,F$8)&gt;0,"Feiertag",IFERROR(INDEX(Buchungen!$T$6:$T$605,MATCH($B29&amp;"|"&amp;F$8&amp;"|1",Buchungen!$Q$6:$Q$605,0)),"")&amp;IFERROR(" / "&amp;INDEX(Buchungen!$T$6:$T$605,MATCH($B29&amp;"|"&amp;F$8&amp;"|2",Buchungen!$Q$6:$Q$605,0)),""))))</f>
        <v/>
      </c>
      <c r="G29" s="43" t="str">
        <f>IF($B29="","",IF(Stammdaten!$I29="Gesperrt","gesperrt",IF(COUNTIF(Stammdaten!$AD$10:$AD$30,G$8)&gt;0,"Feiertag",IFERROR(INDEX(Buchungen!$T$6:$T$605,MATCH($B29&amp;"|"&amp;G$8&amp;"|1",Buchungen!$Q$6:$Q$605,0)),"")&amp;IFERROR(" / "&amp;INDEX(Buchungen!$T$6:$T$605,MATCH($B29&amp;"|"&amp;G$8&amp;"|2",Buchungen!$Q$6:$Q$605,0)),""))))</f>
        <v/>
      </c>
      <c r="H29" s="43" t="str">
        <f>IF($B29="","",IF(Stammdaten!$I29="Gesperrt","gesperrt",IF(COUNTIF(Stammdaten!$AD$10:$AD$30,H$8)&gt;0,"Feiertag",IFERROR(INDEX(Buchungen!$T$6:$T$605,MATCH($B29&amp;"|"&amp;H$8&amp;"|1",Buchungen!$Q$6:$Q$605,0)),"")&amp;IFERROR(" / "&amp;INDEX(Buchungen!$T$6:$T$605,MATCH($B29&amp;"|"&amp;H$8&amp;"|2",Buchungen!$Q$6:$Q$605,0)),""))))</f>
        <v>J. Herrmann</v>
      </c>
      <c r="I29" s="43" t="str">
        <f>IF($B29="","",IF(Stammdaten!$I29="Gesperrt","gesperrt",IF(COUNTIF(Stammdaten!$AD$10:$AD$30,I$8)&gt;0,"Feiertag",IFERROR(INDEX(Buchungen!$T$6:$T$605,MATCH($B29&amp;"|"&amp;I$8&amp;"|1",Buchungen!$Q$6:$Q$605,0)),"")&amp;IFERROR(" / "&amp;INDEX(Buchungen!$T$6:$T$605,MATCH($B29&amp;"|"&amp;I$8&amp;"|2",Buchungen!$Q$6:$Q$605,0)),""))))</f>
        <v>E. Neumann</v>
      </c>
      <c r="J29" s="43" t="str">
        <f>IF($B29="","",IF(Stammdaten!$I29="Gesperrt","gesperrt",IF(COUNTIF(Stammdaten!$AD$10:$AD$30,J$8)&gt;0,"Feiertag",IFERROR(INDEX(Buchungen!$T$6:$T$605,MATCH($B29&amp;"|"&amp;J$8&amp;"|1",Buchungen!$Q$6:$Q$605,0)),"")&amp;IFERROR(" / "&amp;INDEX(Buchungen!$T$6:$T$605,MATCH($B29&amp;"|"&amp;J$8&amp;"|2",Buchungen!$Q$6:$Q$605,0)),""))))</f>
        <v/>
      </c>
      <c r="K29" s="16"/>
      <c r="L29" s="43" t="str">
        <f>IF($B29="","",IF(Stammdaten!$I29="Gesperrt","gesperrt",IF(COUNTIF(Stammdaten!$AD$10:$AD$30,L$8)&gt;0,"Feiertag",IFERROR(INDEX(Buchungen!$T$6:$T$605,MATCH($B29&amp;"|"&amp;L$8&amp;"|1",Buchungen!$Q$6:$Q$605,0)),"")&amp;IFERROR(" / "&amp;INDEX(Buchungen!$T$6:$T$605,MATCH($B29&amp;"|"&amp;L$8&amp;"|2",Buchungen!$Q$6:$Q$605,0)),""))))</f>
        <v/>
      </c>
      <c r="M29" s="43" t="str">
        <f>IF($B29="","",IF(Stammdaten!$I29="Gesperrt","gesperrt",IF(COUNTIF(Stammdaten!$AD$10:$AD$30,M$8)&gt;0,"Feiertag",IFERROR(INDEX(Buchungen!$T$6:$T$605,MATCH($B29&amp;"|"&amp;M$8&amp;"|1",Buchungen!$Q$6:$Q$605,0)),"")&amp;IFERROR(" / "&amp;INDEX(Buchungen!$T$6:$T$605,MATCH($B29&amp;"|"&amp;M$8&amp;"|2",Buchungen!$Q$6:$Q$605,0)),""))))</f>
        <v>J. Herrmann</v>
      </c>
      <c r="N29" s="43" t="str">
        <f>IF($B29="","",IF(Stammdaten!$I29="Gesperrt","gesperrt",IF(COUNTIF(Stammdaten!$AD$10:$AD$30,N$8)&gt;0,"Feiertag",IFERROR(INDEX(Buchungen!$T$6:$T$605,MATCH($B29&amp;"|"&amp;N$8&amp;"|1",Buchungen!$Q$6:$Q$605,0)),"")&amp;IFERROR(" / "&amp;INDEX(Buchungen!$T$6:$T$605,MATCH($B29&amp;"|"&amp;N$8&amp;"|2",Buchungen!$Q$6:$Q$605,0)),""))))</f>
        <v/>
      </c>
      <c r="O29" s="43" t="str">
        <f>IF($B29="","",IF(Stammdaten!$I29="Gesperrt","gesperrt",IF(COUNTIF(Stammdaten!$AD$10:$AD$30,O$8)&gt;0,"Feiertag",IFERROR(INDEX(Buchungen!$T$6:$T$605,MATCH($B29&amp;"|"&amp;O$8&amp;"|1",Buchungen!$Q$6:$Q$605,0)),"")&amp;IFERROR(" / "&amp;INDEX(Buchungen!$T$6:$T$605,MATCH($B29&amp;"|"&amp;O$8&amp;"|2",Buchungen!$Q$6:$Q$605,0)),""))))</f>
        <v>E. Yilmaz</v>
      </c>
      <c r="P29" s="43" t="str">
        <f>IF($B29="","",IF(Stammdaten!$I29="Gesperrt","gesperrt",IF(COUNTIF(Stammdaten!$AD$10:$AD$30,P$8)&gt;0,"Feiertag",IFERROR(INDEX(Buchungen!$T$6:$T$605,MATCH($B29&amp;"|"&amp;P$8&amp;"|1",Buchungen!$Q$6:$Q$605,0)),"")&amp;IFERROR(" / "&amp;INDEX(Buchungen!$T$6:$T$605,MATCH($B29&amp;"|"&amp;P$8&amp;"|2",Buchungen!$Q$6:$Q$605,0)),""))))</f>
        <v/>
      </c>
    </row>
    <row r="30" spans="2:16" ht="19.5" customHeight="1" x14ac:dyDescent="0.25">
      <c r="B30" s="23" t="str">
        <f>IF(Stammdaten!$B30="","",Stammdaten!$B30)</f>
        <v>B-09</v>
      </c>
      <c r="C30" s="40" t="str">
        <f>IF($B30="","",Stammdaten!$C30)</f>
        <v>2. OG</v>
      </c>
      <c r="D30" s="41" t="str">
        <f>IF($B30="","",Stammdaten!$D30)</f>
        <v>Projektfläche</v>
      </c>
      <c r="E30" s="42" t="str">
        <f>IF($B30="","",Stammdaten!$F30&amp;" Mon."&amp;IF(Stammdaten!$G30="Ja"," · Dock","")&amp;IF(Stammdaten!$H30="Ja"," · HV",""))</f>
        <v>2 Mon. · Dock</v>
      </c>
      <c r="F30" s="43" t="str">
        <f>IF($B30="","",IF(Stammdaten!$I30="Gesperrt","gesperrt",IF(COUNTIF(Stammdaten!$AD$10:$AD$30,F$8)&gt;0,"Feiertag",IFERROR(INDEX(Buchungen!$T$6:$T$605,MATCH($B30&amp;"|"&amp;F$8&amp;"|1",Buchungen!$Q$6:$Q$605,0)),"")&amp;IFERROR(" / "&amp;INDEX(Buchungen!$T$6:$T$605,MATCH($B30&amp;"|"&amp;F$8&amp;"|2",Buchungen!$Q$6:$Q$605,0)),""))))</f>
        <v>F. Ott</v>
      </c>
      <c r="G30" s="43" t="str">
        <f>IF($B30="","",IF(Stammdaten!$I30="Gesperrt","gesperrt",IF(COUNTIF(Stammdaten!$AD$10:$AD$30,G$8)&gt;0,"Feiertag",IFERROR(INDEX(Buchungen!$T$6:$T$605,MATCH($B30&amp;"|"&amp;G$8&amp;"|1",Buchungen!$Q$6:$Q$605,0)),"")&amp;IFERROR(" / "&amp;INDEX(Buchungen!$T$6:$T$605,MATCH($B30&amp;"|"&amp;G$8&amp;"|2",Buchungen!$Q$6:$Q$605,0)),""))))</f>
        <v>M. Winter</v>
      </c>
      <c r="H30" s="43" t="str">
        <f>IF($B30="","",IF(Stammdaten!$I30="Gesperrt","gesperrt",IF(COUNTIF(Stammdaten!$AD$10:$AD$30,H$8)&gt;0,"Feiertag",IFERROR(INDEX(Buchungen!$T$6:$T$605,MATCH($B30&amp;"|"&amp;H$8&amp;"|1",Buchungen!$Q$6:$Q$605,0)),"")&amp;IFERROR(" / "&amp;INDEX(Buchungen!$T$6:$T$605,MATCH($B30&amp;"|"&amp;H$8&amp;"|2",Buchungen!$Q$6:$Q$605,0)),""))))</f>
        <v>D. Ritter</v>
      </c>
      <c r="I30" s="43" t="str">
        <f>IF($B30="","",IF(Stammdaten!$I30="Gesperrt","gesperrt",IF(COUNTIF(Stammdaten!$AD$10:$AD$30,I$8)&gt;0,"Feiertag",IFERROR(INDEX(Buchungen!$T$6:$T$605,MATCH($B30&amp;"|"&amp;I$8&amp;"|1",Buchungen!$Q$6:$Q$605,0)),"")&amp;IFERROR(" / "&amp;INDEX(Buchungen!$T$6:$T$605,MATCH($B30&amp;"|"&amp;I$8&amp;"|2",Buchungen!$Q$6:$Q$605,0)),""))))</f>
        <v>D. Ritter</v>
      </c>
      <c r="J30" s="43" t="str">
        <f>IF($B30="","",IF(Stammdaten!$I30="Gesperrt","gesperrt",IF(COUNTIF(Stammdaten!$AD$10:$AD$30,J$8)&gt;0,"Feiertag",IFERROR(INDEX(Buchungen!$T$6:$T$605,MATCH($B30&amp;"|"&amp;J$8&amp;"|1",Buchungen!$Q$6:$Q$605,0)),"")&amp;IFERROR(" / "&amp;INDEX(Buchungen!$T$6:$T$605,MATCH($B30&amp;"|"&amp;J$8&amp;"|2",Buchungen!$Q$6:$Q$605,0)),""))))</f>
        <v>K. Brandl</v>
      </c>
      <c r="K30" s="16"/>
      <c r="L30" s="43" t="str">
        <f>IF($B30="","",IF(Stammdaten!$I30="Gesperrt","gesperrt",IF(COUNTIF(Stammdaten!$AD$10:$AD$30,L$8)&gt;0,"Feiertag",IFERROR(INDEX(Buchungen!$T$6:$T$605,MATCH($B30&amp;"|"&amp;L$8&amp;"|1",Buchungen!$Q$6:$Q$605,0)),"")&amp;IFERROR(" / "&amp;INDEX(Buchungen!$T$6:$T$605,MATCH($B30&amp;"|"&amp;L$8&amp;"|2",Buchungen!$Q$6:$Q$605,0)),""))))</f>
        <v>L. Sommer</v>
      </c>
      <c r="M30" s="43" t="str">
        <f>IF($B30="","",IF(Stammdaten!$I30="Gesperrt","gesperrt",IF(COUNTIF(Stammdaten!$AD$10:$AD$30,M$8)&gt;0,"Feiertag",IFERROR(INDEX(Buchungen!$T$6:$T$605,MATCH($B30&amp;"|"&amp;M$8&amp;"|1",Buchungen!$Q$6:$Q$605,0)),"")&amp;IFERROR(" / "&amp;INDEX(Buchungen!$T$6:$T$605,MATCH($B30&amp;"|"&amp;M$8&amp;"|2",Buchungen!$Q$6:$Q$605,0)),""))))</f>
        <v>L. Pohl</v>
      </c>
      <c r="N30" s="43" t="str">
        <f>IF($B30="","",IF(Stammdaten!$I30="Gesperrt","gesperrt",IF(COUNTIF(Stammdaten!$AD$10:$AD$30,N$8)&gt;0,"Feiertag",IFERROR(INDEX(Buchungen!$T$6:$T$605,MATCH($B30&amp;"|"&amp;N$8&amp;"|1",Buchungen!$Q$6:$Q$605,0)),"")&amp;IFERROR(" / "&amp;INDEX(Buchungen!$T$6:$T$605,MATCH($B30&amp;"|"&amp;N$8&amp;"|2",Buchungen!$Q$6:$Q$605,0)),""))))</f>
        <v>D. Ritter</v>
      </c>
      <c r="O30" s="43" t="str">
        <f>IF($B30="","",IF(Stammdaten!$I30="Gesperrt","gesperrt",IF(COUNTIF(Stammdaten!$AD$10:$AD$30,O$8)&gt;0,"Feiertag",IFERROR(INDEX(Buchungen!$T$6:$T$605,MATCH($B30&amp;"|"&amp;O$8&amp;"|1",Buchungen!$Q$6:$Q$605,0)),"")&amp;IFERROR(" / "&amp;INDEX(Buchungen!$T$6:$T$605,MATCH($B30&amp;"|"&amp;O$8&amp;"|2",Buchungen!$Q$6:$Q$605,0)),""))))</f>
        <v>L. Fuchs</v>
      </c>
      <c r="P30" s="43" t="str">
        <f>IF($B30="","",IF(Stammdaten!$I30="Gesperrt","gesperrt",IF(COUNTIF(Stammdaten!$AD$10:$AD$30,P$8)&gt;0,"Feiertag",IFERROR(INDEX(Buchungen!$T$6:$T$605,MATCH($B30&amp;"|"&amp;P$8&amp;"|1",Buchungen!$Q$6:$Q$605,0)),"")&amp;IFERROR(" / "&amp;INDEX(Buchungen!$T$6:$T$605,MATCH($B30&amp;"|"&amp;P$8&amp;"|2",Buchungen!$Q$6:$Q$605,0)),""))))</f>
        <v>V. Kraft ?</v>
      </c>
    </row>
    <row r="31" spans="2:16" ht="19.5" customHeight="1" x14ac:dyDescent="0.25">
      <c r="B31" s="23" t="str">
        <f>IF(Stammdaten!$B31="","",Stammdaten!$B31)</f>
        <v>B-10</v>
      </c>
      <c r="C31" s="40" t="str">
        <f>IF($B31="","",Stammdaten!$C31)</f>
        <v>2. OG</v>
      </c>
      <c r="D31" s="41" t="str">
        <f>IF($B31="","",Stammdaten!$D31)</f>
        <v>Projektfläche</v>
      </c>
      <c r="E31" s="42" t="str">
        <f>IF($B31="","",Stammdaten!$F31&amp;" Mon."&amp;IF(Stammdaten!$G31="Ja"," · Dock","")&amp;IF(Stammdaten!$H31="Ja"," · HV",""))</f>
        <v>2 Mon. · Dock</v>
      </c>
      <c r="F31" s="43" t="str">
        <f>IF($B31="","",IF(Stammdaten!$I31="Gesperrt","gesperrt",IF(COUNTIF(Stammdaten!$AD$10:$AD$30,F$8)&gt;0,"Feiertag",IFERROR(INDEX(Buchungen!$T$6:$T$605,MATCH($B31&amp;"|"&amp;F$8&amp;"|1",Buchungen!$Q$6:$Q$605,0)),"")&amp;IFERROR(" / "&amp;INDEX(Buchungen!$T$6:$T$605,MATCH($B31&amp;"|"&amp;F$8&amp;"|2",Buchungen!$Q$6:$Q$605,0)),""))))</f>
        <v>S. Graf</v>
      </c>
      <c r="G31" s="43" t="str">
        <f>IF($B31="","",IF(Stammdaten!$I31="Gesperrt","gesperrt",IF(COUNTIF(Stammdaten!$AD$10:$AD$30,G$8)&gt;0,"Feiertag",IFERROR(INDEX(Buchungen!$T$6:$T$605,MATCH($B31&amp;"|"&amp;G$8&amp;"|1",Buchungen!$Q$6:$Q$605,0)),"")&amp;IFERROR(" / "&amp;INDEX(Buchungen!$T$6:$T$605,MATCH($B31&amp;"|"&amp;G$8&amp;"|2",Buchungen!$Q$6:$Q$605,0)),""))))</f>
        <v>K. Busch</v>
      </c>
      <c r="H31" s="43" t="str">
        <f>IF($B31="","",IF(Stammdaten!$I31="Gesperrt","gesperrt",IF(COUNTIF(Stammdaten!$AD$10:$AD$30,H$8)&gt;0,"Feiertag",IFERROR(INDEX(Buchungen!$T$6:$T$605,MATCH($B31&amp;"|"&amp;H$8&amp;"|1",Buchungen!$Q$6:$Q$605,0)),"")&amp;IFERROR(" / "&amp;INDEX(Buchungen!$T$6:$T$605,MATCH($B31&amp;"|"&amp;H$8&amp;"|2",Buchungen!$Q$6:$Q$605,0)),""))))</f>
        <v>K. Brandl</v>
      </c>
      <c r="I31" s="43" t="str">
        <f>IF($B31="","",IF(Stammdaten!$I31="Gesperrt","gesperrt",IF(COUNTIF(Stammdaten!$AD$10:$AD$30,I$8)&gt;0,"Feiertag",IFERROR(INDEX(Buchungen!$T$6:$T$605,MATCH($B31&amp;"|"&amp;I$8&amp;"|1",Buchungen!$Q$6:$Q$605,0)),"")&amp;IFERROR(" / "&amp;INDEX(Buchungen!$T$6:$T$605,MATCH($B31&amp;"|"&amp;I$8&amp;"|2",Buchungen!$Q$6:$Q$605,0)),""))))</f>
        <v>V. Kraft</v>
      </c>
      <c r="J31" s="43" t="str">
        <f>IF($B31="","",IF(Stammdaten!$I31="Gesperrt","gesperrt",IF(COUNTIF(Stammdaten!$AD$10:$AD$30,J$8)&gt;0,"Feiertag",IFERROR(INDEX(Buchungen!$T$6:$T$605,MATCH($B31&amp;"|"&amp;J$8&amp;"|1",Buchungen!$Q$6:$Q$605,0)),"")&amp;IFERROR(" / "&amp;INDEX(Buchungen!$T$6:$T$605,MATCH($B31&amp;"|"&amp;J$8&amp;"|2",Buchungen!$Q$6:$Q$605,0)),""))))</f>
        <v>L. Pohl</v>
      </c>
      <c r="K31" s="16"/>
      <c r="L31" s="43" t="str">
        <f>IF($B31="","",IF(Stammdaten!$I31="Gesperrt","gesperrt",IF(COUNTIF(Stammdaten!$AD$10:$AD$30,L$8)&gt;0,"Feiertag",IFERROR(INDEX(Buchungen!$T$6:$T$605,MATCH($B31&amp;"|"&amp;L$8&amp;"|1",Buchungen!$Q$6:$Q$605,0)),"")&amp;IFERROR(" / "&amp;INDEX(Buchungen!$T$6:$T$605,MATCH($B31&amp;"|"&amp;L$8&amp;"|2",Buchungen!$Q$6:$Q$605,0)),""))))</f>
        <v>P. Haas</v>
      </c>
      <c r="M31" s="43" t="str">
        <f>IF($B31="","",IF(Stammdaten!$I31="Gesperrt","gesperrt",IF(COUNTIF(Stammdaten!$AD$10:$AD$30,M$8)&gt;0,"Feiertag",IFERROR(INDEX(Buchungen!$T$6:$T$605,MATCH($B31&amp;"|"&amp;M$8&amp;"|1",Buchungen!$Q$6:$Q$605,0)),"")&amp;IFERROR(" / "&amp;INDEX(Buchungen!$T$6:$T$605,MATCH($B31&amp;"|"&amp;M$8&amp;"|2",Buchungen!$Q$6:$Q$605,0)),""))))</f>
        <v>K. Busch</v>
      </c>
      <c r="N31" s="43" t="str">
        <f>IF($B31="","",IF(Stammdaten!$I31="Gesperrt","gesperrt",IF(COUNTIF(Stammdaten!$AD$10:$AD$30,N$8)&gt;0,"Feiertag",IFERROR(INDEX(Buchungen!$T$6:$T$605,MATCH($B31&amp;"|"&amp;N$8&amp;"|1",Buchungen!$Q$6:$Q$605,0)),"")&amp;IFERROR(" / "&amp;INDEX(Buchungen!$T$6:$T$605,MATCH($B31&amp;"|"&amp;N$8&amp;"|2",Buchungen!$Q$6:$Q$605,0)),""))))</f>
        <v>V. Kraft</v>
      </c>
      <c r="O31" s="43" t="str">
        <f>IF($B31="","",IF(Stammdaten!$I31="Gesperrt","gesperrt",IF(COUNTIF(Stammdaten!$AD$10:$AD$30,O$8)&gt;0,"Feiertag",IFERROR(INDEX(Buchungen!$T$6:$T$605,MATCH($B31&amp;"|"&amp;O$8&amp;"|1",Buchungen!$Q$6:$Q$605,0)),"")&amp;IFERROR(" / "&amp;INDEX(Buchungen!$T$6:$T$605,MATCH($B31&amp;"|"&amp;O$8&amp;"|2",Buchungen!$Q$6:$Q$605,0)),""))))</f>
        <v>K. Busch ?</v>
      </c>
      <c r="P31" s="43" t="str">
        <f>IF($B31="","",IF(Stammdaten!$I31="Gesperrt","gesperrt",IF(COUNTIF(Stammdaten!$AD$10:$AD$30,P$8)&gt;0,"Feiertag",IFERROR(INDEX(Buchungen!$T$6:$T$605,MATCH($B31&amp;"|"&amp;P$8&amp;"|1",Buchungen!$Q$6:$Q$605,0)),"")&amp;IFERROR(" / "&amp;INDEX(Buchungen!$T$6:$T$605,MATCH($B31&amp;"|"&amp;P$8&amp;"|2",Buchungen!$Q$6:$Q$605,0)),""))))</f>
        <v>D. Ritter</v>
      </c>
    </row>
    <row r="32" spans="2:16" ht="19.5" customHeight="1" x14ac:dyDescent="0.25">
      <c r="B32" s="23" t="str">
        <f>IF(Stammdaten!$B32="","",Stammdaten!$B32)</f>
        <v>B-11</v>
      </c>
      <c r="C32" s="40" t="str">
        <f>IF($B32="","",Stammdaten!$C32)</f>
        <v>2. OG</v>
      </c>
      <c r="D32" s="41" t="str">
        <f>IF($B32="","",Stammdaten!$D32)</f>
        <v>Projektfläche</v>
      </c>
      <c r="E32" s="42" t="str">
        <f>IF($B32="","",Stammdaten!$F32&amp;" Mon."&amp;IF(Stammdaten!$G32="Ja"," · Dock","")&amp;IF(Stammdaten!$H32="Ja"," · HV",""))</f>
        <v>2 Mon. · Dock · HV</v>
      </c>
      <c r="F32" s="43" t="str">
        <f>IF($B32="","",IF(Stammdaten!$I32="Gesperrt","gesperrt",IF(COUNTIF(Stammdaten!$AD$10:$AD$30,F$8)&gt;0,"Feiertag",IFERROR(INDEX(Buchungen!$T$6:$T$605,MATCH($B32&amp;"|"&amp;F$8&amp;"|1",Buchungen!$Q$6:$Q$605,0)),"")&amp;IFERROR(" / "&amp;INDEX(Buchungen!$T$6:$T$605,MATCH($B32&amp;"|"&amp;F$8&amp;"|2",Buchungen!$Q$6:$Q$605,0)),""))))</f>
        <v>M. Winter</v>
      </c>
      <c r="G32" s="43" t="str">
        <f>IF($B32="","",IF(Stammdaten!$I32="Gesperrt","gesperrt",IF(COUNTIF(Stammdaten!$AD$10:$AD$30,G$8)&gt;0,"Feiertag",IFERROR(INDEX(Buchungen!$T$6:$T$605,MATCH($B32&amp;"|"&amp;G$8&amp;"|1",Buchungen!$Q$6:$Q$605,0)),"")&amp;IFERROR(" / "&amp;INDEX(Buchungen!$T$6:$T$605,MATCH($B32&amp;"|"&amp;G$8&amp;"|2",Buchungen!$Q$6:$Q$605,0)),""))))</f>
        <v>F. Ott</v>
      </c>
      <c r="H32" s="43" t="str">
        <f>IF($B32="","",IF(Stammdaten!$I32="Gesperrt","gesperrt",IF(COUNTIF(Stammdaten!$AD$10:$AD$30,H$8)&gt;0,"Feiertag",IFERROR(INDEX(Buchungen!$T$6:$T$605,MATCH($B32&amp;"|"&amp;H$8&amp;"|1",Buchungen!$Q$6:$Q$605,0)),"")&amp;IFERROR(" / "&amp;INDEX(Buchungen!$T$6:$T$605,MATCH($B32&amp;"|"&amp;H$8&amp;"|2",Buchungen!$Q$6:$Q$605,0)),""))))</f>
        <v>V. Kraft</v>
      </c>
      <c r="I32" s="43" t="str">
        <f>IF($B32="","",IF(Stammdaten!$I32="Gesperrt","gesperrt",IF(COUNTIF(Stammdaten!$AD$10:$AD$30,I$8)&gt;0,"Feiertag",IFERROR(INDEX(Buchungen!$T$6:$T$605,MATCH($B32&amp;"|"&amp;I$8&amp;"|1",Buchungen!$Q$6:$Q$605,0)),"")&amp;IFERROR(" / "&amp;INDEX(Buchungen!$T$6:$T$605,MATCH($B32&amp;"|"&amp;I$8&amp;"|2",Buchungen!$Q$6:$Q$605,0)),""))))</f>
        <v/>
      </c>
      <c r="J32" s="43" t="str">
        <f>IF($B32="","",IF(Stammdaten!$I32="Gesperrt","gesperrt",IF(COUNTIF(Stammdaten!$AD$10:$AD$30,J$8)&gt;0,"Feiertag",IFERROR(INDEX(Buchungen!$T$6:$T$605,MATCH($B32&amp;"|"&amp;J$8&amp;"|1",Buchungen!$Q$6:$Q$605,0)),"")&amp;IFERROR(" / "&amp;INDEX(Buchungen!$T$6:$T$605,MATCH($B32&amp;"|"&amp;J$8&amp;"|2",Buchungen!$Q$6:$Q$605,0)),""))))</f>
        <v>M. Winter</v>
      </c>
      <c r="K32" s="16"/>
      <c r="L32" s="43" t="str">
        <f>IF($B32="","",IF(Stammdaten!$I32="Gesperrt","gesperrt",IF(COUNTIF(Stammdaten!$AD$10:$AD$30,L$8)&gt;0,"Feiertag",IFERROR(INDEX(Buchungen!$T$6:$T$605,MATCH($B32&amp;"|"&amp;L$8&amp;"|1",Buchungen!$Q$6:$Q$605,0)),"")&amp;IFERROR(" / "&amp;INDEX(Buchungen!$T$6:$T$605,MATCH($B32&amp;"|"&amp;L$8&amp;"|2",Buchungen!$Q$6:$Q$605,0)),""))))</f>
        <v>S. Graf</v>
      </c>
      <c r="M32" s="43" t="str">
        <f>IF($B32="","",IF(Stammdaten!$I32="Gesperrt","gesperrt",IF(COUNTIF(Stammdaten!$AD$10:$AD$30,M$8)&gt;0,"Feiertag",IFERROR(INDEX(Buchungen!$T$6:$T$605,MATCH($B32&amp;"|"&amp;M$8&amp;"|1",Buchungen!$Q$6:$Q$605,0)),"")&amp;IFERROR(" / "&amp;INDEX(Buchungen!$T$6:$T$605,MATCH($B32&amp;"|"&amp;M$8&amp;"|2",Buchungen!$Q$6:$Q$605,0)),""))))</f>
        <v>F. Ott ?</v>
      </c>
      <c r="N32" s="43" t="str">
        <f>IF($B32="","",IF(Stammdaten!$I32="Gesperrt","gesperrt",IF(COUNTIF(Stammdaten!$AD$10:$AD$30,N$8)&gt;0,"Feiertag",IFERROR(INDEX(Buchungen!$T$6:$T$605,MATCH($B32&amp;"|"&amp;N$8&amp;"|1",Buchungen!$Q$6:$Q$605,0)),"")&amp;IFERROR(" / "&amp;INDEX(Buchungen!$T$6:$T$605,MATCH($B32&amp;"|"&amp;N$8&amp;"|2",Buchungen!$Q$6:$Q$605,0)),""))))</f>
        <v>M. Winter</v>
      </c>
      <c r="O32" s="43" t="str">
        <f>IF($B32="","",IF(Stammdaten!$I32="Gesperrt","gesperrt",IF(COUNTIF(Stammdaten!$AD$10:$AD$30,O$8)&gt;0,"Feiertag",IFERROR(INDEX(Buchungen!$T$6:$T$605,MATCH($B32&amp;"|"&amp;O$8&amp;"|1",Buchungen!$Q$6:$Q$605,0)),"")&amp;IFERROR(" / "&amp;INDEX(Buchungen!$T$6:$T$605,MATCH($B32&amp;"|"&amp;O$8&amp;"|2",Buchungen!$Q$6:$Q$605,0)),""))))</f>
        <v>P. Haas</v>
      </c>
      <c r="P32" s="43" t="str">
        <f>IF($B32="","",IF(Stammdaten!$I32="Gesperrt","gesperrt",IF(COUNTIF(Stammdaten!$AD$10:$AD$30,P$8)&gt;0,"Feiertag",IFERROR(INDEX(Buchungen!$T$6:$T$605,MATCH($B32&amp;"|"&amp;P$8&amp;"|1",Buchungen!$Q$6:$Q$605,0)),"")&amp;IFERROR(" / "&amp;INDEX(Buchungen!$T$6:$T$605,MATCH($B32&amp;"|"&amp;P$8&amp;"|2",Buchungen!$Q$6:$Q$605,0)),""))))</f>
        <v>L. Sommer</v>
      </c>
    </row>
    <row r="33" spans="2:16" ht="19.5" customHeight="1" x14ac:dyDescent="0.25">
      <c r="B33" s="23" t="str">
        <f>IF(Stammdaten!$B33="","",Stammdaten!$B33)</f>
        <v>B-12</v>
      </c>
      <c r="C33" s="40" t="str">
        <f>IF($B33="","",Stammdaten!$C33)</f>
        <v>2. OG</v>
      </c>
      <c r="D33" s="41" t="str">
        <f>IF($B33="","",Stammdaten!$D33)</f>
        <v>Projektfläche</v>
      </c>
      <c r="E33" s="42" t="str">
        <f>IF($B33="","",Stammdaten!$F33&amp;" Mon."&amp;IF(Stammdaten!$G33="Ja"," · Dock","")&amp;IF(Stammdaten!$H33="Ja"," · HV",""))</f>
        <v>2 Mon.</v>
      </c>
      <c r="F33" s="43" t="str">
        <f>IF($B33="","",IF(Stammdaten!$I33="Gesperrt","gesperrt",IF(COUNTIF(Stammdaten!$AD$10:$AD$30,F$8)&gt;0,"Feiertag",IFERROR(INDEX(Buchungen!$T$6:$T$605,MATCH($B33&amp;"|"&amp;F$8&amp;"|1",Buchungen!$Q$6:$Q$605,0)),"")&amp;IFERROR(" / "&amp;INDEX(Buchungen!$T$6:$T$605,MATCH($B33&amp;"|"&amp;F$8&amp;"|2",Buchungen!$Q$6:$Q$605,0)),""))))</f>
        <v>K. Brandl</v>
      </c>
      <c r="G33" s="43" t="str">
        <f>IF($B33="","",IF(Stammdaten!$I33="Gesperrt","gesperrt",IF(COUNTIF(Stammdaten!$AD$10:$AD$30,G$8)&gt;0,"Feiertag",IFERROR(INDEX(Buchungen!$T$6:$T$605,MATCH($B33&amp;"|"&amp;G$8&amp;"|1",Buchungen!$Q$6:$Q$605,0)),"")&amp;IFERROR(" / "&amp;INDEX(Buchungen!$T$6:$T$605,MATCH($B33&amp;"|"&amp;G$8&amp;"|2",Buchungen!$Q$6:$Q$605,0)),""))))</f>
        <v>V. Kraft</v>
      </c>
      <c r="H33" s="43" t="str">
        <f>IF($B33="","",IF(Stammdaten!$I33="Gesperrt","gesperrt",IF(COUNTIF(Stammdaten!$AD$10:$AD$30,H$8)&gt;0,"Feiertag",IFERROR(INDEX(Buchungen!$T$6:$T$605,MATCH($B33&amp;"|"&amp;H$8&amp;"|1",Buchungen!$Q$6:$Q$605,0)),"")&amp;IFERROR(" / "&amp;INDEX(Buchungen!$T$6:$T$605,MATCH($B33&amp;"|"&amp;H$8&amp;"|2",Buchungen!$Q$6:$Q$605,0)),""))))</f>
        <v>K. Busch</v>
      </c>
      <c r="I33" s="43" t="str">
        <f>IF($B33="","",IF(Stammdaten!$I33="Gesperrt","gesperrt",IF(COUNTIF(Stammdaten!$AD$10:$AD$30,I$8)&gt;0,"Feiertag",IFERROR(INDEX(Buchungen!$T$6:$T$605,MATCH($B33&amp;"|"&amp;I$8&amp;"|1",Buchungen!$Q$6:$Q$605,0)),"")&amp;IFERROR(" / "&amp;INDEX(Buchungen!$T$6:$T$605,MATCH($B33&amp;"|"&amp;I$8&amp;"|2",Buchungen!$Q$6:$Q$605,0)),""))))</f>
        <v>P. Haas</v>
      </c>
      <c r="J33" s="43" t="str">
        <f>IF($B33="","",IF(Stammdaten!$I33="Gesperrt","gesperrt",IF(COUNTIF(Stammdaten!$AD$10:$AD$30,J$8)&gt;0,"Feiertag",IFERROR(INDEX(Buchungen!$T$6:$T$605,MATCH($B33&amp;"|"&amp;J$8&amp;"|1",Buchungen!$Q$6:$Q$605,0)),"")&amp;IFERROR(" / "&amp;INDEX(Buchungen!$T$6:$T$605,MATCH($B33&amp;"|"&amp;J$8&amp;"|2",Buchungen!$Q$6:$Q$605,0)),""))))</f>
        <v>S. Graf (VM) / E. Yilmaz (NM)</v>
      </c>
      <c r="K33" s="16"/>
      <c r="L33" s="43" t="str">
        <f>IF($B33="","",IF(Stammdaten!$I33="Gesperrt","gesperrt",IF(COUNTIF(Stammdaten!$AD$10:$AD$30,L$8)&gt;0,"Feiertag",IFERROR(INDEX(Buchungen!$T$6:$T$605,MATCH($B33&amp;"|"&amp;L$8&amp;"|1",Buchungen!$Q$6:$Q$605,0)),"")&amp;IFERROR(" / "&amp;INDEX(Buchungen!$T$6:$T$605,MATCH($B33&amp;"|"&amp;L$8&amp;"|2",Buchungen!$Q$6:$Q$605,0)),""))))</f>
        <v>K. Brandl</v>
      </c>
      <c r="M33" s="43" t="str">
        <f>IF($B33="","",IF(Stammdaten!$I33="Gesperrt","gesperrt",IF(COUNTIF(Stammdaten!$AD$10:$AD$30,M$8)&gt;0,"Feiertag",IFERROR(INDEX(Buchungen!$T$6:$T$605,MATCH($B33&amp;"|"&amp;M$8&amp;"|1",Buchungen!$Q$6:$Q$605,0)),"")&amp;IFERROR(" / "&amp;INDEX(Buchungen!$T$6:$T$605,MATCH($B33&amp;"|"&amp;M$8&amp;"|2",Buchungen!$Q$6:$Q$605,0)),""))))</f>
        <v>M. Winter</v>
      </c>
      <c r="N33" s="43" t="str">
        <f>IF($B33="","",IF(Stammdaten!$I33="Gesperrt","gesperrt",IF(COUNTIF(Stammdaten!$AD$10:$AD$30,N$8)&gt;0,"Feiertag",IFERROR(INDEX(Buchungen!$T$6:$T$605,MATCH($B33&amp;"|"&amp;N$8&amp;"|1",Buchungen!$Q$6:$Q$605,0)),"")&amp;IFERROR(" / "&amp;INDEX(Buchungen!$T$6:$T$605,MATCH($B33&amp;"|"&amp;N$8&amp;"|2",Buchungen!$Q$6:$Q$605,0)),""))))</f>
        <v>F. Ott</v>
      </c>
      <c r="O33" s="43" t="str">
        <f>IF($B33="","",IF(Stammdaten!$I33="Gesperrt","gesperrt",IF(COUNTIF(Stammdaten!$AD$10:$AD$30,O$8)&gt;0,"Feiertag",IFERROR(INDEX(Buchungen!$T$6:$T$605,MATCH($B33&amp;"|"&amp;O$8&amp;"|1",Buchungen!$Q$6:$Q$605,0)),"")&amp;IFERROR(" / "&amp;INDEX(Buchungen!$T$6:$T$605,MATCH($B33&amp;"|"&amp;O$8&amp;"|2",Buchungen!$Q$6:$Q$605,0)),""))))</f>
        <v>V. Kraft (VM) / D. Ritter (NM)</v>
      </c>
      <c r="P33" s="43" t="str">
        <f>IF($B33="","",IF(Stammdaten!$I33="Gesperrt","gesperrt",IF(COUNTIF(Stammdaten!$AD$10:$AD$30,P$8)&gt;0,"Feiertag",IFERROR(INDEX(Buchungen!$T$6:$T$605,MATCH($B33&amp;"|"&amp;P$8&amp;"|1",Buchungen!$Q$6:$Q$605,0)),"")&amp;IFERROR(" / "&amp;INDEX(Buchungen!$T$6:$T$605,MATCH($B33&amp;"|"&amp;P$8&amp;"|2",Buchungen!$Q$6:$Q$605,0)),""))))</f>
        <v>K. Busch</v>
      </c>
    </row>
    <row r="34" spans="2:16" ht="19.5" customHeight="1" x14ac:dyDescent="0.25">
      <c r="B34" s="23" t="str">
        <f>IF(Stammdaten!$B34="","",Stammdaten!$B34)</f>
        <v/>
      </c>
      <c r="C34" s="40" t="str">
        <f>IF($B34="","",Stammdaten!$C34)</f>
        <v/>
      </c>
      <c r="D34" s="41" t="str">
        <f>IF($B34="","",Stammdaten!$D34)</f>
        <v/>
      </c>
      <c r="E34" s="42" t="str">
        <f>IF($B34="","",Stammdaten!$F34&amp;" Mon."&amp;IF(Stammdaten!$G34="Ja"," · Dock","")&amp;IF(Stammdaten!$H34="Ja"," · HV",""))</f>
        <v/>
      </c>
      <c r="F34" s="43" t="str">
        <f>IF($B34="","",IF(Stammdaten!$I34="Gesperrt","gesperrt",IF(COUNTIF(Stammdaten!$AD$10:$AD$30,F$8)&gt;0,"Feiertag",IFERROR(INDEX(Buchungen!$T$6:$T$605,MATCH($B34&amp;"|"&amp;F$8&amp;"|1",Buchungen!$Q$6:$Q$605,0)),"")&amp;IFERROR(" / "&amp;INDEX(Buchungen!$T$6:$T$605,MATCH($B34&amp;"|"&amp;F$8&amp;"|2",Buchungen!$Q$6:$Q$605,0)),""))))</f>
        <v/>
      </c>
      <c r="G34" s="43" t="str">
        <f>IF($B34="","",IF(Stammdaten!$I34="Gesperrt","gesperrt",IF(COUNTIF(Stammdaten!$AD$10:$AD$30,G$8)&gt;0,"Feiertag",IFERROR(INDEX(Buchungen!$T$6:$T$605,MATCH($B34&amp;"|"&amp;G$8&amp;"|1",Buchungen!$Q$6:$Q$605,0)),"")&amp;IFERROR(" / "&amp;INDEX(Buchungen!$T$6:$T$605,MATCH($B34&amp;"|"&amp;G$8&amp;"|2",Buchungen!$Q$6:$Q$605,0)),""))))</f>
        <v/>
      </c>
      <c r="H34" s="43" t="str">
        <f>IF($B34="","",IF(Stammdaten!$I34="Gesperrt","gesperrt",IF(COUNTIF(Stammdaten!$AD$10:$AD$30,H$8)&gt;0,"Feiertag",IFERROR(INDEX(Buchungen!$T$6:$T$605,MATCH($B34&amp;"|"&amp;H$8&amp;"|1",Buchungen!$Q$6:$Q$605,0)),"")&amp;IFERROR(" / "&amp;INDEX(Buchungen!$T$6:$T$605,MATCH($B34&amp;"|"&amp;H$8&amp;"|2",Buchungen!$Q$6:$Q$605,0)),""))))</f>
        <v/>
      </c>
      <c r="I34" s="43" t="str">
        <f>IF($B34="","",IF(Stammdaten!$I34="Gesperrt","gesperrt",IF(COUNTIF(Stammdaten!$AD$10:$AD$30,I$8)&gt;0,"Feiertag",IFERROR(INDEX(Buchungen!$T$6:$T$605,MATCH($B34&amp;"|"&amp;I$8&amp;"|1",Buchungen!$Q$6:$Q$605,0)),"")&amp;IFERROR(" / "&amp;INDEX(Buchungen!$T$6:$T$605,MATCH($B34&amp;"|"&amp;I$8&amp;"|2",Buchungen!$Q$6:$Q$605,0)),""))))</f>
        <v/>
      </c>
      <c r="J34" s="43" t="str">
        <f>IF($B34="","",IF(Stammdaten!$I34="Gesperrt","gesperrt",IF(COUNTIF(Stammdaten!$AD$10:$AD$30,J$8)&gt;0,"Feiertag",IFERROR(INDEX(Buchungen!$T$6:$T$605,MATCH($B34&amp;"|"&amp;J$8&amp;"|1",Buchungen!$Q$6:$Q$605,0)),"")&amp;IFERROR(" / "&amp;INDEX(Buchungen!$T$6:$T$605,MATCH($B34&amp;"|"&amp;J$8&amp;"|2",Buchungen!$Q$6:$Q$605,0)),""))))</f>
        <v/>
      </c>
      <c r="K34" s="16"/>
      <c r="L34" s="43" t="str">
        <f>IF($B34="","",IF(Stammdaten!$I34="Gesperrt","gesperrt",IF(COUNTIF(Stammdaten!$AD$10:$AD$30,L$8)&gt;0,"Feiertag",IFERROR(INDEX(Buchungen!$T$6:$T$605,MATCH($B34&amp;"|"&amp;L$8&amp;"|1",Buchungen!$Q$6:$Q$605,0)),"")&amp;IFERROR(" / "&amp;INDEX(Buchungen!$T$6:$T$605,MATCH($B34&amp;"|"&amp;L$8&amp;"|2",Buchungen!$Q$6:$Q$605,0)),""))))</f>
        <v/>
      </c>
      <c r="M34" s="43" t="str">
        <f>IF($B34="","",IF(Stammdaten!$I34="Gesperrt","gesperrt",IF(COUNTIF(Stammdaten!$AD$10:$AD$30,M$8)&gt;0,"Feiertag",IFERROR(INDEX(Buchungen!$T$6:$T$605,MATCH($B34&amp;"|"&amp;M$8&amp;"|1",Buchungen!$Q$6:$Q$605,0)),"")&amp;IFERROR(" / "&amp;INDEX(Buchungen!$T$6:$T$605,MATCH($B34&amp;"|"&amp;M$8&amp;"|2",Buchungen!$Q$6:$Q$605,0)),""))))</f>
        <v/>
      </c>
      <c r="N34" s="43" t="str">
        <f>IF($B34="","",IF(Stammdaten!$I34="Gesperrt","gesperrt",IF(COUNTIF(Stammdaten!$AD$10:$AD$30,N$8)&gt;0,"Feiertag",IFERROR(INDEX(Buchungen!$T$6:$T$605,MATCH($B34&amp;"|"&amp;N$8&amp;"|1",Buchungen!$Q$6:$Q$605,0)),"")&amp;IFERROR(" / "&amp;INDEX(Buchungen!$T$6:$T$605,MATCH($B34&amp;"|"&amp;N$8&amp;"|2",Buchungen!$Q$6:$Q$605,0)),""))))</f>
        <v/>
      </c>
      <c r="O34" s="43" t="str">
        <f>IF($B34="","",IF(Stammdaten!$I34="Gesperrt","gesperrt",IF(COUNTIF(Stammdaten!$AD$10:$AD$30,O$8)&gt;0,"Feiertag",IFERROR(INDEX(Buchungen!$T$6:$T$605,MATCH($B34&amp;"|"&amp;O$8&amp;"|1",Buchungen!$Q$6:$Q$605,0)),"")&amp;IFERROR(" / "&amp;INDEX(Buchungen!$T$6:$T$605,MATCH($B34&amp;"|"&amp;O$8&amp;"|2",Buchungen!$Q$6:$Q$605,0)),""))))</f>
        <v/>
      </c>
      <c r="P34" s="43" t="str">
        <f>IF($B34="","",IF(Stammdaten!$I34="Gesperrt","gesperrt",IF(COUNTIF(Stammdaten!$AD$10:$AD$30,P$8)&gt;0,"Feiertag",IFERROR(INDEX(Buchungen!$T$6:$T$605,MATCH($B34&amp;"|"&amp;P$8&amp;"|1",Buchungen!$Q$6:$Q$605,0)),"")&amp;IFERROR(" / "&amp;INDEX(Buchungen!$T$6:$T$605,MATCH($B34&amp;"|"&amp;P$8&amp;"|2",Buchungen!$Q$6:$Q$605,0)),""))))</f>
        <v/>
      </c>
    </row>
    <row r="35" spans="2:16" ht="19.5" customHeight="1" x14ac:dyDescent="0.25">
      <c r="B35" s="23" t="str">
        <f>IF(Stammdaten!$B35="","",Stammdaten!$B35)</f>
        <v/>
      </c>
      <c r="C35" s="40" t="str">
        <f>IF($B35="","",Stammdaten!$C35)</f>
        <v/>
      </c>
      <c r="D35" s="41" t="str">
        <f>IF($B35="","",Stammdaten!$D35)</f>
        <v/>
      </c>
      <c r="E35" s="42" t="str">
        <f>IF($B35="","",Stammdaten!$F35&amp;" Mon."&amp;IF(Stammdaten!$G35="Ja"," · Dock","")&amp;IF(Stammdaten!$H35="Ja"," · HV",""))</f>
        <v/>
      </c>
      <c r="F35" s="43" t="str">
        <f>IF($B35="","",IF(Stammdaten!$I35="Gesperrt","gesperrt",IF(COUNTIF(Stammdaten!$AD$10:$AD$30,F$8)&gt;0,"Feiertag",IFERROR(INDEX(Buchungen!$T$6:$T$605,MATCH($B35&amp;"|"&amp;F$8&amp;"|1",Buchungen!$Q$6:$Q$605,0)),"")&amp;IFERROR(" / "&amp;INDEX(Buchungen!$T$6:$T$605,MATCH($B35&amp;"|"&amp;F$8&amp;"|2",Buchungen!$Q$6:$Q$605,0)),""))))</f>
        <v/>
      </c>
      <c r="G35" s="43" t="str">
        <f>IF($B35="","",IF(Stammdaten!$I35="Gesperrt","gesperrt",IF(COUNTIF(Stammdaten!$AD$10:$AD$30,G$8)&gt;0,"Feiertag",IFERROR(INDEX(Buchungen!$T$6:$T$605,MATCH($B35&amp;"|"&amp;G$8&amp;"|1",Buchungen!$Q$6:$Q$605,0)),"")&amp;IFERROR(" / "&amp;INDEX(Buchungen!$T$6:$T$605,MATCH($B35&amp;"|"&amp;G$8&amp;"|2",Buchungen!$Q$6:$Q$605,0)),""))))</f>
        <v/>
      </c>
      <c r="H35" s="43" t="str">
        <f>IF($B35="","",IF(Stammdaten!$I35="Gesperrt","gesperrt",IF(COUNTIF(Stammdaten!$AD$10:$AD$30,H$8)&gt;0,"Feiertag",IFERROR(INDEX(Buchungen!$T$6:$T$605,MATCH($B35&amp;"|"&amp;H$8&amp;"|1",Buchungen!$Q$6:$Q$605,0)),"")&amp;IFERROR(" / "&amp;INDEX(Buchungen!$T$6:$T$605,MATCH($B35&amp;"|"&amp;H$8&amp;"|2",Buchungen!$Q$6:$Q$605,0)),""))))</f>
        <v/>
      </c>
      <c r="I35" s="43" t="str">
        <f>IF($B35="","",IF(Stammdaten!$I35="Gesperrt","gesperrt",IF(COUNTIF(Stammdaten!$AD$10:$AD$30,I$8)&gt;0,"Feiertag",IFERROR(INDEX(Buchungen!$T$6:$T$605,MATCH($B35&amp;"|"&amp;I$8&amp;"|1",Buchungen!$Q$6:$Q$605,0)),"")&amp;IFERROR(" / "&amp;INDEX(Buchungen!$T$6:$T$605,MATCH($B35&amp;"|"&amp;I$8&amp;"|2",Buchungen!$Q$6:$Q$605,0)),""))))</f>
        <v/>
      </c>
      <c r="J35" s="43" t="str">
        <f>IF($B35="","",IF(Stammdaten!$I35="Gesperrt","gesperrt",IF(COUNTIF(Stammdaten!$AD$10:$AD$30,J$8)&gt;0,"Feiertag",IFERROR(INDEX(Buchungen!$T$6:$T$605,MATCH($B35&amp;"|"&amp;J$8&amp;"|1",Buchungen!$Q$6:$Q$605,0)),"")&amp;IFERROR(" / "&amp;INDEX(Buchungen!$T$6:$T$605,MATCH($B35&amp;"|"&amp;J$8&amp;"|2",Buchungen!$Q$6:$Q$605,0)),""))))</f>
        <v/>
      </c>
      <c r="K35" s="16"/>
      <c r="L35" s="43" t="str">
        <f>IF($B35="","",IF(Stammdaten!$I35="Gesperrt","gesperrt",IF(COUNTIF(Stammdaten!$AD$10:$AD$30,L$8)&gt;0,"Feiertag",IFERROR(INDEX(Buchungen!$T$6:$T$605,MATCH($B35&amp;"|"&amp;L$8&amp;"|1",Buchungen!$Q$6:$Q$605,0)),"")&amp;IFERROR(" / "&amp;INDEX(Buchungen!$T$6:$T$605,MATCH($B35&amp;"|"&amp;L$8&amp;"|2",Buchungen!$Q$6:$Q$605,0)),""))))</f>
        <v/>
      </c>
      <c r="M35" s="43" t="str">
        <f>IF($B35="","",IF(Stammdaten!$I35="Gesperrt","gesperrt",IF(COUNTIF(Stammdaten!$AD$10:$AD$30,M$8)&gt;0,"Feiertag",IFERROR(INDEX(Buchungen!$T$6:$T$605,MATCH($B35&amp;"|"&amp;M$8&amp;"|1",Buchungen!$Q$6:$Q$605,0)),"")&amp;IFERROR(" / "&amp;INDEX(Buchungen!$T$6:$T$605,MATCH($B35&amp;"|"&amp;M$8&amp;"|2",Buchungen!$Q$6:$Q$605,0)),""))))</f>
        <v/>
      </c>
      <c r="N35" s="43" t="str">
        <f>IF($B35="","",IF(Stammdaten!$I35="Gesperrt","gesperrt",IF(COUNTIF(Stammdaten!$AD$10:$AD$30,N$8)&gt;0,"Feiertag",IFERROR(INDEX(Buchungen!$T$6:$T$605,MATCH($B35&amp;"|"&amp;N$8&amp;"|1",Buchungen!$Q$6:$Q$605,0)),"")&amp;IFERROR(" / "&amp;INDEX(Buchungen!$T$6:$T$605,MATCH($B35&amp;"|"&amp;N$8&amp;"|2",Buchungen!$Q$6:$Q$605,0)),""))))</f>
        <v/>
      </c>
      <c r="O35" s="43" t="str">
        <f>IF($B35="","",IF(Stammdaten!$I35="Gesperrt","gesperrt",IF(COUNTIF(Stammdaten!$AD$10:$AD$30,O$8)&gt;0,"Feiertag",IFERROR(INDEX(Buchungen!$T$6:$T$605,MATCH($B35&amp;"|"&amp;O$8&amp;"|1",Buchungen!$Q$6:$Q$605,0)),"")&amp;IFERROR(" / "&amp;INDEX(Buchungen!$T$6:$T$605,MATCH($B35&amp;"|"&amp;O$8&amp;"|2",Buchungen!$Q$6:$Q$605,0)),""))))</f>
        <v/>
      </c>
      <c r="P35" s="43" t="str">
        <f>IF($B35="","",IF(Stammdaten!$I35="Gesperrt","gesperrt",IF(COUNTIF(Stammdaten!$AD$10:$AD$30,P$8)&gt;0,"Feiertag",IFERROR(INDEX(Buchungen!$T$6:$T$605,MATCH($B35&amp;"|"&amp;P$8&amp;"|1",Buchungen!$Q$6:$Q$605,0)),"")&amp;IFERROR(" / "&amp;INDEX(Buchungen!$T$6:$T$605,MATCH($B35&amp;"|"&amp;P$8&amp;"|2",Buchungen!$Q$6:$Q$605,0)),""))))</f>
        <v/>
      </c>
    </row>
    <row r="36" spans="2:16" ht="19.5" customHeight="1" x14ac:dyDescent="0.25">
      <c r="B36" s="23" t="str">
        <f>IF(Stammdaten!$B36="","",Stammdaten!$B36)</f>
        <v/>
      </c>
      <c r="C36" s="40" t="str">
        <f>IF($B36="","",Stammdaten!$C36)</f>
        <v/>
      </c>
      <c r="D36" s="41" t="str">
        <f>IF($B36="","",Stammdaten!$D36)</f>
        <v/>
      </c>
      <c r="E36" s="42" t="str">
        <f>IF($B36="","",Stammdaten!$F36&amp;" Mon."&amp;IF(Stammdaten!$G36="Ja"," · Dock","")&amp;IF(Stammdaten!$H36="Ja"," · HV",""))</f>
        <v/>
      </c>
      <c r="F36" s="43" t="str">
        <f>IF($B36="","",IF(Stammdaten!$I36="Gesperrt","gesperrt",IF(COUNTIF(Stammdaten!$AD$10:$AD$30,F$8)&gt;0,"Feiertag",IFERROR(INDEX(Buchungen!$T$6:$T$605,MATCH($B36&amp;"|"&amp;F$8&amp;"|1",Buchungen!$Q$6:$Q$605,0)),"")&amp;IFERROR(" / "&amp;INDEX(Buchungen!$T$6:$T$605,MATCH($B36&amp;"|"&amp;F$8&amp;"|2",Buchungen!$Q$6:$Q$605,0)),""))))</f>
        <v/>
      </c>
      <c r="G36" s="43" t="str">
        <f>IF($B36="","",IF(Stammdaten!$I36="Gesperrt","gesperrt",IF(COUNTIF(Stammdaten!$AD$10:$AD$30,G$8)&gt;0,"Feiertag",IFERROR(INDEX(Buchungen!$T$6:$T$605,MATCH($B36&amp;"|"&amp;G$8&amp;"|1",Buchungen!$Q$6:$Q$605,0)),"")&amp;IFERROR(" / "&amp;INDEX(Buchungen!$T$6:$T$605,MATCH($B36&amp;"|"&amp;G$8&amp;"|2",Buchungen!$Q$6:$Q$605,0)),""))))</f>
        <v/>
      </c>
      <c r="H36" s="43" t="str">
        <f>IF($B36="","",IF(Stammdaten!$I36="Gesperrt","gesperrt",IF(COUNTIF(Stammdaten!$AD$10:$AD$30,H$8)&gt;0,"Feiertag",IFERROR(INDEX(Buchungen!$T$6:$T$605,MATCH($B36&amp;"|"&amp;H$8&amp;"|1",Buchungen!$Q$6:$Q$605,0)),"")&amp;IFERROR(" / "&amp;INDEX(Buchungen!$T$6:$T$605,MATCH($B36&amp;"|"&amp;H$8&amp;"|2",Buchungen!$Q$6:$Q$605,0)),""))))</f>
        <v/>
      </c>
      <c r="I36" s="43" t="str">
        <f>IF($B36="","",IF(Stammdaten!$I36="Gesperrt","gesperrt",IF(COUNTIF(Stammdaten!$AD$10:$AD$30,I$8)&gt;0,"Feiertag",IFERROR(INDEX(Buchungen!$T$6:$T$605,MATCH($B36&amp;"|"&amp;I$8&amp;"|1",Buchungen!$Q$6:$Q$605,0)),"")&amp;IFERROR(" / "&amp;INDEX(Buchungen!$T$6:$T$605,MATCH($B36&amp;"|"&amp;I$8&amp;"|2",Buchungen!$Q$6:$Q$605,0)),""))))</f>
        <v/>
      </c>
      <c r="J36" s="43" t="str">
        <f>IF($B36="","",IF(Stammdaten!$I36="Gesperrt","gesperrt",IF(COUNTIF(Stammdaten!$AD$10:$AD$30,J$8)&gt;0,"Feiertag",IFERROR(INDEX(Buchungen!$T$6:$T$605,MATCH($B36&amp;"|"&amp;J$8&amp;"|1",Buchungen!$Q$6:$Q$605,0)),"")&amp;IFERROR(" / "&amp;INDEX(Buchungen!$T$6:$T$605,MATCH($B36&amp;"|"&amp;J$8&amp;"|2",Buchungen!$Q$6:$Q$605,0)),""))))</f>
        <v/>
      </c>
      <c r="K36" s="16"/>
      <c r="L36" s="43" t="str">
        <f>IF($B36="","",IF(Stammdaten!$I36="Gesperrt","gesperrt",IF(COUNTIF(Stammdaten!$AD$10:$AD$30,L$8)&gt;0,"Feiertag",IFERROR(INDEX(Buchungen!$T$6:$T$605,MATCH($B36&amp;"|"&amp;L$8&amp;"|1",Buchungen!$Q$6:$Q$605,0)),"")&amp;IFERROR(" / "&amp;INDEX(Buchungen!$T$6:$T$605,MATCH($B36&amp;"|"&amp;L$8&amp;"|2",Buchungen!$Q$6:$Q$605,0)),""))))</f>
        <v/>
      </c>
      <c r="M36" s="43" t="str">
        <f>IF($B36="","",IF(Stammdaten!$I36="Gesperrt","gesperrt",IF(COUNTIF(Stammdaten!$AD$10:$AD$30,M$8)&gt;0,"Feiertag",IFERROR(INDEX(Buchungen!$T$6:$T$605,MATCH($B36&amp;"|"&amp;M$8&amp;"|1",Buchungen!$Q$6:$Q$605,0)),"")&amp;IFERROR(" / "&amp;INDEX(Buchungen!$T$6:$T$605,MATCH($B36&amp;"|"&amp;M$8&amp;"|2",Buchungen!$Q$6:$Q$605,0)),""))))</f>
        <v/>
      </c>
      <c r="N36" s="43" t="str">
        <f>IF($B36="","",IF(Stammdaten!$I36="Gesperrt","gesperrt",IF(COUNTIF(Stammdaten!$AD$10:$AD$30,N$8)&gt;0,"Feiertag",IFERROR(INDEX(Buchungen!$T$6:$T$605,MATCH($B36&amp;"|"&amp;N$8&amp;"|1",Buchungen!$Q$6:$Q$605,0)),"")&amp;IFERROR(" / "&amp;INDEX(Buchungen!$T$6:$T$605,MATCH($B36&amp;"|"&amp;N$8&amp;"|2",Buchungen!$Q$6:$Q$605,0)),""))))</f>
        <v/>
      </c>
      <c r="O36" s="43" t="str">
        <f>IF($B36="","",IF(Stammdaten!$I36="Gesperrt","gesperrt",IF(COUNTIF(Stammdaten!$AD$10:$AD$30,O$8)&gt;0,"Feiertag",IFERROR(INDEX(Buchungen!$T$6:$T$605,MATCH($B36&amp;"|"&amp;O$8&amp;"|1",Buchungen!$Q$6:$Q$605,0)),"")&amp;IFERROR(" / "&amp;INDEX(Buchungen!$T$6:$T$605,MATCH($B36&amp;"|"&amp;O$8&amp;"|2",Buchungen!$Q$6:$Q$605,0)),""))))</f>
        <v/>
      </c>
      <c r="P36" s="43" t="str">
        <f>IF($B36="","",IF(Stammdaten!$I36="Gesperrt","gesperrt",IF(COUNTIF(Stammdaten!$AD$10:$AD$30,P$8)&gt;0,"Feiertag",IFERROR(INDEX(Buchungen!$T$6:$T$605,MATCH($B36&amp;"|"&amp;P$8&amp;"|1",Buchungen!$Q$6:$Q$605,0)),"")&amp;IFERROR(" / "&amp;INDEX(Buchungen!$T$6:$T$605,MATCH($B36&amp;"|"&amp;P$8&amp;"|2",Buchungen!$Q$6:$Q$605,0)),""))))</f>
        <v/>
      </c>
    </row>
    <row r="37" spans="2:16" ht="19.5" customHeight="1" x14ac:dyDescent="0.25">
      <c r="B37" s="23" t="str">
        <f>IF(Stammdaten!$B37="","",Stammdaten!$B37)</f>
        <v/>
      </c>
      <c r="C37" s="40" t="str">
        <f>IF($B37="","",Stammdaten!$C37)</f>
        <v/>
      </c>
      <c r="D37" s="41" t="str">
        <f>IF($B37="","",Stammdaten!$D37)</f>
        <v/>
      </c>
      <c r="E37" s="42" t="str">
        <f>IF($B37="","",Stammdaten!$F37&amp;" Mon."&amp;IF(Stammdaten!$G37="Ja"," · Dock","")&amp;IF(Stammdaten!$H37="Ja"," · HV",""))</f>
        <v/>
      </c>
      <c r="F37" s="43" t="str">
        <f>IF($B37="","",IF(Stammdaten!$I37="Gesperrt","gesperrt",IF(COUNTIF(Stammdaten!$AD$10:$AD$30,F$8)&gt;0,"Feiertag",IFERROR(INDEX(Buchungen!$T$6:$T$605,MATCH($B37&amp;"|"&amp;F$8&amp;"|1",Buchungen!$Q$6:$Q$605,0)),"")&amp;IFERROR(" / "&amp;INDEX(Buchungen!$T$6:$T$605,MATCH($B37&amp;"|"&amp;F$8&amp;"|2",Buchungen!$Q$6:$Q$605,0)),""))))</f>
        <v/>
      </c>
      <c r="G37" s="43" t="str">
        <f>IF($B37="","",IF(Stammdaten!$I37="Gesperrt","gesperrt",IF(COUNTIF(Stammdaten!$AD$10:$AD$30,G$8)&gt;0,"Feiertag",IFERROR(INDEX(Buchungen!$T$6:$T$605,MATCH($B37&amp;"|"&amp;G$8&amp;"|1",Buchungen!$Q$6:$Q$605,0)),"")&amp;IFERROR(" / "&amp;INDEX(Buchungen!$T$6:$T$605,MATCH($B37&amp;"|"&amp;G$8&amp;"|2",Buchungen!$Q$6:$Q$605,0)),""))))</f>
        <v/>
      </c>
      <c r="H37" s="43" t="str">
        <f>IF($B37="","",IF(Stammdaten!$I37="Gesperrt","gesperrt",IF(COUNTIF(Stammdaten!$AD$10:$AD$30,H$8)&gt;0,"Feiertag",IFERROR(INDEX(Buchungen!$T$6:$T$605,MATCH($B37&amp;"|"&amp;H$8&amp;"|1",Buchungen!$Q$6:$Q$605,0)),"")&amp;IFERROR(" / "&amp;INDEX(Buchungen!$T$6:$T$605,MATCH($B37&amp;"|"&amp;H$8&amp;"|2",Buchungen!$Q$6:$Q$605,0)),""))))</f>
        <v/>
      </c>
      <c r="I37" s="43" t="str">
        <f>IF($B37="","",IF(Stammdaten!$I37="Gesperrt","gesperrt",IF(COUNTIF(Stammdaten!$AD$10:$AD$30,I$8)&gt;0,"Feiertag",IFERROR(INDEX(Buchungen!$T$6:$T$605,MATCH($B37&amp;"|"&amp;I$8&amp;"|1",Buchungen!$Q$6:$Q$605,0)),"")&amp;IFERROR(" / "&amp;INDEX(Buchungen!$T$6:$T$605,MATCH($B37&amp;"|"&amp;I$8&amp;"|2",Buchungen!$Q$6:$Q$605,0)),""))))</f>
        <v/>
      </c>
      <c r="J37" s="43" t="str">
        <f>IF($B37="","",IF(Stammdaten!$I37="Gesperrt","gesperrt",IF(COUNTIF(Stammdaten!$AD$10:$AD$30,J$8)&gt;0,"Feiertag",IFERROR(INDEX(Buchungen!$T$6:$T$605,MATCH($B37&amp;"|"&amp;J$8&amp;"|1",Buchungen!$Q$6:$Q$605,0)),"")&amp;IFERROR(" / "&amp;INDEX(Buchungen!$T$6:$T$605,MATCH($B37&amp;"|"&amp;J$8&amp;"|2",Buchungen!$Q$6:$Q$605,0)),""))))</f>
        <v/>
      </c>
      <c r="K37" s="16"/>
      <c r="L37" s="43" t="str">
        <f>IF($B37="","",IF(Stammdaten!$I37="Gesperrt","gesperrt",IF(COUNTIF(Stammdaten!$AD$10:$AD$30,L$8)&gt;0,"Feiertag",IFERROR(INDEX(Buchungen!$T$6:$T$605,MATCH($B37&amp;"|"&amp;L$8&amp;"|1",Buchungen!$Q$6:$Q$605,0)),"")&amp;IFERROR(" / "&amp;INDEX(Buchungen!$T$6:$T$605,MATCH($B37&amp;"|"&amp;L$8&amp;"|2",Buchungen!$Q$6:$Q$605,0)),""))))</f>
        <v/>
      </c>
      <c r="M37" s="43" t="str">
        <f>IF($B37="","",IF(Stammdaten!$I37="Gesperrt","gesperrt",IF(COUNTIF(Stammdaten!$AD$10:$AD$30,M$8)&gt;0,"Feiertag",IFERROR(INDEX(Buchungen!$T$6:$T$605,MATCH($B37&amp;"|"&amp;M$8&amp;"|1",Buchungen!$Q$6:$Q$605,0)),"")&amp;IFERROR(" / "&amp;INDEX(Buchungen!$T$6:$T$605,MATCH($B37&amp;"|"&amp;M$8&amp;"|2",Buchungen!$Q$6:$Q$605,0)),""))))</f>
        <v/>
      </c>
      <c r="N37" s="43" t="str">
        <f>IF($B37="","",IF(Stammdaten!$I37="Gesperrt","gesperrt",IF(COUNTIF(Stammdaten!$AD$10:$AD$30,N$8)&gt;0,"Feiertag",IFERROR(INDEX(Buchungen!$T$6:$T$605,MATCH($B37&amp;"|"&amp;N$8&amp;"|1",Buchungen!$Q$6:$Q$605,0)),"")&amp;IFERROR(" / "&amp;INDEX(Buchungen!$T$6:$T$605,MATCH($B37&amp;"|"&amp;N$8&amp;"|2",Buchungen!$Q$6:$Q$605,0)),""))))</f>
        <v/>
      </c>
      <c r="O37" s="43" t="str">
        <f>IF($B37="","",IF(Stammdaten!$I37="Gesperrt","gesperrt",IF(COUNTIF(Stammdaten!$AD$10:$AD$30,O$8)&gt;0,"Feiertag",IFERROR(INDEX(Buchungen!$T$6:$T$605,MATCH($B37&amp;"|"&amp;O$8&amp;"|1",Buchungen!$Q$6:$Q$605,0)),"")&amp;IFERROR(" / "&amp;INDEX(Buchungen!$T$6:$T$605,MATCH($B37&amp;"|"&amp;O$8&amp;"|2",Buchungen!$Q$6:$Q$605,0)),""))))</f>
        <v/>
      </c>
      <c r="P37" s="43" t="str">
        <f>IF($B37="","",IF(Stammdaten!$I37="Gesperrt","gesperrt",IF(COUNTIF(Stammdaten!$AD$10:$AD$30,P$8)&gt;0,"Feiertag",IFERROR(INDEX(Buchungen!$T$6:$T$605,MATCH($B37&amp;"|"&amp;P$8&amp;"|1",Buchungen!$Q$6:$Q$605,0)),"")&amp;IFERROR(" / "&amp;INDEX(Buchungen!$T$6:$T$605,MATCH($B37&amp;"|"&amp;P$8&amp;"|2",Buchungen!$Q$6:$Q$605,0)),""))))</f>
        <v/>
      </c>
    </row>
    <row r="38" spans="2:16" ht="19.5" customHeight="1" x14ac:dyDescent="0.25">
      <c r="B38" s="23" t="str">
        <f>IF(Stammdaten!$B38="","",Stammdaten!$B38)</f>
        <v/>
      </c>
      <c r="C38" s="40" t="str">
        <f>IF($B38="","",Stammdaten!$C38)</f>
        <v/>
      </c>
      <c r="D38" s="41" t="str">
        <f>IF($B38="","",Stammdaten!$D38)</f>
        <v/>
      </c>
      <c r="E38" s="42" t="str">
        <f>IF($B38="","",Stammdaten!$F38&amp;" Mon."&amp;IF(Stammdaten!$G38="Ja"," · Dock","")&amp;IF(Stammdaten!$H38="Ja"," · HV",""))</f>
        <v/>
      </c>
      <c r="F38" s="43" t="str">
        <f>IF($B38="","",IF(Stammdaten!$I38="Gesperrt","gesperrt",IF(COUNTIF(Stammdaten!$AD$10:$AD$30,F$8)&gt;0,"Feiertag",IFERROR(INDEX(Buchungen!$T$6:$T$605,MATCH($B38&amp;"|"&amp;F$8&amp;"|1",Buchungen!$Q$6:$Q$605,0)),"")&amp;IFERROR(" / "&amp;INDEX(Buchungen!$T$6:$T$605,MATCH($B38&amp;"|"&amp;F$8&amp;"|2",Buchungen!$Q$6:$Q$605,0)),""))))</f>
        <v/>
      </c>
      <c r="G38" s="43" t="str">
        <f>IF($B38="","",IF(Stammdaten!$I38="Gesperrt","gesperrt",IF(COUNTIF(Stammdaten!$AD$10:$AD$30,G$8)&gt;0,"Feiertag",IFERROR(INDEX(Buchungen!$T$6:$T$605,MATCH($B38&amp;"|"&amp;G$8&amp;"|1",Buchungen!$Q$6:$Q$605,0)),"")&amp;IFERROR(" / "&amp;INDEX(Buchungen!$T$6:$T$605,MATCH($B38&amp;"|"&amp;G$8&amp;"|2",Buchungen!$Q$6:$Q$605,0)),""))))</f>
        <v/>
      </c>
      <c r="H38" s="43" t="str">
        <f>IF($B38="","",IF(Stammdaten!$I38="Gesperrt","gesperrt",IF(COUNTIF(Stammdaten!$AD$10:$AD$30,H$8)&gt;0,"Feiertag",IFERROR(INDEX(Buchungen!$T$6:$T$605,MATCH($B38&amp;"|"&amp;H$8&amp;"|1",Buchungen!$Q$6:$Q$605,0)),"")&amp;IFERROR(" / "&amp;INDEX(Buchungen!$T$6:$T$605,MATCH($B38&amp;"|"&amp;H$8&amp;"|2",Buchungen!$Q$6:$Q$605,0)),""))))</f>
        <v/>
      </c>
      <c r="I38" s="43" t="str">
        <f>IF($B38="","",IF(Stammdaten!$I38="Gesperrt","gesperrt",IF(COUNTIF(Stammdaten!$AD$10:$AD$30,I$8)&gt;0,"Feiertag",IFERROR(INDEX(Buchungen!$T$6:$T$605,MATCH($B38&amp;"|"&amp;I$8&amp;"|1",Buchungen!$Q$6:$Q$605,0)),"")&amp;IFERROR(" / "&amp;INDEX(Buchungen!$T$6:$T$605,MATCH($B38&amp;"|"&amp;I$8&amp;"|2",Buchungen!$Q$6:$Q$605,0)),""))))</f>
        <v/>
      </c>
      <c r="J38" s="43" t="str">
        <f>IF($B38="","",IF(Stammdaten!$I38="Gesperrt","gesperrt",IF(COUNTIF(Stammdaten!$AD$10:$AD$30,J$8)&gt;0,"Feiertag",IFERROR(INDEX(Buchungen!$T$6:$T$605,MATCH($B38&amp;"|"&amp;J$8&amp;"|1",Buchungen!$Q$6:$Q$605,0)),"")&amp;IFERROR(" / "&amp;INDEX(Buchungen!$T$6:$T$605,MATCH($B38&amp;"|"&amp;J$8&amp;"|2",Buchungen!$Q$6:$Q$605,0)),""))))</f>
        <v/>
      </c>
      <c r="K38" s="16"/>
      <c r="L38" s="43" t="str">
        <f>IF($B38="","",IF(Stammdaten!$I38="Gesperrt","gesperrt",IF(COUNTIF(Stammdaten!$AD$10:$AD$30,L$8)&gt;0,"Feiertag",IFERROR(INDEX(Buchungen!$T$6:$T$605,MATCH($B38&amp;"|"&amp;L$8&amp;"|1",Buchungen!$Q$6:$Q$605,0)),"")&amp;IFERROR(" / "&amp;INDEX(Buchungen!$T$6:$T$605,MATCH($B38&amp;"|"&amp;L$8&amp;"|2",Buchungen!$Q$6:$Q$605,0)),""))))</f>
        <v/>
      </c>
      <c r="M38" s="43" t="str">
        <f>IF($B38="","",IF(Stammdaten!$I38="Gesperrt","gesperrt",IF(COUNTIF(Stammdaten!$AD$10:$AD$30,M$8)&gt;0,"Feiertag",IFERROR(INDEX(Buchungen!$T$6:$T$605,MATCH($B38&amp;"|"&amp;M$8&amp;"|1",Buchungen!$Q$6:$Q$605,0)),"")&amp;IFERROR(" / "&amp;INDEX(Buchungen!$T$6:$T$605,MATCH($B38&amp;"|"&amp;M$8&amp;"|2",Buchungen!$Q$6:$Q$605,0)),""))))</f>
        <v/>
      </c>
      <c r="N38" s="43" t="str">
        <f>IF($B38="","",IF(Stammdaten!$I38="Gesperrt","gesperrt",IF(COUNTIF(Stammdaten!$AD$10:$AD$30,N$8)&gt;0,"Feiertag",IFERROR(INDEX(Buchungen!$T$6:$T$605,MATCH($B38&amp;"|"&amp;N$8&amp;"|1",Buchungen!$Q$6:$Q$605,0)),"")&amp;IFERROR(" / "&amp;INDEX(Buchungen!$T$6:$T$605,MATCH($B38&amp;"|"&amp;N$8&amp;"|2",Buchungen!$Q$6:$Q$605,0)),""))))</f>
        <v/>
      </c>
      <c r="O38" s="43" t="str">
        <f>IF($B38="","",IF(Stammdaten!$I38="Gesperrt","gesperrt",IF(COUNTIF(Stammdaten!$AD$10:$AD$30,O$8)&gt;0,"Feiertag",IFERROR(INDEX(Buchungen!$T$6:$T$605,MATCH($B38&amp;"|"&amp;O$8&amp;"|1",Buchungen!$Q$6:$Q$605,0)),"")&amp;IFERROR(" / "&amp;INDEX(Buchungen!$T$6:$T$605,MATCH($B38&amp;"|"&amp;O$8&amp;"|2",Buchungen!$Q$6:$Q$605,0)),""))))</f>
        <v/>
      </c>
      <c r="P38" s="43" t="str">
        <f>IF($B38="","",IF(Stammdaten!$I38="Gesperrt","gesperrt",IF(COUNTIF(Stammdaten!$AD$10:$AD$30,P$8)&gt;0,"Feiertag",IFERROR(INDEX(Buchungen!$T$6:$T$605,MATCH($B38&amp;"|"&amp;P$8&amp;"|1",Buchungen!$Q$6:$Q$605,0)),"")&amp;IFERROR(" / "&amp;INDEX(Buchungen!$T$6:$T$605,MATCH($B38&amp;"|"&amp;P$8&amp;"|2",Buchungen!$Q$6:$Q$605,0)),""))))</f>
        <v/>
      </c>
    </row>
    <row r="39" spans="2:16" ht="19.5" customHeight="1" x14ac:dyDescent="0.25">
      <c r="B39" s="23" t="str">
        <f>IF(Stammdaten!$B39="","",Stammdaten!$B39)</f>
        <v/>
      </c>
      <c r="C39" s="40" t="str">
        <f>IF($B39="","",Stammdaten!$C39)</f>
        <v/>
      </c>
      <c r="D39" s="41" t="str">
        <f>IF($B39="","",Stammdaten!$D39)</f>
        <v/>
      </c>
      <c r="E39" s="42" t="str">
        <f>IF($B39="","",Stammdaten!$F39&amp;" Mon."&amp;IF(Stammdaten!$G39="Ja"," · Dock","")&amp;IF(Stammdaten!$H39="Ja"," · HV",""))</f>
        <v/>
      </c>
      <c r="F39" s="43" t="str">
        <f>IF($B39="","",IF(Stammdaten!$I39="Gesperrt","gesperrt",IF(COUNTIF(Stammdaten!$AD$10:$AD$30,F$8)&gt;0,"Feiertag",IFERROR(INDEX(Buchungen!$T$6:$T$605,MATCH($B39&amp;"|"&amp;F$8&amp;"|1",Buchungen!$Q$6:$Q$605,0)),"")&amp;IFERROR(" / "&amp;INDEX(Buchungen!$T$6:$T$605,MATCH($B39&amp;"|"&amp;F$8&amp;"|2",Buchungen!$Q$6:$Q$605,0)),""))))</f>
        <v/>
      </c>
      <c r="G39" s="43" t="str">
        <f>IF($B39="","",IF(Stammdaten!$I39="Gesperrt","gesperrt",IF(COUNTIF(Stammdaten!$AD$10:$AD$30,G$8)&gt;0,"Feiertag",IFERROR(INDEX(Buchungen!$T$6:$T$605,MATCH($B39&amp;"|"&amp;G$8&amp;"|1",Buchungen!$Q$6:$Q$605,0)),"")&amp;IFERROR(" / "&amp;INDEX(Buchungen!$T$6:$T$605,MATCH($B39&amp;"|"&amp;G$8&amp;"|2",Buchungen!$Q$6:$Q$605,0)),""))))</f>
        <v/>
      </c>
      <c r="H39" s="43" t="str">
        <f>IF($B39="","",IF(Stammdaten!$I39="Gesperrt","gesperrt",IF(COUNTIF(Stammdaten!$AD$10:$AD$30,H$8)&gt;0,"Feiertag",IFERROR(INDEX(Buchungen!$T$6:$T$605,MATCH($B39&amp;"|"&amp;H$8&amp;"|1",Buchungen!$Q$6:$Q$605,0)),"")&amp;IFERROR(" / "&amp;INDEX(Buchungen!$T$6:$T$605,MATCH($B39&amp;"|"&amp;H$8&amp;"|2",Buchungen!$Q$6:$Q$605,0)),""))))</f>
        <v/>
      </c>
      <c r="I39" s="43" t="str">
        <f>IF($B39="","",IF(Stammdaten!$I39="Gesperrt","gesperrt",IF(COUNTIF(Stammdaten!$AD$10:$AD$30,I$8)&gt;0,"Feiertag",IFERROR(INDEX(Buchungen!$T$6:$T$605,MATCH($B39&amp;"|"&amp;I$8&amp;"|1",Buchungen!$Q$6:$Q$605,0)),"")&amp;IFERROR(" / "&amp;INDEX(Buchungen!$T$6:$T$605,MATCH($B39&amp;"|"&amp;I$8&amp;"|2",Buchungen!$Q$6:$Q$605,0)),""))))</f>
        <v/>
      </c>
      <c r="J39" s="43" t="str">
        <f>IF($B39="","",IF(Stammdaten!$I39="Gesperrt","gesperrt",IF(COUNTIF(Stammdaten!$AD$10:$AD$30,J$8)&gt;0,"Feiertag",IFERROR(INDEX(Buchungen!$T$6:$T$605,MATCH($B39&amp;"|"&amp;J$8&amp;"|1",Buchungen!$Q$6:$Q$605,0)),"")&amp;IFERROR(" / "&amp;INDEX(Buchungen!$T$6:$T$605,MATCH($B39&amp;"|"&amp;J$8&amp;"|2",Buchungen!$Q$6:$Q$605,0)),""))))</f>
        <v/>
      </c>
      <c r="K39" s="16"/>
      <c r="L39" s="43" t="str">
        <f>IF($B39="","",IF(Stammdaten!$I39="Gesperrt","gesperrt",IF(COUNTIF(Stammdaten!$AD$10:$AD$30,L$8)&gt;0,"Feiertag",IFERROR(INDEX(Buchungen!$T$6:$T$605,MATCH($B39&amp;"|"&amp;L$8&amp;"|1",Buchungen!$Q$6:$Q$605,0)),"")&amp;IFERROR(" / "&amp;INDEX(Buchungen!$T$6:$T$605,MATCH($B39&amp;"|"&amp;L$8&amp;"|2",Buchungen!$Q$6:$Q$605,0)),""))))</f>
        <v/>
      </c>
      <c r="M39" s="43" t="str">
        <f>IF($B39="","",IF(Stammdaten!$I39="Gesperrt","gesperrt",IF(COUNTIF(Stammdaten!$AD$10:$AD$30,M$8)&gt;0,"Feiertag",IFERROR(INDEX(Buchungen!$T$6:$T$605,MATCH($B39&amp;"|"&amp;M$8&amp;"|1",Buchungen!$Q$6:$Q$605,0)),"")&amp;IFERROR(" / "&amp;INDEX(Buchungen!$T$6:$T$605,MATCH($B39&amp;"|"&amp;M$8&amp;"|2",Buchungen!$Q$6:$Q$605,0)),""))))</f>
        <v/>
      </c>
      <c r="N39" s="43" t="str">
        <f>IF($B39="","",IF(Stammdaten!$I39="Gesperrt","gesperrt",IF(COUNTIF(Stammdaten!$AD$10:$AD$30,N$8)&gt;0,"Feiertag",IFERROR(INDEX(Buchungen!$T$6:$T$605,MATCH($B39&amp;"|"&amp;N$8&amp;"|1",Buchungen!$Q$6:$Q$605,0)),"")&amp;IFERROR(" / "&amp;INDEX(Buchungen!$T$6:$T$605,MATCH($B39&amp;"|"&amp;N$8&amp;"|2",Buchungen!$Q$6:$Q$605,0)),""))))</f>
        <v/>
      </c>
      <c r="O39" s="43" t="str">
        <f>IF($B39="","",IF(Stammdaten!$I39="Gesperrt","gesperrt",IF(COUNTIF(Stammdaten!$AD$10:$AD$30,O$8)&gt;0,"Feiertag",IFERROR(INDEX(Buchungen!$T$6:$T$605,MATCH($B39&amp;"|"&amp;O$8&amp;"|1",Buchungen!$Q$6:$Q$605,0)),"")&amp;IFERROR(" / "&amp;INDEX(Buchungen!$T$6:$T$605,MATCH($B39&amp;"|"&amp;O$8&amp;"|2",Buchungen!$Q$6:$Q$605,0)),""))))</f>
        <v/>
      </c>
      <c r="P39" s="43" t="str">
        <f>IF($B39="","",IF(Stammdaten!$I39="Gesperrt","gesperrt",IF(COUNTIF(Stammdaten!$AD$10:$AD$30,P$8)&gt;0,"Feiertag",IFERROR(INDEX(Buchungen!$T$6:$T$605,MATCH($B39&amp;"|"&amp;P$8&amp;"|1",Buchungen!$Q$6:$Q$605,0)),"")&amp;IFERROR(" / "&amp;INDEX(Buchungen!$T$6:$T$605,MATCH($B39&amp;"|"&amp;P$8&amp;"|2",Buchungen!$Q$6:$Q$605,0)),""))))</f>
        <v/>
      </c>
    </row>
    <row r="40" spans="2:16" ht="19.5" customHeight="1" x14ac:dyDescent="0.25">
      <c r="B40" s="23" t="str">
        <f>IF(Stammdaten!$B40="","",Stammdaten!$B40)</f>
        <v/>
      </c>
      <c r="C40" s="40" t="str">
        <f>IF($B40="","",Stammdaten!$C40)</f>
        <v/>
      </c>
      <c r="D40" s="41" t="str">
        <f>IF($B40="","",Stammdaten!$D40)</f>
        <v/>
      </c>
      <c r="E40" s="42" t="str">
        <f>IF($B40="","",Stammdaten!$F40&amp;" Mon."&amp;IF(Stammdaten!$G40="Ja"," · Dock","")&amp;IF(Stammdaten!$H40="Ja"," · HV",""))</f>
        <v/>
      </c>
      <c r="F40" s="43" t="str">
        <f>IF($B40="","",IF(Stammdaten!$I40="Gesperrt","gesperrt",IF(COUNTIF(Stammdaten!$AD$10:$AD$30,F$8)&gt;0,"Feiertag",IFERROR(INDEX(Buchungen!$T$6:$T$605,MATCH($B40&amp;"|"&amp;F$8&amp;"|1",Buchungen!$Q$6:$Q$605,0)),"")&amp;IFERROR(" / "&amp;INDEX(Buchungen!$T$6:$T$605,MATCH($B40&amp;"|"&amp;F$8&amp;"|2",Buchungen!$Q$6:$Q$605,0)),""))))</f>
        <v/>
      </c>
      <c r="G40" s="43" t="str">
        <f>IF($B40="","",IF(Stammdaten!$I40="Gesperrt","gesperrt",IF(COUNTIF(Stammdaten!$AD$10:$AD$30,G$8)&gt;0,"Feiertag",IFERROR(INDEX(Buchungen!$T$6:$T$605,MATCH($B40&amp;"|"&amp;G$8&amp;"|1",Buchungen!$Q$6:$Q$605,0)),"")&amp;IFERROR(" / "&amp;INDEX(Buchungen!$T$6:$T$605,MATCH($B40&amp;"|"&amp;G$8&amp;"|2",Buchungen!$Q$6:$Q$605,0)),""))))</f>
        <v/>
      </c>
      <c r="H40" s="43" t="str">
        <f>IF($B40="","",IF(Stammdaten!$I40="Gesperrt","gesperrt",IF(COUNTIF(Stammdaten!$AD$10:$AD$30,H$8)&gt;0,"Feiertag",IFERROR(INDEX(Buchungen!$T$6:$T$605,MATCH($B40&amp;"|"&amp;H$8&amp;"|1",Buchungen!$Q$6:$Q$605,0)),"")&amp;IFERROR(" / "&amp;INDEX(Buchungen!$T$6:$T$605,MATCH($B40&amp;"|"&amp;H$8&amp;"|2",Buchungen!$Q$6:$Q$605,0)),""))))</f>
        <v/>
      </c>
      <c r="I40" s="43" t="str">
        <f>IF($B40="","",IF(Stammdaten!$I40="Gesperrt","gesperrt",IF(COUNTIF(Stammdaten!$AD$10:$AD$30,I$8)&gt;0,"Feiertag",IFERROR(INDEX(Buchungen!$T$6:$T$605,MATCH($B40&amp;"|"&amp;I$8&amp;"|1",Buchungen!$Q$6:$Q$605,0)),"")&amp;IFERROR(" / "&amp;INDEX(Buchungen!$T$6:$T$605,MATCH($B40&amp;"|"&amp;I$8&amp;"|2",Buchungen!$Q$6:$Q$605,0)),""))))</f>
        <v/>
      </c>
      <c r="J40" s="43" t="str">
        <f>IF($B40="","",IF(Stammdaten!$I40="Gesperrt","gesperrt",IF(COUNTIF(Stammdaten!$AD$10:$AD$30,J$8)&gt;0,"Feiertag",IFERROR(INDEX(Buchungen!$T$6:$T$605,MATCH($B40&amp;"|"&amp;J$8&amp;"|1",Buchungen!$Q$6:$Q$605,0)),"")&amp;IFERROR(" / "&amp;INDEX(Buchungen!$T$6:$T$605,MATCH($B40&amp;"|"&amp;J$8&amp;"|2",Buchungen!$Q$6:$Q$605,0)),""))))</f>
        <v/>
      </c>
      <c r="K40" s="16"/>
      <c r="L40" s="43" t="str">
        <f>IF($B40="","",IF(Stammdaten!$I40="Gesperrt","gesperrt",IF(COUNTIF(Stammdaten!$AD$10:$AD$30,L$8)&gt;0,"Feiertag",IFERROR(INDEX(Buchungen!$T$6:$T$605,MATCH($B40&amp;"|"&amp;L$8&amp;"|1",Buchungen!$Q$6:$Q$605,0)),"")&amp;IFERROR(" / "&amp;INDEX(Buchungen!$T$6:$T$605,MATCH($B40&amp;"|"&amp;L$8&amp;"|2",Buchungen!$Q$6:$Q$605,0)),""))))</f>
        <v/>
      </c>
      <c r="M40" s="43" t="str">
        <f>IF($B40="","",IF(Stammdaten!$I40="Gesperrt","gesperrt",IF(COUNTIF(Stammdaten!$AD$10:$AD$30,M$8)&gt;0,"Feiertag",IFERROR(INDEX(Buchungen!$T$6:$T$605,MATCH($B40&amp;"|"&amp;M$8&amp;"|1",Buchungen!$Q$6:$Q$605,0)),"")&amp;IFERROR(" / "&amp;INDEX(Buchungen!$T$6:$T$605,MATCH($B40&amp;"|"&amp;M$8&amp;"|2",Buchungen!$Q$6:$Q$605,0)),""))))</f>
        <v/>
      </c>
      <c r="N40" s="43" t="str">
        <f>IF($B40="","",IF(Stammdaten!$I40="Gesperrt","gesperrt",IF(COUNTIF(Stammdaten!$AD$10:$AD$30,N$8)&gt;0,"Feiertag",IFERROR(INDEX(Buchungen!$T$6:$T$605,MATCH($B40&amp;"|"&amp;N$8&amp;"|1",Buchungen!$Q$6:$Q$605,0)),"")&amp;IFERROR(" / "&amp;INDEX(Buchungen!$T$6:$T$605,MATCH($B40&amp;"|"&amp;N$8&amp;"|2",Buchungen!$Q$6:$Q$605,0)),""))))</f>
        <v/>
      </c>
      <c r="O40" s="43" t="str">
        <f>IF($B40="","",IF(Stammdaten!$I40="Gesperrt","gesperrt",IF(COUNTIF(Stammdaten!$AD$10:$AD$30,O$8)&gt;0,"Feiertag",IFERROR(INDEX(Buchungen!$T$6:$T$605,MATCH($B40&amp;"|"&amp;O$8&amp;"|1",Buchungen!$Q$6:$Q$605,0)),"")&amp;IFERROR(" / "&amp;INDEX(Buchungen!$T$6:$T$605,MATCH($B40&amp;"|"&amp;O$8&amp;"|2",Buchungen!$Q$6:$Q$605,0)),""))))</f>
        <v/>
      </c>
      <c r="P40" s="43" t="str">
        <f>IF($B40="","",IF(Stammdaten!$I40="Gesperrt","gesperrt",IF(COUNTIF(Stammdaten!$AD$10:$AD$30,P$8)&gt;0,"Feiertag",IFERROR(INDEX(Buchungen!$T$6:$T$605,MATCH($B40&amp;"|"&amp;P$8&amp;"|1",Buchungen!$Q$6:$Q$605,0)),"")&amp;IFERROR(" / "&amp;INDEX(Buchungen!$T$6:$T$605,MATCH($B40&amp;"|"&amp;P$8&amp;"|2",Buchungen!$Q$6:$Q$605,0)),""))))</f>
        <v/>
      </c>
    </row>
    <row r="41" spans="2:16" ht="19.5" customHeight="1" x14ac:dyDescent="0.25">
      <c r="B41" s="23" t="str">
        <f>IF(Stammdaten!$B41="","",Stammdaten!$B41)</f>
        <v/>
      </c>
      <c r="C41" s="40" t="str">
        <f>IF($B41="","",Stammdaten!$C41)</f>
        <v/>
      </c>
      <c r="D41" s="41" t="str">
        <f>IF($B41="","",Stammdaten!$D41)</f>
        <v/>
      </c>
      <c r="E41" s="42" t="str">
        <f>IF($B41="","",Stammdaten!$F41&amp;" Mon."&amp;IF(Stammdaten!$G41="Ja"," · Dock","")&amp;IF(Stammdaten!$H41="Ja"," · HV",""))</f>
        <v/>
      </c>
      <c r="F41" s="43" t="str">
        <f>IF($B41="","",IF(Stammdaten!$I41="Gesperrt","gesperrt",IF(COUNTIF(Stammdaten!$AD$10:$AD$30,F$8)&gt;0,"Feiertag",IFERROR(INDEX(Buchungen!$T$6:$T$605,MATCH($B41&amp;"|"&amp;F$8&amp;"|1",Buchungen!$Q$6:$Q$605,0)),"")&amp;IFERROR(" / "&amp;INDEX(Buchungen!$T$6:$T$605,MATCH($B41&amp;"|"&amp;F$8&amp;"|2",Buchungen!$Q$6:$Q$605,0)),""))))</f>
        <v/>
      </c>
      <c r="G41" s="43" t="str">
        <f>IF($B41="","",IF(Stammdaten!$I41="Gesperrt","gesperrt",IF(COUNTIF(Stammdaten!$AD$10:$AD$30,G$8)&gt;0,"Feiertag",IFERROR(INDEX(Buchungen!$T$6:$T$605,MATCH($B41&amp;"|"&amp;G$8&amp;"|1",Buchungen!$Q$6:$Q$605,0)),"")&amp;IFERROR(" / "&amp;INDEX(Buchungen!$T$6:$T$605,MATCH($B41&amp;"|"&amp;G$8&amp;"|2",Buchungen!$Q$6:$Q$605,0)),""))))</f>
        <v/>
      </c>
      <c r="H41" s="43" t="str">
        <f>IF($B41="","",IF(Stammdaten!$I41="Gesperrt","gesperrt",IF(COUNTIF(Stammdaten!$AD$10:$AD$30,H$8)&gt;0,"Feiertag",IFERROR(INDEX(Buchungen!$T$6:$T$605,MATCH($B41&amp;"|"&amp;H$8&amp;"|1",Buchungen!$Q$6:$Q$605,0)),"")&amp;IFERROR(" / "&amp;INDEX(Buchungen!$T$6:$T$605,MATCH($B41&amp;"|"&amp;H$8&amp;"|2",Buchungen!$Q$6:$Q$605,0)),""))))</f>
        <v/>
      </c>
      <c r="I41" s="43" t="str">
        <f>IF($B41="","",IF(Stammdaten!$I41="Gesperrt","gesperrt",IF(COUNTIF(Stammdaten!$AD$10:$AD$30,I$8)&gt;0,"Feiertag",IFERROR(INDEX(Buchungen!$T$6:$T$605,MATCH($B41&amp;"|"&amp;I$8&amp;"|1",Buchungen!$Q$6:$Q$605,0)),"")&amp;IFERROR(" / "&amp;INDEX(Buchungen!$T$6:$T$605,MATCH($B41&amp;"|"&amp;I$8&amp;"|2",Buchungen!$Q$6:$Q$605,0)),""))))</f>
        <v/>
      </c>
      <c r="J41" s="43" t="str">
        <f>IF($B41="","",IF(Stammdaten!$I41="Gesperrt","gesperrt",IF(COUNTIF(Stammdaten!$AD$10:$AD$30,J$8)&gt;0,"Feiertag",IFERROR(INDEX(Buchungen!$T$6:$T$605,MATCH($B41&amp;"|"&amp;J$8&amp;"|1",Buchungen!$Q$6:$Q$605,0)),"")&amp;IFERROR(" / "&amp;INDEX(Buchungen!$T$6:$T$605,MATCH($B41&amp;"|"&amp;J$8&amp;"|2",Buchungen!$Q$6:$Q$605,0)),""))))</f>
        <v/>
      </c>
      <c r="K41" s="16"/>
      <c r="L41" s="43" t="str">
        <f>IF($B41="","",IF(Stammdaten!$I41="Gesperrt","gesperrt",IF(COUNTIF(Stammdaten!$AD$10:$AD$30,L$8)&gt;0,"Feiertag",IFERROR(INDEX(Buchungen!$T$6:$T$605,MATCH($B41&amp;"|"&amp;L$8&amp;"|1",Buchungen!$Q$6:$Q$605,0)),"")&amp;IFERROR(" / "&amp;INDEX(Buchungen!$T$6:$T$605,MATCH($B41&amp;"|"&amp;L$8&amp;"|2",Buchungen!$Q$6:$Q$605,0)),""))))</f>
        <v/>
      </c>
      <c r="M41" s="43" t="str">
        <f>IF($B41="","",IF(Stammdaten!$I41="Gesperrt","gesperrt",IF(COUNTIF(Stammdaten!$AD$10:$AD$30,M$8)&gt;0,"Feiertag",IFERROR(INDEX(Buchungen!$T$6:$T$605,MATCH($B41&amp;"|"&amp;M$8&amp;"|1",Buchungen!$Q$6:$Q$605,0)),"")&amp;IFERROR(" / "&amp;INDEX(Buchungen!$T$6:$T$605,MATCH($B41&amp;"|"&amp;M$8&amp;"|2",Buchungen!$Q$6:$Q$605,0)),""))))</f>
        <v/>
      </c>
      <c r="N41" s="43" t="str">
        <f>IF($B41="","",IF(Stammdaten!$I41="Gesperrt","gesperrt",IF(COUNTIF(Stammdaten!$AD$10:$AD$30,N$8)&gt;0,"Feiertag",IFERROR(INDEX(Buchungen!$T$6:$T$605,MATCH($B41&amp;"|"&amp;N$8&amp;"|1",Buchungen!$Q$6:$Q$605,0)),"")&amp;IFERROR(" / "&amp;INDEX(Buchungen!$T$6:$T$605,MATCH($B41&amp;"|"&amp;N$8&amp;"|2",Buchungen!$Q$6:$Q$605,0)),""))))</f>
        <v/>
      </c>
      <c r="O41" s="43" t="str">
        <f>IF($B41="","",IF(Stammdaten!$I41="Gesperrt","gesperrt",IF(COUNTIF(Stammdaten!$AD$10:$AD$30,O$8)&gt;0,"Feiertag",IFERROR(INDEX(Buchungen!$T$6:$T$605,MATCH($B41&amp;"|"&amp;O$8&amp;"|1",Buchungen!$Q$6:$Q$605,0)),"")&amp;IFERROR(" / "&amp;INDEX(Buchungen!$T$6:$T$605,MATCH($B41&amp;"|"&amp;O$8&amp;"|2",Buchungen!$Q$6:$Q$605,0)),""))))</f>
        <v/>
      </c>
      <c r="P41" s="43" t="str">
        <f>IF($B41="","",IF(Stammdaten!$I41="Gesperrt","gesperrt",IF(COUNTIF(Stammdaten!$AD$10:$AD$30,P$8)&gt;0,"Feiertag",IFERROR(INDEX(Buchungen!$T$6:$T$605,MATCH($B41&amp;"|"&amp;P$8&amp;"|1",Buchungen!$Q$6:$Q$605,0)),"")&amp;IFERROR(" / "&amp;INDEX(Buchungen!$T$6:$T$605,MATCH($B41&amp;"|"&amp;P$8&amp;"|2",Buchungen!$Q$6:$Q$605,0)),""))))</f>
        <v/>
      </c>
    </row>
    <row r="42" spans="2:16" ht="19.5" customHeight="1" x14ac:dyDescent="0.25">
      <c r="B42" s="23" t="str">
        <f>IF(Stammdaten!$B42="","",Stammdaten!$B42)</f>
        <v/>
      </c>
      <c r="C42" s="40" t="str">
        <f>IF($B42="","",Stammdaten!$C42)</f>
        <v/>
      </c>
      <c r="D42" s="41" t="str">
        <f>IF($B42="","",Stammdaten!$D42)</f>
        <v/>
      </c>
      <c r="E42" s="42" t="str">
        <f>IF($B42="","",Stammdaten!$F42&amp;" Mon."&amp;IF(Stammdaten!$G42="Ja"," · Dock","")&amp;IF(Stammdaten!$H42="Ja"," · HV",""))</f>
        <v/>
      </c>
      <c r="F42" s="43" t="str">
        <f>IF($B42="","",IF(Stammdaten!$I42="Gesperrt","gesperrt",IF(COUNTIF(Stammdaten!$AD$10:$AD$30,F$8)&gt;0,"Feiertag",IFERROR(INDEX(Buchungen!$T$6:$T$605,MATCH($B42&amp;"|"&amp;F$8&amp;"|1",Buchungen!$Q$6:$Q$605,0)),"")&amp;IFERROR(" / "&amp;INDEX(Buchungen!$T$6:$T$605,MATCH($B42&amp;"|"&amp;F$8&amp;"|2",Buchungen!$Q$6:$Q$605,0)),""))))</f>
        <v/>
      </c>
      <c r="G42" s="43" t="str">
        <f>IF($B42="","",IF(Stammdaten!$I42="Gesperrt","gesperrt",IF(COUNTIF(Stammdaten!$AD$10:$AD$30,G$8)&gt;0,"Feiertag",IFERROR(INDEX(Buchungen!$T$6:$T$605,MATCH($B42&amp;"|"&amp;G$8&amp;"|1",Buchungen!$Q$6:$Q$605,0)),"")&amp;IFERROR(" / "&amp;INDEX(Buchungen!$T$6:$T$605,MATCH($B42&amp;"|"&amp;G$8&amp;"|2",Buchungen!$Q$6:$Q$605,0)),""))))</f>
        <v/>
      </c>
      <c r="H42" s="43" t="str">
        <f>IF($B42="","",IF(Stammdaten!$I42="Gesperrt","gesperrt",IF(COUNTIF(Stammdaten!$AD$10:$AD$30,H$8)&gt;0,"Feiertag",IFERROR(INDEX(Buchungen!$T$6:$T$605,MATCH($B42&amp;"|"&amp;H$8&amp;"|1",Buchungen!$Q$6:$Q$605,0)),"")&amp;IFERROR(" / "&amp;INDEX(Buchungen!$T$6:$T$605,MATCH($B42&amp;"|"&amp;H$8&amp;"|2",Buchungen!$Q$6:$Q$605,0)),""))))</f>
        <v/>
      </c>
      <c r="I42" s="43" t="str">
        <f>IF($B42="","",IF(Stammdaten!$I42="Gesperrt","gesperrt",IF(COUNTIF(Stammdaten!$AD$10:$AD$30,I$8)&gt;0,"Feiertag",IFERROR(INDEX(Buchungen!$T$6:$T$605,MATCH($B42&amp;"|"&amp;I$8&amp;"|1",Buchungen!$Q$6:$Q$605,0)),"")&amp;IFERROR(" / "&amp;INDEX(Buchungen!$T$6:$T$605,MATCH($B42&amp;"|"&amp;I$8&amp;"|2",Buchungen!$Q$6:$Q$605,0)),""))))</f>
        <v/>
      </c>
      <c r="J42" s="43" t="str">
        <f>IF($B42="","",IF(Stammdaten!$I42="Gesperrt","gesperrt",IF(COUNTIF(Stammdaten!$AD$10:$AD$30,J$8)&gt;0,"Feiertag",IFERROR(INDEX(Buchungen!$T$6:$T$605,MATCH($B42&amp;"|"&amp;J$8&amp;"|1",Buchungen!$Q$6:$Q$605,0)),"")&amp;IFERROR(" / "&amp;INDEX(Buchungen!$T$6:$T$605,MATCH($B42&amp;"|"&amp;J$8&amp;"|2",Buchungen!$Q$6:$Q$605,0)),""))))</f>
        <v/>
      </c>
      <c r="K42" s="16"/>
      <c r="L42" s="43" t="str">
        <f>IF($B42="","",IF(Stammdaten!$I42="Gesperrt","gesperrt",IF(COUNTIF(Stammdaten!$AD$10:$AD$30,L$8)&gt;0,"Feiertag",IFERROR(INDEX(Buchungen!$T$6:$T$605,MATCH($B42&amp;"|"&amp;L$8&amp;"|1",Buchungen!$Q$6:$Q$605,0)),"")&amp;IFERROR(" / "&amp;INDEX(Buchungen!$T$6:$T$605,MATCH($B42&amp;"|"&amp;L$8&amp;"|2",Buchungen!$Q$6:$Q$605,0)),""))))</f>
        <v/>
      </c>
      <c r="M42" s="43" t="str">
        <f>IF($B42="","",IF(Stammdaten!$I42="Gesperrt","gesperrt",IF(COUNTIF(Stammdaten!$AD$10:$AD$30,M$8)&gt;0,"Feiertag",IFERROR(INDEX(Buchungen!$T$6:$T$605,MATCH($B42&amp;"|"&amp;M$8&amp;"|1",Buchungen!$Q$6:$Q$605,0)),"")&amp;IFERROR(" / "&amp;INDEX(Buchungen!$T$6:$T$605,MATCH($B42&amp;"|"&amp;M$8&amp;"|2",Buchungen!$Q$6:$Q$605,0)),""))))</f>
        <v/>
      </c>
      <c r="N42" s="43" t="str">
        <f>IF($B42="","",IF(Stammdaten!$I42="Gesperrt","gesperrt",IF(COUNTIF(Stammdaten!$AD$10:$AD$30,N$8)&gt;0,"Feiertag",IFERROR(INDEX(Buchungen!$T$6:$T$605,MATCH($B42&amp;"|"&amp;N$8&amp;"|1",Buchungen!$Q$6:$Q$605,0)),"")&amp;IFERROR(" / "&amp;INDEX(Buchungen!$T$6:$T$605,MATCH($B42&amp;"|"&amp;N$8&amp;"|2",Buchungen!$Q$6:$Q$605,0)),""))))</f>
        <v/>
      </c>
      <c r="O42" s="43" t="str">
        <f>IF($B42="","",IF(Stammdaten!$I42="Gesperrt","gesperrt",IF(COUNTIF(Stammdaten!$AD$10:$AD$30,O$8)&gt;0,"Feiertag",IFERROR(INDEX(Buchungen!$T$6:$T$605,MATCH($B42&amp;"|"&amp;O$8&amp;"|1",Buchungen!$Q$6:$Q$605,0)),"")&amp;IFERROR(" / "&amp;INDEX(Buchungen!$T$6:$T$605,MATCH($B42&amp;"|"&amp;O$8&amp;"|2",Buchungen!$Q$6:$Q$605,0)),""))))</f>
        <v/>
      </c>
      <c r="P42" s="43" t="str">
        <f>IF($B42="","",IF(Stammdaten!$I42="Gesperrt","gesperrt",IF(COUNTIF(Stammdaten!$AD$10:$AD$30,P$8)&gt;0,"Feiertag",IFERROR(INDEX(Buchungen!$T$6:$T$605,MATCH($B42&amp;"|"&amp;P$8&amp;"|1",Buchungen!$Q$6:$Q$605,0)),"")&amp;IFERROR(" / "&amp;INDEX(Buchungen!$T$6:$T$605,MATCH($B42&amp;"|"&amp;P$8&amp;"|2",Buchungen!$Q$6:$Q$605,0)),""))))</f>
        <v/>
      </c>
    </row>
    <row r="43" spans="2:16" ht="19.5" customHeight="1" x14ac:dyDescent="0.25">
      <c r="B43" s="23" t="str">
        <f>IF(Stammdaten!$B43="","",Stammdaten!$B43)</f>
        <v/>
      </c>
      <c r="C43" s="40" t="str">
        <f>IF($B43="","",Stammdaten!$C43)</f>
        <v/>
      </c>
      <c r="D43" s="41" t="str">
        <f>IF($B43="","",Stammdaten!$D43)</f>
        <v/>
      </c>
      <c r="E43" s="42" t="str">
        <f>IF($B43="","",Stammdaten!$F43&amp;" Mon."&amp;IF(Stammdaten!$G43="Ja"," · Dock","")&amp;IF(Stammdaten!$H43="Ja"," · HV",""))</f>
        <v/>
      </c>
      <c r="F43" s="43" t="str">
        <f>IF($B43="","",IF(Stammdaten!$I43="Gesperrt","gesperrt",IF(COUNTIF(Stammdaten!$AD$10:$AD$30,F$8)&gt;0,"Feiertag",IFERROR(INDEX(Buchungen!$T$6:$T$605,MATCH($B43&amp;"|"&amp;F$8&amp;"|1",Buchungen!$Q$6:$Q$605,0)),"")&amp;IFERROR(" / "&amp;INDEX(Buchungen!$T$6:$T$605,MATCH($B43&amp;"|"&amp;F$8&amp;"|2",Buchungen!$Q$6:$Q$605,0)),""))))</f>
        <v/>
      </c>
      <c r="G43" s="43" t="str">
        <f>IF($B43="","",IF(Stammdaten!$I43="Gesperrt","gesperrt",IF(COUNTIF(Stammdaten!$AD$10:$AD$30,G$8)&gt;0,"Feiertag",IFERROR(INDEX(Buchungen!$T$6:$T$605,MATCH($B43&amp;"|"&amp;G$8&amp;"|1",Buchungen!$Q$6:$Q$605,0)),"")&amp;IFERROR(" / "&amp;INDEX(Buchungen!$T$6:$T$605,MATCH($B43&amp;"|"&amp;G$8&amp;"|2",Buchungen!$Q$6:$Q$605,0)),""))))</f>
        <v/>
      </c>
      <c r="H43" s="43" t="str">
        <f>IF($B43="","",IF(Stammdaten!$I43="Gesperrt","gesperrt",IF(COUNTIF(Stammdaten!$AD$10:$AD$30,H$8)&gt;0,"Feiertag",IFERROR(INDEX(Buchungen!$T$6:$T$605,MATCH($B43&amp;"|"&amp;H$8&amp;"|1",Buchungen!$Q$6:$Q$605,0)),"")&amp;IFERROR(" / "&amp;INDEX(Buchungen!$T$6:$T$605,MATCH($B43&amp;"|"&amp;H$8&amp;"|2",Buchungen!$Q$6:$Q$605,0)),""))))</f>
        <v/>
      </c>
      <c r="I43" s="43" t="str">
        <f>IF($B43="","",IF(Stammdaten!$I43="Gesperrt","gesperrt",IF(COUNTIF(Stammdaten!$AD$10:$AD$30,I$8)&gt;0,"Feiertag",IFERROR(INDEX(Buchungen!$T$6:$T$605,MATCH($B43&amp;"|"&amp;I$8&amp;"|1",Buchungen!$Q$6:$Q$605,0)),"")&amp;IFERROR(" / "&amp;INDEX(Buchungen!$T$6:$T$605,MATCH($B43&amp;"|"&amp;I$8&amp;"|2",Buchungen!$Q$6:$Q$605,0)),""))))</f>
        <v/>
      </c>
      <c r="J43" s="43" t="str">
        <f>IF($B43="","",IF(Stammdaten!$I43="Gesperrt","gesperrt",IF(COUNTIF(Stammdaten!$AD$10:$AD$30,J$8)&gt;0,"Feiertag",IFERROR(INDEX(Buchungen!$T$6:$T$605,MATCH($B43&amp;"|"&amp;J$8&amp;"|1",Buchungen!$Q$6:$Q$605,0)),"")&amp;IFERROR(" / "&amp;INDEX(Buchungen!$T$6:$T$605,MATCH($B43&amp;"|"&amp;J$8&amp;"|2",Buchungen!$Q$6:$Q$605,0)),""))))</f>
        <v/>
      </c>
      <c r="K43" s="16"/>
      <c r="L43" s="43" t="str">
        <f>IF($B43="","",IF(Stammdaten!$I43="Gesperrt","gesperrt",IF(COUNTIF(Stammdaten!$AD$10:$AD$30,L$8)&gt;0,"Feiertag",IFERROR(INDEX(Buchungen!$T$6:$T$605,MATCH($B43&amp;"|"&amp;L$8&amp;"|1",Buchungen!$Q$6:$Q$605,0)),"")&amp;IFERROR(" / "&amp;INDEX(Buchungen!$T$6:$T$605,MATCH($B43&amp;"|"&amp;L$8&amp;"|2",Buchungen!$Q$6:$Q$605,0)),""))))</f>
        <v/>
      </c>
      <c r="M43" s="43" t="str">
        <f>IF($B43="","",IF(Stammdaten!$I43="Gesperrt","gesperrt",IF(COUNTIF(Stammdaten!$AD$10:$AD$30,M$8)&gt;0,"Feiertag",IFERROR(INDEX(Buchungen!$T$6:$T$605,MATCH($B43&amp;"|"&amp;M$8&amp;"|1",Buchungen!$Q$6:$Q$605,0)),"")&amp;IFERROR(" / "&amp;INDEX(Buchungen!$T$6:$T$605,MATCH($B43&amp;"|"&amp;M$8&amp;"|2",Buchungen!$Q$6:$Q$605,0)),""))))</f>
        <v/>
      </c>
      <c r="N43" s="43" t="str">
        <f>IF($B43="","",IF(Stammdaten!$I43="Gesperrt","gesperrt",IF(COUNTIF(Stammdaten!$AD$10:$AD$30,N$8)&gt;0,"Feiertag",IFERROR(INDEX(Buchungen!$T$6:$T$605,MATCH($B43&amp;"|"&amp;N$8&amp;"|1",Buchungen!$Q$6:$Q$605,0)),"")&amp;IFERROR(" / "&amp;INDEX(Buchungen!$T$6:$T$605,MATCH($B43&amp;"|"&amp;N$8&amp;"|2",Buchungen!$Q$6:$Q$605,0)),""))))</f>
        <v/>
      </c>
      <c r="O43" s="43" t="str">
        <f>IF($B43="","",IF(Stammdaten!$I43="Gesperrt","gesperrt",IF(COUNTIF(Stammdaten!$AD$10:$AD$30,O$8)&gt;0,"Feiertag",IFERROR(INDEX(Buchungen!$T$6:$T$605,MATCH($B43&amp;"|"&amp;O$8&amp;"|1",Buchungen!$Q$6:$Q$605,0)),"")&amp;IFERROR(" / "&amp;INDEX(Buchungen!$T$6:$T$605,MATCH($B43&amp;"|"&amp;O$8&amp;"|2",Buchungen!$Q$6:$Q$605,0)),""))))</f>
        <v/>
      </c>
      <c r="P43" s="43" t="str">
        <f>IF($B43="","",IF(Stammdaten!$I43="Gesperrt","gesperrt",IF(COUNTIF(Stammdaten!$AD$10:$AD$30,P$8)&gt;0,"Feiertag",IFERROR(INDEX(Buchungen!$T$6:$T$605,MATCH($B43&amp;"|"&amp;P$8&amp;"|1",Buchungen!$Q$6:$Q$605,0)),"")&amp;IFERROR(" / "&amp;INDEX(Buchungen!$T$6:$T$605,MATCH($B43&amp;"|"&amp;P$8&amp;"|2",Buchungen!$Q$6:$Q$605,0)),""))))</f>
        <v/>
      </c>
    </row>
    <row r="44" spans="2:16" ht="19.5" customHeight="1" x14ac:dyDescent="0.25">
      <c r="B44" s="23" t="str">
        <f>IF(Stammdaten!$B44="","",Stammdaten!$B44)</f>
        <v/>
      </c>
      <c r="C44" s="40" t="str">
        <f>IF($B44="","",Stammdaten!$C44)</f>
        <v/>
      </c>
      <c r="D44" s="41" t="str">
        <f>IF($B44="","",Stammdaten!$D44)</f>
        <v/>
      </c>
      <c r="E44" s="42" t="str">
        <f>IF($B44="","",Stammdaten!$F44&amp;" Mon."&amp;IF(Stammdaten!$G44="Ja"," · Dock","")&amp;IF(Stammdaten!$H44="Ja"," · HV",""))</f>
        <v/>
      </c>
      <c r="F44" s="43" t="str">
        <f>IF($B44="","",IF(Stammdaten!$I44="Gesperrt","gesperrt",IF(COUNTIF(Stammdaten!$AD$10:$AD$30,F$8)&gt;0,"Feiertag",IFERROR(INDEX(Buchungen!$T$6:$T$605,MATCH($B44&amp;"|"&amp;F$8&amp;"|1",Buchungen!$Q$6:$Q$605,0)),"")&amp;IFERROR(" / "&amp;INDEX(Buchungen!$T$6:$T$605,MATCH($B44&amp;"|"&amp;F$8&amp;"|2",Buchungen!$Q$6:$Q$605,0)),""))))</f>
        <v/>
      </c>
      <c r="G44" s="43" t="str">
        <f>IF($B44="","",IF(Stammdaten!$I44="Gesperrt","gesperrt",IF(COUNTIF(Stammdaten!$AD$10:$AD$30,G$8)&gt;0,"Feiertag",IFERROR(INDEX(Buchungen!$T$6:$T$605,MATCH($B44&amp;"|"&amp;G$8&amp;"|1",Buchungen!$Q$6:$Q$605,0)),"")&amp;IFERROR(" / "&amp;INDEX(Buchungen!$T$6:$T$605,MATCH($B44&amp;"|"&amp;G$8&amp;"|2",Buchungen!$Q$6:$Q$605,0)),""))))</f>
        <v/>
      </c>
      <c r="H44" s="43" t="str">
        <f>IF($B44="","",IF(Stammdaten!$I44="Gesperrt","gesperrt",IF(COUNTIF(Stammdaten!$AD$10:$AD$30,H$8)&gt;0,"Feiertag",IFERROR(INDEX(Buchungen!$T$6:$T$605,MATCH($B44&amp;"|"&amp;H$8&amp;"|1",Buchungen!$Q$6:$Q$605,0)),"")&amp;IFERROR(" / "&amp;INDEX(Buchungen!$T$6:$T$605,MATCH($B44&amp;"|"&amp;H$8&amp;"|2",Buchungen!$Q$6:$Q$605,0)),""))))</f>
        <v/>
      </c>
      <c r="I44" s="43" t="str">
        <f>IF($B44="","",IF(Stammdaten!$I44="Gesperrt","gesperrt",IF(COUNTIF(Stammdaten!$AD$10:$AD$30,I$8)&gt;0,"Feiertag",IFERROR(INDEX(Buchungen!$T$6:$T$605,MATCH($B44&amp;"|"&amp;I$8&amp;"|1",Buchungen!$Q$6:$Q$605,0)),"")&amp;IFERROR(" / "&amp;INDEX(Buchungen!$T$6:$T$605,MATCH($B44&amp;"|"&amp;I$8&amp;"|2",Buchungen!$Q$6:$Q$605,0)),""))))</f>
        <v/>
      </c>
      <c r="J44" s="43" t="str">
        <f>IF($B44="","",IF(Stammdaten!$I44="Gesperrt","gesperrt",IF(COUNTIF(Stammdaten!$AD$10:$AD$30,J$8)&gt;0,"Feiertag",IFERROR(INDEX(Buchungen!$T$6:$T$605,MATCH($B44&amp;"|"&amp;J$8&amp;"|1",Buchungen!$Q$6:$Q$605,0)),"")&amp;IFERROR(" / "&amp;INDEX(Buchungen!$T$6:$T$605,MATCH($B44&amp;"|"&amp;J$8&amp;"|2",Buchungen!$Q$6:$Q$605,0)),""))))</f>
        <v/>
      </c>
      <c r="K44" s="16"/>
      <c r="L44" s="43" t="str">
        <f>IF($B44="","",IF(Stammdaten!$I44="Gesperrt","gesperrt",IF(COUNTIF(Stammdaten!$AD$10:$AD$30,L$8)&gt;0,"Feiertag",IFERROR(INDEX(Buchungen!$T$6:$T$605,MATCH($B44&amp;"|"&amp;L$8&amp;"|1",Buchungen!$Q$6:$Q$605,0)),"")&amp;IFERROR(" / "&amp;INDEX(Buchungen!$T$6:$T$605,MATCH($B44&amp;"|"&amp;L$8&amp;"|2",Buchungen!$Q$6:$Q$605,0)),""))))</f>
        <v/>
      </c>
      <c r="M44" s="43" t="str">
        <f>IF($B44="","",IF(Stammdaten!$I44="Gesperrt","gesperrt",IF(COUNTIF(Stammdaten!$AD$10:$AD$30,M$8)&gt;0,"Feiertag",IFERROR(INDEX(Buchungen!$T$6:$T$605,MATCH($B44&amp;"|"&amp;M$8&amp;"|1",Buchungen!$Q$6:$Q$605,0)),"")&amp;IFERROR(" / "&amp;INDEX(Buchungen!$T$6:$T$605,MATCH($B44&amp;"|"&amp;M$8&amp;"|2",Buchungen!$Q$6:$Q$605,0)),""))))</f>
        <v/>
      </c>
      <c r="N44" s="43" t="str">
        <f>IF($B44="","",IF(Stammdaten!$I44="Gesperrt","gesperrt",IF(COUNTIF(Stammdaten!$AD$10:$AD$30,N$8)&gt;0,"Feiertag",IFERROR(INDEX(Buchungen!$T$6:$T$605,MATCH($B44&amp;"|"&amp;N$8&amp;"|1",Buchungen!$Q$6:$Q$605,0)),"")&amp;IFERROR(" / "&amp;INDEX(Buchungen!$T$6:$T$605,MATCH($B44&amp;"|"&amp;N$8&amp;"|2",Buchungen!$Q$6:$Q$605,0)),""))))</f>
        <v/>
      </c>
      <c r="O44" s="43" t="str">
        <f>IF($B44="","",IF(Stammdaten!$I44="Gesperrt","gesperrt",IF(COUNTIF(Stammdaten!$AD$10:$AD$30,O$8)&gt;0,"Feiertag",IFERROR(INDEX(Buchungen!$T$6:$T$605,MATCH($B44&amp;"|"&amp;O$8&amp;"|1",Buchungen!$Q$6:$Q$605,0)),"")&amp;IFERROR(" / "&amp;INDEX(Buchungen!$T$6:$T$605,MATCH($B44&amp;"|"&amp;O$8&amp;"|2",Buchungen!$Q$6:$Q$605,0)),""))))</f>
        <v/>
      </c>
      <c r="P44" s="43" t="str">
        <f>IF($B44="","",IF(Stammdaten!$I44="Gesperrt","gesperrt",IF(COUNTIF(Stammdaten!$AD$10:$AD$30,P$8)&gt;0,"Feiertag",IFERROR(INDEX(Buchungen!$T$6:$T$605,MATCH($B44&amp;"|"&amp;P$8&amp;"|1",Buchungen!$Q$6:$Q$605,0)),"")&amp;IFERROR(" / "&amp;INDEX(Buchungen!$T$6:$T$605,MATCH($B44&amp;"|"&amp;P$8&amp;"|2",Buchungen!$Q$6:$Q$605,0)),""))))</f>
        <v/>
      </c>
    </row>
    <row r="45" spans="2:16" ht="19.5" customHeight="1" x14ac:dyDescent="0.25">
      <c r="B45" s="23" t="str">
        <f>IF(Stammdaten!$B45="","",Stammdaten!$B45)</f>
        <v/>
      </c>
      <c r="C45" s="40" t="str">
        <f>IF($B45="","",Stammdaten!$C45)</f>
        <v/>
      </c>
      <c r="D45" s="41" t="str">
        <f>IF($B45="","",Stammdaten!$D45)</f>
        <v/>
      </c>
      <c r="E45" s="42" t="str">
        <f>IF($B45="","",Stammdaten!$F45&amp;" Mon."&amp;IF(Stammdaten!$G45="Ja"," · Dock","")&amp;IF(Stammdaten!$H45="Ja"," · HV",""))</f>
        <v/>
      </c>
      <c r="F45" s="43" t="str">
        <f>IF($B45="","",IF(Stammdaten!$I45="Gesperrt","gesperrt",IF(COUNTIF(Stammdaten!$AD$10:$AD$30,F$8)&gt;0,"Feiertag",IFERROR(INDEX(Buchungen!$T$6:$T$605,MATCH($B45&amp;"|"&amp;F$8&amp;"|1",Buchungen!$Q$6:$Q$605,0)),"")&amp;IFERROR(" / "&amp;INDEX(Buchungen!$T$6:$T$605,MATCH($B45&amp;"|"&amp;F$8&amp;"|2",Buchungen!$Q$6:$Q$605,0)),""))))</f>
        <v/>
      </c>
      <c r="G45" s="43" t="str">
        <f>IF($B45="","",IF(Stammdaten!$I45="Gesperrt","gesperrt",IF(COUNTIF(Stammdaten!$AD$10:$AD$30,G$8)&gt;0,"Feiertag",IFERROR(INDEX(Buchungen!$T$6:$T$605,MATCH($B45&amp;"|"&amp;G$8&amp;"|1",Buchungen!$Q$6:$Q$605,0)),"")&amp;IFERROR(" / "&amp;INDEX(Buchungen!$T$6:$T$605,MATCH($B45&amp;"|"&amp;G$8&amp;"|2",Buchungen!$Q$6:$Q$605,0)),""))))</f>
        <v/>
      </c>
      <c r="H45" s="43" t="str">
        <f>IF($B45="","",IF(Stammdaten!$I45="Gesperrt","gesperrt",IF(COUNTIF(Stammdaten!$AD$10:$AD$30,H$8)&gt;0,"Feiertag",IFERROR(INDEX(Buchungen!$T$6:$T$605,MATCH($B45&amp;"|"&amp;H$8&amp;"|1",Buchungen!$Q$6:$Q$605,0)),"")&amp;IFERROR(" / "&amp;INDEX(Buchungen!$T$6:$T$605,MATCH($B45&amp;"|"&amp;H$8&amp;"|2",Buchungen!$Q$6:$Q$605,0)),""))))</f>
        <v/>
      </c>
      <c r="I45" s="43" t="str">
        <f>IF($B45="","",IF(Stammdaten!$I45="Gesperrt","gesperrt",IF(COUNTIF(Stammdaten!$AD$10:$AD$30,I$8)&gt;0,"Feiertag",IFERROR(INDEX(Buchungen!$T$6:$T$605,MATCH($B45&amp;"|"&amp;I$8&amp;"|1",Buchungen!$Q$6:$Q$605,0)),"")&amp;IFERROR(" / "&amp;INDEX(Buchungen!$T$6:$T$605,MATCH($B45&amp;"|"&amp;I$8&amp;"|2",Buchungen!$Q$6:$Q$605,0)),""))))</f>
        <v/>
      </c>
      <c r="J45" s="43" t="str">
        <f>IF($B45="","",IF(Stammdaten!$I45="Gesperrt","gesperrt",IF(COUNTIF(Stammdaten!$AD$10:$AD$30,J$8)&gt;0,"Feiertag",IFERROR(INDEX(Buchungen!$T$6:$T$605,MATCH($B45&amp;"|"&amp;J$8&amp;"|1",Buchungen!$Q$6:$Q$605,0)),"")&amp;IFERROR(" / "&amp;INDEX(Buchungen!$T$6:$T$605,MATCH($B45&amp;"|"&amp;J$8&amp;"|2",Buchungen!$Q$6:$Q$605,0)),""))))</f>
        <v/>
      </c>
      <c r="K45" s="16"/>
      <c r="L45" s="43" t="str">
        <f>IF($B45="","",IF(Stammdaten!$I45="Gesperrt","gesperrt",IF(COUNTIF(Stammdaten!$AD$10:$AD$30,L$8)&gt;0,"Feiertag",IFERROR(INDEX(Buchungen!$T$6:$T$605,MATCH($B45&amp;"|"&amp;L$8&amp;"|1",Buchungen!$Q$6:$Q$605,0)),"")&amp;IFERROR(" / "&amp;INDEX(Buchungen!$T$6:$T$605,MATCH($B45&amp;"|"&amp;L$8&amp;"|2",Buchungen!$Q$6:$Q$605,0)),""))))</f>
        <v/>
      </c>
      <c r="M45" s="43" t="str">
        <f>IF($B45="","",IF(Stammdaten!$I45="Gesperrt","gesperrt",IF(COUNTIF(Stammdaten!$AD$10:$AD$30,M$8)&gt;0,"Feiertag",IFERROR(INDEX(Buchungen!$T$6:$T$605,MATCH($B45&amp;"|"&amp;M$8&amp;"|1",Buchungen!$Q$6:$Q$605,0)),"")&amp;IFERROR(" / "&amp;INDEX(Buchungen!$T$6:$T$605,MATCH($B45&amp;"|"&amp;M$8&amp;"|2",Buchungen!$Q$6:$Q$605,0)),""))))</f>
        <v/>
      </c>
      <c r="N45" s="43" t="str">
        <f>IF($B45="","",IF(Stammdaten!$I45="Gesperrt","gesperrt",IF(COUNTIF(Stammdaten!$AD$10:$AD$30,N$8)&gt;0,"Feiertag",IFERROR(INDEX(Buchungen!$T$6:$T$605,MATCH($B45&amp;"|"&amp;N$8&amp;"|1",Buchungen!$Q$6:$Q$605,0)),"")&amp;IFERROR(" / "&amp;INDEX(Buchungen!$T$6:$T$605,MATCH($B45&amp;"|"&amp;N$8&amp;"|2",Buchungen!$Q$6:$Q$605,0)),""))))</f>
        <v/>
      </c>
      <c r="O45" s="43" t="str">
        <f>IF($B45="","",IF(Stammdaten!$I45="Gesperrt","gesperrt",IF(COUNTIF(Stammdaten!$AD$10:$AD$30,O$8)&gt;0,"Feiertag",IFERROR(INDEX(Buchungen!$T$6:$T$605,MATCH($B45&amp;"|"&amp;O$8&amp;"|1",Buchungen!$Q$6:$Q$605,0)),"")&amp;IFERROR(" / "&amp;INDEX(Buchungen!$T$6:$T$605,MATCH($B45&amp;"|"&amp;O$8&amp;"|2",Buchungen!$Q$6:$Q$605,0)),""))))</f>
        <v/>
      </c>
      <c r="P45" s="43" t="str">
        <f>IF($B45="","",IF(Stammdaten!$I45="Gesperrt","gesperrt",IF(COUNTIF(Stammdaten!$AD$10:$AD$30,P$8)&gt;0,"Feiertag",IFERROR(INDEX(Buchungen!$T$6:$T$605,MATCH($B45&amp;"|"&amp;P$8&amp;"|1",Buchungen!$Q$6:$Q$605,0)),"")&amp;IFERROR(" / "&amp;INDEX(Buchungen!$T$6:$T$605,MATCH($B45&amp;"|"&amp;P$8&amp;"|2",Buchungen!$Q$6:$Q$605,0)),""))))</f>
        <v/>
      </c>
    </row>
    <row r="46" spans="2:16" ht="19.5" customHeight="1" x14ac:dyDescent="0.25">
      <c r="B46" s="23" t="str">
        <f>IF(Stammdaten!$B46="","",Stammdaten!$B46)</f>
        <v/>
      </c>
      <c r="C46" s="40" t="str">
        <f>IF($B46="","",Stammdaten!$C46)</f>
        <v/>
      </c>
      <c r="D46" s="41" t="str">
        <f>IF($B46="","",Stammdaten!$D46)</f>
        <v/>
      </c>
      <c r="E46" s="42" t="str">
        <f>IF($B46="","",Stammdaten!$F46&amp;" Mon."&amp;IF(Stammdaten!$G46="Ja"," · Dock","")&amp;IF(Stammdaten!$H46="Ja"," · HV",""))</f>
        <v/>
      </c>
      <c r="F46" s="43" t="str">
        <f>IF($B46="","",IF(Stammdaten!$I46="Gesperrt","gesperrt",IF(COUNTIF(Stammdaten!$AD$10:$AD$30,F$8)&gt;0,"Feiertag",IFERROR(INDEX(Buchungen!$T$6:$T$605,MATCH($B46&amp;"|"&amp;F$8&amp;"|1",Buchungen!$Q$6:$Q$605,0)),"")&amp;IFERROR(" / "&amp;INDEX(Buchungen!$T$6:$T$605,MATCH($B46&amp;"|"&amp;F$8&amp;"|2",Buchungen!$Q$6:$Q$605,0)),""))))</f>
        <v/>
      </c>
      <c r="G46" s="43" t="str">
        <f>IF($B46="","",IF(Stammdaten!$I46="Gesperrt","gesperrt",IF(COUNTIF(Stammdaten!$AD$10:$AD$30,G$8)&gt;0,"Feiertag",IFERROR(INDEX(Buchungen!$T$6:$T$605,MATCH($B46&amp;"|"&amp;G$8&amp;"|1",Buchungen!$Q$6:$Q$605,0)),"")&amp;IFERROR(" / "&amp;INDEX(Buchungen!$T$6:$T$605,MATCH($B46&amp;"|"&amp;G$8&amp;"|2",Buchungen!$Q$6:$Q$605,0)),""))))</f>
        <v/>
      </c>
      <c r="H46" s="43" t="str">
        <f>IF($B46="","",IF(Stammdaten!$I46="Gesperrt","gesperrt",IF(COUNTIF(Stammdaten!$AD$10:$AD$30,H$8)&gt;0,"Feiertag",IFERROR(INDEX(Buchungen!$T$6:$T$605,MATCH($B46&amp;"|"&amp;H$8&amp;"|1",Buchungen!$Q$6:$Q$605,0)),"")&amp;IFERROR(" / "&amp;INDEX(Buchungen!$T$6:$T$605,MATCH($B46&amp;"|"&amp;H$8&amp;"|2",Buchungen!$Q$6:$Q$605,0)),""))))</f>
        <v/>
      </c>
      <c r="I46" s="43" t="str">
        <f>IF($B46="","",IF(Stammdaten!$I46="Gesperrt","gesperrt",IF(COUNTIF(Stammdaten!$AD$10:$AD$30,I$8)&gt;0,"Feiertag",IFERROR(INDEX(Buchungen!$T$6:$T$605,MATCH($B46&amp;"|"&amp;I$8&amp;"|1",Buchungen!$Q$6:$Q$605,0)),"")&amp;IFERROR(" / "&amp;INDEX(Buchungen!$T$6:$T$605,MATCH($B46&amp;"|"&amp;I$8&amp;"|2",Buchungen!$Q$6:$Q$605,0)),""))))</f>
        <v/>
      </c>
      <c r="J46" s="43" t="str">
        <f>IF($B46="","",IF(Stammdaten!$I46="Gesperrt","gesperrt",IF(COUNTIF(Stammdaten!$AD$10:$AD$30,J$8)&gt;0,"Feiertag",IFERROR(INDEX(Buchungen!$T$6:$T$605,MATCH($B46&amp;"|"&amp;J$8&amp;"|1",Buchungen!$Q$6:$Q$605,0)),"")&amp;IFERROR(" / "&amp;INDEX(Buchungen!$T$6:$T$605,MATCH($B46&amp;"|"&amp;J$8&amp;"|2",Buchungen!$Q$6:$Q$605,0)),""))))</f>
        <v/>
      </c>
      <c r="K46" s="16"/>
      <c r="L46" s="43" t="str">
        <f>IF($B46="","",IF(Stammdaten!$I46="Gesperrt","gesperrt",IF(COUNTIF(Stammdaten!$AD$10:$AD$30,L$8)&gt;0,"Feiertag",IFERROR(INDEX(Buchungen!$T$6:$T$605,MATCH($B46&amp;"|"&amp;L$8&amp;"|1",Buchungen!$Q$6:$Q$605,0)),"")&amp;IFERROR(" / "&amp;INDEX(Buchungen!$T$6:$T$605,MATCH($B46&amp;"|"&amp;L$8&amp;"|2",Buchungen!$Q$6:$Q$605,0)),""))))</f>
        <v/>
      </c>
      <c r="M46" s="43" t="str">
        <f>IF($B46="","",IF(Stammdaten!$I46="Gesperrt","gesperrt",IF(COUNTIF(Stammdaten!$AD$10:$AD$30,M$8)&gt;0,"Feiertag",IFERROR(INDEX(Buchungen!$T$6:$T$605,MATCH($B46&amp;"|"&amp;M$8&amp;"|1",Buchungen!$Q$6:$Q$605,0)),"")&amp;IFERROR(" / "&amp;INDEX(Buchungen!$T$6:$T$605,MATCH($B46&amp;"|"&amp;M$8&amp;"|2",Buchungen!$Q$6:$Q$605,0)),""))))</f>
        <v/>
      </c>
      <c r="N46" s="43" t="str">
        <f>IF($B46="","",IF(Stammdaten!$I46="Gesperrt","gesperrt",IF(COUNTIF(Stammdaten!$AD$10:$AD$30,N$8)&gt;0,"Feiertag",IFERROR(INDEX(Buchungen!$T$6:$T$605,MATCH($B46&amp;"|"&amp;N$8&amp;"|1",Buchungen!$Q$6:$Q$605,0)),"")&amp;IFERROR(" / "&amp;INDEX(Buchungen!$T$6:$T$605,MATCH($B46&amp;"|"&amp;N$8&amp;"|2",Buchungen!$Q$6:$Q$605,0)),""))))</f>
        <v/>
      </c>
      <c r="O46" s="43" t="str">
        <f>IF($B46="","",IF(Stammdaten!$I46="Gesperrt","gesperrt",IF(COUNTIF(Stammdaten!$AD$10:$AD$30,O$8)&gt;0,"Feiertag",IFERROR(INDEX(Buchungen!$T$6:$T$605,MATCH($B46&amp;"|"&amp;O$8&amp;"|1",Buchungen!$Q$6:$Q$605,0)),"")&amp;IFERROR(" / "&amp;INDEX(Buchungen!$T$6:$T$605,MATCH($B46&amp;"|"&amp;O$8&amp;"|2",Buchungen!$Q$6:$Q$605,0)),""))))</f>
        <v/>
      </c>
      <c r="P46" s="43" t="str">
        <f>IF($B46="","",IF(Stammdaten!$I46="Gesperrt","gesperrt",IF(COUNTIF(Stammdaten!$AD$10:$AD$30,P$8)&gt;0,"Feiertag",IFERROR(INDEX(Buchungen!$T$6:$T$605,MATCH($B46&amp;"|"&amp;P$8&amp;"|1",Buchungen!$Q$6:$Q$605,0)),"")&amp;IFERROR(" / "&amp;INDEX(Buchungen!$T$6:$T$605,MATCH($B46&amp;"|"&amp;P$8&amp;"|2",Buchungen!$Q$6:$Q$605,0)),""))))</f>
        <v/>
      </c>
    </row>
    <row r="47" spans="2:16" ht="19.5" customHeight="1" x14ac:dyDescent="0.25">
      <c r="B47" s="23" t="str">
        <f>IF(Stammdaten!$B47="","",Stammdaten!$B47)</f>
        <v/>
      </c>
      <c r="C47" s="40" t="str">
        <f>IF($B47="","",Stammdaten!$C47)</f>
        <v/>
      </c>
      <c r="D47" s="41" t="str">
        <f>IF($B47="","",Stammdaten!$D47)</f>
        <v/>
      </c>
      <c r="E47" s="42" t="str">
        <f>IF($B47="","",Stammdaten!$F47&amp;" Mon."&amp;IF(Stammdaten!$G47="Ja"," · Dock","")&amp;IF(Stammdaten!$H47="Ja"," · HV",""))</f>
        <v/>
      </c>
      <c r="F47" s="43" t="str">
        <f>IF($B47="","",IF(Stammdaten!$I47="Gesperrt","gesperrt",IF(COUNTIF(Stammdaten!$AD$10:$AD$30,F$8)&gt;0,"Feiertag",IFERROR(INDEX(Buchungen!$T$6:$T$605,MATCH($B47&amp;"|"&amp;F$8&amp;"|1",Buchungen!$Q$6:$Q$605,0)),"")&amp;IFERROR(" / "&amp;INDEX(Buchungen!$T$6:$T$605,MATCH($B47&amp;"|"&amp;F$8&amp;"|2",Buchungen!$Q$6:$Q$605,0)),""))))</f>
        <v/>
      </c>
      <c r="G47" s="43" t="str">
        <f>IF($B47="","",IF(Stammdaten!$I47="Gesperrt","gesperrt",IF(COUNTIF(Stammdaten!$AD$10:$AD$30,G$8)&gt;0,"Feiertag",IFERROR(INDEX(Buchungen!$T$6:$T$605,MATCH($B47&amp;"|"&amp;G$8&amp;"|1",Buchungen!$Q$6:$Q$605,0)),"")&amp;IFERROR(" / "&amp;INDEX(Buchungen!$T$6:$T$605,MATCH($B47&amp;"|"&amp;G$8&amp;"|2",Buchungen!$Q$6:$Q$605,0)),""))))</f>
        <v/>
      </c>
      <c r="H47" s="43" t="str">
        <f>IF($B47="","",IF(Stammdaten!$I47="Gesperrt","gesperrt",IF(COUNTIF(Stammdaten!$AD$10:$AD$30,H$8)&gt;0,"Feiertag",IFERROR(INDEX(Buchungen!$T$6:$T$605,MATCH($B47&amp;"|"&amp;H$8&amp;"|1",Buchungen!$Q$6:$Q$605,0)),"")&amp;IFERROR(" / "&amp;INDEX(Buchungen!$T$6:$T$605,MATCH($B47&amp;"|"&amp;H$8&amp;"|2",Buchungen!$Q$6:$Q$605,0)),""))))</f>
        <v/>
      </c>
      <c r="I47" s="43" t="str">
        <f>IF($B47="","",IF(Stammdaten!$I47="Gesperrt","gesperrt",IF(COUNTIF(Stammdaten!$AD$10:$AD$30,I$8)&gt;0,"Feiertag",IFERROR(INDEX(Buchungen!$T$6:$T$605,MATCH($B47&amp;"|"&amp;I$8&amp;"|1",Buchungen!$Q$6:$Q$605,0)),"")&amp;IFERROR(" / "&amp;INDEX(Buchungen!$T$6:$T$605,MATCH($B47&amp;"|"&amp;I$8&amp;"|2",Buchungen!$Q$6:$Q$605,0)),""))))</f>
        <v/>
      </c>
      <c r="J47" s="43" t="str">
        <f>IF($B47="","",IF(Stammdaten!$I47="Gesperrt","gesperrt",IF(COUNTIF(Stammdaten!$AD$10:$AD$30,J$8)&gt;0,"Feiertag",IFERROR(INDEX(Buchungen!$T$6:$T$605,MATCH($B47&amp;"|"&amp;J$8&amp;"|1",Buchungen!$Q$6:$Q$605,0)),"")&amp;IFERROR(" / "&amp;INDEX(Buchungen!$T$6:$T$605,MATCH($B47&amp;"|"&amp;J$8&amp;"|2",Buchungen!$Q$6:$Q$605,0)),""))))</f>
        <v/>
      </c>
      <c r="K47" s="16"/>
      <c r="L47" s="43" t="str">
        <f>IF($B47="","",IF(Stammdaten!$I47="Gesperrt","gesperrt",IF(COUNTIF(Stammdaten!$AD$10:$AD$30,L$8)&gt;0,"Feiertag",IFERROR(INDEX(Buchungen!$T$6:$T$605,MATCH($B47&amp;"|"&amp;L$8&amp;"|1",Buchungen!$Q$6:$Q$605,0)),"")&amp;IFERROR(" / "&amp;INDEX(Buchungen!$T$6:$T$605,MATCH($B47&amp;"|"&amp;L$8&amp;"|2",Buchungen!$Q$6:$Q$605,0)),""))))</f>
        <v/>
      </c>
      <c r="M47" s="43" t="str">
        <f>IF($B47="","",IF(Stammdaten!$I47="Gesperrt","gesperrt",IF(COUNTIF(Stammdaten!$AD$10:$AD$30,M$8)&gt;0,"Feiertag",IFERROR(INDEX(Buchungen!$T$6:$T$605,MATCH($B47&amp;"|"&amp;M$8&amp;"|1",Buchungen!$Q$6:$Q$605,0)),"")&amp;IFERROR(" / "&amp;INDEX(Buchungen!$T$6:$T$605,MATCH($B47&amp;"|"&amp;M$8&amp;"|2",Buchungen!$Q$6:$Q$605,0)),""))))</f>
        <v/>
      </c>
      <c r="N47" s="43" t="str">
        <f>IF($B47="","",IF(Stammdaten!$I47="Gesperrt","gesperrt",IF(COUNTIF(Stammdaten!$AD$10:$AD$30,N$8)&gt;0,"Feiertag",IFERROR(INDEX(Buchungen!$T$6:$T$605,MATCH($B47&amp;"|"&amp;N$8&amp;"|1",Buchungen!$Q$6:$Q$605,0)),"")&amp;IFERROR(" / "&amp;INDEX(Buchungen!$T$6:$T$605,MATCH($B47&amp;"|"&amp;N$8&amp;"|2",Buchungen!$Q$6:$Q$605,0)),""))))</f>
        <v/>
      </c>
      <c r="O47" s="43" t="str">
        <f>IF($B47="","",IF(Stammdaten!$I47="Gesperrt","gesperrt",IF(COUNTIF(Stammdaten!$AD$10:$AD$30,O$8)&gt;0,"Feiertag",IFERROR(INDEX(Buchungen!$T$6:$T$605,MATCH($B47&amp;"|"&amp;O$8&amp;"|1",Buchungen!$Q$6:$Q$605,0)),"")&amp;IFERROR(" / "&amp;INDEX(Buchungen!$T$6:$T$605,MATCH($B47&amp;"|"&amp;O$8&amp;"|2",Buchungen!$Q$6:$Q$605,0)),""))))</f>
        <v/>
      </c>
      <c r="P47" s="43" t="str">
        <f>IF($B47="","",IF(Stammdaten!$I47="Gesperrt","gesperrt",IF(COUNTIF(Stammdaten!$AD$10:$AD$30,P$8)&gt;0,"Feiertag",IFERROR(INDEX(Buchungen!$T$6:$T$605,MATCH($B47&amp;"|"&amp;P$8&amp;"|1",Buchungen!$Q$6:$Q$605,0)),"")&amp;IFERROR(" / "&amp;INDEX(Buchungen!$T$6:$T$605,MATCH($B47&amp;"|"&amp;P$8&amp;"|2",Buchungen!$Q$6:$Q$605,0)),""))))</f>
        <v/>
      </c>
    </row>
    <row r="48" spans="2:16" ht="19.5" customHeight="1" x14ac:dyDescent="0.25">
      <c r="B48" s="23" t="str">
        <f>IF(Stammdaten!$B48="","",Stammdaten!$B48)</f>
        <v/>
      </c>
      <c r="C48" s="40" t="str">
        <f>IF($B48="","",Stammdaten!$C48)</f>
        <v/>
      </c>
      <c r="D48" s="41" t="str">
        <f>IF($B48="","",Stammdaten!$D48)</f>
        <v/>
      </c>
      <c r="E48" s="42" t="str">
        <f>IF($B48="","",Stammdaten!$F48&amp;" Mon."&amp;IF(Stammdaten!$G48="Ja"," · Dock","")&amp;IF(Stammdaten!$H48="Ja"," · HV",""))</f>
        <v/>
      </c>
      <c r="F48" s="43" t="str">
        <f>IF($B48="","",IF(Stammdaten!$I48="Gesperrt","gesperrt",IF(COUNTIF(Stammdaten!$AD$10:$AD$30,F$8)&gt;0,"Feiertag",IFERROR(INDEX(Buchungen!$T$6:$T$605,MATCH($B48&amp;"|"&amp;F$8&amp;"|1",Buchungen!$Q$6:$Q$605,0)),"")&amp;IFERROR(" / "&amp;INDEX(Buchungen!$T$6:$T$605,MATCH($B48&amp;"|"&amp;F$8&amp;"|2",Buchungen!$Q$6:$Q$605,0)),""))))</f>
        <v/>
      </c>
      <c r="G48" s="43" t="str">
        <f>IF($B48="","",IF(Stammdaten!$I48="Gesperrt","gesperrt",IF(COUNTIF(Stammdaten!$AD$10:$AD$30,G$8)&gt;0,"Feiertag",IFERROR(INDEX(Buchungen!$T$6:$T$605,MATCH($B48&amp;"|"&amp;G$8&amp;"|1",Buchungen!$Q$6:$Q$605,0)),"")&amp;IFERROR(" / "&amp;INDEX(Buchungen!$T$6:$T$605,MATCH($B48&amp;"|"&amp;G$8&amp;"|2",Buchungen!$Q$6:$Q$605,0)),""))))</f>
        <v/>
      </c>
      <c r="H48" s="43" t="str">
        <f>IF($B48="","",IF(Stammdaten!$I48="Gesperrt","gesperrt",IF(COUNTIF(Stammdaten!$AD$10:$AD$30,H$8)&gt;0,"Feiertag",IFERROR(INDEX(Buchungen!$T$6:$T$605,MATCH($B48&amp;"|"&amp;H$8&amp;"|1",Buchungen!$Q$6:$Q$605,0)),"")&amp;IFERROR(" / "&amp;INDEX(Buchungen!$T$6:$T$605,MATCH($B48&amp;"|"&amp;H$8&amp;"|2",Buchungen!$Q$6:$Q$605,0)),""))))</f>
        <v/>
      </c>
      <c r="I48" s="43" t="str">
        <f>IF($B48="","",IF(Stammdaten!$I48="Gesperrt","gesperrt",IF(COUNTIF(Stammdaten!$AD$10:$AD$30,I$8)&gt;0,"Feiertag",IFERROR(INDEX(Buchungen!$T$6:$T$605,MATCH($B48&amp;"|"&amp;I$8&amp;"|1",Buchungen!$Q$6:$Q$605,0)),"")&amp;IFERROR(" / "&amp;INDEX(Buchungen!$T$6:$T$605,MATCH($B48&amp;"|"&amp;I$8&amp;"|2",Buchungen!$Q$6:$Q$605,0)),""))))</f>
        <v/>
      </c>
      <c r="J48" s="43" t="str">
        <f>IF($B48="","",IF(Stammdaten!$I48="Gesperrt","gesperrt",IF(COUNTIF(Stammdaten!$AD$10:$AD$30,J$8)&gt;0,"Feiertag",IFERROR(INDEX(Buchungen!$T$6:$T$605,MATCH($B48&amp;"|"&amp;J$8&amp;"|1",Buchungen!$Q$6:$Q$605,0)),"")&amp;IFERROR(" / "&amp;INDEX(Buchungen!$T$6:$T$605,MATCH($B48&amp;"|"&amp;J$8&amp;"|2",Buchungen!$Q$6:$Q$605,0)),""))))</f>
        <v/>
      </c>
      <c r="K48" s="16"/>
      <c r="L48" s="43" t="str">
        <f>IF($B48="","",IF(Stammdaten!$I48="Gesperrt","gesperrt",IF(COUNTIF(Stammdaten!$AD$10:$AD$30,L$8)&gt;0,"Feiertag",IFERROR(INDEX(Buchungen!$T$6:$T$605,MATCH($B48&amp;"|"&amp;L$8&amp;"|1",Buchungen!$Q$6:$Q$605,0)),"")&amp;IFERROR(" / "&amp;INDEX(Buchungen!$T$6:$T$605,MATCH($B48&amp;"|"&amp;L$8&amp;"|2",Buchungen!$Q$6:$Q$605,0)),""))))</f>
        <v/>
      </c>
      <c r="M48" s="43" t="str">
        <f>IF($B48="","",IF(Stammdaten!$I48="Gesperrt","gesperrt",IF(COUNTIF(Stammdaten!$AD$10:$AD$30,M$8)&gt;0,"Feiertag",IFERROR(INDEX(Buchungen!$T$6:$T$605,MATCH($B48&amp;"|"&amp;M$8&amp;"|1",Buchungen!$Q$6:$Q$605,0)),"")&amp;IFERROR(" / "&amp;INDEX(Buchungen!$T$6:$T$605,MATCH($B48&amp;"|"&amp;M$8&amp;"|2",Buchungen!$Q$6:$Q$605,0)),""))))</f>
        <v/>
      </c>
      <c r="N48" s="43" t="str">
        <f>IF($B48="","",IF(Stammdaten!$I48="Gesperrt","gesperrt",IF(COUNTIF(Stammdaten!$AD$10:$AD$30,N$8)&gt;0,"Feiertag",IFERROR(INDEX(Buchungen!$T$6:$T$605,MATCH($B48&amp;"|"&amp;N$8&amp;"|1",Buchungen!$Q$6:$Q$605,0)),"")&amp;IFERROR(" / "&amp;INDEX(Buchungen!$T$6:$T$605,MATCH($B48&amp;"|"&amp;N$8&amp;"|2",Buchungen!$Q$6:$Q$605,0)),""))))</f>
        <v/>
      </c>
      <c r="O48" s="43" t="str">
        <f>IF($B48="","",IF(Stammdaten!$I48="Gesperrt","gesperrt",IF(COUNTIF(Stammdaten!$AD$10:$AD$30,O$8)&gt;0,"Feiertag",IFERROR(INDEX(Buchungen!$T$6:$T$605,MATCH($B48&amp;"|"&amp;O$8&amp;"|1",Buchungen!$Q$6:$Q$605,0)),"")&amp;IFERROR(" / "&amp;INDEX(Buchungen!$T$6:$T$605,MATCH($B48&amp;"|"&amp;O$8&amp;"|2",Buchungen!$Q$6:$Q$605,0)),""))))</f>
        <v/>
      </c>
      <c r="P48" s="43" t="str">
        <f>IF($B48="","",IF(Stammdaten!$I48="Gesperrt","gesperrt",IF(COUNTIF(Stammdaten!$AD$10:$AD$30,P$8)&gt;0,"Feiertag",IFERROR(INDEX(Buchungen!$T$6:$T$605,MATCH($B48&amp;"|"&amp;P$8&amp;"|1",Buchungen!$Q$6:$Q$605,0)),"")&amp;IFERROR(" / "&amp;INDEX(Buchungen!$T$6:$T$605,MATCH($B48&amp;"|"&amp;P$8&amp;"|2",Buchungen!$Q$6:$Q$605,0)),""))))</f>
        <v/>
      </c>
    </row>
    <row r="49" spans="2:16" ht="19.5" customHeight="1" x14ac:dyDescent="0.25">
      <c r="B49" s="23" t="str">
        <f>IF(Stammdaten!$B49="","",Stammdaten!$B49)</f>
        <v/>
      </c>
      <c r="C49" s="40" t="str">
        <f>IF($B49="","",Stammdaten!$C49)</f>
        <v/>
      </c>
      <c r="D49" s="41" t="str">
        <f>IF($B49="","",Stammdaten!$D49)</f>
        <v/>
      </c>
      <c r="E49" s="42" t="str">
        <f>IF($B49="","",Stammdaten!$F49&amp;" Mon."&amp;IF(Stammdaten!$G49="Ja"," · Dock","")&amp;IF(Stammdaten!$H49="Ja"," · HV",""))</f>
        <v/>
      </c>
      <c r="F49" s="43" t="str">
        <f>IF($B49="","",IF(Stammdaten!$I49="Gesperrt","gesperrt",IF(COUNTIF(Stammdaten!$AD$10:$AD$30,F$8)&gt;0,"Feiertag",IFERROR(INDEX(Buchungen!$T$6:$T$605,MATCH($B49&amp;"|"&amp;F$8&amp;"|1",Buchungen!$Q$6:$Q$605,0)),"")&amp;IFERROR(" / "&amp;INDEX(Buchungen!$T$6:$T$605,MATCH($B49&amp;"|"&amp;F$8&amp;"|2",Buchungen!$Q$6:$Q$605,0)),""))))</f>
        <v/>
      </c>
      <c r="G49" s="43" t="str">
        <f>IF($B49="","",IF(Stammdaten!$I49="Gesperrt","gesperrt",IF(COUNTIF(Stammdaten!$AD$10:$AD$30,G$8)&gt;0,"Feiertag",IFERROR(INDEX(Buchungen!$T$6:$T$605,MATCH($B49&amp;"|"&amp;G$8&amp;"|1",Buchungen!$Q$6:$Q$605,0)),"")&amp;IFERROR(" / "&amp;INDEX(Buchungen!$T$6:$T$605,MATCH($B49&amp;"|"&amp;G$8&amp;"|2",Buchungen!$Q$6:$Q$605,0)),""))))</f>
        <v/>
      </c>
      <c r="H49" s="43" t="str">
        <f>IF($B49="","",IF(Stammdaten!$I49="Gesperrt","gesperrt",IF(COUNTIF(Stammdaten!$AD$10:$AD$30,H$8)&gt;0,"Feiertag",IFERROR(INDEX(Buchungen!$T$6:$T$605,MATCH($B49&amp;"|"&amp;H$8&amp;"|1",Buchungen!$Q$6:$Q$605,0)),"")&amp;IFERROR(" / "&amp;INDEX(Buchungen!$T$6:$T$605,MATCH($B49&amp;"|"&amp;H$8&amp;"|2",Buchungen!$Q$6:$Q$605,0)),""))))</f>
        <v/>
      </c>
      <c r="I49" s="43" t="str">
        <f>IF($B49="","",IF(Stammdaten!$I49="Gesperrt","gesperrt",IF(COUNTIF(Stammdaten!$AD$10:$AD$30,I$8)&gt;0,"Feiertag",IFERROR(INDEX(Buchungen!$T$6:$T$605,MATCH($B49&amp;"|"&amp;I$8&amp;"|1",Buchungen!$Q$6:$Q$605,0)),"")&amp;IFERROR(" / "&amp;INDEX(Buchungen!$T$6:$T$605,MATCH($B49&amp;"|"&amp;I$8&amp;"|2",Buchungen!$Q$6:$Q$605,0)),""))))</f>
        <v/>
      </c>
      <c r="J49" s="43" t="str">
        <f>IF($B49="","",IF(Stammdaten!$I49="Gesperrt","gesperrt",IF(COUNTIF(Stammdaten!$AD$10:$AD$30,J$8)&gt;0,"Feiertag",IFERROR(INDEX(Buchungen!$T$6:$T$605,MATCH($B49&amp;"|"&amp;J$8&amp;"|1",Buchungen!$Q$6:$Q$605,0)),"")&amp;IFERROR(" / "&amp;INDEX(Buchungen!$T$6:$T$605,MATCH($B49&amp;"|"&amp;J$8&amp;"|2",Buchungen!$Q$6:$Q$605,0)),""))))</f>
        <v/>
      </c>
      <c r="K49" s="16"/>
      <c r="L49" s="43" t="str">
        <f>IF($B49="","",IF(Stammdaten!$I49="Gesperrt","gesperrt",IF(COUNTIF(Stammdaten!$AD$10:$AD$30,L$8)&gt;0,"Feiertag",IFERROR(INDEX(Buchungen!$T$6:$T$605,MATCH($B49&amp;"|"&amp;L$8&amp;"|1",Buchungen!$Q$6:$Q$605,0)),"")&amp;IFERROR(" / "&amp;INDEX(Buchungen!$T$6:$T$605,MATCH($B49&amp;"|"&amp;L$8&amp;"|2",Buchungen!$Q$6:$Q$605,0)),""))))</f>
        <v/>
      </c>
      <c r="M49" s="43" t="str">
        <f>IF($B49="","",IF(Stammdaten!$I49="Gesperrt","gesperrt",IF(COUNTIF(Stammdaten!$AD$10:$AD$30,M$8)&gt;0,"Feiertag",IFERROR(INDEX(Buchungen!$T$6:$T$605,MATCH($B49&amp;"|"&amp;M$8&amp;"|1",Buchungen!$Q$6:$Q$605,0)),"")&amp;IFERROR(" / "&amp;INDEX(Buchungen!$T$6:$T$605,MATCH($B49&amp;"|"&amp;M$8&amp;"|2",Buchungen!$Q$6:$Q$605,0)),""))))</f>
        <v/>
      </c>
      <c r="N49" s="43" t="str">
        <f>IF($B49="","",IF(Stammdaten!$I49="Gesperrt","gesperrt",IF(COUNTIF(Stammdaten!$AD$10:$AD$30,N$8)&gt;0,"Feiertag",IFERROR(INDEX(Buchungen!$T$6:$T$605,MATCH($B49&amp;"|"&amp;N$8&amp;"|1",Buchungen!$Q$6:$Q$605,0)),"")&amp;IFERROR(" / "&amp;INDEX(Buchungen!$T$6:$T$605,MATCH($B49&amp;"|"&amp;N$8&amp;"|2",Buchungen!$Q$6:$Q$605,0)),""))))</f>
        <v/>
      </c>
      <c r="O49" s="43" t="str">
        <f>IF($B49="","",IF(Stammdaten!$I49="Gesperrt","gesperrt",IF(COUNTIF(Stammdaten!$AD$10:$AD$30,O$8)&gt;0,"Feiertag",IFERROR(INDEX(Buchungen!$T$6:$T$605,MATCH($B49&amp;"|"&amp;O$8&amp;"|1",Buchungen!$Q$6:$Q$605,0)),"")&amp;IFERROR(" / "&amp;INDEX(Buchungen!$T$6:$T$605,MATCH($B49&amp;"|"&amp;O$8&amp;"|2",Buchungen!$Q$6:$Q$605,0)),""))))</f>
        <v/>
      </c>
      <c r="P49" s="43" t="str">
        <f>IF($B49="","",IF(Stammdaten!$I49="Gesperrt","gesperrt",IF(COUNTIF(Stammdaten!$AD$10:$AD$30,P$8)&gt;0,"Feiertag",IFERROR(INDEX(Buchungen!$T$6:$T$605,MATCH($B49&amp;"|"&amp;P$8&amp;"|1",Buchungen!$Q$6:$Q$605,0)),"")&amp;IFERROR(" / "&amp;INDEX(Buchungen!$T$6:$T$605,MATCH($B49&amp;"|"&amp;P$8&amp;"|2",Buchungen!$Q$6:$Q$605,0)),""))))</f>
        <v/>
      </c>
    </row>
    <row r="51" spans="2:16" ht="19.5" customHeight="1" x14ac:dyDescent="0.25">
      <c r="B51" s="92" t="s">
        <v>51</v>
      </c>
      <c r="C51" s="92"/>
      <c r="D51" s="92"/>
      <c r="E51" s="92"/>
      <c r="F51" s="44">
        <f>IF(COUNTIF(Stammdaten!$AD$10:$AD$30,F$8)&gt;0,0,COUNTIF(Stammdaten!$I$10:$I$49,"Aktiv"))</f>
        <v>23</v>
      </c>
      <c r="G51" s="44">
        <f>IF(COUNTIF(Stammdaten!$AD$10:$AD$30,G$8)&gt;0,0,COUNTIF(Stammdaten!$I$10:$I$49,"Aktiv"))</f>
        <v>23</v>
      </c>
      <c r="H51" s="44">
        <f>IF(COUNTIF(Stammdaten!$AD$10:$AD$30,H$8)&gt;0,0,COUNTIF(Stammdaten!$I$10:$I$49,"Aktiv"))</f>
        <v>23</v>
      </c>
      <c r="I51" s="44">
        <f>IF(COUNTIF(Stammdaten!$AD$10:$AD$30,I$8)&gt;0,0,COUNTIF(Stammdaten!$I$10:$I$49,"Aktiv"))</f>
        <v>23</v>
      </c>
      <c r="J51" s="44">
        <f>IF(COUNTIF(Stammdaten!$AD$10:$AD$30,J$8)&gt;0,0,COUNTIF(Stammdaten!$I$10:$I$49,"Aktiv"))</f>
        <v>23</v>
      </c>
      <c r="K51" s="16"/>
      <c r="L51" s="44">
        <f>IF(COUNTIF(Stammdaten!$AD$10:$AD$30,L$8)&gt;0,0,COUNTIF(Stammdaten!$I$10:$I$49,"Aktiv"))</f>
        <v>23</v>
      </c>
      <c r="M51" s="44">
        <f>IF(COUNTIF(Stammdaten!$AD$10:$AD$30,M$8)&gt;0,0,COUNTIF(Stammdaten!$I$10:$I$49,"Aktiv"))</f>
        <v>23</v>
      </c>
      <c r="N51" s="44">
        <f>IF(COUNTIF(Stammdaten!$AD$10:$AD$30,N$8)&gt;0,0,COUNTIF(Stammdaten!$I$10:$I$49,"Aktiv"))</f>
        <v>23</v>
      </c>
      <c r="O51" s="44">
        <f>IF(COUNTIF(Stammdaten!$AD$10:$AD$30,O$8)&gt;0,0,COUNTIF(Stammdaten!$I$10:$I$49,"Aktiv"))</f>
        <v>23</v>
      </c>
      <c r="P51" s="44">
        <f>IF(COUNTIF(Stammdaten!$AD$10:$AD$30,P$8)&gt;0,0,COUNTIF(Stammdaten!$I$10:$I$49,"Aktiv"))</f>
        <v>23</v>
      </c>
    </row>
    <row r="52" spans="2:16" ht="19.5" customHeight="1" x14ac:dyDescent="0.25">
      <c r="B52" s="92" t="s">
        <v>52</v>
      </c>
      <c r="C52" s="92"/>
      <c r="D52" s="92"/>
      <c r="E52" s="92"/>
      <c r="F52" s="44">
        <f>COUNTIF(F10:F49,"?*")-COUNTIF(F10:F49,"gesperrt")-COUNTIF(F10:F49,"Feiertag")</f>
        <v>15</v>
      </c>
      <c r="G52" s="44">
        <f>COUNTIF(G10:G49,"?*")-COUNTIF(G10:G49,"gesperrt")-COUNTIF(G10:G49,"Feiertag")</f>
        <v>17</v>
      </c>
      <c r="H52" s="44">
        <f>COUNTIF(H10:H49,"?*")-COUNTIF(H10:H49,"gesperrt")-COUNTIF(H10:H49,"Feiertag")</f>
        <v>20</v>
      </c>
      <c r="I52" s="44">
        <f>COUNTIF(I10:I49,"?*")-COUNTIF(I10:I49,"gesperrt")-COUNTIF(I10:I49,"Feiertag")</f>
        <v>16</v>
      </c>
      <c r="J52" s="44">
        <f>COUNTIF(J10:J49,"?*")-COUNTIF(J10:J49,"gesperrt")-COUNTIF(J10:J49,"Feiertag")</f>
        <v>17</v>
      </c>
      <c r="K52" s="16"/>
      <c r="L52" s="44">
        <f>COUNTIF(L10:L49,"?*")-COUNTIF(L10:L49,"gesperrt")-COUNTIF(L10:L49,"Feiertag")</f>
        <v>20</v>
      </c>
      <c r="M52" s="44">
        <f>COUNTIF(M10:M49,"?*")-COUNTIF(M10:M49,"gesperrt")-COUNTIF(M10:M49,"Feiertag")</f>
        <v>16</v>
      </c>
      <c r="N52" s="44">
        <f>COUNTIF(N10:N49,"?*")-COUNTIF(N10:N49,"gesperrt")-COUNTIF(N10:N49,"Feiertag")</f>
        <v>15</v>
      </c>
      <c r="O52" s="44">
        <f>COUNTIF(O10:O49,"?*")-COUNTIF(O10:O49,"gesperrt")-COUNTIF(O10:O49,"Feiertag")</f>
        <v>21</v>
      </c>
      <c r="P52" s="44">
        <f>COUNTIF(P10:P49,"?*")-COUNTIF(P10:P49,"gesperrt")-COUNTIF(P10:P49,"Feiertag")</f>
        <v>15</v>
      </c>
    </row>
    <row r="53" spans="2:16" ht="19.5" customHeight="1" x14ac:dyDescent="0.25">
      <c r="B53" s="92" t="s">
        <v>53</v>
      </c>
      <c r="C53" s="92"/>
      <c r="D53" s="92"/>
      <c r="E53" s="92"/>
      <c r="F53" s="44">
        <f>MAX(0,F51-F52)</f>
        <v>8</v>
      </c>
      <c r="G53" s="44">
        <f>MAX(0,G51-G52)</f>
        <v>6</v>
      </c>
      <c r="H53" s="44">
        <f>MAX(0,H51-H52)</f>
        <v>3</v>
      </c>
      <c r="I53" s="44">
        <f>MAX(0,I51-I52)</f>
        <v>7</v>
      </c>
      <c r="J53" s="44">
        <f>MAX(0,J51-J52)</f>
        <v>6</v>
      </c>
      <c r="K53" s="16"/>
      <c r="L53" s="44">
        <f>MAX(0,L51-L52)</f>
        <v>3</v>
      </c>
      <c r="M53" s="44">
        <f>MAX(0,M51-M52)</f>
        <v>7</v>
      </c>
      <c r="N53" s="44">
        <f>MAX(0,N51-N52)</f>
        <v>8</v>
      </c>
      <c r="O53" s="44">
        <f>MAX(0,O51-O52)</f>
        <v>2</v>
      </c>
      <c r="P53" s="44">
        <f>MAX(0,P51-P52)</f>
        <v>8</v>
      </c>
    </row>
    <row r="54" spans="2:16" ht="19.5" customHeight="1" x14ac:dyDescent="0.25">
      <c r="B54" s="93" t="s">
        <v>54</v>
      </c>
      <c r="C54" s="93"/>
      <c r="D54" s="93"/>
      <c r="E54" s="93"/>
      <c r="F54" s="45">
        <f>IF(F51=0,"–",F52/F51)</f>
        <v>0.65217391304347827</v>
      </c>
      <c r="G54" s="45">
        <f>IF(G51=0,"–",G52/G51)</f>
        <v>0.73913043478260865</v>
      </c>
      <c r="H54" s="45">
        <f>IF(H51=0,"–",H52/H51)</f>
        <v>0.86956521739130432</v>
      </c>
      <c r="I54" s="45">
        <f>IF(I51=0,"–",I52/I51)</f>
        <v>0.69565217391304346</v>
      </c>
      <c r="J54" s="45">
        <f>IF(J51=0,"–",J52/J51)</f>
        <v>0.73913043478260865</v>
      </c>
      <c r="K54" s="16"/>
      <c r="L54" s="45">
        <f>IF(L51=0,"–",L52/L51)</f>
        <v>0.86956521739130432</v>
      </c>
      <c r="M54" s="45">
        <f>IF(M51=0,"–",M52/M51)</f>
        <v>0.69565217391304346</v>
      </c>
      <c r="N54" s="45">
        <f>IF(N51=0,"–",N52/N51)</f>
        <v>0.65217391304347827</v>
      </c>
      <c r="O54" s="45">
        <f>IF(O51=0,"–",O52/O51)</f>
        <v>0.91304347826086951</v>
      </c>
      <c r="P54" s="45">
        <f>IF(P51=0,"–",P52/P51)</f>
        <v>0.65217391304347827</v>
      </c>
    </row>
    <row r="56" spans="2:16" x14ac:dyDescent="0.25">
      <c r="B56" s="27" t="s">
        <v>55</v>
      </c>
    </row>
  </sheetData>
  <autoFilter ref="B9:E49" xr:uid="{00000000-0009-0000-0000-000001000000}"/>
  <mergeCells count="7">
    <mergeCell ref="B53:E53"/>
    <mergeCell ref="B54:E54"/>
    <mergeCell ref="C5:D5"/>
    <mergeCell ref="F7:J7"/>
    <mergeCell ref="L7:P7"/>
    <mergeCell ref="B51:E51"/>
    <mergeCell ref="B52:E52"/>
  </mergeCells>
  <conditionalFormatting sqref="F8:J8">
    <cfRule type="expression" dxfId="41" priority="13">
      <formula>F$8=TODAY()</formula>
    </cfRule>
  </conditionalFormatting>
  <conditionalFormatting sqref="F10:J49">
    <cfRule type="expression" dxfId="40" priority="8">
      <formula>F10="gesperrt"</formula>
    </cfRule>
    <cfRule type="expression" dxfId="39" priority="9">
      <formula>F10="Feiertag"</formula>
    </cfRule>
    <cfRule type="expression" dxfId="37" priority="11">
      <formula>ISNUMBER(FIND("?",F10))</formula>
    </cfRule>
    <cfRule type="expression" dxfId="36" priority="12">
      <formula>AND($B10&lt;&gt;"",F10&lt;&gt;"")</formula>
    </cfRule>
  </conditionalFormatting>
  <conditionalFormatting sqref="F54:J54">
    <cfRule type="expression" dxfId="35" priority="2">
      <formula>AND(ISNUMBER(F54),F54&gt;=0.9)</formula>
    </cfRule>
    <cfRule type="expression" dxfId="34" priority="3">
      <formula>AND(ISNUMBER(F54),F54&gt;=0.7)</formula>
    </cfRule>
    <cfRule type="expression" dxfId="33" priority="4">
      <formula>ISNUMBER(F54)</formula>
    </cfRule>
  </conditionalFormatting>
  <conditionalFormatting sqref="L8:P8">
    <cfRule type="expression" dxfId="32" priority="19">
      <formula>L$8=TODAY()</formula>
    </cfRule>
  </conditionalFormatting>
  <conditionalFormatting sqref="L10:P49">
    <cfRule type="expression" dxfId="31" priority="14">
      <formula>L10="gesperrt"</formula>
    </cfRule>
    <cfRule type="expression" dxfId="30" priority="15">
      <formula>L10="Feiertag"</formula>
    </cfRule>
    <cfRule type="expression" dxfId="28" priority="17">
      <formula>ISNUMBER(FIND("?",L10))</formula>
    </cfRule>
    <cfRule type="expression" dxfId="27" priority="18">
      <formula>AND($B10&lt;&gt;"",L10&lt;&gt;"")</formula>
    </cfRule>
  </conditionalFormatting>
  <conditionalFormatting sqref="L54:P54">
    <cfRule type="expression" dxfId="26" priority="5">
      <formula>AND(ISNUMBER(L54),L54&gt;=0.9)</formula>
    </cfRule>
    <cfRule type="expression" dxfId="25" priority="6">
      <formula>AND(ISNUMBER(L54),L54&gt;=0.7)</formula>
    </cfRule>
    <cfRule type="expression" dxfId="24" priority="7">
      <formula>ISNUMBER(L54)</formula>
    </cfRule>
  </conditionalFormatting>
  <printOptions horizontalCentered="1"/>
  <pageMargins left="0.4" right="0.4" top="1" bottom="1" header="0.511811023622047" footer="0.511811023622047"/>
  <pageSetup paperSize="9"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00000000-000E-0000-0100-00000A000000}">
            <xm:f>COUNTIFS(Buchungen!$P$6:$P$605,$B10&amp;"|"&amp;F$8,Buchungen!$M$6:$M$605,"Doppelbuchung")&gt;0</xm:f>
            <x14:dxf>
              <font>
                <b/>
                <color rgb="FF9E2B22"/>
                <name val="Calibri"/>
                <charset val="1"/>
              </font>
              <fill>
                <patternFill>
                  <bgColor rgb="FFF2C4BE"/>
                </patternFill>
              </fill>
            </x14:dxf>
          </x14:cfRule>
          <xm:sqref>F10:J49</xm:sqref>
        </x14:conditionalFormatting>
        <x14:conditionalFormatting xmlns:xm="http://schemas.microsoft.com/office/excel/2006/main">
          <x14:cfRule type="expression" priority="16" id="{00000000-000E-0000-0100-000010000000}">
            <xm:f>COUNTIFS(Buchungen!$P$6:$P$605,$B10&amp;"|"&amp;L$8,Buchungen!$M$6:$M$605,"Doppelbuchung")&gt;0</xm:f>
            <x14:dxf>
              <font>
                <b/>
                <color rgb="FF9E2B22"/>
                <name val="Calibri"/>
                <charset val="1"/>
              </font>
              <fill>
                <patternFill>
                  <bgColor rgb="FFF2C4BE"/>
                </patternFill>
              </fill>
            </x14:dxf>
          </x14:cfRule>
          <xm:sqref>L10:P49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B6B73"/>
    <pageSetUpPr fitToPage="1"/>
  </sheetPr>
  <dimension ref="A1:V60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outlineLevelCol="1" x14ac:dyDescent="0.25"/>
  <cols>
    <col min="1" max="1" width="2.42578125" customWidth="1"/>
    <col min="2" max="2" width="6" customWidth="1"/>
    <col min="3" max="3" width="12" customWidth="1"/>
    <col min="4" max="5" width="6" customWidth="1"/>
    <col min="6" max="6" width="12" customWidth="1"/>
    <col min="7" max="7" width="20" customWidth="1"/>
    <col min="8" max="9" width="12" customWidth="1"/>
    <col min="10" max="10" width="34" customWidth="1"/>
    <col min="11" max="11" width="18" customWidth="1"/>
    <col min="12" max="12" width="16" customWidth="1"/>
    <col min="13" max="13" width="15" customWidth="1"/>
    <col min="14" max="14" width="3" customWidth="1"/>
    <col min="15" max="21" width="14" hidden="1" customWidth="1" outlineLevel="1"/>
    <col min="22" max="22" width="8.7109375" collapsed="1"/>
  </cols>
  <sheetData>
    <row r="1" spans="1:21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1" ht="33.75" customHeight="1" x14ac:dyDescent="0.25">
      <c r="A2" s="16"/>
      <c r="B2" s="17" t="s">
        <v>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8" t="s">
        <v>40</v>
      </c>
      <c r="N2" s="16"/>
    </row>
    <row r="3" spans="1:21" ht="19.5" customHeight="1" x14ac:dyDescent="0.25">
      <c r="A3" s="16"/>
      <c r="B3" s="19" t="str">
        <f>Stammdaten!$C$5&amp;"  ·  "&amp;Stammdaten!$C$6</f>
        <v>Beispielunternehmen GmbH  ·  Hauptsitz – Bürogebäude A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21" ht="18" customHeight="1" x14ac:dyDescent="0.25">
      <c r="B4" s="27" t="s">
        <v>56</v>
      </c>
    </row>
    <row r="5" spans="1:21" ht="30" customHeight="1" x14ac:dyDescent="0.25">
      <c r="B5" s="38" t="s">
        <v>57</v>
      </c>
      <c r="C5" s="38" t="s">
        <v>58</v>
      </c>
      <c r="D5" s="38" t="s">
        <v>59</v>
      </c>
      <c r="E5" s="38" t="s">
        <v>60</v>
      </c>
      <c r="F5" s="38" t="s">
        <v>46</v>
      </c>
      <c r="G5" s="38" t="s">
        <v>61</v>
      </c>
      <c r="H5" s="38" t="s">
        <v>62</v>
      </c>
      <c r="I5" s="38" t="s">
        <v>63</v>
      </c>
      <c r="J5" s="38" t="s">
        <v>64</v>
      </c>
      <c r="K5" s="38" t="s">
        <v>65</v>
      </c>
      <c r="L5" s="38" t="s">
        <v>49</v>
      </c>
      <c r="M5" s="38" t="s">
        <v>66</v>
      </c>
      <c r="O5" s="46" t="s">
        <v>67</v>
      </c>
      <c r="P5" s="46" t="s">
        <v>68</v>
      </c>
      <c r="Q5" s="46" t="s">
        <v>69</v>
      </c>
      <c r="R5" s="46" t="s">
        <v>70</v>
      </c>
      <c r="S5" s="46" t="s">
        <v>71</v>
      </c>
      <c r="T5" s="46" t="s">
        <v>72</v>
      </c>
      <c r="U5" s="46" t="s">
        <v>73</v>
      </c>
    </row>
    <row r="6" spans="1:21" ht="16.5" customHeight="1" x14ac:dyDescent="0.25">
      <c r="B6" s="47">
        <f t="shared" ref="B6:B69" si="0">IF(C6="","",ROW()-5)</f>
        <v>1</v>
      </c>
      <c r="C6" s="48">
        <v>46293</v>
      </c>
      <c r="D6" s="49" t="str">
        <f t="shared" ref="D6:D69" si="1">IF(C6="","",CHOOSE(WEEKDAY(C6,2),"Mo","Di","Mi","Do","Fr","Sa","So"))</f>
        <v>Mo</v>
      </c>
      <c r="E6" s="50">
        <f t="shared" ref="E6:E69" si="2">IF(C6="","",_xlfn.ISOWEEKNUM(C6))</f>
        <v>40</v>
      </c>
      <c r="F6" s="51" t="s">
        <v>74</v>
      </c>
      <c r="G6" s="52" t="s">
        <v>75</v>
      </c>
      <c r="H6" s="51" t="s">
        <v>76</v>
      </c>
      <c r="I6" s="51" t="s">
        <v>77</v>
      </c>
      <c r="J6" s="52"/>
      <c r="K6" s="53" t="str">
        <f>IF(G6="","",IFERROR(INDEX(Stammdaten!$P$10:$P$69,MATCH(G6,Stammdaten!$N$10:$N$69,0)),"–"))</f>
        <v>Marketing</v>
      </c>
      <c r="L6" s="53" t="str">
        <f>IF(F6="","",IFERROR(INDEX(Stammdaten!$D$10:$D$49,MATCH(F6,Stammdaten!$B$10:$B$49,0)),"–"))</f>
        <v>Teamzone Nord</v>
      </c>
      <c r="M6" s="54" t="str">
        <f>IF(C6="","",IF(OR(F6="",G6="",I6=""),"unvollständig",IF(I6="Storniert","storniert",IF(WEEKDAY(C6,2)&gt;5,"Wochenende",IF(COUNTIF(Stammdaten!$AD$10:$AD$30,C6)&gt;0,"Feiertag",IF(IFERROR(INDEX(Stammdaten!$I$10:$I$49,MATCH(F6,Stammdaten!$B$10:$B$49,0)),"")="Gesperrt","Platz gesperrt",IF(AND(COUNTIF($P$6:$P$605,P6)&gt;1,NOT(AND(COUNTIF($P$6:$P$605,P6)=2,COUNTIFS($P$6:$P$605,P6,$H$6:$H$605,"Vormittag")=1,COUNTIFS($P$6:$P$605,P6,$H$6:$H$605,"Nachmittag")=1))),"Doppelbuchung",IF(AND(COUNTIF($R$6:$R$605,R6)&gt;1,NOT(AND(COUNTIF($R$6:$R$605,R6)=2,COUNTIFS($R$6:$R$605,R6,$H$6:$H$605,"Vormittag")=1,COUNTIFS($R$6:$R$605,R6,$H$6:$H$605,"Nachmittag")=1))),"Person doppelt","OK"))))))))</f>
        <v>OK</v>
      </c>
      <c r="O6" s="55">
        <f t="shared" ref="O6:O69" si="3">IF(OR(C6="",I6&lt;&gt;"Bestätigt",M6="Platz gesperrt"),0,IF(H6="Ganztägig",1,0.5))</f>
        <v>1</v>
      </c>
      <c r="P6" s="55" t="str">
        <f t="shared" ref="P6:P69" si="4">IF(OR(C6="",F6="",I6="Storniert"),"",F6&amp;"|"&amp;C6)</f>
        <v>A-01|46293</v>
      </c>
      <c r="Q6" s="55" t="str">
        <f>IF(P6="","",P6&amp;"|"&amp;COUNTIF(P$6:P6,P6))</f>
        <v>A-01|46293|1</v>
      </c>
      <c r="R6" s="55" t="str">
        <f t="shared" ref="R6:R69" si="5">IF(OR(C6="",G6="",I6="Storniert"),"",G6&amp;"|"&amp;C6)</f>
        <v>Marco Seidel|46293</v>
      </c>
      <c r="S6" s="55" t="str">
        <f>IF(R6="","",R6&amp;"|"&amp;COUNTIF(R$6:R6,R6))</f>
        <v>Marco Seidel|46293|1</v>
      </c>
      <c r="T6" s="55" t="str">
        <f>IF(G6="","",IFERROR(INDEX(Stammdaten!$O$10:$O$69,MATCH(G6,Stammdaten!$N$10:$N$69,0)),G6)&amp;IF(H6="Vormittag"," (VM)",IF(H6="Nachmittag"," (NM)",""))&amp;IF(I6="Angefragt"," ?",""))</f>
        <v>M. Seidel</v>
      </c>
      <c r="U6" s="55" t="str">
        <f t="shared" ref="U6:U69" si="6">IF(F6="","",F6&amp;IF(H6="Vormittag"," (VM)",IF(H6="Nachmittag"," (NM)",""))&amp;IF(I6="Angefragt"," ?",""))</f>
        <v>A-01</v>
      </c>
    </row>
    <row r="7" spans="1:21" ht="16.5" customHeight="1" x14ac:dyDescent="0.25">
      <c r="B7" s="47">
        <f t="shared" si="0"/>
        <v>2</v>
      </c>
      <c r="C7" s="48">
        <v>46293</v>
      </c>
      <c r="D7" s="49" t="str">
        <f t="shared" si="1"/>
        <v>Mo</v>
      </c>
      <c r="E7" s="50">
        <f t="shared" si="2"/>
        <v>40</v>
      </c>
      <c r="F7" s="51" t="s">
        <v>78</v>
      </c>
      <c r="G7" s="52" t="s">
        <v>79</v>
      </c>
      <c r="H7" s="51" t="s">
        <v>76</v>
      </c>
      <c r="I7" s="51" t="s">
        <v>77</v>
      </c>
      <c r="J7" s="52"/>
      <c r="K7" s="53" t="str">
        <f>IF(G7="","",IFERROR(INDEX(Stammdaten!$P$10:$P$69,MATCH(G7,Stammdaten!$N$10:$N$69,0)),"–"))</f>
        <v>Vertrieb</v>
      </c>
      <c r="L7" s="53" t="str">
        <f>IF(F7="","",IFERROR(INDEX(Stammdaten!$D$10:$D$49,MATCH(F7,Stammdaten!$B$10:$B$49,0)),"–"))</f>
        <v>Teamzone Nord</v>
      </c>
      <c r="M7" s="54" t="str">
        <f>IF(C7="","",IF(OR(F7="",G7="",I7=""),"unvollständig",IF(I7="Storniert","storniert",IF(WEEKDAY(C7,2)&gt;5,"Wochenende",IF(COUNTIF(Stammdaten!$AD$10:$AD$30,C7)&gt;0,"Feiertag",IF(IFERROR(INDEX(Stammdaten!$I$10:$I$49,MATCH(F7,Stammdaten!$B$10:$B$49,0)),"")="Gesperrt","Platz gesperrt",IF(AND(COUNTIF($P$6:$P$605,P7)&gt;1,NOT(AND(COUNTIF($P$6:$P$605,P7)=2,COUNTIFS($P$6:$P$605,P7,$H$6:$H$605,"Vormittag")=1,COUNTIFS($P$6:$P$605,P7,$H$6:$H$605,"Nachmittag")=1))),"Doppelbuchung",IF(AND(COUNTIF($R$6:$R$605,R7)&gt;1,NOT(AND(COUNTIF($R$6:$R$605,R7)=2,COUNTIFS($R$6:$R$605,R7,$H$6:$H$605,"Vormittag")=1,COUNTIFS($R$6:$R$605,R7,$H$6:$H$605,"Nachmittag")=1))),"Person doppelt","OK"))))))))</f>
        <v>OK</v>
      </c>
      <c r="O7" s="55">
        <f t="shared" si="3"/>
        <v>1</v>
      </c>
      <c r="P7" s="55" t="str">
        <f t="shared" si="4"/>
        <v>A-02|46293</v>
      </c>
      <c r="Q7" s="55" t="str">
        <f>IF(P7="","",P7&amp;"|"&amp;COUNTIF(P$6:P7,P7))</f>
        <v>A-02|46293|1</v>
      </c>
      <c r="R7" s="55" t="str">
        <f t="shared" si="5"/>
        <v>Lena Hartmann|46293</v>
      </c>
      <c r="S7" s="55" t="str">
        <f>IF(R7="","",R7&amp;"|"&amp;COUNTIF(R$6:R7,R7))</f>
        <v>Lena Hartmann|46293|1</v>
      </c>
      <c r="T7" s="55" t="str">
        <f>IF(G7="","",IFERROR(INDEX(Stammdaten!$O$10:$O$69,MATCH(G7,Stammdaten!$N$10:$N$69,0)),G7)&amp;IF(H7="Vormittag"," (VM)",IF(H7="Nachmittag"," (NM)",""))&amp;IF(I7="Angefragt"," ?",""))</f>
        <v>L. Hartmann</v>
      </c>
      <c r="U7" s="55" t="str">
        <f t="shared" si="6"/>
        <v>A-02</v>
      </c>
    </row>
    <row r="8" spans="1:21" ht="16.5" customHeight="1" x14ac:dyDescent="0.25">
      <c r="B8" s="47">
        <f t="shared" si="0"/>
        <v>3</v>
      </c>
      <c r="C8" s="48">
        <v>46293</v>
      </c>
      <c r="D8" s="49" t="str">
        <f t="shared" si="1"/>
        <v>Mo</v>
      </c>
      <c r="E8" s="50">
        <f t="shared" si="2"/>
        <v>40</v>
      </c>
      <c r="F8" s="51" t="s">
        <v>80</v>
      </c>
      <c r="G8" s="52" t="s">
        <v>81</v>
      </c>
      <c r="H8" s="51" t="s">
        <v>76</v>
      </c>
      <c r="I8" s="51" t="s">
        <v>77</v>
      </c>
      <c r="J8" s="52"/>
      <c r="K8" s="53" t="str">
        <f>IF(G8="","",IFERROR(INDEX(Stammdaten!$P$10:$P$69,MATCH(G8,Stammdaten!$N$10:$N$69,0)),"–"))</f>
        <v>Vertrieb</v>
      </c>
      <c r="L8" s="53" t="str">
        <f>IF(F8="","",IFERROR(INDEX(Stammdaten!$D$10:$D$49,MATCH(F8,Stammdaten!$B$10:$B$49,0)),"–"))</f>
        <v>Teamzone Nord</v>
      </c>
      <c r="M8" s="54" t="str">
        <f>IF(C8="","",IF(OR(F8="",G8="",I8=""),"unvollständig",IF(I8="Storniert","storniert",IF(WEEKDAY(C8,2)&gt;5,"Wochenende",IF(COUNTIF(Stammdaten!$AD$10:$AD$30,C8)&gt;0,"Feiertag",IF(IFERROR(INDEX(Stammdaten!$I$10:$I$49,MATCH(F8,Stammdaten!$B$10:$B$49,0)),"")="Gesperrt","Platz gesperrt",IF(AND(COUNTIF($P$6:$P$605,P8)&gt;1,NOT(AND(COUNTIF($P$6:$P$605,P8)=2,COUNTIFS($P$6:$P$605,P8,$H$6:$H$605,"Vormittag")=1,COUNTIFS($P$6:$P$605,P8,$H$6:$H$605,"Nachmittag")=1))),"Doppelbuchung",IF(AND(COUNTIF($R$6:$R$605,R8)&gt;1,NOT(AND(COUNTIF($R$6:$R$605,R8)=2,COUNTIFS($R$6:$R$605,R8,$H$6:$H$605,"Vormittag")=1,COUNTIFS($R$6:$R$605,R8,$H$6:$H$605,"Nachmittag")=1))),"Person doppelt","OK"))))))))</f>
        <v>OK</v>
      </c>
      <c r="O8" s="55">
        <f t="shared" si="3"/>
        <v>1</v>
      </c>
      <c r="P8" s="55" t="str">
        <f t="shared" si="4"/>
        <v>A-05|46293</v>
      </c>
      <c r="Q8" s="55" t="str">
        <f>IF(P8="","",P8&amp;"|"&amp;COUNTIF(P$6:P8,P8))</f>
        <v>A-05|46293|1</v>
      </c>
      <c r="R8" s="55" t="str">
        <f t="shared" si="5"/>
        <v>Nina Albrecht|46293</v>
      </c>
      <c r="S8" s="55" t="str">
        <f>IF(R8="","",R8&amp;"|"&amp;COUNTIF(R$6:R8,R8))</f>
        <v>Nina Albrecht|46293|1</v>
      </c>
      <c r="T8" s="55" t="str">
        <f>IF(G8="","",IFERROR(INDEX(Stammdaten!$O$10:$O$69,MATCH(G8,Stammdaten!$N$10:$N$69,0)),G8)&amp;IF(H8="Vormittag"," (VM)",IF(H8="Nachmittag"," (NM)",""))&amp;IF(I8="Angefragt"," ?",""))</f>
        <v>N. Albrecht</v>
      </c>
      <c r="U8" s="55" t="str">
        <f t="shared" si="6"/>
        <v>A-05</v>
      </c>
    </row>
    <row r="9" spans="1:21" ht="16.5" customHeight="1" x14ac:dyDescent="0.25">
      <c r="B9" s="47">
        <f t="shared" si="0"/>
        <v>4</v>
      </c>
      <c r="C9" s="48">
        <v>46293</v>
      </c>
      <c r="D9" s="49" t="str">
        <f t="shared" si="1"/>
        <v>Mo</v>
      </c>
      <c r="E9" s="50">
        <f t="shared" si="2"/>
        <v>40</v>
      </c>
      <c r="F9" s="51" t="s">
        <v>82</v>
      </c>
      <c r="G9" s="52" t="s">
        <v>83</v>
      </c>
      <c r="H9" s="51" t="s">
        <v>76</v>
      </c>
      <c r="I9" s="51" t="s">
        <v>77</v>
      </c>
      <c r="J9" s="52"/>
      <c r="K9" s="53" t="str">
        <f>IF(G9="","",IFERROR(INDEX(Stammdaten!$P$10:$P$69,MATCH(G9,Stammdaten!$N$10:$N$69,0)),"–"))</f>
        <v>Marketing</v>
      </c>
      <c r="L9" s="53" t="str">
        <f>IF(F9="","",IFERROR(INDEX(Stammdaten!$D$10:$D$49,MATCH(F9,Stammdaten!$B$10:$B$49,0)),"–"))</f>
        <v>Teamzone Nord</v>
      </c>
      <c r="M9" s="54" t="str">
        <f>IF(C9="","",IF(OR(F9="",G9="",I9=""),"unvollständig",IF(I9="Storniert","storniert",IF(WEEKDAY(C9,2)&gt;5,"Wochenende",IF(COUNTIF(Stammdaten!$AD$10:$AD$30,C9)&gt;0,"Feiertag",IF(IFERROR(INDEX(Stammdaten!$I$10:$I$49,MATCH(F9,Stammdaten!$B$10:$B$49,0)),"")="Gesperrt","Platz gesperrt",IF(AND(COUNTIF($P$6:$P$605,P9)&gt;1,NOT(AND(COUNTIF($P$6:$P$605,P9)=2,COUNTIFS($P$6:$P$605,P9,$H$6:$H$605,"Vormittag")=1,COUNTIFS($P$6:$P$605,P9,$H$6:$H$605,"Nachmittag")=1))),"Doppelbuchung",IF(AND(COUNTIF($R$6:$R$605,R9)&gt;1,NOT(AND(COUNTIF($R$6:$R$605,R9)=2,COUNTIFS($R$6:$R$605,R9,$H$6:$H$605,"Vormittag")=1,COUNTIFS($R$6:$R$605,R9,$H$6:$H$605,"Nachmittag")=1))),"Person doppelt","OK"))))))))</f>
        <v>OK</v>
      </c>
      <c r="O9" s="55">
        <f t="shared" si="3"/>
        <v>1</v>
      </c>
      <c r="P9" s="55" t="str">
        <f t="shared" si="4"/>
        <v>A-06|46293</v>
      </c>
      <c r="Q9" s="55" t="str">
        <f>IF(P9="","",P9&amp;"|"&amp;COUNTIF(P$6:P9,P9))</f>
        <v>A-06|46293|1</v>
      </c>
      <c r="R9" s="55" t="str">
        <f t="shared" si="5"/>
        <v>Felix Engel|46293</v>
      </c>
      <c r="S9" s="55" t="str">
        <f>IF(R9="","",R9&amp;"|"&amp;COUNTIF(R$6:R9,R9))</f>
        <v>Felix Engel|46293|1</v>
      </c>
      <c r="T9" s="55" t="str">
        <f>IF(G9="","",IFERROR(INDEX(Stammdaten!$O$10:$O$69,MATCH(G9,Stammdaten!$N$10:$N$69,0)),G9)&amp;IF(H9="Vormittag"," (VM)",IF(H9="Nachmittag"," (NM)",""))&amp;IF(I9="Angefragt"," ?",""))</f>
        <v>F. Engel</v>
      </c>
      <c r="U9" s="55" t="str">
        <f t="shared" si="6"/>
        <v>A-06</v>
      </c>
    </row>
    <row r="10" spans="1:21" ht="16.5" customHeight="1" x14ac:dyDescent="0.25">
      <c r="B10" s="47">
        <f t="shared" si="0"/>
        <v>5</v>
      </c>
      <c r="C10" s="48">
        <v>46293</v>
      </c>
      <c r="D10" s="49" t="str">
        <f t="shared" si="1"/>
        <v>Mo</v>
      </c>
      <c r="E10" s="50">
        <f t="shared" si="2"/>
        <v>40</v>
      </c>
      <c r="F10" s="51" t="s">
        <v>84</v>
      </c>
      <c r="G10" s="52" t="s">
        <v>85</v>
      </c>
      <c r="H10" s="51" t="s">
        <v>76</v>
      </c>
      <c r="I10" s="51" t="s">
        <v>77</v>
      </c>
      <c r="J10" s="52"/>
      <c r="K10" s="53" t="str">
        <f>IF(G10="","",IFERROR(INDEX(Stammdaten!$P$10:$P$69,MATCH(G10,Stammdaten!$N$10:$N$69,0)),"–"))</f>
        <v>Vertrieb</v>
      </c>
      <c r="L10" s="53" t="str">
        <f>IF(F10="","",IFERROR(INDEX(Stammdaten!$D$10:$D$49,MATCH(F10,Stammdaten!$B$10:$B$49,0)),"–"))</f>
        <v>Teamzone Nord</v>
      </c>
      <c r="M10" s="54" t="str">
        <f>IF(C10="","",IF(OR(F10="",G10="",I10=""),"unvollständig",IF(I10="Storniert","storniert",IF(WEEKDAY(C10,2)&gt;5,"Wochenende",IF(COUNTIF(Stammdaten!$AD$10:$AD$30,C10)&gt;0,"Feiertag",IF(IFERROR(INDEX(Stammdaten!$I$10:$I$49,MATCH(F10,Stammdaten!$B$10:$B$49,0)),"")="Gesperrt","Platz gesperrt",IF(AND(COUNTIF($P$6:$P$605,P10)&gt;1,NOT(AND(COUNTIF($P$6:$P$605,P10)=2,COUNTIFS($P$6:$P$605,P10,$H$6:$H$605,"Vormittag")=1,COUNTIFS($P$6:$P$605,P10,$H$6:$H$605,"Nachmittag")=1))),"Doppelbuchung",IF(AND(COUNTIF($R$6:$R$605,R10)&gt;1,NOT(AND(COUNTIF($R$6:$R$605,R10)=2,COUNTIFS($R$6:$R$605,R10,$H$6:$H$605,"Vormittag")=1,COUNTIFS($R$6:$R$605,R10,$H$6:$H$605,"Nachmittag")=1))),"Person doppelt","OK"))))))))</f>
        <v>OK</v>
      </c>
      <c r="O10" s="55">
        <f t="shared" si="3"/>
        <v>1</v>
      </c>
      <c r="P10" s="55" t="str">
        <f t="shared" si="4"/>
        <v>A-07|46293</v>
      </c>
      <c r="Q10" s="55" t="str">
        <f>IF(P10="","",P10&amp;"|"&amp;COUNTIF(P$6:P10,P10))</f>
        <v>A-07|46293|1</v>
      </c>
      <c r="R10" s="55" t="str">
        <f t="shared" si="5"/>
        <v>Miriam Krause|46293</v>
      </c>
      <c r="S10" s="55" t="str">
        <f>IF(R10="","",R10&amp;"|"&amp;COUNTIF(R$6:R10,R10))</f>
        <v>Miriam Krause|46293|1</v>
      </c>
      <c r="T10" s="55" t="str">
        <f>IF(G10="","",IFERROR(INDEX(Stammdaten!$O$10:$O$69,MATCH(G10,Stammdaten!$N$10:$N$69,0)),G10)&amp;IF(H10="Vormittag"," (VM)",IF(H10="Nachmittag"," (NM)",""))&amp;IF(I10="Angefragt"," ?",""))</f>
        <v>M. Krause</v>
      </c>
      <c r="U10" s="55" t="str">
        <f t="shared" si="6"/>
        <v>A-07</v>
      </c>
    </row>
    <row r="11" spans="1:21" ht="16.5" customHeight="1" x14ac:dyDescent="0.25">
      <c r="B11" s="47">
        <f t="shared" si="0"/>
        <v>6</v>
      </c>
      <c r="C11" s="48">
        <v>46293</v>
      </c>
      <c r="D11" s="49" t="str">
        <f t="shared" si="1"/>
        <v>Mo</v>
      </c>
      <c r="E11" s="50">
        <f t="shared" si="2"/>
        <v>40</v>
      </c>
      <c r="F11" s="51" t="s">
        <v>86</v>
      </c>
      <c r="G11" s="52" t="s">
        <v>87</v>
      </c>
      <c r="H11" s="51" t="s">
        <v>76</v>
      </c>
      <c r="I11" s="51" t="s">
        <v>77</v>
      </c>
      <c r="J11" s="52"/>
      <c r="K11" s="53" t="str">
        <f>IF(G11="","",IFERROR(INDEX(Stammdaten!$P$10:$P$69,MATCH(G11,Stammdaten!$N$10:$N$69,0)),"–"))</f>
        <v>Marketing</v>
      </c>
      <c r="L11" s="53" t="str">
        <f>IF(F11="","",IFERROR(INDEX(Stammdaten!$D$10:$D$49,MATCH(F11,Stammdaten!$B$10:$B$49,0)),"–"))</f>
        <v>Teamzone Nord</v>
      </c>
      <c r="M11" s="54" t="str">
        <f>IF(C11="","",IF(OR(F11="",G11="",I11=""),"unvollständig",IF(I11="Storniert","storniert",IF(WEEKDAY(C11,2)&gt;5,"Wochenende",IF(COUNTIF(Stammdaten!$AD$10:$AD$30,C11)&gt;0,"Feiertag",IF(IFERROR(INDEX(Stammdaten!$I$10:$I$49,MATCH(F11,Stammdaten!$B$10:$B$49,0)),"")="Gesperrt","Platz gesperrt",IF(AND(COUNTIF($P$6:$P$605,P11)&gt;1,NOT(AND(COUNTIF($P$6:$P$605,P11)=2,COUNTIFS($P$6:$P$605,P11,$H$6:$H$605,"Vormittag")=1,COUNTIFS($P$6:$P$605,P11,$H$6:$H$605,"Nachmittag")=1))),"Doppelbuchung",IF(AND(COUNTIF($R$6:$R$605,R11)&gt;1,NOT(AND(COUNTIF($R$6:$R$605,R11)=2,COUNTIFS($R$6:$R$605,R11,$H$6:$H$605,"Vormittag")=1,COUNTIFS($R$6:$R$605,R11,$H$6:$H$605,"Nachmittag")=1))),"Person doppelt","OK"))))))))</f>
        <v>OK</v>
      </c>
      <c r="O11" s="55">
        <f t="shared" si="3"/>
        <v>1</v>
      </c>
      <c r="P11" s="55" t="str">
        <f t="shared" si="4"/>
        <v>A-08|46293</v>
      </c>
      <c r="Q11" s="55" t="str">
        <f>IF(P11="","",P11&amp;"|"&amp;COUNTIF(P$6:P11,P11))</f>
        <v>A-08|46293|1</v>
      </c>
      <c r="R11" s="55" t="str">
        <f t="shared" si="5"/>
        <v>Paul Schreiber|46293</v>
      </c>
      <c r="S11" s="55" t="str">
        <f>IF(R11="","",R11&amp;"|"&amp;COUNTIF(R$6:R11,R11))</f>
        <v>Paul Schreiber|46293|1</v>
      </c>
      <c r="T11" s="55" t="str">
        <f>IF(G11="","",IFERROR(INDEX(Stammdaten!$O$10:$O$69,MATCH(G11,Stammdaten!$N$10:$N$69,0)),G11)&amp;IF(H11="Vormittag"," (VM)",IF(H11="Nachmittag"," (NM)",""))&amp;IF(I11="Angefragt"," ?",""))</f>
        <v>P. Schreiber</v>
      </c>
      <c r="U11" s="55" t="str">
        <f t="shared" si="6"/>
        <v>A-08</v>
      </c>
    </row>
    <row r="12" spans="1:21" ht="16.5" customHeight="1" x14ac:dyDescent="0.25">
      <c r="B12" s="47">
        <f t="shared" si="0"/>
        <v>7</v>
      </c>
      <c r="C12" s="48">
        <v>46293</v>
      </c>
      <c r="D12" s="49" t="str">
        <f t="shared" si="1"/>
        <v>Mo</v>
      </c>
      <c r="E12" s="50">
        <f t="shared" si="2"/>
        <v>40</v>
      </c>
      <c r="F12" s="51" t="s">
        <v>88</v>
      </c>
      <c r="G12" s="52" t="s">
        <v>89</v>
      </c>
      <c r="H12" s="51" t="s">
        <v>76</v>
      </c>
      <c r="I12" s="51" t="s">
        <v>77</v>
      </c>
      <c r="J12" s="52"/>
      <c r="K12" s="53" t="str">
        <f>IF(G12="","",IFERROR(INDEX(Stammdaten!$P$10:$P$69,MATCH(G12,Stammdaten!$N$10:$N$69,0)),"–"))</f>
        <v>Projektmanagement</v>
      </c>
      <c r="L12" s="53" t="str">
        <f>IF(F12="","",IFERROR(INDEX(Stammdaten!$D$10:$D$49,MATCH(F12,Stammdaten!$B$10:$B$49,0)),"–"))</f>
        <v>Fokuszone</v>
      </c>
      <c r="M12" s="54" t="str">
        <f>IF(C12="","",IF(OR(F12="",G12="",I12=""),"unvollständig",IF(I12="Storniert","storniert",IF(WEEKDAY(C12,2)&gt;5,"Wochenende",IF(COUNTIF(Stammdaten!$AD$10:$AD$30,C12)&gt;0,"Feiertag",IF(IFERROR(INDEX(Stammdaten!$I$10:$I$49,MATCH(F12,Stammdaten!$B$10:$B$49,0)),"")="Gesperrt","Platz gesperrt",IF(AND(COUNTIF($P$6:$P$605,P12)&gt;1,NOT(AND(COUNTIF($P$6:$P$605,P12)=2,COUNTIFS($P$6:$P$605,P12,$H$6:$H$605,"Vormittag")=1,COUNTIFS($P$6:$P$605,P12,$H$6:$H$605,"Nachmittag")=1))),"Doppelbuchung",IF(AND(COUNTIF($R$6:$R$605,R12)&gt;1,NOT(AND(COUNTIF($R$6:$R$605,R12)=2,COUNTIFS($R$6:$R$605,R12,$H$6:$H$605,"Vormittag")=1,COUNTIFS($R$6:$R$605,R12,$H$6:$H$605,"Nachmittag")=1))),"Person doppelt","OK"))))))))</f>
        <v>OK</v>
      </c>
      <c r="O12" s="55">
        <f t="shared" si="3"/>
        <v>1</v>
      </c>
      <c r="P12" s="55" t="str">
        <f t="shared" si="4"/>
        <v>A-11|46293</v>
      </c>
      <c r="Q12" s="55" t="str">
        <f>IF(P12="","",P12&amp;"|"&amp;COUNTIF(P$6:P12,P12))</f>
        <v>A-11|46293|1</v>
      </c>
      <c r="R12" s="55" t="str">
        <f t="shared" si="5"/>
        <v>Theresa Jung|46293</v>
      </c>
      <c r="S12" s="55" t="str">
        <f>IF(R12="","",R12&amp;"|"&amp;COUNTIF(R$6:R12,R12))</f>
        <v>Theresa Jung|46293|1</v>
      </c>
      <c r="T12" s="55" t="str">
        <f>IF(G12="","",IFERROR(INDEX(Stammdaten!$O$10:$O$69,MATCH(G12,Stammdaten!$N$10:$N$69,0)),G12)&amp;IF(H12="Vormittag"," (VM)",IF(H12="Nachmittag"," (NM)",""))&amp;IF(I12="Angefragt"," ?",""))</f>
        <v>T. Jung</v>
      </c>
      <c r="U12" s="55" t="str">
        <f t="shared" si="6"/>
        <v>A-11</v>
      </c>
    </row>
    <row r="13" spans="1:21" ht="16.5" customHeight="1" x14ac:dyDescent="0.25">
      <c r="B13" s="47">
        <f t="shared" si="0"/>
        <v>8</v>
      </c>
      <c r="C13" s="48">
        <v>46293</v>
      </c>
      <c r="D13" s="49" t="str">
        <f t="shared" si="1"/>
        <v>Mo</v>
      </c>
      <c r="E13" s="50">
        <f t="shared" si="2"/>
        <v>40</v>
      </c>
      <c r="F13" s="51" t="s">
        <v>90</v>
      </c>
      <c r="G13" s="52" t="s">
        <v>91</v>
      </c>
      <c r="H13" s="51" t="s">
        <v>76</v>
      </c>
      <c r="I13" s="51" t="s">
        <v>77</v>
      </c>
      <c r="J13" s="52"/>
      <c r="K13" s="53" t="str">
        <f>IF(G13="","",IFERROR(INDEX(Stammdaten!$P$10:$P$69,MATCH(G13,Stammdaten!$N$10:$N$69,0)),"–"))</f>
        <v>IT</v>
      </c>
      <c r="L13" s="53" t="str">
        <f>IF(F13="","",IFERROR(INDEX(Stammdaten!$D$10:$D$49,MATCH(F13,Stammdaten!$B$10:$B$49,0)),"–"))</f>
        <v>Fokuszone</v>
      </c>
      <c r="M13" s="54" t="str">
        <f>IF(C13="","",IF(OR(F13="",G13="",I13=""),"unvollständig",IF(I13="Storniert","storniert",IF(WEEKDAY(C13,2)&gt;5,"Wochenende",IF(COUNTIF(Stammdaten!$AD$10:$AD$30,C13)&gt;0,"Feiertag",IF(IFERROR(INDEX(Stammdaten!$I$10:$I$49,MATCH(F13,Stammdaten!$B$10:$B$49,0)),"")="Gesperrt","Platz gesperrt",IF(AND(COUNTIF($P$6:$P$605,P13)&gt;1,NOT(AND(COUNTIF($P$6:$P$605,P13)=2,COUNTIFS($P$6:$P$605,P13,$H$6:$H$605,"Vormittag")=1,COUNTIFS($P$6:$P$605,P13,$H$6:$H$605,"Nachmittag")=1))),"Doppelbuchung",IF(AND(COUNTIF($R$6:$R$605,R13)&gt;1,NOT(AND(COUNTIF($R$6:$R$605,R13)=2,COUNTIFS($R$6:$R$605,R13,$H$6:$H$605,"Vormittag")=1,COUNTIFS($R$6:$R$605,R13,$H$6:$H$605,"Nachmittag")=1))),"Person doppelt","OK"))))))))</f>
        <v>OK</v>
      </c>
      <c r="O13" s="55">
        <f t="shared" si="3"/>
        <v>1</v>
      </c>
      <c r="P13" s="55" t="str">
        <f t="shared" si="4"/>
        <v>A-12|46293</v>
      </c>
      <c r="Q13" s="55" t="str">
        <f>IF(P13="","",P13&amp;"|"&amp;COUNTIF(P$6:P13,P13))</f>
        <v>A-12|46293|1</v>
      </c>
      <c r="R13" s="55" t="str">
        <f t="shared" si="5"/>
        <v>Mara Winter|46293</v>
      </c>
      <c r="S13" s="55" t="str">
        <f>IF(R13="","",R13&amp;"|"&amp;COUNTIF(R$6:R13,R13))</f>
        <v>Mara Winter|46293|1</v>
      </c>
      <c r="T13" s="55" t="str">
        <f>IF(G13="","",IFERROR(INDEX(Stammdaten!$O$10:$O$69,MATCH(G13,Stammdaten!$N$10:$N$69,0)),G13)&amp;IF(H13="Vormittag"," (VM)",IF(H13="Nachmittag"," (NM)",""))&amp;IF(I13="Angefragt"," ?",""))</f>
        <v>M. Winter</v>
      </c>
      <c r="U13" s="55" t="str">
        <f t="shared" si="6"/>
        <v>A-12</v>
      </c>
    </row>
    <row r="14" spans="1:21" ht="16.5" customHeight="1" x14ac:dyDescent="0.25">
      <c r="B14" s="47">
        <f t="shared" si="0"/>
        <v>9</v>
      </c>
      <c r="C14" s="48">
        <v>46293</v>
      </c>
      <c r="D14" s="49" t="str">
        <f t="shared" si="1"/>
        <v>Mo</v>
      </c>
      <c r="E14" s="50">
        <f t="shared" si="2"/>
        <v>40</v>
      </c>
      <c r="F14" s="51" t="s">
        <v>92</v>
      </c>
      <c r="G14" s="52" t="s">
        <v>93</v>
      </c>
      <c r="H14" s="51" t="s">
        <v>76</v>
      </c>
      <c r="I14" s="51" t="s">
        <v>77</v>
      </c>
      <c r="J14" s="52"/>
      <c r="K14" s="53" t="str">
        <f>IF(G14="","",IFERROR(INDEX(Stammdaten!$P$10:$P$69,MATCH(G14,Stammdaten!$N$10:$N$69,0)),"–"))</f>
        <v>Finanzen</v>
      </c>
      <c r="L14" s="53" t="str">
        <f>IF(F14="","",IFERROR(INDEX(Stammdaten!$D$10:$D$49,MATCH(F14,Stammdaten!$B$10:$B$49,0)),"–"))</f>
        <v>Teamzone Süd</v>
      </c>
      <c r="M14" s="54" t="str">
        <f>IF(C14="","",IF(OR(F14="",G14="",I14=""),"unvollständig",IF(I14="Storniert","storniert",IF(WEEKDAY(C14,2)&gt;5,"Wochenende",IF(COUNTIF(Stammdaten!$AD$10:$AD$30,C14)&gt;0,"Feiertag",IF(IFERROR(INDEX(Stammdaten!$I$10:$I$49,MATCH(F14,Stammdaten!$B$10:$B$49,0)),"")="Gesperrt","Platz gesperrt",IF(AND(COUNTIF($P$6:$P$605,P14)&gt;1,NOT(AND(COUNTIF($P$6:$P$605,P14)=2,COUNTIFS($P$6:$P$605,P14,$H$6:$H$605,"Vormittag")=1,COUNTIFS($P$6:$P$605,P14,$H$6:$H$605,"Nachmittag")=1))),"Doppelbuchung",IF(AND(COUNTIF($R$6:$R$605,R14)&gt;1,NOT(AND(COUNTIF($R$6:$R$605,R14)=2,COUNTIFS($R$6:$R$605,R14,$H$6:$H$605,"Vormittag")=1,COUNTIFS($R$6:$R$605,R14,$H$6:$H$605,"Nachmittag")=1))),"Person doppelt","OK"))))))))</f>
        <v>OK</v>
      </c>
      <c r="O14" s="55">
        <f t="shared" si="3"/>
        <v>1</v>
      </c>
      <c r="P14" s="55" t="str">
        <f t="shared" si="4"/>
        <v>B-01|46293</v>
      </c>
      <c r="Q14" s="55" t="str">
        <f>IF(P14="","",P14&amp;"|"&amp;COUNTIF(P$6:P14,P14))</f>
        <v>B-01|46293|1</v>
      </c>
      <c r="R14" s="55" t="str">
        <f t="shared" si="5"/>
        <v>Sarah Böhm|46293</v>
      </c>
      <c r="S14" s="55" t="str">
        <f>IF(R14="","",R14&amp;"|"&amp;COUNTIF(R$6:R14,R14))</f>
        <v>Sarah Böhm|46293|1</v>
      </c>
      <c r="T14" s="55" t="str">
        <f>IF(G14="","",IFERROR(INDEX(Stammdaten!$O$10:$O$69,MATCH(G14,Stammdaten!$N$10:$N$69,0)),G14)&amp;IF(H14="Vormittag"," (VM)",IF(H14="Nachmittag"," (NM)",""))&amp;IF(I14="Angefragt"," ?",""))</f>
        <v>S. Böhm</v>
      </c>
      <c r="U14" s="55" t="str">
        <f t="shared" si="6"/>
        <v>B-01</v>
      </c>
    </row>
    <row r="15" spans="1:21" ht="16.5" customHeight="1" x14ac:dyDescent="0.25">
      <c r="B15" s="47">
        <f t="shared" si="0"/>
        <v>10</v>
      </c>
      <c r="C15" s="48">
        <v>46293</v>
      </c>
      <c r="D15" s="49" t="str">
        <f t="shared" si="1"/>
        <v>Mo</v>
      </c>
      <c r="E15" s="50">
        <f t="shared" si="2"/>
        <v>40</v>
      </c>
      <c r="F15" s="51" t="s">
        <v>94</v>
      </c>
      <c r="G15" s="52" t="s">
        <v>95</v>
      </c>
      <c r="H15" s="51" t="s">
        <v>76</v>
      </c>
      <c r="I15" s="51" t="s">
        <v>77</v>
      </c>
      <c r="J15" s="52"/>
      <c r="K15" s="53" t="str">
        <f>IF(G15="","",IFERROR(INDEX(Stammdaten!$P$10:$P$69,MATCH(G15,Stammdaten!$N$10:$N$69,0)),"–"))</f>
        <v>Finanzen</v>
      </c>
      <c r="L15" s="53" t="str">
        <f>IF(F15="","",IFERROR(INDEX(Stammdaten!$D$10:$D$49,MATCH(F15,Stammdaten!$B$10:$B$49,0)),"–"))</f>
        <v>Teamzone Süd</v>
      </c>
      <c r="M15" s="54" t="str">
        <f>IF(C15="","",IF(OR(F15="",G15="",I15=""),"unvollständig",IF(I15="Storniert","storniert",IF(WEEKDAY(C15,2)&gt;5,"Wochenende",IF(COUNTIF(Stammdaten!$AD$10:$AD$30,C15)&gt;0,"Feiertag",IF(IFERROR(INDEX(Stammdaten!$I$10:$I$49,MATCH(F15,Stammdaten!$B$10:$B$49,0)),"")="Gesperrt","Platz gesperrt",IF(AND(COUNTIF($P$6:$P$605,P15)&gt;1,NOT(AND(COUNTIF($P$6:$P$605,P15)=2,COUNTIFS($P$6:$P$605,P15,$H$6:$H$605,"Vormittag")=1,COUNTIFS($P$6:$P$605,P15,$H$6:$H$605,"Nachmittag")=1))),"Doppelbuchung",IF(AND(COUNTIF($R$6:$R$605,R15)&gt;1,NOT(AND(COUNTIF($R$6:$R$605,R15)=2,COUNTIFS($R$6:$R$605,R15,$H$6:$H$605,"Vormittag")=1,COUNTIFS($R$6:$R$605,R15,$H$6:$H$605,"Nachmittag")=1))),"Person doppelt","OK"))))))))</f>
        <v>OK</v>
      </c>
      <c r="O15" s="55">
        <f t="shared" si="3"/>
        <v>1</v>
      </c>
      <c r="P15" s="55" t="str">
        <f t="shared" si="4"/>
        <v>B-02|46293</v>
      </c>
      <c r="Q15" s="55" t="str">
        <f>IF(P15="","",P15&amp;"|"&amp;COUNTIF(P$6:P15,P15))</f>
        <v>B-02|46293|1</v>
      </c>
      <c r="R15" s="55" t="str">
        <f t="shared" si="5"/>
        <v>Hanna Roth|46293</v>
      </c>
      <c r="S15" s="55" t="str">
        <f>IF(R15="","",R15&amp;"|"&amp;COUNTIF(R$6:R15,R15))</f>
        <v>Hanna Roth|46293|1</v>
      </c>
      <c r="T15" s="55" t="str">
        <f>IF(G15="","",IFERROR(INDEX(Stammdaten!$O$10:$O$69,MATCH(G15,Stammdaten!$N$10:$N$69,0)),G15)&amp;IF(H15="Vormittag"," (VM)",IF(H15="Nachmittag"," (NM)",""))&amp;IF(I15="Angefragt"," ?",""))</f>
        <v>H. Roth</v>
      </c>
      <c r="U15" s="55" t="str">
        <f t="shared" si="6"/>
        <v>B-02</v>
      </c>
    </row>
    <row r="16" spans="1:21" ht="16.5" customHeight="1" x14ac:dyDescent="0.25">
      <c r="B16" s="47">
        <f t="shared" si="0"/>
        <v>11</v>
      </c>
      <c r="C16" s="48">
        <v>46293</v>
      </c>
      <c r="D16" s="49" t="str">
        <f t="shared" si="1"/>
        <v>Mo</v>
      </c>
      <c r="E16" s="50">
        <f t="shared" si="2"/>
        <v>40</v>
      </c>
      <c r="F16" s="51" t="s">
        <v>96</v>
      </c>
      <c r="G16" s="52" t="s">
        <v>97</v>
      </c>
      <c r="H16" s="51" t="s">
        <v>76</v>
      </c>
      <c r="I16" s="51" t="s">
        <v>77</v>
      </c>
      <c r="J16" s="52"/>
      <c r="K16" s="53" t="str">
        <f>IF(G16="","",IFERROR(INDEX(Stammdaten!$P$10:$P$69,MATCH(G16,Stammdaten!$N$10:$N$69,0)),"–"))</f>
        <v>Personal</v>
      </c>
      <c r="L16" s="53" t="str">
        <f>IF(F16="","",IFERROR(INDEX(Stammdaten!$D$10:$D$49,MATCH(F16,Stammdaten!$B$10:$B$49,0)),"–"))</f>
        <v>Teamzone Süd</v>
      </c>
      <c r="M16" s="54" t="str">
        <f>IF(C16="","",IF(OR(F16="",G16="",I16=""),"unvollständig",IF(I16="Storniert","storniert",IF(WEEKDAY(C16,2)&gt;5,"Wochenende",IF(COUNTIF(Stammdaten!$AD$10:$AD$30,C16)&gt;0,"Feiertag",IF(IFERROR(INDEX(Stammdaten!$I$10:$I$49,MATCH(F16,Stammdaten!$B$10:$B$49,0)),"")="Gesperrt","Platz gesperrt",IF(AND(COUNTIF($P$6:$P$605,P16)&gt;1,NOT(AND(COUNTIF($P$6:$P$605,P16)=2,COUNTIFS($P$6:$P$605,P16,$H$6:$H$605,"Vormittag")=1,COUNTIFS($P$6:$P$605,P16,$H$6:$H$605,"Nachmittag")=1))),"Doppelbuchung",IF(AND(COUNTIF($R$6:$R$605,R16)&gt;1,NOT(AND(COUNTIF($R$6:$R$605,R16)=2,COUNTIFS($R$6:$R$605,R16,$H$6:$H$605,"Vormittag")=1,COUNTIFS($R$6:$R$605,R16,$H$6:$H$605,"Nachmittag")=1))),"Person doppelt","OK"))))))))</f>
        <v>OK</v>
      </c>
      <c r="O16" s="55">
        <f t="shared" si="3"/>
        <v>1</v>
      </c>
      <c r="P16" s="55" t="str">
        <f t="shared" si="4"/>
        <v>B-06|46293</v>
      </c>
      <c r="Q16" s="55" t="str">
        <f>IF(P16="","",P16&amp;"|"&amp;COUNTIF(P$6:P16,P16))</f>
        <v>B-06|46293|1</v>
      </c>
      <c r="R16" s="55" t="str">
        <f t="shared" si="5"/>
        <v>Moritz Keller|46293</v>
      </c>
      <c r="S16" s="55" t="str">
        <f>IF(R16="","",R16&amp;"|"&amp;COUNTIF(R$6:R16,R16))</f>
        <v>Moritz Keller|46293|1</v>
      </c>
      <c r="T16" s="55" t="str">
        <f>IF(G16="","",IFERROR(INDEX(Stammdaten!$O$10:$O$69,MATCH(G16,Stammdaten!$N$10:$N$69,0)),G16)&amp;IF(H16="Vormittag"," (VM)",IF(H16="Nachmittag"," (NM)",""))&amp;IF(I16="Angefragt"," ?",""))</f>
        <v>M. Keller</v>
      </c>
      <c r="U16" s="55" t="str">
        <f t="shared" si="6"/>
        <v>B-06</v>
      </c>
    </row>
    <row r="17" spans="2:21" ht="16.5" customHeight="1" x14ac:dyDescent="0.25">
      <c r="B17" s="47">
        <f t="shared" si="0"/>
        <v>12</v>
      </c>
      <c r="C17" s="48">
        <v>46293</v>
      </c>
      <c r="D17" s="49" t="str">
        <f t="shared" si="1"/>
        <v>Mo</v>
      </c>
      <c r="E17" s="50">
        <f t="shared" si="2"/>
        <v>40</v>
      </c>
      <c r="F17" s="51" t="s">
        <v>98</v>
      </c>
      <c r="G17" s="52" t="s">
        <v>99</v>
      </c>
      <c r="H17" s="51" t="s">
        <v>76</v>
      </c>
      <c r="I17" s="51" t="s">
        <v>77</v>
      </c>
      <c r="J17" s="52"/>
      <c r="K17" s="53" t="str">
        <f>IF(G17="","",IFERROR(INDEX(Stammdaten!$P$10:$P$69,MATCH(G17,Stammdaten!$N$10:$N$69,0)),"–"))</f>
        <v>Finanzen</v>
      </c>
      <c r="L17" s="53" t="str">
        <f>IF(F17="","",IFERROR(INDEX(Stammdaten!$D$10:$D$49,MATCH(F17,Stammdaten!$B$10:$B$49,0)),"–"))</f>
        <v>Teamzone Süd</v>
      </c>
      <c r="M17" s="54" t="str">
        <f>IF(C17="","",IF(OR(F17="",G17="",I17=""),"unvollständig",IF(I17="Storniert","storniert",IF(WEEKDAY(C17,2)&gt;5,"Wochenende",IF(COUNTIF(Stammdaten!$AD$10:$AD$30,C17)&gt;0,"Feiertag",IF(IFERROR(INDEX(Stammdaten!$I$10:$I$49,MATCH(F17,Stammdaten!$B$10:$B$49,0)),"")="Gesperrt","Platz gesperrt",IF(AND(COUNTIF($P$6:$P$605,P17)&gt;1,NOT(AND(COUNTIF($P$6:$P$605,P17)=2,COUNTIFS($P$6:$P$605,P17,$H$6:$H$605,"Vormittag")=1,COUNTIFS($P$6:$P$605,P17,$H$6:$H$605,"Nachmittag")=1))),"Doppelbuchung",IF(AND(COUNTIF($R$6:$R$605,R17)&gt;1,NOT(AND(COUNTIF($R$6:$R$605,R17)=2,COUNTIFS($R$6:$R$605,R17,$H$6:$H$605,"Vormittag")=1,COUNTIFS($R$6:$R$605,R17,$H$6:$H$605,"Nachmittag")=1))),"Person doppelt","OK"))))))))</f>
        <v>OK</v>
      </c>
      <c r="O17" s="55">
        <f t="shared" si="3"/>
        <v>1</v>
      </c>
      <c r="P17" s="55" t="str">
        <f t="shared" si="4"/>
        <v>B-08|46293</v>
      </c>
      <c r="Q17" s="55" t="str">
        <f>IF(P17="","",P17&amp;"|"&amp;COUNTIF(P$6:P17,P17))</f>
        <v>B-08|46293|1</v>
      </c>
      <c r="R17" s="55" t="str">
        <f t="shared" si="5"/>
        <v>Erik Neumann|46293</v>
      </c>
      <c r="S17" s="55" t="str">
        <f>IF(R17="","",R17&amp;"|"&amp;COUNTIF(R$6:R17,R17))</f>
        <v>Erik Neumann|46293|1</v>
      </c>
      <c r="T17" s="55" t="str">
        <f>IF(G17="","",IFERROR(INDEX(Stammdaten!$O$10:$O$69,MATCH(G17,Stammdaten!$N$10:$N$69,0)),G17)&amp;IF(H17="Vormittag"," (VM)",IF(H17="Nachmittag"," (NM)",""))&amp;IF(I17="Angefragt"," ?",""))</f>
        <v>E. Neumann</v>
      </c>
      <c r="U17" s="55" t="str">
        <f t="shared" si="6"/>
        <v>B-08</v>
      </c>
    </row>
    <row r="18" spans="2:21" ht="16.5" customHeight="1" x14ac:dyDescent="0.25">
      <c r="B18" s="47">
        <f t="shared" si="0"/>
        <v>13</v>
      </c>
      <c r="C18" s="48">
        <v>46293</v>
      </c>
      <c r="D18" s="49" t="str">
        <f t="shared" si="1"/>
        <v>Mo</v>
      </c>
      <c r="E18" s="50">
        <f t="shared" si="2"/>
        <v>40</v>
      </c>
      <c r="F18" s="51" t="s">
        <v>100</v>
      </c>
      <c r="G18" s="52" t="s">
        <v>101</v>
      </c>
      <c r="H18" s="51" t="s">
        <v>76</v>
      </c>
      <c r="I18" s="51" t="s">
        <v>77</v>
      </c>
      <c r="J18" s="52"/>
      <c r="K18" s="53" t="str">
        <f>IF(G18="","",IFERROR(INDEX(Stammdaten!$P$10:$P$69,MATCH(G18,Stammdaten!$N$10:$N$69,0)),"–"))</f>
        <v>IT</v>
      </c>
      <c r="L18" s="53" t="str">
        <f>IF(F18="","",IFERROR(INDEX(Stammdaten!$D$10:$D$49,MATCH(F18,Stammdaten!$B$10:$B$49,0)),"–"))</f>
        <v>Projektfläche</v>
      </c>
      <c r="M18" s="54" t="str">
        <f>IF(C18="","",IF(OR(F18="",G18="",I18=""),"unvollständig",IF(I18="Storniert","storniert",IF(WEEKDAY(C18,2)&gt;5,"Wochenende",IF(COUNTIF(Stammdaten!$AD$10:$AD$30,C18)&gt;0,"Feiertag",IF(IFERROR(INDEX(Stammdaten!$I$10:$I$49,MATCH(F18,Stammdaten!$B$10:$B$49,0)),"")="Gesperrt","Platz gesperrt",IF(AND(COUNTIF($P$6:$P$605,P18)&gt;1,NOT(AND(COUNTIF($P$6:$P$605,P18)=2,COUNTIFS($P$6:$P$605,P18,$H$6:$H$605,"Vormittag")=1,COUNTIFS($P$6:$P$605,P18,$H$6:$H$605,"Nachmittag")=1))),"Doppelbuchung",IF(AND(COUNTIF($R$6:$R$605,R18)&gt;1,NOT(AND(COUNTIF($R$6:$R$605,R18)=2,COUNTIFS($R$6:$R$605,R18,$H$6:$H$605,"Vormittag")=1,COUNTIFS($R$6:$R$605,R18,$H$6:$H$605,"Nachmittag")=1))),"Person doppelt","OK"))))))))</f>
        <v>OK</v>
      </c>
      <c r="O18" s="55">
        <f t="shared" si="3"/>
        <v>1</v>
      </c>
      <c r="P18" s="55" t="str">
        <f t="shared" si="4"/>
        <v>B-09|46293</v>
      </c>
      <c r="Q18" s="55" t="str">
        <f>IF(P18="","",P18&amp;"|"&amp;COUNTIF(P$6:P18,P18))</f>
        <v>B-09|46293|1</v>
      </c>
      <c r="R18" s="55" t="str">
        <f t="shared" si="5"/>
        <v>Daniel Ritter|46293</v>
      </c>
      <c r="S18" s="55" t="str">
        <f>IF(R18="","",R18&amp;"|"&amp;COUNTIF(R$6:R18,R18))</f>
        <v>Daniel Ritter|46293|1</v>
      </c>
      <c r="T18" s="55" t="str">
        <f>IF(G18="","",IFERROR(INDEX(Stammdaten!$O$10:$O$69,MATCH(G18,Stammdaten!$N$10:$N$69,0)),G18)&amp;IF(H18="Vormittag"," (VM)",IF(H18="Nachmittag"," (NM)",""))&amp;IF(I18="Angefragt"," ?",""))</f>
        <v>D. Ritter</v>
      </c>
      <c r="U18" s="55" t="str">
        <f t="shared" si="6"/>
        <v>B-09</v>
      </c>
    </row>
    <row r="19" spans="2:21" ht="16.5" customHeight="1" x14ac:dyDescent="0.25">
      <c r="B19" s="47">
        <f t="shared" si="0"/>
        <v>14</v>
      </c>
      <c r="C19" s="48">
        <v>46293</v>
      </c>
      <c r="D19" s="49" t="str">
        <f t="shared" si="1"/>
        <v>Mo</v>
      </c>
      <c r="E19" s="50">
        <f t="shared" si="2"/>
        <v>40</v>
      </c>
      <c r="F19" s="51" t="s">
        <v>102</v>
      </c>
      <c r="G19" s="52" t="s">
        <v>103</v>
      </c>
      <c r="H19" s="51" t="s">
        <v>76</v>
      </c>
      <c r="I19" s="51" t="s">
        <v>77</v>
      </c>
      <c r="J19" s="52"/>
      <c r="K19" s="53" t="str">
        <f>IF(G19="","",IFERROR(INDEX(Stammdaten!$P$10:$P$69,MATCH(G19,Stammdaten!$N$10:$N$69,0)),"–"))</f>
        <v>Projektmanagement</v>
      </c>
      <c r="L19" s="53" t="str">
        <f>IF(F19="","",IFERROR(INDEX(Stammdaten!$D$10:$D$49,MATCH(F19,Stammdaten!$B$10:$B$49,0)),"–"))</f>
        <v>Projektfläche</v>
      </c>
      <c r="M19" s="54" t="str">
        <f>IF(C19="","",IF(OR(F19="",G19="",I19=""),"unvollständig",IF(I19="Storniert","storniert",IF(WEEKDAY(C19,2)&gt;5,"Wochenende",IF(COUNTIF(Stammdaten!$AD$10:$AD$30,C19)&gt;0,"Feiertag",IF(IFERROR(INDEX(Stammdaten!$I$10:$I$49,MATCH(F19,Stammdaten!$B$10:$B$49,0)),"")="Gesperrt","Platz gesperrt",IF(AND(COUNTIF($P$6:$P$605,P19)&gt;1,NOT(AND(COUNTIF($P$6:$P$605,P19)=2,COUNTIFS($P$6:$P$605,P19,$H$6:$H$605,"Vormittag")=1,COUNTIFS($P$6:$P$605,P19,$H$6:$H$605,"Nachmittag")=1))),"Doppelbuchung",IF(AND(COUNTIF($R$6:$R$605,R19)&gt;1,NOT(AND(COUNTIF($R$6:$R$605,R19)=2,COUNTIFS($R$6:$R$605,R19,$H$6:$H$605,"Vormittag")=1,COUNTIFS($R$6:$R$605,R19,$H$6:$H$605,"Nachmittag")=1))),"Person doppelt","OK"))))))))</f>
        <v>OK</v>
      </c>
      <c r="O19" s="55">
        <f t="shared" si="3"/>
        <v>1</v>
      </c>
      <c r="P19" s="55" t="str">
        <f t="shared" si="4"/>
        <v>B-10|46293</v>
      </c>
      <c r="Q19" s="55" t="str">
        <f>IF(P19="","",P19&amp;"|"&amp;COUNTIF(P$6:P19,P19))</f>
        <v>B-10|46293|1</v>
      </c>
      <c r="R19" s="55" t="str">
        <f t="shared" si="5"/>
        <v>Kevin Brandl|46293</v>
      </c>
      <c r="S19" s="55" t="str">
        <f>IF(R19="","",R19&amp;"|"&amp;COUNTIF(R$6:R19,R19))</f>
        <v>Kevin Brandl|46293|1</v>
      </c>
      <c r="T19" s="55" t="str">
        <f>IF(G19="","",IFERROR(INDEX(Stammdaten!$O$10:$O$69,MATCH(G19,Stammdaten!$N$10:$N$69,0)),G19)&amp;IF(H19="Vormittag"," (VM)",IF(H19="Nachmittag"," (NM)",""))&amp;IF(I19="Angefragt"," ?",""))</f>
        <v>K. Brandl</v>
      </c>
      <c r="U19" s="55" t="str">
        <f t="shared" si="6"/>
        <v>B-10</v>
      </c>
    </row>
    <row r="20" spans="2:21" ht="16.5" customHeight="1" x14ac:dyDescent="0.25">
      <c r="B20" s="47">
        <f t="shared" si="0"/>
        <v>15</v>
      </c>
      <c r="C20" s="48">
        <v>46293</v>
      </c>
      <c r="D20" s="49" t="str">
        <f t="shared" si="1"/>
        <v>Mo</v>
      </c>
      <c r="E20" s="50">
        <f t="shared" si="2"/>
        <v>40</v>
      </c>
      <c r="F20" s="51" t="s">
        <v>104</v>
      </c>
      <c r="G20" s="52" t="s">
        <v>105</v>
      </c>
      <c r="H20" s="51" t="s">
        <v>76</v>
      </c>
      <c r="I20" s="51" t="s">
        <v>77</v>
      </c>
      <c r="J20" s="52"/>
      <c r="K20" s="53" t="str">
        <f>IF(G20="","",IFERROR(INDEX(Stammdaten!$P$10:$P$69,MATCH(G20,Stammdaten!$N$10:$N$69,0)),"–"))</f>
        <v>Projektmanagement</v>
      </c>
      <c r="L20" s="53" t="str">
        <f>IF(F20="","",IFERROR(INDEX(Stammdaten!$D$10:$D$49,MATCH(F20,Stammdaten!$B$10:$B$49,0)),"–"))</f>
        <v>Projektfläche</v>
      </c>
      <c r="M20" s="54" t="str">
        <f>IF(C20="","",IF(OR(F20="",G20="",I20=""),"unvollständig",IF(I20="Storniert","storniert",IF(WEEKDAY(C20,2)&gt;5,"Wochenende",IF(COUNTIF(Stammdaten!$AD$10:$AD$30,C20)&gt;0,"Feiertag",IF(IFERROR(INDEX(Stammdaten!$I$10:$I$49,MATCH(F20,Stammdaten!$B$10:$B$49,0)),"")="Gesperrt","Platz gesperrt",IF(AND(COUNTIF($P$6:$P$605,P20)&gt;1,NOT(AND(COUNTIF($P$6:$P$605,P20)=2,COUNTIFS($P$6:$P$605,P20,$H$6:$H$605,"Vormittag")=1,COUNTIFS($P$6:$P$605,P20,$H$6:$H$605,"Nachmittag")=1))),"Doppelbuchung",IF(AND(COUNTIF($R$6:$R$605,R20)&gt;1,NOT(AND(COUNTIF($R$6:$R$605,R20)=2,COUNTIFS($R$6:$R$605,R20,$H$6:$H$605,"Vormittag")=1,COUNTIFS($R$6:$R$605,R20,$H$6:$H$605,"Nachmittag")=1))),"Person doppelt","OK"))))))))</f>
        <v>OK</v>
      </c>
      <c r="O20" s="55">
        <f t="shared" si="3"/>
        <v>1</v>
      </c>
      <c r="P20" s="55" t="str">
        <f t="shared" si="4"/>
        <v>B-11|46293</v>
      </c>
      <c r="Q20" s="55" t="str">
        <f>IF(P20="","",P20&amp;"|"&amp;COUNTIF(P$6:P20,P20))</f>
        <v>B-11|46293|1</v>
      </c>
      <c r="R20" s="55" t="str">
        <f t="shared" si="5"/>
        <v>Philipp Haas|46293</v>
      </c>
      <c r="S20" s="55" t="str">
        <f>IF(R20="","",R20&amp;"|"&amp;COUNTIF(R$6:R20,R20))</f>
        <v>Philipp Haas|46293|1</v>
      </c>
      <c r="T20" s="55" t="str">
        <f>IF(G20="","",IFERROR(INDEX(Stammdaten!$O$10:$O$69,MATCH(G20,Stammdaten!$N$10:$N$69,0)),G20)&amp;IF(H20="Vormittag"," (VM)",IF(H20="Nachmittag"," (NM)",""))&amp;IF(I20="Angefragt"," ?",""))</f>
        <v>P. Haas</v>
      </c>
      <c r="U20" s="55" t="str">
        <f t="shared" si="6"/>
        <v>B-11</v>
      </c>
    </row>
    <row r="21" spans="2:21" ht="16.5" customHeight="1" x14ac:dyDescent="0.25">
      <c r="B21" s="47">
        <f t="shared" si="0"/>
        <v>16</v>
      </c>
      <c r="C21" s="48">
        <v>46293</v>
      </c>
      <c r="D21" s="49" t="str">
        <f t="shared" si="1"/>
        <v>Mo</v>
      </c>
      <c r="E21" s="50">
        <f t="shared" si="2"/>
        <v>40</v>
      </c>
      <c r="F21" s="51" t="s">
        <v>106</v>
      </c>
      <c r="G21" s="52" t="s">
        <v>107</v>
      </c>
      <c r="H21" s="51" t="s">
        <v>76</v>
      </c>
      <c r="I21" s="51" t="s">
        <v>77</v>
      </c>
      <c r="J21" s="52"/>
      <c r="K21" s="53" t="str">
        <f>IF(G21="","",IFERROR(INDEX(Stammdaten!$P$10:$P$69,MATCH(G21,Stammdaten!$N$10:$N$69,0)),"–"))</f>
        <v>IT</v>
      </c>
      <c r="L21" s="53" t="str">
        <f>IF(F21="","",IFERROR(INDEX(Stammdaten!$D$10:$D$49,MATCH(F21,Stammdaten!$B$10:$B$49,0)),"–"))</f>
        <v>Projektfläche</v>
      </c>
      <c r="M21" s="54" t="str">
        <f>IF(C21="","",IF(OR(F21="",G21="",I21=""),"unvollständig",IF(I21="Storniert","storniert",IF(WEEKDAY(C21,2)&gt;5,"Wochenende",IF(COUNTIF(Stammdaten!$AD$10:$AD$30,C21)&gt;0,"Feiertag",IF(IFERROR(INDEX(Stammdaten!$I$10:$I$49,MATCH(F21,Stammdaten!$B$10:$B$49,0)),"")="Gesperrt","Platz gesperrt",IF(AND(COUNTIF($P$6:$P$605,P21)&gt;1,NOT(AND(COUNTIF($P$6:$P$605,P21)=2,COUNTIFS($P$6:$P$605,P21,$H$6:$H$605,"Vormittag")=1,COUNTIFS($P$6:$P$605,P21,$H$6:$H$605,"Nachmittag")=1))),"Doppelbuchung",IF(AND(COUNTIF($R$6:$R$605,R21)&gt;1,NOT(AND(COUNTIF($R$6:$R$605,R21)=2,COUNTIFS($R$6:$R$605,R21,$H$6:$H$605,"Vormittag")=1,COUNTIFS($R$6:$R$605,R21,$H$6:$H$605,"Nachmittag")=1))),"Person doppelt","OK"))))))))</f>
        <v>OK</v>
      </c>
      <c r="O21" s="55">
        <f t="shared" si="3"/>
        <v>1</v>
      </c>
      <c r="P21" s="55" t="str">
        <f t="shared" si="4"/>
        <v>B-12|46293</v>
      </c>
      <c r="Q21" s="55" t="str">
        <f>IF(P21="","",P21&amp;"|"&amp;COUNTIF(P$6:P21,P21))</f>
        <v>B-12|46293|1</v>
      </c>
      <c r="R21" s="55" t="str">
        <f t="shared" si="5"/>
        <v>Katharina Busch|46293</v>
      </c>
      <c r="S21" s="55" t="str">
        <f>IF(R21="","",R21&amp;"|"&amp;COUNTIF(R$6:R21,R21))</f>
        <v>Katharina Busch|46293|1</v>
      </c>
      <c r="T21" s="55" t="str">
        <f>IF(G21="","",IFERROR(INDEX(Stammdaten!$O$10:$O$69,MATCH(G21,Stammdaten!$N$10:$N$69,0)),G21)&amp;IF(H21="Vormittag"," (VM)",IF(H21="Nachmittag"," (NM)",""))&amp;IF(I21="Angefragt"," ?",""))</f>
        <v>K. Busch</v>
      </c>
      <c r="U21" s="55" t="str">
        <f t="shared" si="6"/>
        <v>B-12</v>
      </c>
    </row>
    <row r="22" spans="2:21" ht="16.5" customHeight="1" x14ac:dyDescent="0.25">
      <c r="B22" s="47">
        <f t="shared" si="0"/>
        <v>17</v>
      </c>
      <c r="C22" s="48">
        <v>46294</v>
      </c>
      <c r="D22" s="49" t="str">
        <f t="shared" si="1"/>
        <v>Di</v>
      </c>
      <c r="E22" s="50">
        <f t="shared" si="2"/>
        <v>40</v>
      </c>
      <c r="F22" s="51" t="s">
        <v>74</v>
      </c>
      <c r="G22" s="52" t="s">
        <v>108</v>
      </c>
      <c r="H22" s="51" t="s">
        <v>76</v>
      </c>
      <c r="I22" s="51" t="s">
        <v>77</v>
      </c>
      <c r="J22" s="52"/>
      <c r="K22" s="53" t="str">
        <f>IF(G22="","",IFERROR(INDEX(Stammdaten!$P$10:$P$69,MATCH(G22,Stammdaten!$N$10:$N$69,0)),"–"))</f>
        <v>Marketing</v>
      </c>
      <c r="L22" s="53" t="str">
        <f>IF(F22="","",IFERROR(INDEX(Stammdaten!$D$10:$D$49,MATCH(F22,Stammdaten!$B$10:$B$49,0)),"–"))</f>
        <v>Teamzone Nord</v>
      </c>
      <c r="M22" s="54" t="str">
        <f>IF(C22="","",IF(OR(F22="",G22="",I22=""),"unvollständig",IF(I22="Storniert","storniert",IF(WEEKDAY(C22,2)&gt;5,"Wochenende",IF(COUNTIF(Stammdaten!$AD$10:$AD$30,C22)&gt;0,"Feiertag",IF(IFERROR(INDEX(Stammdaten!$I$10:$I$49,MATCH(F22,Stammdaten!$B$10:$B$49,0)),"")="Gesperrt","Platz gesperrt",IF(AND(COUNTIF($P$6:$P$605,P22)&gt;1,NOT(AND(COUNTIF($P$6:$P$605,P22)=2,COUNTIFS($P$6:$P$605,P22,$H$6:$H$605,"Vormittag")=1,COUNTIFS($P$6:$P$605,P22,$H$6:$H$605,"Nachmittag")=1))),"Doppelbuchung",IF(AND(COUNTIF($R$6:$R$605,R22)&gt;1,NOT(AND(COUNTIF($R$6:$R$605,R22)=2,COUNTIFS($R$6:$R$605,R22,$H$6:$H$605,"Vormittag")=1,COUNTIFS($R$6:$R$605,R22,$H$6:$H$605,"Nachmittag")=1))),"Person doppelt","OK"))))))))</f>
        <v>OK</v>
      </c>
      <c r="O22" s="55">
        <f t="shared" si="3"/>
        <v>1</v>
      </c>
      <c r="P22" s="55" t="str">
        <f t="shared" si="4"/>
        <v>A-01|46294</v>
      </c>
      <c r="Q22" s="55" t="str">
        <f>IF(P22="","",P22&amp;"|"&amp;COUNTIF(P$6:P22,P22))</f>
        <v>A-01|46294|1</v>
      </c>
      <c r="R22" s="55" t="str">
        <f t="shared" si="5"/>
        <v>Aylin Demir|46294</v>
      </c>
      <c r="S22" s="55" t="str">
        <f>IF(R22="","",R22&amp;"|"&amp;COUNTIF(R$6:R22,R22))</f>
        <v>Aylin Demir|46294|1</v>
      </c>
      <c r="T22" s="55" t="str">
        <f>IF(G22="","",IFERROR(INDEX(Stammdaten!$O$10:$O$69,MATCH(G22,Stammdaten!$N$10:$N$69,0)),G22)&amp;IF(H22="Vormittag"," (VM)",IF(H22="Nachmittag"," (NM)",""))&amp;IF(I22="Angefragt"," ?",""))</f>
        <v>A. Demir</v>
      </c>
      <c r="U22" s="55" t="str">
        <f t="shared" si="6"/>
        <v>A-01</v>
      </c>
    </row>
    <row r="23" spans="2:21" ht="16.5" customHeight="1" x14ac:dyDescent="0.25">
      <c r="B23" s="47">
        <f t="shared" si="0"/>
        <v>18</v>
      </c>
      <c r="C23" s="48">
        <v>46294</v>
      </c>
      <c r="D23" s="49" t="str">
        <f t="shared" si="1"/>
        <v>Di</v>
      </c>
      <c r="E23" s="50">
        <f t="shared" si="2"/>
        <v>40</v>
      </c>
      <c r="F23" s="51" t="s">
        <v>78</v>
      </c>
      <c r="G23" s="52" t="s">
        <v>79</v>
      </c>
      <c r="H23" s="51" t="s">
        <v>76</v>
      </c>
      <c r="I23" s="51" t="s">
        <v>77</v>
      </c>
      <c r="J23" s="52"/>
      <c r="K23" s="53" t="str">
        <f>IF(G23="","",IFERROR(INDEX(Stammdaten!$P$10:$P$69,MATCH(G23,Stammdaten!$N$10:$N$69,0)),"–"))</f>
        <v>Vertrieb</v>
      </c>
      <c r="L23" s="53" t="str">
        <f>IF(F23="","",IFERROR(INDEX(Stammdaten!$D$10:$D$49,MATCH(F23,Stammdaten!$B$10:$B$49,0)),"–"))</f>
        <v>Teamzone Nord</v>
      </c>
      <c r="M23" s="54" t="str">
        <f>IF(C23="","",IF(OR(F23="",G23="",I23=""),"unvollständig",IF(I23="Storniert","storniert",IF(WEEKDAY(C23,2)&gt;5,"Wochenende",IF(COUNTIF(Stammdaten!$AD$10:$AD$30,C23)&gt;0,"Feiertag",IF(IFERROR(INDEX(Stammdaten!$I$10:$I$49,MATCH(F23,Stammdaten!$B$10:$B$49,0)),"")="Gesperrt","Platz gesperrt",IF(AND(COUNTIF($P$6:$P$605,P23)&gt;1,NOT(AND(COUNTIF($P$6:$P$605,P23)=2,COUNTIFS($P$6:$P$605,P23,$H$6:$H$605,"Vormittag")=1,COUNTIFS($P$6:$P$605,P23,$H$6:$H$605,"Nachmittag")=1))),"Doppelbuchung",IF(AND(COUNTIF($R$6:$R$605,R23)&gt;1,NOT(AND(COUNTIF($R$6:$R$605,R23)=2,COUNTIFS($R$6:$R$605,R23,$H$6:$H$605,"Vormittag")=1,COUNTIFS($R$6:$R$605,R23,$H$6:$H$605,"Nachmittag")=1))),"Person doppelt","OK"))))))))</f>
        <v>OK</v>
      </c>
      <c r="O23" s="55">
        <f t="shared" si="3"/>
        <v>1</v>
      </c>
      <c r="P23" s="55" t="str">
        <f t="shared" si="4"/>
        <v>A-02|46294</v>
      </c>
      <c r="Q23" s="55" t="str">
        <f>IF(P23="","",P23&amp;"|"&amp;COUNTIF(P$6:P23,P23))</f>
        <v>A-02|46294|1</v>
      </c>
      <c r="R23" s="55" t="str">
        <f t="shared" si="5"/>
        <v>Lena Hartmann|46294</v>
      </c>
      <c r="S23" s="55" t="str">
        <f>IF(R23="","",R23&amp;"|"&amp;COUNTIF(R$6:R23,R23))</f>
        <v>Lena Hartmann|46294|1</v>
      </c>
      <c r="T23" s="55" t="str">
        <f>IF(G23="","",IFERROR(INDEX(Stammdaten!$O$10:$O$69,MATCH(G23,Stammdaten!$N$10:$N$69,0)),G23)&amp;IF(H23="Vormittag"," (VM)",IF(H23="Nachmittag"," (NM)",""))&amp;IF(I23="Angefragt"," ?",""))</f>
        <v>L. Hartmann</v>
      </c>
      <c r="U23" s="55" t="str">
        <f t="shared" si="6"/>
        <v>A-02</v>
      </c>
    </row>
    <row r="24" spans="2:21" ht="16.5" customHeight="1" x14ac:dyDescent="0.25">
      <c r="B24" s="47">
        <f t="shared" si="0"/>
        <v>19</v>
      </c>
      <c r="C24" s="48">
        <v>46294</v>
      </c>
      <c r="D24" s="49" t="str">
        <f t="shared" si="1"/>
        <v>Di</v>
      </c>
      <c r="E24" s="50">
        <f t="shared" si="2"/>
        <v>40</v>
      </c>
      <c r="F24" s="51" t="s">
        <v>109</v>
      </c>
      <c r="G24" s="52" t="s">
        <v>85</v>
      </c>
      <c r="H24" s="51" t="s">
        <v>76</v>
      </c>
      <c r="I24" s="51" t="s">
        <v>77</v>
      </c>
      <c r="J24" s="52"/>
      <c r="K24" s="53" t="str">
        <f>IF(G24="","",IFERROR(INDEX(Stammdaten!$P$10:$P$69,MATCH(G24,Stammdaten!$N$10:$N$69,0)),"–"))</f>
        <v>Vertrieb</v>
      </c>
      <c r="L24" s="53" t="str">
        <f>IF(F24="","",IFERROR(INDEX(Stammdaten!$D$10:$D$49,MATCH(F24,Stammdaten!$B$10:$B$49,0)),"–"))</f>
        <v>Teamzone Nord</v>
      </c>
      <c r="M24" s="54" t="str">
        <f>IF(C24="","",IF(OR(F24="",G24="",I24=""),"unvollständig",IF(I24="Storniert","storniert",IF(WEEKDAY(C24,2)&gt;5,"Wochenende",IF(COUNTIF(Stammdaten!$AD$10:$AD$30,C24)&gt;0,"Feiertag",IF(IFERROR(INDEX(Stammdaten!$I$10:$I$49,MATCH(F24,Stammdaten!$B$10:$B$49,0)),"")="Gesperrt","Platz gesperrt",IF(AND(COUNTIF($P$6:$P$605,P24)&gt;1,NOT(AND(COUNTIF($P$6:$P$605,P24)=2,COUNTIFS($P$6:$P$605,P24,$H$6:$H$605,"Vormittag")=1,COUNTIFS($P$6:$P$605,P24,$H$6:$H$605,"Nachmittag")=1))),"Doppelbuchung",IF(AND(COUNTIF($R$6:$R$605,R24)&gt;1,NOT(AND(COUNTIF($R$6:$R$605,R24)=2,COUNTIFS($R$6:$R$605,R24,$H$6:$H$605,"Vormittag")=1,COUNTIFS($R$6:$R$605,R24,$H$6:$H$605,"Nachmittag")=1))),"Person doppelt","OK"))))))))</f>
        <v>OK</v>
      </c>
      <c r="O24" s="55">
        <f t="shared" si="3"/>
        <v>1</v>
      </c>
      <c r="P24" s="55" t="str">
        <f t="shared" si="4"/>
        <v>A-03|46294</v>
      </c>
      <c r="Q24" s="55" t="str">
        <f>IF(P24="","",P24&amp;"|"&amp;COUNTIF(P$6:P24,P24))</f>
        <v>A-03|46294|1</v>
      </c>
      <c r="R24" s="55" t="str">
        <f t="shared" si="5"/>
        <v>Miriam Krause|46294</v>
      </c>
      <c r="S24" s="55" t="str">
        <f>IF(R24="","",R24&amp;"|"&amp;COUNTIF(R$6:R24,R24))</f>
        <v>Miriam Krause|46294|1</v>
      </c>
      <c r="T24" s="55" t="str">
        <f>IF(G24="","",IFERROR(INDEX(Stammdaten!$O$10:$O$69,MATCH(G24,Stammdaten!$N$10:$N$69,0)),G24)&amp;IF(H24="Vormittag"," (VM)",IF(H24="Nachmittag"," (NM)",""))&amp;IF(I24="Angefragt"," ?",""))</f>
        <v>M. Krause</v>
      </c>
      <c r="U24" s="55" t="str">
        <f t="shared" si="6"/>
        <v>A-03</v>
      </c>
    </row>
    <row r="25" spans="2:21" ht="16.5" customHeight="1" x14ac:dyDescent="0.25">
      <c r="B25" s="47">
        <f t="shared" si="0"/>
        <v>20</v>
      </c>
      <c r="C25" s="48">
        <v>46294</v>
      </c>
      <c r="D25" s="49" t="str">
        <f t="shared" si="1"/>
        <v>Di</v>
      </c>
      <c r="E25" s="50">
        <f t="shared" si="2"/>
        <v>40</v>
      </c>
      <c r="F25" s="51" t="s">
        <v>110</v>
      </c>
      <c r="G25" s="52" t="s">
        <v>83</v>
      </c>
      <c r="H25" s="51" t="s">
        <v>76</v>
      </c>
      <c r="I25" s="51" t="s">
        <v>77</v>
      </c>
      <c r="J25" s="52"/>
      <c r="K25" s="53" t="str">
        <f>IF(G25="","",IFERROR(INDEX(Stammdaten!$P$10:$P$69,MATCH(G25,Stammdaten!$N$10:$N$69,0)),"–"))</f>
        <v>Marketing</v>
      </c>
      <c r="L25" s="53" t="str">
        <f>IF(F25="","",IFERROR(INDEX(Stammdaten!$D$10:$D$49,MATCH(F25,Stammdaten!$B$10:$B$49,0)),"–"))</f>
        <v>Teamzone Nord</v>
      </c>
      <c r="M25" s="54" t="str">
        <f>IF(C25="","",IF(OR(F25="",G25="",I25=""),"unvollständig",IF(I25="Storniert","storniert",IF(WEEKDAY(C25,2)&gt;5,"Wochenende",IF(COUNTIF(Stammdaten!$AD$10:$AD$30,C25)&gt;0,"Feiertag",IF(IFERROR(INDEX(Stammdaten!$I$10:$I$49,MATCH(F25,Stammdaten!$B$10:$B$49,0)),"")="Gesperrt","Platz gesperrt",IF(AND(COUNTIF($P$6:$P$605,P25)&gt;1,NOT(AND(COUNTIF($P$6:$P$605,P25)=2,COUNTIFS($P$6:$P$605,P25,$H$6:$H$605,"Vormittag")=1,COUNTIFS($P$6:$P$605,P25,$H$6:$H$605,"Nachmittag")=1))),"Doppelbuchung",IF(AND(COUNTIF($R$6:$R$605,R25)&gt;1,NOT(AND(COUNTIF($R$6:$R$605,R25)=2,COUNTIFS($R$6:$R$605,R25,$H$6:$H$605,"Vormittag")=1,COUNTIFS($R$6:$R$605,R25,$H$6:$H$605,"Nachmittag")=1))),"Person doppelt","OK"))))))))</f>
        <v>OK</v>
      </c>
      <c r="O25" s="55">
        <f t="shared" si="3"/>
        <v>1</v>
      </c>
      <c r="P25" s="55" t="str">
        <f t="shared" si="4"/>
        <v>A-04|46294</v>
      </c>
      <c r="Q25" s="55" t="str">
        <f>IF(P25="","",P25&amp;"|"&amp;COUNTIF(P$6:P25,P25))</f>
        <v>A-04|46294|1</v>
      </c>
      <c r="R25" s="55" t="str">
        <f t="shared" si="5"/>
        <v>Felix Engel|46294</v>
      </c>
      <c r="S25" s="55" t="str">
        <f>IF(R25="","",R25&amp;"|"&amp;COUNTIF(R$6:R25,R25))</f>
        <v>Felix Engel|46294|1</v>
      </c>
      <c r="T25" s="55" t="str">
        <f>IF(G25="","",IFERROR(INDEX(Stammdaten!$O$10:$O$69,MATCH(G25,Stammdaten!$N$10:$N$69,0)),G25)&amp;IF(H25="Vormittag"," (VM)",IF(H25="Nachmittag"," (NM)",""))&amp;IF(I25="Angefragt"," ?",""))</f>
        <v>F. Engel</v>
      </c>
      <c r="U25" s="55" t="str">
        <f t="shared" si="6"/>
        <v>A-04</v>
      </c>
    </row>
    <row r="26" spans="2:21" ht="16.5" customHeight="1" x14ac:dyDescent="0.25">
      <c r="B26" s="47">
        <f t="shared" si="0"/>
        <v>21</v>
      </c>
      <c r="C26" s="48">
        <v>46294</v>
      </c>
      <c r="D26" s="49" t="str">
        <f t="shared" si="1"/>
        <v>Di</v>
      </c>
      <c r="E26" s="50">
        <f t="shared" si="2"/>
        <v>40</v>
      </c>
      <c r="F26" s="51" t="s">
        <v>80</v>
      </c>
      <c r="G26" s="52" t="s">
        <v>111</v>
      </c>
      <c r="H26" s="51" t="s">
        <v>76</v>
      </c>
      <c r="I26" s="51" t="s">
        <v>77</v>
      </c>
      <c r="J26" s="52"/>
      <c r="K26" s="53" t="str">
        <f>IF(G26="","",IFERROR(INDEX(Stammdaten!$P$10:$P$69,MATCH(G26,Stammdaten!$N$10:$N$69,0)),"–"))</f>
        <v>Vertrieb</v>
      </c>
      <c r="L26" s="53" t="str">
        <f>IF(F26="","",IFERROR(INDEX(Stammdaten!$D$10:$D$49,MATCH(F26,Stammdaten!$B$10:$B$49,0)),"–"))</f>
        <v>Teamzone Nord</v>
      </c>
      <c r="M26" s="54" t="str">
        <f>IF(C26="","",IF(OR(F26="",G26="",I26=""),"unvollständig",IF(I26="Storniert","storniert",IF(WEEKDAY(C26,2)&gt;5,"Wochenende",IF(COUNTIF(Stammdaten!$AD$10:$AD$30,C26)&gt;0,"Feiertag",IF(IFERROR(INDEX(Stammdaten!$I$10:$I$49,MATCH(F26,Stammdaten!$B$10:$B$49,0)),"")="Gesperrt","Platz gesperrt",IF(AND(COUNTIF($P$6:$P$605,P26)&gt;1,NOT(AND(COUNTIF($P$6:$P$605,P26)=2,COUNTIFS($P$6:$P$605,P26,$H$6:$H$605,"Vormittag")=1,COUNTIFS($P$6:$P$605,P26,$H$6:$H$605,"Nachmittag")=1))),"Doppelbuchung",IF(AND(COUNTIF($R$6:$R$605,R26)&gt;1,NOT(AND(COUNTIF($R$6:$R$605,R26)=2,COUNTIFS($R$6:$R$605,R26,$H$6:$H$605,"Vormittag")=1,COUNTIFS($R$6:$R$605,R26,$H$6:$H$605,"Nachmittag")=1))),"Person doppelt","OK"))))))))</f>
        <v>OK</v>
      </c>
      <c r="O26" s="55">
        <f t="shared" si="3"/>
        <v>1</v>
      </c>
      <c r="P26" s="55" t="str">
        <f t="shared" si="4"/>
        <v>A-05|46294</v>
      </c>
      <c r="Q26" s="55" t="str">
        <f>IF(P26="","",P26&amp;"|"&amp;COUNTIF(P$6:P26,P26))</f>
        <v>A-05|46294|1</v>
      </c>
      <c r="R26" s="55" t="str">
        <f t="shared" si="5"/>
        <v>Sophie Brandt|46294</v>
      </c>
      <c r="S26" s="55" t="str">
        <f>IF(R26="","",R26&amp;"|"&amp;COUNTIF(R$6:R26,R26))</f>
        <v>Sophie Brandt|46294|1</v>
      </c>
      <c r="T26" s="55" t="str">
        <f>IF(G26="","",IFERROR(INDEX(Stammdaten!$O$10:$O$69,MATCH(G26,Stammdaten!$N$10:$N$69,0)),G26)&amp;IF(H26="Vormittag"," (VM)",IF(H26="Nachmittag"," (NM)",""))&amp;IF(I26="Angefragt"," ?",""))</f>
        <v>S. Brandt</v>
      </c>
      <c r="U26" s="55" t="str">
        <f t="shared" si="6"/>
        <v>A-05</v>
      </c>
    </row>
    <row r="27" spans="2:21" ht="16.5" customHeight="1" x14ac:dyDescent="0.25">
      <c r="B27" s="47">
        <f t="shared" si="0"/>
        <v>22</v>
      </c>
      <c r="C27" s="48">
        <v>46294</v>
      </c>
      <c r="D27" s="49" t="str">
        <f t="shared" si="1"/>
        <v>Di</v>
      </c>
      <c r="E27" s="50">
        <f t="shared" si="2"/>
        <v>40</v>
      </c>
      <c r="F27" s="51" t="s">
        <v>82</v>
      </c>
      <c r="G27" s="52" t="s">
        <v>81</v>
      </c>
      <c r="H27" s="51" t="s">
        <v>76</v>
      </c>
      <c r="I27" s="51" t="s">
        <v>77</v>
      </c>
      <c r="J27" s="52"/>
      <c r="K27" s="53" t="str">
        <f>IF(G27="","",IFERROR(INDEX(Stammdaten!$P$10:$P$69,MATCH(G27,Stammdaten!$N$10:$N$69,0)),"–"))</f>
        <v>Vertrieb</v>
      </c>
      <c r="L27" s="53" t="str">
        <f>IF(F27="","",IFERROR(INDEX(Stammdaten!$D$10:$D$49,MATCH(F27,Stammdaten!$B$10:$B$49,0)),"–"))</f>
        <v>Teamzone Nord</v>
      </c>
      <c r="M27" s="54" t="str">
        <f>IF(C27="","",IF(OR(F27="",G27="",I27=""),"unvollständig",IF(I27="Storniert","storniert",IF(WEEKDAY(C27,2)&gt;5,"Wochenende",IF(COUNTIF(Stammdaten!$AD$10:$AD$30,C27)&gt;0,"Feiertag",IF(IFERROR(INDEX(Stammdaten!$I$10:$I$49,MATCH(F27,Stammdaten!$B$10:$B$49,0)),"")="Gesperrt","Platz gesperrt",IF(AND(COUNTIF($P$6:$P$605,P27)&gt;1,NOT(AND(COUNTIF($P$6:$P$605,P27)=2,COUNTIFS($P$6:$P$605,P27,$H$6:$H$605,"Vormittag")=1,COUNTIFS($P$6:$P$605,P27,$H$6:$H$605,"Nachmittag")=1))),"Doppelbuchung",IF(AND(COUNTIF($R$6:$R$605,R27)&gt;1,NOT(AND(COUNTIF($R$6:$R$605,R27)=2,COUNTIFS($R$6:$R$605,R27,$H$6:$H$605,"Vormittag")=1,COUNTIFS($R$6:$R$605,R27,$H$6:$H$605,"Nachmittag")=1))),"Person doppelt","OK"))))))))</f>
        <v>OK</v>
      </c>
      <c r="O27" s="55">
        <f t="shared" si="3"/>
        <v>1</v>
      </c>
      <c r="P27" s="55" t="str">
        <f t="shared" si="4"/>
        <v>A-06|46294</v>
      </c>
      <c r="Q27" s="55" t="str">
        <f>IF(P27="","",P27&amp;"|"&amp;COUNTIF(P$6:P27,P27))</f>
        <v>A-06|46294|1</v>
      </c>
      <c r="R27" s="55" t="str">
        <f t="shared" si="5"/>
        <v>Nina Albrecht|46294</v>
      </c>
      <c r="S27" s="55" t="str">
        <f>IF(R27="","",R27&amp;"|"&amp;COUNTIF(R$6:R27,R27))</f>
        <v>Nina Albrecht|46294|1</v>
      </c>
      <c r="T27" s="55" t="str">
        <f>IF(G27="","",IFERROR(INDEX(Stammdaten!$O$10:$O$69,MATCH(G27,Stammdaten!$N$10:$N$69,0)),G27)&amp;IF(H27="Vormittag"," (VM)",IF(H27="Nachmittag"," (NM)",""))&amp;IF(I27="Angefragt"," ?",""))</f>
        <v>N. Albrecht</v>
      </c>
      <c r="U27" s="55" t="str">
        <f t="shared" si="6"/>
        <v>A-06</v>
      </c>
    </row>
    <row r="28" spans="2:21" ht="16.5" customHeight="1" x14ac:dyDescent="0.25">
      <c r="B28" s="47">
        <f t="shared" si="0"/>
        <v>23</v>
      </c>
      <c r="C28" s="48">
        <v>46294</v>
      </c>
      <c r="D28" s="49" t="str">
        <f t="shared" si="1"/>
        <v>Di</v>
      </c>
      <c r="E28" s="50">
        <f t="shared" si="2"/>
        <v>40</v>
      </c>
      <c r="F28" s="51" t="s">
        <v>84</v>
      </c>
      <c r="G28" s="52" t="s">
        <v>112</v>
      </c>
      <c r="H28" s="51" t="s">
        <v>76</v>
      </c>
      <c r="I28" s="51" t="s">
        <v>77</v>
      </c>
      <c r="J28" s="52"/>
      <c r="K28" s="53" t="str">
        <f>IF(G28="","",IFERROR(INDEX(Stammdaten!$P$10:$P$69,MATCH(G28,Stammdaten!$N$10:$N$69,0)),"–"))</f>
        <v>Marketing</v>
      </c>
      <c r="L28" s="53" t="str">
        <f>IF(F28="","",IFERROR(INDEX(Stammdaten!$D$10:$D$49,MATCH(F28,Stammdaten!$B$10:$B$49,0)),"–"))</f>
        <v>Teamzone Nord</v>
      </c>
      <c r="M28" s="54" t="str">
        <f>IF(C28="","",IF(OR(F28="",G28="",I28=""),"unvollständig",IF(I28="Storniert","storniert",IF(WEEKDAY(C28,2)&gt;5,"Wochenende",IF(COUNTIF(Stammdaten!$AD$10:$AD$30,C28)&gt;0,"Feiertag",IF(IFERROR(INDEX(Stammdaten!$I$10:$I$49,MATCH(F28,Stammdaten!$B$10:$B$49,0)),"")="Gesperrt","Platz gesperrt",IF(AND(COUNTIF($P$6:$P$605,P28)&gt;1,NOT(AND(COUNTIF($P$6:$P$605,P28)=2,COUNTIFS($P$6:$P$605,P28,$H$6:$H$605,"Vormittag")=1,COUNTIFS($P$6:$P$605,P28,$H$6:$H$605,"Nachmittag")=1))),"Doppelbuchung",IF(AND(COUNTIF($R$6:$R$605,R28)&gt;1,NOT(AND(COUNTIF($R$6:$R$605,R28)=2,COUNTIFS($R$6:$R$605,R28,$H$6:$H$605,"Vormittag")=1,COUNTIFS($R$6:$R$605,R28,$H$6:$H$605,"Nachmittag")=1))),"Person doppelt","OK"))))))))</f>
        <v>OK</v>
      </c>
      <c r="O28" s="55">
        <f t="shared" si="3"/>
        <v>1</v>
      </c>
      <c r="P28" s="55" t="str">
        <f t="shared" si="4"/>
        <v>A-07|46294</v>
      </c>
      <c r="Q28" s="55" t="str">
        <f>IF(P28="","",P28&amp;"|"&amp;COUNTIF(P$6:P28,P28))</f>
        <v>A-07|46294|1</v>
      </c>
      <c r="R28" s="55" t="str">
        <f t="shared" si="5"/>
        <v>Clara Vogt|46294</v>
      </c>
      <c r="S28" s="55" t="str">
        <f>IF(R28="","",R28&amp;"|"&amp;COUNTIF(R$6:R28,R28))</f>
        <v>Clara Vogt|46294|1</v>
      </c>
      <c r="T28" s="55" t="str">
        <f>IF(G28="","",IFERROR(INDEX(Stammdaten!$O$10:$O$69,MATCH(G28,Stammdaten!$N$10:$N$69,0)),G28)&amp;IF(H28="Vormittag"," (VM)",IF(H28="Nachmittag"," (NM)",""))&amp;IF(I28="Angefragt"," ?",""))</f>
        <v>C. Vogt</v>
      </c>
      <c r="U28" s="55" t="str">
        <f t="shared" si="6"/>
        <v>A-07</v>
      </c>
    </row>
    <row r="29" spans="2:21" ht="16.5" customHeight="1" x14ac:dyDescent="0.25">
      <c r="B29" s="47">
        <f t="shared" si="0"/>
        <v>24</v>
      </c>
      <c r="C29" s="48">
        <v>46294</v>
      </c>
      <c r="D29" s="49" t="str">
        <f t="shared" si="1"/>
        <v>Di</v>
      </c>
      <c r="E29" s="50">
        <f t="shared" si="2"/>
        <v>40</v>
      </c>
      <c r="F29" s="51" t="s">
        <v>86</v>
      </c>
      <c r="G29" s="52" t="s">
        <v>75</v>
      </c>
      <c r="H29" s="51" t="s">
        <v>76</v>
      </c>
      <c r="I29" s="51" t="s">
        <v>77</v>
      </c>
      <c r="J29" s="52"/>
      <c r="K29" s="53" t="str">
        <f>IF(G29="","",IFERROR(INDEX(Stammdaten!$P$10:$P$69,MATCH(G29,Stammdaten!$N$10:$N$69,0)),"–"))</f>
        <v>Marketing</v>
      </c>
      <c r="L29" s="53" t="str">
        <f>IF(F29="","",IFERROR(INDEX(Stammdaten!$D$10:$D$49,MATCH(F29,Stammdaten!$B$10:$B$49,0)),"–"))</f>
        <v>Teamzone Nord</v>
      </c>
      <c r="M29" s="54" t="str">
        <f>IF(C29="","",IF(OR(F29="",G29="",I29=""),"unvollständig",IF(I29="Storniert","storniert",IF(WEEKDAY(C29,2)&gt;5,"Wochenende",IF(COUNTIF(Stammdaten!$AD$10:$AD$30,C29)&gt;0,"Feiertag",IF(IFERROR(INDEX(Stammdaten!$I$10:$I$49,MATCH(F29,Stammdaten!$B$10:$B$49,0)),"")="Gesperrt","Platz gesperrt",IF(AND(COUNTIF($P$6:$P$605,P29)&gt;1,NOT(AND(COUNTIF($P$6:$P$605,P29)=2,COUNTIFS($P$6:$P$605,P29,$H$6:$H$605,"Vormittag")=1,COUNTIFS($P$6:$P$605,P29,$H$6:$H$605,"Nachmittag")=1))),"Doppelbuchung",IF(AND(COUNTIF($R$6:$R$605,R29)&gt;1,NOT(AND(COUNTIF($R$6:$R$605,R29)=2,COUNTIFS($R$6:$R$605,R29,$H$6:$H$605,"Vormittag")=1,COUNTIFS($R$6:$R$605,R29,$H$6:$H$605,"Nachmittag")=1))),"Person doppelt","OK"))))))))</f>
        <v>OK</v>
      </c>
      <c r="O29" s="55">
        <f t="shared" si="3"/>
        <v>1</v>
      </c>
      <c r="P29" s="55" t="str">
        <f t="shared" si="4"/>
        <v>A-08|46294</v>
      </c>
      <c r="Q29" s="55" t="str">
        <f>IF(P29="","",P29&amp;"|"&amp;COUNTIF(P$6:P29,P29))</f>
        <v>A-08|46294|1</v>
      </c>
      <c r="R29" s="55" t="str">
        <f t="shared" si="5"/>
        <v>Marco Seidel|46294</v>
      </c>
      <c r="S29" s="55" t="str">
        <f>IF(R29="","",R29&amp;"|"&amp;COUNTIF(R$6:R29,R29))</f>
        <v>Marco Seidel|46294|1</v>
      </c>
      <c r="T29" s="55" t="str">
        <f>IF(G29="","",IFERROR(INDEX(Stammdaten!$O$10:$O$69,MATCH(G29,Stammdaten!$N$10:$N$69,0)),G29)&amp;IF(H29="Vormittag"," (VM)",IF(H29="Nachmittag"," (NM)",""))&amp;IF(I29="Angefragt"," ?",""))</f>
        <v>M. Seidel</v>
      </c>
      <c r="U29" s="55" t="str">
        <f t="shared" si="6"/>
        <v>A-08</v>
      </c>
    </row>
    <row r="30" spans="2:21" ht="16.5" customHeight="1" x14ac:dyDescent="0.25">
      <c r="B30" s="47">
        <f t="shared" si="0"/>
        <v>25</v>
      </c>
      <c r="C30" s="48">
        <v>46294</v>
      </c>
      <c r="D30" s="49" t="str">
        <f t="shared" si="1"/>
        <v>Di</v>
      </c>
      <c r="E30" s="50">
        <f t="shared" si="2"/>
        <v>40</v>
      </c>
      <c r="F30" s="51" t="s">
        <v>113</v>
      </c>
      <c r="G30" s="52" t="s">
        <v>114</v>
      </c>
      <c r="H30" s="51" t="s">
        <v>76</v>
      </c>
      <c r="I30" s="51" t="s">
        <v>77</v>
      </c>
      <c r="J30" s="52"/>
      <c r="K30" s="53" t="str">
        <f>IF(G30="","",IFERROR(INDEX(Stammdaten!$P$10:$P$69,MATCH(G30,Stammdaten!$N$10:$N$69,0)),"–"))</f>
        <v>Projektmanagement</v>
      </c>
      <c r="L30" s="53" t="str">
        <f>IF(F30="","",IFERROR(INDEX(Stammdaten!$D$10:$D$49,MATCH(F30,Stammdaten!$B$10:$B$49,0)),"–"))</f>
        <v>Fokuszone</v>
      </c>
      <c r="M30" s="54" t="str">
        <f>IF(C30="","",IF(OR(F30="",G30="",I30=""),"unvollständig",IF(I30="Storniert","storniert",IF(WEEKDAY(C30,2)&gt;5,"Wochenende",IF(COUNTIF(Stammdaten!$AD$10:$AD$30,C30)&gt;0,"Feiertag",IF(IFERROR(INDEX(Stammdaten!$I$10:$I$49,MATCH(F30,Stammdaten!$B$10:$B$49,0)),"")="Gesperrt","Platz gesperrt",IF(AND(COUNTIF($P$6:$P$605,P30)&gt;1,NOT(AND(COUNTIF($P$6:$P$605,P30)=2,COUNTIFS($P$6:$P$605,P30,$H$6:$H$605,"Vormittag")=1,COUNTIFS($P$6:$P$605,P30,$H$6:$H$605,"Nachmittag")=1))),"Doppelbuchung",IF(AND(COUNTIF($R$6:$R$605,R30)&gt;1,NOT(AND(COUNTIF($R$6:$R$605,R30)=2,COUNTIFS($R$6:$R$605,R30,$H$6:$H$605,"Vormittag")=1,COUNTIFS($R$6:$R$605,R30,$H$6:$H$605,"Nachmittag")=1))),"Person doppelt","OK"))))))))</f>
        <v>OK</v>
      </c>
      <c r="O30" s="55">
        <f t="shared" si="3"/>
        <v>1</v>
      </c>
      <c r="P30" s="55" t="str">
        <f t="shared" si="4"/>
        <v>A-10|46294</v>
      </c>
      <c r="Q30" s="55" t="str">
        <f>IF(P30="","",P30&amp;"|"&amp;COUNTIF(P$6:P30,P30))</f>
        <v>A-10|46294|1</v>
      </c>
      <c r="R30" s="55" t="str">
        <f t="shared" si="5"/>
        <v>Isabel Marx|46294</v>
      </c>
      <c r="S30" s="55" t="str">
        <f>IF(R30="","",R30&amp;"|"&amp;COUNTIF(R$6:R30,R30))</f>
        <v>Isabel Marx|46294|1</v>
      </c>
      <c r="T30" s="55" t="str">
        <f>IF(G30="","",IFERROR(INDEX(Stammdaten!$O$10:$O$69,MATCH(G30,Stammdaten!$N$10:$N$69,0)),G30)&amp;IF(H30="Vormittag"," (VM)",IF(H30="Nachmittag"," (NM)",""))&amp;IF(I30="Angefragt"," ?",""))</f>
        <v>I. Marx</v>
      </c>
      <c r="U30" s="55" t="str">
        <f t="shared" si="6"/>
        <v>A-10</v>
      </c>
    </row>
    <row r="31" spans="2:21" ht="16.5" customHeight="1" x14ac:dyDescent="0.25">
      <c r="B31" s="47">
        <f t="shared" si="0"/>
        <v>26</v>
      </c>
      <c r="C31" s="48">
        <v>46294</v>
      </c>
      <c r="D31" s="49" t="str">
        <f t="shared" si="1"/>
        <v>Di</v>
      </c>
      <c r="E31" s="50">
        <f t="shared" si="2"/>
        <v>40</v>
      </c>
      <c r="F31" s="51" t="s">
        <v>90</v>
      </c>
      <c r="G31" s="52" t="s">
        <v>115</v>
      </c>
      <c r="H31" s="51" t="s">
        <v>76</v>
      </c>
      <c r="I31" s="51" t="s">
        <v>77</v>
      </c>
      <c r="J31" s="52"/>
      <c r="K31" s="53" t="str">
        <f>IF(G31="","",IFERROR(INDEX(Stammdaten!$P$10:$P$69,MATCH(G31,Stammdaten!$N$10:$N$69,0)),"–"))</f>
        <v>Projektmanagement</v>
      </c>
      <c r="L31" s="53" t="str">
        <f>IF(F31="","",IFERROR(INDEX(Stammdaten!$D$10:$D$49,MATCH(F31,Stammdaten!$B$10:$B$49,0)),"–"))</f>
        <v>Fokuszone</v>
      </c>
      <c r="M31" s="54" t="str">
        <f>IF(C31="","",IF(OR(F31="",G31="",I31=""),"unvollständig",IF(I31="Storniert","storniert",IF(WEEKDAY(C31,2)&gt;5,"Wochenende",IF(COUNTIF(Stammdaten!$AD$10:$AD$30,C31)&gt;0,"Feiertag",IF(IFERROR(INDEX(Stammdaten!$I$10:$I$49,MATCH(F31,Stammdaten!$B$10:$B$49,0)),"")="Gesperrt","Platz gesperrt",IF(AND(COUNTIF($P$6:$P$605,P31)&gt;1,NOT(AND(COUNTIF($P$6:$P$605,P31)=2,COUNTIFS($P$6:$P$605,P31,$H$6:$H$605,"Vormittag")=1,COUNTIFS($P$6:$P$605,P31,$H$6:$H$605,"Nachmittag")=1))),"Doppelbuchung",IF(AND(COUNTIF($R$6:$R$605,R31)&gt;1,NOT(AND(COUNTIF($R$6:$R$605,R31)=2,COUNTIFS($R$6:$R$605,R31,$H$6:$H$605,"Vormittag")=1,COUNTIFS($R$6:$R$605,R31,$H$6:$H$605,"Nachmittag")=1))),"Person doppelt","OK"))))))))</f>
        <v>OK</v>
      </c>
      <c r="O31" s="55">
        <f t="shared" si="3"/>
        <v>1</v>
      </c>
      <c r="P31" s="55" t="str">
        <f t="shared" si="4"/>
        <v>A-12|46294</v>
      </c>
      <c r="Q31" s="55" t="str">
        <f>IF(P31="","",P31&amp;"|"&amp;COUNTIF(P$6:P31,P31))</f>
        <v>A-12|46294|1</v>
      </c>
      <c r="R31" s="55" t="str">
        <f t="shared" si="5"/>
        <v>Jan Peters|46294</v>
      </c>
      <c r="S31" s="55" t="str">
        <f>IF(R31="","",R31&amp;"|"&amp;COUNTIF(R$6:R31,R31))</f>
        <v>Jan Peters|46294|1</v>
      </c>
      <c r="T31" s="55" t="str">
        <f>IF(G31="","",IFERROR(INDEX(Stammdaten!$O$10:$O$69,MATCH(G31,Stammdaten!$N$10:$N$69,0)),G31)&amp;IF(H31="Vormittag"," (VM)",IF(H31="Nachmittag"," (NM)",""))&amp;IF(I31="Angefragt"," ?",""))</f>
        <v>J. Peters</v>
      </c>
      <c r="U31" s="55" t="str">
        <f t="shared" si="6"/>
        <v>A-12</v>
      </c>
    </row>
    <row r="32" spans="2:21" ht="16.5" customHeight="1" x14ac:dyDescent="0.25">
      <c r="B32" s="47">
        <f t="shared" si="0"/>
        <v>27</v>
      </c>
      <c r="C32" s="48">
        <v>46294</v>
      </c>
      <c r="D32" s="49" t="str">
        <f t="shared" si="1"/>
        <v>Di</v>
      </c>
      <c r="E32" s="50">
        <f t="shared" si="2"/>
        <v>40</v>
      </c>
      <c r="F32" s="51" t="s">
        <v>92</v>
      </c>
      <c r="G32" s="52" t="s">
        <v>93</v>
      </c>
      <c r="H32" s="51" t="s">
        <v>76</v>
      </c>
      <c r="I32" s="51" t="s">
        <v>77</v>
      </c>
      <c r="J32" s="52"/>
      <c r="K32" s="53" t="str">
        <f>IF(G32="","",IFERROR(INDEX(Stammdaten!$P$10:$P$69,MATCH(G32,Stammdaten!$N$10:$N$69,0)),"–"))</f>
        <v>Finanzen</v>
      </c>
      <c r="L32" s="53" t="str">
        <f>IF(F32="","",IFERROR(INDEX(Stammdaten!$D$10:$D$49,MATCH(F32,Stammdaten!$B$10:$B$49,0)),"–"))</f>
        <v>Teamzone Süd</v>
      </c>
      <c r="M32" s="54" t="str">
        <f>IF(C32="","",IF(OR(F32="",G32="",I32=""),"unvollständig",IF(I32="Storniert","storniert",IF(WEEKDAY(C32,2)&gt;5,"Wochenende",IF(COUNTIF(Stammdaten!$AD$10:$AD$30,C32)&gt;0,"Feiertag",IF(IFERROR(INDEX(Stammdaten!$I$10:$I$49,MATCH(F32,Stammdaten!$B$10:$B$49,0)),"")="Gesperrt","Platz gesperrt",IF(AND(COUNTIF($P$6:$P$605,P32)&gt;1,NOT(AND(COUNTIF($P$6:$P$605,P32)=2,COUNTIFS($P$6:$P$605,P32,$H$6:$H$605,"Vormittag")=1,COUNTIFS($P$6:$P$605,P32,$H$6:$H$605,"Nachmittag")=1))),"Doppelbuchung",IF(AND(COUNTIF($R$6:$R$605,R32)&gt;1,NOT(AND(COUNTIF($R$6:$R$605,R32)=2,COUNTIFS($R$6:$R$605,R32,$H$6:$H$605,"Vormittag")=1,COUNTIFS($R$6:$R$605,R32,$H$6:$H$605,"Nachmittag")=1))),"Person doppelt","OK"))))))))</f>
        <v>OK</v>
      </c>
      <c r="O32" s="55">
        <f t="shared" si="3"/>
        <v>1</v>
      </c>
      <c r="P32" s="55" t="str">
        <f t="shared" si="4"/>
        <v>B-01|46294</v>
      </c>
      <c r="Q32" s="55" t="str">
        <f>IF(P32="","",P32&amp;"|"&amp;COUNTIF(P$6:P32,P32))</f>
        <v>B-01|46294|1</v>
      </c>
      <c r="R32" s="55" t="str">
        <f t="shared" si="5"/>
        <v>Sarah Böhm|46294</v>
      </c>
      <c r="S32" s="55" t="str">
        <f>IF(R32="","",R32&amp;"|"&amp;COUNTIF(R$6:R32,R32))</f>
        <v>Sarah Böhm|46294|1</v>
      </c>
      <c r="T32" s="55" t="str">
        <f>IF(G32="","",IFERROR(INDEX(Stammdaten!$O$10:$O$69,MATCH(G32,Stammdaten!$N$10:$N$69,0)),G32)&amp;IF(H32="Vormittag"," (VM)",IF(H32="Nachmittag"," (NM)",""))&amp;IF(I32="Angefragt"," ?",""))</f>
        <v>S. Böhm</v>
      </c>
      <c r="U32" s="55" t="str">
        <f t="shared" si="6"/>
        <v>B-01</v>
      </c>
    </row>
    <row r="33" spans="2:21" ht="16.5" customHeight="1" x14ac:dyDescent="0.25">
      <c r="B33" s="47">
        <f t="shared" si="0"/>
        <v>28</v>
      </c>
      <c r="C33" s="48">
        <v>46294</v>
      </c>
      <c r="D33" s="49" t="str">
        <f t="shared" si="1"/>
        <v>Di</v>
      </c>
      <c r="E33" s="50">
        <f t="shared" si="2"/>
        <v>40</v>
      </c>
      <c r="F33" s="51" t="s">
        <v>94</v>
      </c>
      <c r="G33" s="52" t="s">
        <v>116</v>
      </c>
      <c r="H33" s="51" t="s">
        <v>76</v>
      </c>
      <c r="I33" s="51" t="s">
        <v>77</v>
      </c>
      <c r="J33" s="52"/>
      <c r="K33" s="53" t="str">
        <f>IF(G33="","",IFERROR(INDEX(Stammdaten!$P$10:$P$69,MATCH(G33,Stammdaten!$N$10:$N$69,0)),"–"))</f>
        <v>Finanzen</v>
      </c>
      <c r="L33" s="53" t="str">
        <f>IF(F33="","",IFERROR(INDEX(Stammdaten!$D$10:$D$49,MATCH(F33,Stammdaten!$B$10:$B$49,0)),"–"))</f>
        <v>Teamzone Süd</v>
      </c>
      <c r="M33" s="54" t="str">
        <f>IF(C33="","",IF(OR(F33="",G33="",I33=""),"unvollständig",IF(I33="Storniert","storniert",IF(WEEKDAY(C33,2)&gt;5,"Wochenende",IF(COUNTIF(Stammdaten!$AD$10:$AD$30,C33)&gt;0,"Feiertag",IF(IFERROR(INDEX(Stammdaten!$I$10:$I$49,MATCH(F33,Stammdaten!$B$10:$B$49,0)),"")="Gesperrt","Platz gesperrt",IF(AND(COUNTIF($P$6:$P$605,P33)&gt;1,NOT(AND(COUNTIF($P$6:$P$605,P33)=2,COUNTIFS($P$6:$P$605,P33,$H$6:$H$605,"Vormittag")=1,COUNTIFS($P$6:$P$605,P33,$H$6:$H$605,"Nachmittag")=1))),"Doppelbuchung",IF(AND(COUNTIF($R$6:$R$605,R33)&gt;1,NOT(AND(COUNTIF($R$6:$R$605,R33)=2,COUNTIFS($R$6:$R$605,R33,$H$6:$H$605,"Vormittag")=1,COUNTIFS($R$6:$R$605,R33,$H$6:$H$605,"Nachmittag")=1))),"Person doppelt","OK"))))))))</f>
        <v>OK</v>
      </c>
      <c r="O33" s="55">
        <f t="shared" si="3"/>
        <v>1</v>
      </c>
      <c r="P33" s="55" t="str">
        <f t="shared" si="4"/>
        <v>B-02|46294</v>
      </c>
      <c r="Q33" s="55" t="str">
        <f>IF(P33="","",P33&amp;"|"&amp;COUNTIF(P$6:P33,P33))</f>
        <v>B-02|46294|1</v>
      </c>
      <c r="R33" s="55" t="str">
        <f t="shared" si="5"/>
        <v>Julia Herrmann|46294</v>
      </c>
      <c r="S33" s="55" t="str">
        <f>IF(R33="","",R33&amp;"|"&amp;COUNTIF(R$6:R33,R33))</f>
        <v>Julia Herrmann|46294|1</v>
      </c>
      <c r="T33" s="55" t="str">
        <f>IF(G33="","",IFERROR(INDEX(Stammdaten!$O$10:$O$69,MATCH(G33,Stammdaten!$N$10:$N$69,0)),G33)&amp;IF(H33="Vormittag"," (VM)",IF(H33="Nachmittag"," (NM)",""))&amp;IF(I33="Angefragt"," ?",""))</f>
        <v>J. Herrmann</v>
      </c>
      <c r="U33" s="55" t="str">
        <f t="shared" si="6"/>
        <v>B-02</v>
      </c>
    </row>
    <row r="34" spans="2:21" ht="16.5" customHeight="1" x14ac:dyDescent="0.25">
      <c r="B34" s="47">
        <f t="shared" si="0"/>
        <v>29</v>
      </c>
      <c r="C34" s="48">
        <v>46294</v>
      </c>
      <c r="D34" s="49" t="str">
        <f t="shared" si="1"/>
        <v>Di</v>
      </c>
      <c r="E34" s="50">
        <f t="shared" si="2"/>
        <v>40</v>
      </c>
      <c r="F34" s="51" t="s">
        <v>117</v>
      </c>
      <c r="G34" s="52" t="s">
        <v>118</v>
      </c>
      <c r="H34" s="51" t="s">
        <v>76</v>
      </c>
      <c r="I34" s="51" t="s">
        <v>77</v>
      </c>
      <c r="J34" s="52"/>
      <c r="K34" s="53" t="str">
        <f>IF(G34="","",IFERROR(INDEX(Stammdaten!$P$10:$P$69,MATCH(G34,Stammdaten!$N$10:$N$69,0)),"–"))</f>
        <v>Personal</v>
      </c>
      <c r="L34" s="53" t="str">
        <f>IF(F34="","",IFERROR(INDEX(Stammdaten!$D$10:$D$49,MATCH(F34,Stammdaten!$B$10:$B$49,0)),"–"))</f>
        <v>Teamzone Süd</v>
      </c>
      <c r="M34" s="54" t="str">
        <f>IF(C34="","",IF(OR(F34="",G34="",I34=""),"unvollständig",IF(I34="Storniert","storniert",IF(WEEKDAY(C34,2)&gt;5,"Wochenende",IF(COUNTIF(Stammdaten!$AD$10:$AD$30,C34)&gt;0,"Feiertag",IF(IFERROR(INDEX(Stammdaten!$I$10:$I$49,MATCH(F34,Stammdaten!$B$10:$B$49,0)),"")="Gesperrt","Platz gesperrt",IF(AND(COUNTIF($P$6:$P$605,P34)&gt;1,NOT(AND(COUNTIF($P$6:$P$605,P34)=2,COUNTIFS($P$6:$P$605,P34,$H$6:$H$605,"Vormittag")=1,COUNTIFS($P$6:$P$605,P34,$H$6:$H$605,"Nachmittag")=1))),"Doppelbuchung",IF(AND(COUNTIF($R$6:$R$605,R34)&gt;1,NOT(AND(COUNTIF($R$6:$R$605,R34)=2,COUNTIFS($R$6:$R$605,R34,$H$6:$H$605,"Vormittag")=1,COUNTIFS($R$6:$R$605,R34,$H$6:$H$605,"Nachmittag")=1))),"Person doppelt","OK"))))))))</f>
        <v>OK</v>
      </c>
      <c r="O34" s="55">
        <f t="shared" si="3"/>
        <v>1</v>
      </c>
      <c r="P34" s="55" t="str">
        <f t="shared" si="4"/>
        <v>B-03|46294</v>
      </c>
      <c r="Q34" s="55" t="str">
        <f>IF(P34="","",P34&amp;"|"&amp;COUNTIF(P$6:P34,P34))</f>
        <v>B-03|46294|1</v>
      </c>
      <c r="R34" s="55" t="str">
        <f t="shared" si="5"/>
        <v>Anna Lorenz|46294</v>
      </c>
      <c r="S34" s="55" t="str">
        <f>IF(R34="","",R34&amp;"|"&amp;COUNTIF(R$6:R34,R34))</f>
        <v>Anna Lorenz|46294|1</v>
      </c>
      <c r="T34" s="55" t="str">
        <f>IF(G34="","",IFERROR(INDEX(Stammdaten!$O$10:$O$69,MATCH(G34,Stammdaten!$N$10:$N$69,0)),G34)&amp;IF(H34="Vormittag"," (VM)",IF(H34="Nachmittag"," (NM)",""))&amp;IF(I34="Angefragt"," ?",""))</f>
        <v>A. Lorenz</v>
      </c>
      <c r="U34" s="55" t="str">
        <f t="shared" si="6"/>
        <v>B-03</v>
      </c>
    </row>
    <row r="35" spans="2:21" ht="16.5" customHeight="1" x14ac:dyDescent="0.25">
      <c r="B35" s="47">
        <f t="shared" si="0"/>
        <v>30</v>
      </c>
      <c r="C35" s="48">
        <v>46294</v>
      </c>
      <c r="D35" s="49" t="str">
        <f t="shared" si="1"/>
        <v>Di</v>
      </c>
      <c r="E35" s="50">
        <f t="shared" si="2"/>
        <v>40</v>
      </c>
      <c r="F35" s="51" t="s">
        <v>119</v>
      </c>
      <c r="G35" s="52" t="s">
        <v>120</v>
      </c>
      <c r="H35" s="51" t="s">
        <v>76</v>
      </c>
      <c r="I35" s="51" t="s">
        <v>77</v>
      </c>
      <c r="J35" s="52"/>
      <c r="K35" s="53" t="str">
        <f>IF(G35="","",IFERROR(INDEX(Stammdaten!$P$10:$P$69,MATCH(G35,Stammdaten!$N$10:$N$69,0)),"–"))</f>
        <v>Personal</v>
      </c>
      <c r="L35" s="53" t="str">
        <f>IF(F35="","",IFERROR(INDEX(Stammdaten!$D$10:$D$49,MATCH(F35,Stammdaten!$B$10:$B$49,0)),"–"))</f>
        <v>Teamzone Süd</v>
      </c>
      <c r="M35" s="54" t="str">
        <f>IF(C35="","",IF(OR(F35="",G35="",I35=""),"unvollständig",IF(I35="Storniert","storniert",IF(WEEKDAY(C35,2)&gt;5,"Wochenende",IF(COUNTIF(Stammdaten!$AD$10:$AD$30,C35)&gt;0,"Feiertag",IF(IFERROR(INDEX(Stammdaten!$I$10:$I$49,MATCH(F35,Stammdaten!$B$10:$B$49,0)),"")="Gesperrt","Platz gesperrt",IF(AND(COUNTIF($P$6:$P$605,P35)&gt;1,NOT(AND(COUNTIF($P$6:$P$605,P35)=2,COUNTIFS($P$6:$P$605,P35,$H$6:$H$605,"Vormittag")=1,COUNTIFS($P$6:$P$605,P35,$H$6:$H$605,"Nachmittag")=1))),"Doppelbuchung",IF(AND(COUNTIF($R$6:$R$605,R35)&gt;1,NOT(AND(COUNTIF($R$6:$R$605,R35)=2,COUNTIFS($R$6:$R$605,R35,$H$6:$H$605,"Vormittag")=1,COUNTIFS($R$6:$R$605,R35,$H$6:$H$605,"Nachmittag")=1))),"Person doppelt","OK"))))))))</f>
        <v>OK</v>
      </c>
      <c r="O35" s="55">
        <f t="shared" si="3"/>
        <v>1</v>
      </c>
      <c r="P35" s="55" t="str">
        <f t="shared" si="4"/>
        <v>B-04|46294</v>
      </c>
      <c r="Q35" s="55" t="str">
        <f>IF(P35="","",P35&amp;"|"&amp;COUNTIF(P$6:P35,P35))</f>
        <v>B-04|46294|1</v>
      </c>
      <c r="R35" s="55" t="str">
        <f t="shared" si="5"/>
        <v>Elif Yilmaz|46294</v>
      </c>
      <c r="S35" s="55" t="str">
        <f>IF(R35="","",R35&amp;"|"&amp;COUNTIF(R$6:R35,R35))</f>
        <v>Elif Yilmaz|46294|1</v>
      </c>
      <c r="T35" s="55" t="str">
        <f>IF(G35="","",IFERROR(INDEX(Stammdaten!$O$10:$O$69,MATCH(G35,Stammdaten!$N$10:$N$69,0)),G35)&amp;IF(H35="Vormittag"," (VM)",IF(H35="Nachmittag"," (NM)",""))&amp;IF(I35="Angefragt"," ?",""))</f>
        <v>E. Yilmaz</v>
      </c>
      <c r="U35" s="55" t="str">
        <f t="shared" si="6"/>
        <v>B-04</v>
      </c>
    </row>
    <row r="36" spans="2:21" ht="16.5" customHeight="1" x14ac:dyDescent="0.25">
      <c r="B36" s="47">
        <f t="shared" si="0"/>
        <v>31</v>
      </c>
      <c r="C36" s="48">
        <v>46294</v>
      </c>
      <c r="D36" s="49" t="str">
        <f t="shared" si="1"/>
        <v>Di</v>
      </c>
      <c r="E36" s="50">
        <f t="shared" si="2"/>
        <v>40</v>
      </c>
      <c r="F36" s="51" t="s">
        <v>121</v>
      </c>
      <c r="G36" s="52" t="s">
        <v>122</v>
      </c>
      <c r="H36" s="51" t="s">
        <v>76</v>
      </c>
      <c r="I36" s="51" t="s">
        <v>77</v>
      </c>
      <c r="J36" s="52"/>
      <c r="K36" s="53" t="str">
        <f>IF(G36="","",IFERROR(INDEX(Stammdaten!$P$10:$P$69,MATCH(G36,Stammdaten!$N$10:$N$69,0)),"–"))</f>
        <v>Personal</v>
      </c>
      <c r="L36" s="53" t="str">
        <f>IF(F36="","",IFERROR(INDEX(Stammdaten!$D$10:$D$49,MATCH(F36,Stammdaten!$B$10:$B$49,0)),"–"))</f>
        <v>Teamzone Süd</v>
      </c>
      <c r="M36" s="54" t="str">
        <f>IF(C36="","",IF(OR(F36="",G36="",I36=""),"unvollständig",IF(I36="Storniert","storniert",IF(WEEKDAY(C36,2)&gt;5,"Wochenende",IF(COUNTIF(Stammdaten!$AD$10:$AD$30,C36)&gt;0,"Feiertag",IF(IFERROR(INDEX(Stammdaten!$I$10:$I$49,MATCH(F36,Stammdaten!$B$10:$B$49,0)),"")="Gesperrt","Platz gesperrt",IF(AND(COUNTIF($P$6:$P$605,P36)&gt;1,NOT(AND(COUNTIF($P$6:$P$605,P36)=2,COUNTIFS($P$6:$P$605,P36,$H$6:$H$605,"Vormittag")=1,COUNTIFS($P$6:$P$605,P36,$H$6:$H$605,"Nachmittag")=1))),"Doppelbuchung",IF(AND(COUNTIF($R$6:$R$605,R36)&gt;1,NOT(AND(COUNTIF($R$6:$R$605,R36)=2,COUNTIFS($R$6:$R$605,R36,$H$6:$H$605,"Vormittag")=1,COUNTIFS($R$6:$R$605,R36,$H$6:$H$605,"Nachmittag")=1))),"Person doppelt","OK"))))))))</f>
        <v>OK</v>
      </c>
      <c r="O36" s="55">
        <f t="shared" si="3"/>
        <v>1</v>
      </c>
      <c r="P36" s="55" t="str">
        <f t="shared" si="4"/>
        <v>B-05|46294</v>
      </c>
      <c r="Q36" s="55" t="str">
        <f>IF(P36="","",P36&amp;"|"&amp;COUNTIF(P$6:P36,P36))</f>
        <v>B-05|46294|1</v>
      </c>
      <c r="R36" s="55" t="str">
        <f t="shared" si="5"/>
        <v>Niklas Wolf|46294</v>
      </c>
      <c r="S36" s="55" t="str">
        <f>IF(R36="","",R36&amp;"|"&amp;COUNTIF(R$6:R36,R36))</f>
        <v>Niklas Wolf|46294|1</v>
      </c>
      <c r="T36" s="55" t="str">
        <f>IF(G36="","",IFERROR(INDEX(Stammdaten!$O$10:$O$69,MATCH(G36,Stammdaten!$N$10:$N$69,0)),G36)&amp;IF(H36="Vormittag"," (VM)",IF(H36="Nachmittag"," (NM)",""))&amp;IF(I36="Angefragt"," ?",""))</f>
        <v>N. Wolf</v>
      </c>
      <c r="U36" s="55" t="str">
        <f t="shared" si="6"/>
        <v>B-05</v>
      </c>
    </row>
    <row r="37" spans="2:21" ht="16.5" customHeight="1" x14ac:dyDescent="0.25">
      <c r="B37" s="47">
        <f t="shared" si="0"/>
        <v>32</v>
      </c>
      <c r="C37" s="48">
        <v>46294</v>
      </c>
      <c r="D37" s="49" t="str">
        <f t="shared" si="1"/>
        <v>Di</v>
      </c>
      <c r="E37" s="50">
        <f t="shared" si="2"/>
        <v>40</v>
      </c>
      <c r="F37" s="51" t="s">
        <v>96</v>
      </c>
      <c r="G37" s="52" t="s">
        <v>97</v>
      </c>
      <c r="H37" s="51" t="s">
        <v>76</v>
      </c>
      <c r="I37" s="51" t="s">
        <v>77</v>
      </c>
      <c r="J37" s="52" t="s">
        <v>123</v>
      </c>
      <c r="K37" s="53" t="str">
        <f>IF(G37="","",IFERROR(INDEX(Stammdaten!$P$10:$P$69,MATCH(G37,Stammdaten!$N$10:$N$69,0)),"–"))</f>
        <v>Personal</v>
      </c>
      <c r="L37" s="53" t="str">
        <f>IF(F37="","",IFERROR(INDEX(Stammdaten!$D$10:$D$49,MATCH(F37,Stammdaten!$B$10:$B$49,0)),"–"))</f>
        <v>Teamzone Süd</v>
      </c>
      <c r="M37" s="54" t="str">
        <f>IF(C37="","",IF(OR(F37="",G37="",I37=""),"unvollständig",IF(I37="Storniert","storniert",IF(WEEKDAY(C37,2)&gt;5,"Wochenende",IF(COUNTIF(Stammdaten!$AD$10:$AD$30,C37)&gt;0,"Feiertag",IF(IFERROR(INDEX(Stammdaten!$I$10:$I$49,MATCH(F37,Stammdaten!$B$10:$B$49,0)),"")="Gesperrt","Platz gesperrt",IF(AND(COUNTIF($P$6:$P$605,P37)&gt;1,NOT(AND(COUNTIF($P$6:$P$605,P37)=2,COUNTIFS($P$6:$P$605,P37,$H$6:$H$605,"Vormittag")=1,COUNTIFS($P$6:$P$605,P37,$H$6:$H$605,"Nachmittag")=1))),"Doppelbuchung",IF(AND(COUNTIF($R$6:$R$605,R37)&gt;1,NOT(AND(COUNTIF($R$6:$R$605,R37)=2,COUNTIFS($R$6:$R$605,R37,$H$6:$H$605,"Vormittag")=1,COUNTIFS($R$6:$R$605,R37,$H$6:$H$605,"Nachmittag")=1))),"Person doppelt","OK"))))))))</f>
        <v>OK</v>
      </c>
      <c r="O37" s="55">
        <f t="shared" si="3"/>
        <v>1</v>
      </c>
      <c r="P37" s="55" t="str">
        <f t="shared" si="4"/>
        <v>B-06|46294</v>
      </c>
      <c r="Q37" s="55" t="str">
        <f>IF(P37="","",P37&amp;"|"&amp;COUNTIF(P$6:P37,P37))</f>
        <v>B-06|46294|1</v>
      </c>
      <c r="R37" s="55" t="str">
        <f t="shared" si="5"/>
        <v>Moritz Keller|46294</v>
      </c>
      <c r="S37" s="55" t="str">
        <f>IF(R37="","",R37&amp;"|"&amp;COUNTIF(R$6:R37,R37))</f>
        <v>Moritz Keller|46294|1</v>
      </c>
      <c r="T37" s="55" t="str">
        <f>IF(G37="","",IFERROR(INDEX(Stammdaten!$O$10:$O$69,MATCH(G37,Stammdaten!$N$10:$N$69,0)),G37)&amp;IF(H37="Vormittag"," (VM)",IF(H37="Nachmittag"," (NM)",""))&amp;IF(I37="Angefragt"," ?",""))</f>
        <v>M. Keller</v>
      </c>
      <c r="U37" s="55" t="str">
        <f t="shared" si="6"/>
        <v>B-06</v>
      </c>
    </row>
    <row r="38" spans="2:21" ht="16.5" customHeight="1" x14ac:dyDescent="0.25">
      <c r="B38" s="47">
        <f t="shared" si="0"/>
        <v>33</v>
      </c>
      <c r="C38" s="48">
        <v>46294</v>
      </c>
      <c r="D38" s="49" t="str">
        <f t="shared" si="1"/>
        <v>Di</v>
      </c>
      <c r="E38" s="50">
        <f t="shared" si="2"/>
        <v>40</v>
      </c>
      <c r="F38" s="51" t="s">
        <v>98</v>
      </c>
      <c r="G38" s="52" t="s">
        <v>99</v>
      </c>
      <c r="H38" s="51" t="s">
        <v>76</v>
      </c>
      <c r="I38" s="51" t="s">
        <v>77</v>
      </c>
      <c r="J38" s="52"/>
      <c r="K38" s="53" t="str">
        <f>IF(G38="","",IFERROR(INDEX(Stammdaten!$P$10:$P$69,MATCH(G38,Stammdaten!$N$10:$N$69,0)),"–"))</f>
        <v>Finanzen</v>
      </c>
      <c r="L38" s="53" t="str">
        <f>IF(F38="","",IFERROR(INDEX(Stammdaten!$D$10:$D$49,MATCH(F38,Stammdaten!$B$10:$B$49,0)),"–"))</f>
        <v>Teamzone Süd</v>
      </c>
      <c r="M38" s="54" t="str">
        <f>IF(C38="","",IF(OR(F38="",G38="",I38=""),"unvollständig",IF(I38="Storniert","storniert",IF(WEEKDAY(C38,2)&gt;5,"Wochenende",IF(COUNTIF(Stammdaten!$AD$10:$AD$30,C38)&gt;0,"Feiertag",IF(IFERROR(INDEX(Stammdaten!$I$10:$I$49,MATCH(F38,Stammdaten!$B$10:$B$49,0)),"")="Gesperrt","Platz gesperrt",IF(AND(COUNTIF($P$6:$P$605,P38)&gt;1,NOT(AND(COUNTIF($P$6:$P$605,P38)=2,COUNTIFS($P$6:$P$605,P38,$H$6:$H$605,"Vormittag")=1,COUNTIFS($P$6:$P$605,P38,$H$6:$H$605,"Nachmittag")=1))),"Doppelbuchung",IF(AND(COUNTIF($R$6:$R$605,R38)&gt;1,NOT(AND(COUNTIF($R$6:$R$605,R38)=2,COUNTIFS($R$6:$R$605,R38,$H$6:$H$605,"Vormittag")=1,COUNTIFS($R$6:$R$605,R38,$H$6:$H$605,"Nachmittag")=1))),"Person doppelt","OK"))))))))</f>
        <v>OK</v>
      </c>
      <c r="O38" s="55">
        <f t="shared" si="3"/>
        <v>1</v>
      </c>
      <c r="P38" s="55" t="str">
        <f t="shared" si="4"/>
        <v>B-08|46294</v>
      </c>
      <c r="Q38" s="55" t="str">
        <f>IF(P38="","",P38&amp;"|"&amp;COUNTIF(P$6:P38,P38))</f>
        <v>B-08|46294|1</v>
      </c>
      <c r="R38" s="55" t="str">
        <f t="shared" si="5"/>
        <v>Erik Neumann|46294</v>
      </c>
      <c r="S38" s="55" t="str">
        <f>IF(R38="","",R38&amp;"|"&amp;COUNTIF(R$6:R38,R38))</f>
        <v>Erik Neumann|46294|1</v>
      </c>
      <c r="T38" s="55" t="str">
        <f>IF(G38="","",IFERROR(INDEX(Stammdaten!$O$10:$O$69,MATCH(G38,Stammdaten!$N$10:$N$69,0)),G38)&amp;IF(H38="Vormittag"," (VM)",IF(H38="Nachmittag"," (NM)",""))&amp;IF(I38="Angefragt"," ?",""))</f>
        <v>E. Neumann</v>
      </c>
      <c r="U38" s="55" t="str">
        <f t="shared" si="6"/>
        <v>B-08</v>
      </c>
    </row>
    <row r="39" spans="2:21" ht="16.5" customHeight="1" x14ac:dyDescent="0.25">
      <c r="B39" s="47">
        <f t="shared" si="0"/>
        <v>34</v>
      </c>
      <c r="C39" s="48">
        <v>46294</v>
      </c>
      <c r="D39" s="49" t="str">
        <f t="shared" si="1"/>
        <v>Di</v>
      </c>
      <c r="E39" s="50">
        <f t="shared" si="2"/>
        <v>40</v>
      </c>
      <c r="F39" s="51" t="s">
        <v>100</v>
      </c>
      <c r="G39" s="52" t="s">
        <v>124</v>
      </c>
      <c r="H39" s="51" t="s">
        <v>76</v>
      </c>
      <c r="I39" s="51" t="s">
        <v>77</v>
      </c>
      <c r="J39" s="52"/>
      <c r="K39" s="53" t="str">
        <f>IF(G39="","",IFERROR(INDEX(Stammdaten!$P$10:$P$69,MATCH(G39,Stammdaten!$N$10:$N$69,0)),"–"))</f>
        <v>IT</v>
      </c>
      <c r="L39" s="53" t="str">
        <f>IF(F39="","",IFERROR(INDEX(Stammdaten!$D$10:$D$49,MATCH(F39,Stammdaten!$B$10:$B$49,0)),"–"))</f>
        <v>Projektfläche</v>
      </c>
      <c r="M39" s="54" t="str">
        <f>IF(C39="","",IF(OR(F39="",G39="",I39=""),"unvollständig",IF(I39="Storniert","storniert",IF(WEEKDAY(C39,2)&gt;5,"Wochenende",IF(COUNTIF(Stammdaten!$AD$10:$AD$30,C39)&gt;0,"Feiertag",IF(IFERROR(INDEX(Stammdaten!$I$10:$I$49,MATCH(F39,Stammdaten!$B$10:$B$49,0)),"")="Gesperrt","Platz gesperrt",IF(AND(COUNTIF($P$6:$P$605,P39)&gt;1,NOT(AND(COUNTIF($P$6:$P$605,P39)=2,COUNTIFS($P$6:$P$605,P39,$H$6:$H$605,"Vormittag")=1,COUNTIFS($P$6:$P$605,P39,$H$6:$H$605,"Nachmittag")=1))),"Doppelbuchung",IF(AND(COUNTIF($R$6:$R$605,R39)&gt;1,NOT(AND(COUNTIF($R$6:$R$605,R39)=2,COUNTIFS($R$6:$R$605,R39,$H$6:$H$605,"Vormittag")=1,COUNTIFS($R$6:$R$605,R39,$H$6:$H$605,"Nachmittag")=1))),"Person doppelt","OK"))))))))</f>
        <v>OK</v>
      </c>
      <c r="O39" s="55">
        <f t="shared" si="3"/>
        <v>1</v>
      </c>
      <c r="P39" s="55" t="str">
        <f t="shared" si="4"/>
        <v>B-09|46294</v>
      </c>
      <c r="Q39" s="55" t="str">
        <f>IF(P39="","",P39&amp;"|"&amp;COUNTIF(P$6:P39,P39))</f>
        <v>B-09|46294|1</v>
      </c>
      <c r="R39" s="55" t="str">
        <f t="shared" si="5"/>
        <v>Laura Sommer|46294</v>
      </c>
      <c r="S39" s="55" t="str">
        <f>IF(R39="","",R39&amp;"|"&amp;COUNTIF(R$6:R39,R39))</f>
        <v>Laura Sommer|46294|1</v>
      </c>
      <c r="T39" s="55" t="str">
        <f>IF(G39="","",IFERROR(INDEX(Stammdaten!$O$10:$O$69,MATCH(G39,Stammdaten!$N$10:$N$69,0)),G39)&amp;IF(H39="Vormittag"," (VM)",IF(H39="Nachmittag"," (NM)",""))&amp;IF(I39="Angefragt"," ?",""))</f>
        <v>L. Sommer</v>
      </c>
      <c r="U39" s="55" t="str">
        <f t="shared" si="6"/>
        <v>B-09</v>
      </c>
    </row>
    <row r="40" spans="2:21" ht="16.5" customHeight="1" x14ac:dyDescent="0.25">
      <c r="B40" s="47">
        <f t="shared" si="0"/>
        <v>35</v>
      </c>
      <c r="C40" s="48">
        <v>46294</v>
      </c>
      <c r="D40" s="49" t="str">
        <f t="shared" si="1"/>
        <v>Di</v>
      </c>
      <c r="E40" s="50">
        <f t="shared" si="2"/>
        <v>40</v>
      </c>
      <c r="F40" s="51" t="s">
        <v>102</v>
      </c>
      <c r="G40" s="52" t="s">
        <v>107</v>
      </c>
      <c r="H40" s="51" t="s">
        <v>76</v>
      </c>
      <c r="I40" s="51" t="s">
        <v>77</v>
      </c>
      <c r="J40" s="52"/>
      <c r="K40" s="53" t="str">
        <f>IF(G40="","",IFERROR(INDEX(Stammdaten!$P$10:$P$69,MATCH(G40,Stammdaten!$N$10:$N$69,0)),"–"))</f>
        <v>IT</v>
      </c>
      <c r="L40" s="53" t="str">
        <f>IF(F40="","",IFERROR(INDEX(Stammdaten!$D$10:$D$49,MATCH(F40,Stammdaten!$B$10:$B$49,0)),"–"))</f>
        <v>Projektfläche</v>
      </c>
      <c r="M40" s="54" t="str">
        <f>IF(C40="","",IF(OR(F40="",G40="",I40=""),"unvollständig",IF(I40="Storniert","storniert",IF(WEEKDAY(C40,2)&gt;5,"Wochenende",IF(COUNTIF(Stammdaten!$AD$10:$AD$30,C40)&gt;0,"Feiertag",IF(IFERROR(INDEX(Stammdaten!$I$10:$I$49,MATCH(F40,Stammdaten!$B$10:$B$49,0)),"")="Gesperrt","Platz gesperrt",IF(AND(COUNTIF($P$6:$P$605,P40)&gt;1,NOT(AND(COUNTIF($P$6:$P$605,P40)=2,COUNTIFS($P$6:$P$605,P40,$H$6:$H$605,"Vormittag")=1,COUNTIFS($P$6:$P$605,P40,$H$6:$H$605,"Nachmittag")=1))),"Doppelbuchung",IF(AND(COUNTIF($R$6:$R$605,R40)&gt;1,NOT(AND(COUNTIF($R$6:$R$605,R40)=2,COUNTIFS($R$6:$R$605,R40,$H$6:$H$605,"Vormittag")=1,COUNTIFS($R$6:$R$605,R40,$H$6:$H$605,"Nachmittag")=1))),"Person doppelt","OK"))))))))</f>
        <v>OK</v>
      </c>
      <c r="O40" s="55">
        <f t="shared" si="3"/>
        <v>1</v>
      </c>
      <c r="P40" s="55" t="str">
        <f t="shared" si="4"/>
        <v>B-10|46294</v>
      </c>
      <c r="Q40" s="55" t="str">
        <f>IF(P40="","",P40&amp;"|"&amp;COUNTIF(P$6:P40,P40))</f>
        <v>B-10|46294|1</v>
      </c>
      <c r="R40" s="55" t="str">
        <f t="shared" si="5"/>
        <v>Katharina Busch|46294</v>
      </c>
      <c r="S40" s="55" t="str">
        <f>IF(R40="","",R40&amp;"|"&amp;COUNTIF(R$6:R40,R40))</f>
        <v>Katharina Busch|46294|1</v>
      </c>
      <c r="T40" s="55" t="str">
        <f>IF(G40="","",IFERROR(INDEX(Stammdaten!$O$10:$O$69,MATCH(G40,Stammdaten!$N$10:$N$69,0)),G40)&amp;IF(H40="Vormittag"," (VM)",IF(H40="Nachmittag"," (NM)",""))&amp;IF(I40="Angefragt"," ?",""))</f>
        <v>K. Busch</v>
      </c>
      <c r="U40" s="55" t="str">
        <f t="shared" si="6"/>
        <v>B-10</v>
      </c>
    </row>
    <row r="41" spans="2:21" ht="16.5" customHeight="1" x14ac:dyDescent="0.25">
      <c r="B41" s="47">
        <f t="shared" si="0"/>
        <v>36</v>
      </c>
      <c r="C41" s="48">
        <v>46294</v>
      </c>
      <c r="D41" s="49" t="str">
        <f t="shared" si="1"/>
        <v>Di</v>
      </c>
      <c r="E41" s="50">
        <f t="shared" si="2"/>
        <v>40</v>
      </c>
      <c r="F41" s="51" t="s">
        <v>104</v>
      </c>
      <c r="G41" s="52" t="s">
        <v>91</v>
      </c>
      <c r="H41" s="51" t="s">
        <v>76</v>
      </c>
      <c r="I41" s="51" t="s">
        <v>77</v>
      </c>
      <c r="J41" s="52"/>
      <c r="K41" s="53" t="str">
        <f>IF(G41="","",IFERROR(INDEX(Stammdaten!$P$10:$P$69,MATCH(G41,Stammdaten!$N$10:$N$69,0)),"–"))</f>
        <v>IT</v>
      </c>
      <c r="L41" s="53" t="str">
        <f>IF(F41="","",IFERROR(INDEX(Stammdaten!$D$10:$D$49,MATCH(F41,Stammdaten!$B$10:$B$49,0)),"–"))</f>
        <v>Projektfläche</v>
      </c>
      <c r="M41" s="54" t="str">
        <f>IF(C41="","",IF(OR(F41="",G41="",I41=""),"unvollständig",IF(I41="Storniert","storniert",IF(WEEKDAY(C41,2)&gt;5,"Wochenende",IF(COUNTIF(Stammdaten!$AD$10:$AD$30,C41)&gt;0,"Feiertag",IF(IFERROR(INDEX(Stammdaten!$I$10:$I$49,MATCH(F41,Stammdaten!$B$10:$B$49,0)),"")="Gesperrt","Platz gesperrt",IF(AND(COUNTIF($P$6:$P$605,P41)&gt;1,NOT(AND(COUNTIF($P$6:$P$605,P41)=2,COUNTIFS($P$6:$P$605,P41,$H$6:$H$605,"Vormittag")=1,COUNTIFS($P$6:$P$605,P41,$H$6:$H$605,"Nachmittag")=1))),"Doppelbuchung",IF(AND(COUNTIF($R$6:$R$605,R41)&gt;1,NOT(AND(COUNTIF($R$6:$R$605,R41)=2,COUNTIFS($R$6:$R$605,R41,$H$6:$H$605,"Vormittag")=1,COUNTIFS($R$6:$R$605,R41,$H$6:$H$605,"Nachmittag")=1))),"Person doppelt","OK"))))))))</f>
        <v>OK</v>
      </c>
      <c r="O41" s="55">
        <f t="shared" si="3"/>
        <v>1</v>
      </c>
      <c r="P41" s="55" t="str">
        <f t="shared" si="4"/>
        <v>B-11|46294</v>
      </c>
      <c r="Q41" s="55" t="str">
        <f>IF(P41="","",P41&amp;"|"&amp;COUNTIF(P$6:P41,P41))</f>
        <v>B-11|46294|1</v>
      </c>
      <c r="R41" s="55" t="str">
        <f t="shared" si="5"/>
        <v>Mara Winter|46294</v>
      </c>
      <c r="S41" s="55" t="str">
        <f>IF(R41="","",R41&amp;"|"&amp;COUNTIF(R$6:R41,R41))</f>
        <v>Mara Winter|46294|1</v>
      </c>
      <c r="T41" s="55" t="str">
        <f>IF(G41="","",IFERROR(INDEX(Stammdaten!$O$10:$O$69,MATCH(G41,Stammdaten!$N$10:$N$69,0)),G41)&amp;IF(H41="Vormittag"," (VM)",IF(H41="Nachmittag"," (NM)",""))&amp;IF(I41="Angefragt"," ?",""))</f>
        <v>M. Winter</v>
      </c>
      <c r="U41" s="55" t="str">
        <f t="shared" si="6"/>
        <v>B-11</v>
      </c>
    </row>
    <row r="42" spans="2:21" ht="16.5" customHeight="1" x14ac:dyDescent="0.25">
      <c r="B42" s="47">
        <f t="shared" si="0"/>
        <v>37</v>
      </c>
      <c r="C42" s="48">
        <v>46294</v>
      </c>
      <c r="D42" s="49" t="str">
        <f t="shared" si="1"/>
        <v>Di</v>
      </c>
      <c r="E42" s="50">
        <f t="shared" si="2"/>
        <v>40</v>
      </c>
      <c r="F42" s="51" t="s">
        <v>106</v>
      </c>
      <c r="G42" s="52" t="s">
        <v>125</v>
      </c>
      <c r="H42" s="51" t="s">
        <v>76</v>
      </c>
      <c r="I42" s="51" t="s">
        <v>77</v>
      </c>
      <c r="J42" s="52"/>
      <c r="K42" s="53" t="str">
        <f>IF(G42="","",IFERROR(INDEX(Stammdaten!$P$10:$P$69,MATCH(G42,Stammdaten!$N$10:$N$69,0)),"–"))</f>
        <v>IT</v>
      </c>
      <c r="L42" s="53" t="str">
        <f>IF(F42="","",IFERROR(INDEX(Stammdaten!$D$10:$D$49,MATCH(F42,Stammdaten!$B$10:$B$49,0)),"–"))</f>
        <v>Projektfläche</v>
      </c>
      <c r="M42" s="54" t="str">
        <f>IF(C42="","",IF(OR(F42="",G42="",I42=""),"unvollständig",IF(I42="Storniert","storniert",IF(WEEKDAY(C42,2)&gt;5,"Wochenende",IF(COUNTIF(Stammdaten!$AD$10:$AD$30,C42)&gt;0,"Feiertag",IF(IFERROR(INDEX(Stammdaten!$I$10:$I$49,MATCH(F42,Stammdaten!$B$10:$B$49,0)),"")="Gesperrt","Platz gesperrt",IF(AND(COUNTIF($P$6:$P$605,P42)&gt;1,NOT(AND(COUNTIF($P$6:$P$605,P42)=2,COUNTIFS($P$6:$P$605,P42,$H$6:$H$605,"Vormittag")=1,COUNTIFS($P$6:$P$605,P42,$H$6:$H$605,"Nachmittag")=1))),"Doppelbuchung",IF(AND(COUNTIF($R$6:$R$605,R42)&gt;1,NOT(AND(COUNTIF($R$6:$R$605,R42)=2,COUNTIFS($R$6:$R$605,R42,$H$6:$H$605,"Vormittag")=1,COUNTIFS($R$6:$R$605,R42,$H$6:$H$605,"Nachmittag")=1))),"Person doppelt","OK"))))))))</f>
        <v>OK</v>
      </c>
      <c r="O42" s="55">
        <f t="shared" si="3"/>
        <v>1</v>
      </c>
      <c r="P42" s="55" t="str">
        <f t="shared" si="4"/>
        <v>B-12|46294</v>
      </c>
      <c r="Q42" s="55" t="str">
        <f>IF(P42="","",P42&amp;"|"&amp;COUNTIF(P$6:P42,P42))</f>
        <v>B-12|46294|1</v>
      </c>
      <c r="R42" s="55" t="str">
        <f t="shared" si="5"/>
        <v>Simon Graf|46294</v>
      </c>
      <c r="S42" s="55" t="str">
        <f>IF(R42="","",R42&amp;"|"&amp;COUNTIF(R$6:R42,R42))</f>
        <v>Simon Graf|46294|1</v>
      </c>
      <c r="T42" s="55" t="str">
        <f>IF(G42="","",IFERROR(INDEX(Stammdaten!$O$10:$O$69,MATCH(G42,Stammdaten!$N$10:$N$69,0)),G42)&amp;IF(H42="Vormittag"," (VM)",IF(H42="Nachmittag"," (NM)",""))&amp;IF(I42="Angefragt"," ?",""))</f>
        <v>S. Graf</v>
      </c>
      <c r="U42" s="55" t="str">
        <f t="shared" si="6"/>
        <v>B-12</v>
      </c>
    </row>
    <row r="43" spans="2:21" ht="16.5" customHeight="1" x14ac:dyDescent="0.25">
      <c r="B43" s="47">
        <f t="shared" si="0"/>
        <v>38</v>
      </c>
      <c r="C43" s="48">
        <v>46295</v>
      </c>
      <c r="D43" s="49" t="str">
        <f t="shared" si="1"/>
        <v>Mi</v>
      </c>
      <c r="E43" s="50">
        <f t="shared" si="2"/>
        <v>40</v>
      </c>
      <c r="F43" s="51" t="s">
        <v>74</v>
      </c>
      <c r="G43" s="52" t="s">
        <v>75</v>
      </c>
      <c r="H43" s="51" t="s">
        <v>76</v>
      </c>
      <c r="I43" s="51" t="s">
        <v>77</v>
      </c>
      <c r="J43" s="52"/>
      <c r="K43" s="53" t="str">
        <f>IF(G43="","",IFERROR(INDEX(Stammdaten!$P$10:$P$69,MATCH(G43,Stammdaten!$N$10:$N$69,0)),"–"))</f>
        <v>Marketing</v>
      </c>
      <c r="L43" s="53" t="str">
        <f>IF(F43="","",IFERROR(INDEX(Stammdaten!$D$10:$D$49,MATCH(F43,Stammdaten!$B$10:$B$49,0)),"–"))</f>
        <v>Teamzone Nord</v>
      </c>
      <c r="M43" s="54" t="str">
        <f>IF(C43="","",IF(OR(F43="",G43="",I43=""),"unvollständig",IF(I43="Storniert","storniert",IF(WEEKDAY(C43,2)&gt;5,"Wochenende",IF(COUNTIF(Stammdaten!$AD$10:$AD$30,C43)&gt;0,"Feiertag",IF(IFERROR(INDEX(Stammdaten!$I$10:$I$49,MATCH(F43,Stammdaten!$B$10:$B$49,0)),"")="Gesperrt","Platz gesperrt",IF(AND(COUNTIF($P$6:$P$605,P43)&gt;1,NOT(AND(COUNTIF($P$6:$P$605,P43)=2,COUNTIFS($P$6:$P$605,P43,$H$6:$H$605,"Vormittag")=1,COUNTIFS($P$6:$P$605,P43,$H$6:$H$605,"Nachmittag")=1))),"Doppelbuchung",IF(AND(COUNTIF($R$6:$R$605,R43)&gt;1,NOT(AND(COUNTIF($R$6:$R$605,R43)=2,COUNTIFS($R$6:$R$605,R43,$H$6:$H$605,"Vormittag")=1,COUNTIFS($R$6:$R$605,R43,$H$6:$H$605,"Nachmittag")=1))),"Person doppelt","OK"))))))))</f>
        <v>OK</v>
      </c>
      <c r="O43" s="55">
        <f t="shared" si="3"/>
        <v>1</v>
      </c>
      <c r="P43" s="55" t="str">
        <f t="shared" si="4"/>
        <v>A-01|46295</v>
      </c>
      <c r="Q43" s="55" t="str">
        <f>IF(P43="","",P43&amp;"|"&amp;COUNTIF(P$6:P43,P43))</f>
        <v>A-01|46295|1</v>
      </c>
      <c r="R43" s="55" t="str">
        <f t="shared" si="5"/>
        <v>Marco Seidel|46295</v>
      </c>
      <c r="S43" s="55" t="str">
        <f>IF(R43="","",R43&amp;"|"&amp;COUNTIF(R$6:R43,R43))</f>
        <v>Marco Seidel|46295|1</v>
      </c>
      <c r="T43" s="55" t="str">
        <f>IF(G43="","",IFERROR(INDEX(Stammdaten!$O$10:$O$69,MATCH(G43,Stammdaten!$N$10:$N$69,0)),G43)&amp;IF(H43="Vormittag"," (VM)",IF(H43="Nachmittag"," (NM)",""))&amp;IF(I43="Angefragt"," ?",""))</f>
        <v>M. Seidel</v>
      </c>
      <c r="U43" s="55" t="str">
        <f t="shared" si="6"/>
        <v>A-01</v>
      </c>
    </row>
    <row r="44" spans="2:21" ht="16.5" customHeight="1" x14ac:dyDescent="0.25">
      <c r="B44" s="47">
        <f t="shared" si="0"/>
        <v>39</v>
      </c>
      <c r="C44" s="48">
        <v>46295</v>
      </c>
      <c r="D44" s="49" t="str">
        <f t="shared" si="1"/>
        <v>Mi</v>
      </c>
      <c r="E44" s="50">
        <f t="shared" si="2"/>
        <v>40</v>
      </c>
      <c r="F44" s="51" t="s">
        <v>78</v>
      </c>
      <c r="G44" s="52" t="s">
        <v>83</v>
      </c>
      <c r="H44" s="51" t="s">
        <v>76</v>
      </c>
      <c r="I44" s="51" t="s">
        <v>77</v>
      </c>
      <c r="J44" s="52"/>
      <c r="K44" s="53" t="str">
        <f>IF(G44="","",IFERROR(INDEX(Stammdaten!$P$10:$P$69,MATCH(G44,Stammdaten!$N$10:$N$69,0)),"–"))</f>
        <v>Marketing</v>
      </c>
      <c r="L44" s="53" t="str">
        <f>IF(F44="","",IFERROR(INDEX(Stammdaten!$D$10:$D$49,MATCH(F44,Stammdaten!$B$10:$B$49,0)),"–"))</f>
        <v>Teamzone Nord</v>
      </c>
      <c r="M44" s="54" t="str">
        <f>IF(C44="","",IF(OR(F44="",G44="",I44=""),"unvollständig",IF(I44="Storniert","storniert",IF(WEEKDAY(C44,2)&gt;5,"Wochenende",IF(COUNTIF(Stammdaten!$AD$10:$AD$30,C44)&gt;0,"Feiertag",IF(IFERROR(INDEX(Stammdaten!$I$10:$I$49,MATCH(F44,Stammdaten!$B$10:$B$49,0)),"")="Gesperrt","Platz gesperrt",IF(AND(COUNTIF($P$6:$P$605,P44)&gt;1,NOT(AND(COUNTIF($P$6:$P$605,P44)=2,COUNTIFS($P$6:$P$605,P44,$H$6:$H$605,"Vormittag")=1,COUNTIFS($P$6:$P$605,P44,$H$6:$H$605,"Nachmittag")=1))),"Doppelbuchung",IF(AND(COUNTIF($R$6:$R$605,R44)&gt;1,NOT(AND(COUNTIF($R$6:$R$605,R44)=2,COUNTIFS($R$6:$R$605,R44,$H$6:$H$605,"Vormittag")=1,COUNTIFS($R$6:$R$605,R44,$H$6:$H$605,"Nachmittag")=1))),"Person doppelt","OK"))))))))</f>
        <v>OK</v>
      </c>
      <c r="O44" s="55">
        <f t="shared" si="3"/>
        <v>1</v>
      </c>
      <c r="P44" s="55" t="str">
        <f t="shared" si="4"/>
        <v>A-02|46295</v>
      </c>
      <c r="Q44" s="55" t="str">
        <f>IF(P44="","",P44&amp;"|"&amp;COUNTIF(P$6:P44,P44))</f>
        <v>A-02|46295|1</v>
      </c>
      <c r="R44" s="55" t="str">
        <f t="shared" si="5"/>
        <v>Felix Engel|46295</v>
      </c>
      <c r="S44" s="55" t="str">
        <f>IF(R44="","",R44&amp;"|"&amp;COUNTIF(R$6:R44,R44))</f>
        <v>Felix Engel|46295|1</v>
      </c>
      <c r="T44" s="55" t="str">
        <f>IF(G44="","",IFERROR(INDEX(Stammdaten!$O$10:$O$69,MATCH(G44,Stammdaten!$N$10:$N$69,0)),G44)&amp;IF(H44="Vormittag"," (VM)",IF(H44="Nachmittag"," (NM)",""))&amp;IF(I44="Angefragt"," ?",""))</f>
        <v>F. Engel</v>
      </c>
      <c r="U44" s="55" t="str">
        <f t="shared" si="6"/>
        <v>A-02</v>
      </c>
    </row>
    <row r="45" spans="2:21" ht="16.5" customHeight="1" x14ac:dyDescent="0.25">
      <c r="B45" s="47">
        <f t="shared" si="0"/>
        <v>40</v>
      </c>
      <c r="C45" s="48">
        <v>46295</v>
      </c>
      <c r="D45" s="49" t="str">
        <f t="shared" si="1"/>
        <v>Mi</v>
      </c>
      <c r="E45" s="50">
        <f t="shared" si="2"/>
        <v>40</v>
      </c>
      <c r="F45" s="51" t="s">
        <v>109</v>
      </c>
      <c r="G45" s="52" t="s">
        <v>87</v>
      </c>
      <c r="H45" s="51" t="s">
        <v>76</v>
      </c>
      <c r="I45" s="51" t="s">
        <v>77</v>
      </c>
      <c r="J45" s="52"/>
      <c r="K45" s="53" t="str">
        <f>IF(G45="","",IFERROR(INDEX(Stammdaten!$P$10:$P$69,MATCH(G45,Stammdaten!$N$10:$N$69,0)),"–"))</f>
        <v>Marketing</v>
      </c>
      <c r="L45" s="53" t="str">
        <f>IF(F45="","",IFERROR(INDEX(Stammdaten!$D$10:$D$49,MATCH(F45,Stammdaten!$B$10:$B$49,0)),"–"))</f>
        <v>Teamzone Nord</v>
      </c>
      <c r="M45" s="54" t="str">
        <f>IF(C45="","",IF(OR(F45="",G45="",I45=""),"unvollständig",IF(I45="Storniert","storniert",IF(WEEKDAY(C45,2)&gt;5,"Wochenende",IF(COUNTIF(Stammdaten!$AD$10:$AD$30,C45)&gt;0,"Feiertag",IF(IFERROR(INDEX(Stammdaten!$I$10:$I$49,MATCH(F45,Stammdaten!$B$10:$B$49,0)),"")="Gesperrt","Platz gesperrt",IF(AND(COUNTIF($P$6:$P$605,P45)&gt;1,NOT(AND(COUNTIF($P$6:$P$605,P45)=2,COUNTIFS($P$6:$P$605,P45,$H$6:$H$605,"Vormittag")=1,COUNTIFS($P$6:$P$605,P45,$H$6:$H$605,"Nachmittag")=1))),"Doppelbuchung",IF(AND(COUNTIF($R$6:$R$605,R45)&gt;1,NOT(AND(COUNTIF($R$6:$R$605,R45)=2,COUNTIFS($R$6:$R$605,R45,$H$6:$H$605,"Vormittag")=1,COUNTIFS($R$6:$R$605,R45,$H$6:$H$605,"Nachmittag")=1))),"Person doppelt","OK"))))))))</f>
        <v>OK</v>
      </c>
      <c r="O45" s="55">
        <f t="shared" si="3"/>
        <v>1</v>
      </c>
      <c r="P45" s="55" t="str">
        <f t="shared" si="4"/>
        <v>A-03|46295</v>
      </c>
      <c r="Q45" s="55" t="str">
        <f>IF(P45="","",P45&amp;"|"&amp;COUNTIF(P$6:P45,P45))</f>
        <v>A-03|46295|1</v>
      </c>
      <c r="R45" s="55" t="str">
        <f t="shared" si="5"/>
        <v>Paul Schreiber|46295</v>
      </c>
      <c r="S45" s="55" t="str">
        <f>IF(R45="","",R45&amp;"|"&amp;COUNTIF(R$6:R45,R45))</f>
        <v>Paul Schreiber|46295|1</v>
      </c>
      <c r="T45" s="55" t="str">
        <f>IF(G45="","",IFERROR(INDEX(Stammdaten!$O$10:$O$69,MATCH(G45,Stammdaten!$N$10:$N$69,0)),G45)&amp;IF(H45="Vormittag"," (VM)",IF(H45="Nachmittag"," (NM)",""))&amp;IF(I45="Angefragt"," ?",""))</f>
        <v>P. Schreiber</v>
      </c>
      <c r="U45" s="55" t="str">
        <f t="shared" si="6"/>
        <v>A-03</v>
      </c>
    </row>
    <row r="46" spans="2:21" ht="16.5" customHeight="1" x14ac:dyDescent="0.25">
      <c r="B46" s="47">
        <f t="shared" si="0"/>
        <v>41</v>
      </c>
      <c r="C46" s="48">
        <v>46295</v>
      </c>
      <c r="D46" s="49" t="str">
        <f t="shared" si="1"/>
        <v>Mi</v>
      </c>
      <c r="E46" s="50">
        <f t="shared" si="2"/>
        <v>40</v>
      </c>
      <c r="F46" s="51" t="s">
        <v>110</v>
      </c>
      <c r="G46" s="52" t="s">
        <v>126</v>
      </c>
      <c r="H46" s="51" t="s">
        <v>76</v>
      </c>
      <c r="I46" s="51" t="s">
        <v>77</v>
      </c>
      <c r="J46" s="52"/>
      <c r="K46" s="53" t="str">
        <f>IF(G46="","",IFERROR(INDEX(Stammdaten!$P$10:$P$69,MATCH(G46,Stammdaten!$N$10:$N$69,0)),"–"))</f>
        <v>Vertrieb</v>
      </c>
      <c r="L46" s="53" t="str">
        <f>IF(F46="","",IFERROR(INDEX(Stammdaten!$D$10:$D$49,MATCH(F46,Stammdaten!$B$10:$B$49,0)),"–"))</f>
        <v>Teamzone Nord</v>
      </c>
      <c r="M46" s="54" t="str">
        <f>IF(C46="","",IF(OR(F46="",G46="",I46=""),"unvollständig",IF(I46="Storniert","storniert",IF(WEEKDAY(C46,2)&gt;5,"Wochenende",IF(COUNTIF(Stammdaten!$AD$10:$AD$30,C46)&gt;0,"Feiertag",IF(IFERROR(INDEX(Stammdaten!$I$10:$I$49,MATCH(F46,Stammdaten!$B$10:$B$49,0)),"")="Gesperrt","Platz gesperrt",IF(AND(COUNTIF($P$6:$P$605,P46)&gt;1,NOT(AND(COUNTIF($P$6:$P$605,P46)=2,COUNTIFS($P$6:$P$605,P46,$H$6:$H$605,"Vormittag")=1,COUNTIFS($P$6:$P$605,P46,$H$6:$H$605,"Nachmittag")=1))),"Doppelbuchung",IF(AND(COUNTIF($R$6:$R$605,R46)&gt;1,NOT(AND(COUNTIF($R$6:$R$605,R46)=2,COUNTIFS($R$6:$R$605,R46,$H$6:$H$605,"Vormittag")=1,COUNTIFS($R$6:$R$605,R46,$H$6:$H$605,"Nachmittag")=1))),"Person doppelt","OK"))))))))</f>
        <v>OK</v>
      </c>
      <c r="O46" s="55">
        <f t="shared" si="3"/>
        <v>1</v>
      </c>
      <c r="P46" s="55" t="str">
        <f t="shared" si="4"/>
        <v>A-04|46295</v>
      </c>
      <c r="Q46" s="55" t="str">
        <f>IF(P46="","",P46&amp;"|"&amp;COUNTIF(P$6:P46,P46))</f>
        <v>A-04|46295|1</v>
      </c>
      <c r="R46" s="55" t="str">
        <f t="shared" si="5"/>
        <v>Jonas Weber|46295</v>
      </c>
      <c r="S46" s="55" t="str">
        <f>IF(R46="","",R46&amp;"|"&amp;COUNTIF(R$6:R46,R46))</f>
        <v>Jonas Weber|46295|1</v>
      </c>
      <c r="T46" s="55" t="str">
        <f>IF(G46="","",IFERROR(INDEX(Stammdaten!$O$10:$O$69,MATCH(G46,Stammdaten!$N$10:$N$69,0)),G46)&amp;IF(H46="Vormittag"," (VM)",IF(H46="Nachmittag"," (NM)",""))&amp;IF(I46="Angefragt"," ?",""))</f>
        <v>J. Weber</v>
      </c>
      <c r="U46" s="55" t="str">
        <f t="shared" si="6"/>
        <v>A-04</v>
      </c>
    </row>
    <row r="47" spans="2:21" ht="16.5" customHeight="1" x14ac:dyDescent="0.25">
      <c r="B47" s="47">
        <f t="shared" si="0"/>
        <v>42</v>
      </c>
      <c r="C47" s="48">
        <v>46295</v>
      </c>
      <c r="D47" s="49" t="str">
        <f t="shared" si="1"/>
        <v>Mi</v>
      </c>
      <c r="E47" s="50">
        <f t="shared" si="2"/>
        <v>40</v>
      </c>
      <c r="F47" s="51" t="s">
        <v>82</v>
      </c>
      <c r="G47" s="52" t="s">
        <v>127</v>
      </c>
      <c r="H47" s="51" t="s">
        <v>76</v>
      </c>
      <c r="I47" s="51" t="s">
        <v>77</v>
      </c>
      <c r="J47" s="52"/>
      <c r="K47" s="53" t="str">
        <f>IF(G47="","",IFERROR(INDEX(Stammdaten!$P$10:$P$69,MATCH(G47,Stammdaten!$N$10:$N$69,0)),"–"))</f>
        <v>Vertrieb</v>
      </c>
      <c r="L47" s="53" t="str">
        <f>IF(F47="","",IFERROR(INDEX(Stammdaten!$D$10:$D$49,MATCH(F47,Stammdaten!$B$10:$B$49,0)),"–"))</f>
        <v>Teamzone Nord</v>
      </c>
      <c r="M47" s="54" t="str">
        <f>IF(C47="","",IF(OR(F47="",G47="",I47=""),"unvollständig",IF(I47="Storniert","storniert",IF(WEEKDAY(C47,2)&gt;5,"Wochenende",IF(COUNTIF(Stammdaten!$AD$10:$AD$30,C47)&gt;0,"Feiertag",IF(IFERROR(INDEX(Stammdaten!$I$10:$I$49,MATCH(F47,Stammdaten!$B$10:$B$49,0)),"")="Gesperrt","Platz gesperrt",IF(AND(COUNTIF($P$6:$P$605,P47)&gt;1,NOT(AND(COUNTIF($P$6:$P$605,P47)=2,COUNTIFS($P$6:$P$605,P47,$H$6:$H$605,"Vormittag")=1,COUNTIFS($P$6:$P$605,P47,$H$6:$H$605,"Nachmittag")=1))),"Doppelbuchung",IF(AND(COUNTIF($R$6:$R$605,R47)&gt;1,NOT(AND(COUNTIF($R$6:$R$605,R47)=2,COUNTIFS($R$6:$R$605,R47,$H$6:$H$605,"Vormittag")=1,COUNTIFS($R$6:$R$605,R47,$H$6:$H$605,"Nachmittag")=1))),"Person doppelt","OK"))))))))</f>
        <v>OK</v>
      </c>
      <c r="O47" s="55">
        <f t="shared" si="3"/>
        <v>1</v>
      </c>
      <c r="P47" s="55" t="str">
        <f t="shared" si="4"/>
        <v>A-06|46295</v>
      </c>
      <c r="Q47" s="55" t="str">
        <f>IF(P47="","",P47&amp;"|"&amp;COUNTIF(P$6:P47,P47))</f>
        <v>A-06|46295|1</v>
      </c>
      <c r="R47" s="55" t="str">
        <f t="shared" si="5"/>
        <v>Tobias Lindner|46295</v>
      </c>
      <c r="S47" s="55" t="str">
        <f>IF(R47="","",R47&amp;"|"&amp;COUNTIF(R$6:R47,R47))</f>
        <v>Tobias Lindner|46295|1</v>
      </c>
      <c r="T47" s="55" t="str">
        <f>IF(G47="","",IFERROR(INDEX(Stammdaten!$O$10:$O$69,MATCH(G47,Stammdaten!$N$10:$N$69,0)),G47)&amp;IF(H47="Vormittag"," (VM)",IF(H47="Nachmittag"," (NM)",""))&amp;IF(I47="Angefragt"," ?",""))</f>
        <v>T. Lindner</v>
      </c>
      <c r="U47" s="55" t="str">
        <f t="shared" si="6"/>
        <v>A-06</v>
      </c>
    </row>
    <row r="48" spans="2:21" ht="16.5" customHeight="1" x14ac:dyDescent="0.25">
      <c r="B48" s="47">
        <f t="shared" si="0"/>
        <v>43</v>
      </c>
      <c r="C48" s="48">
        <v>46295</v>
      </c>
      <c r="D48" s="49" t="str">
        <f t="shared" si="1"/>
        <v>Mi</v>
      </c>
      <c r="E48" s="50">
        <f t="shared" si="2"/>
        <v>40</v>
      </c>
      <c r="F48" s="51" t="s">
        <v>84</v>
      </c>
      <c r="G48" s="52" t="s">
        <v>111</v>
      </c>
      <c r="H48" s="51" t="s">
        <v>76</v>
      </c>
      <c r="I48" s="51" t="s">
        <v>77</v>
      </c>
      <c r="J48" s="52" t="s">
        <v>128</v>
      </c>
      <c r="K48" s="53" t="str">
        <f>IF(G48="","",IFERROR(INDEX(Stammdaten!$P$10:$P$69,MATCH(G48,Stammdaten!$N$10:$N$69,0)),"–"))</f>
        <v>Vertrieb</v>
      </c>
      <c r="L48" s="53" t="str">
        <f>IF(F48="","",IFERROR(INDEX(Stammdaten!$D$10:$D$49,MATCH(F48,Stammdaten!$B$10:$B$49,0)),"–"))</f>
        <v>Teamzone Nord</v>
      </c>
      <c r="M48" s="54" t="str">
        <f>IF(C48="","",IF(OR(F48="",G48="",I48=""),"unvollständig",IF(I48="Storniert","storniert",IF(WEEKDAY(C48,2)&gt;5,"Wochenende",IF(COUNTIF(Stammdaten!$AD$10:$AD$30,C48)&gt;0,"Feiertag",IF(IFERROR(INDEX(Stammdaten!$I$10:$I$49,MATCH(F48,Stammdaten!$B$10:$B$49,0)),"")="Gesperrt","Platz gesperrt",IF(AND(COUNTIF($P$6:$P$605,P48)&gt;1,NOT(AND(COUNTIF($P$6:$P$605,P48)=2,COUNTIFS($P$6:$P$605,P48,$H$6:$H$605,"Vormittag")=1,COUNTIFS($P$6:$P$605,P48,$H$6:$H$605,"Nachmittag")=1))),"Doppelbuchung",IF(AND(COUNTIF($R$6:$R$605,R48)&gt;1,NOT(AND(COUNTIF($R$6:$R$605,R48)=2,COUNTIFS($R$6:$R$605,R48,$H$6:$H$605,"Vormittag")=1,COUNTIFS($R$6:$R$605,R48,$H$6:$H$605,"Nachmittag")=1))),"Person doppelt","OK"))))))))</f>
        <v>OK</v>
      </c>
      <c r="O48" s="55">
        <f t="shared" si="3"/>
        <v>1</v>
      </c>
      <c r="P48" s="55" t="str">
        <f t="shared" si="4"/>
        <v>A-07|46295</v>
      </c>
      <c r="Q48" s="55" t="str">
        <f>IF(P48="","",P48&amp;"|"&amp;COUNTIF(P$6:P48,P48))</f>
        <v>A-07|46295|1</v>
      </c>
      <c r="R48" s="55" t="str">
        <f t="shared" si="5"/>
        <v>Sophie Brandt|46295</v>
      </c>
      <c r="S48" s="55" t="str">
        <f>IF(R48="","",R48&amp;"|"&amp;COUNTIF(R$6:R48,R48))</f>
        <v>Sophie Brandt|46295|1</v>
      </c>
      <c r="T48" s="55" t="str">
        <f>IF(G48="","",IFERROR(INDEX(Stammdaten!$O$10:$O$69,MATCH(G48,Stammdaten!$N$10:$N$69,0)),G48)&amp;IF(H48="Vormittag"," (VM)",IF(H48="Nachmittag"," (NM)",""))&amp;IF(I48="Angefragt"," ?",""))</f>
        <v>S. Brandt</v>
      </c>
      <c r="U48" s="55" t="str">
        <f t="shared" si="6"/>
        <v>A-07</v>
      </c>
    </row>
    <row r="49" spans="2:21" ht="16.5" customHeight="1" x14ac:dyDescent="0.25">
      <c r="B49" s="47">
        <f t="shared" si="0"/>
        <v>44</v>
      </c>
      <c r="C49" s="48">
        <v>46295</v>
      </c>
      <c r="D49" s="49" t="str">
        <f t="shared" si="1"/>
        <v>Mi</v>
      </c>
      <c r="E49" s="50">
        <f t="shared" si="2"/>
        <v>40</v>
      </c>
      <c r="F49" s="51" t="s">
        <v>86</v>
      </c>
      <c r="G49" s="52" t="s">
        <v>81</v>
      </c>
      <c r="H49" s="51" t="s">
        <v>76</v>
      </c>
      <c r="I49" s="51" t="s">
        <v>77</v>
      </c>
      <c r="J49" s="52"/>
      <c r="K49" s="53" t="str">
        <f>IF(G49="","",IFERROR(INDEX(Stammdaten!$P$10:$P$69,MATCH(G49,Stammdaten!$N$10:$N$69,0)),"–"))</f>
        <v>Vertrieb</v>
      </c>
      <c r="L49" s="53" t="str">
        <f>IF(F49="","",IFERROR(INDEX(Stammdaten!$D$10:$D$49,MATCH(F49,Stammdaten!$B$10:$B$49,0)),"–"))</f>
        <v>Teamzone Nord</v>
      </c>
      <c r="M49" s="54" t="str">
        <f>IF(C49="","",IF(OR(F49="",G49="",I49=""),"unvollständig",IF(I49="Storniert","storniert",IF(WEEKDAY(C49,2)&gt;5,"Wochenende",IF(COUNTIF(Stammdaten!$AD$10:$AD$30,C49)&gt;0,"Feiertag",IF(IFERROR(INDEX(Stammdaten!$I$10:$I$49,MATCH(F49,Stammdaten!$B$10:$B$49,0)),"")="Gesperrt","Platz gesperrt",IF(AND(COUNTIF($P$6:$P$605,P49)&gt;1,NOT(AND(COUNTIF($P$6:$P$605,P49)=2,COUNTIFS($P$6:$P$605,P49,$H$6:$H$605,"Vormittag")=1,COUNTIFS($P$6:$P$605,P49,$H$6:$H$605,"Nachmittag")=1))),"Doppelbuchung",IF(AND(COUNTIF($R$6:$R$605,R49)&gt;1,NOT(AND(COUNTIF($R$6:$R$605,R49)=2,COUNTIFS($R$6:$R$605,R49,$H$6:$H$605,"Vormittag")=1,COUNTIFS($R$6:$R$605,R49,$H$6:$H$605,"Nachmittag")=1))),"Person doppelt","OK"))))))))</f>
        <v>OK</v>
      </c>
      <c r="O49" s="55">
        <f t="shared" si="3"/>
        <v>1</v>
      </c>
      <c r="P49" s="55" t="str">
        <f t="shared" si="4"/>
        <v>A-08|46295</v>
      </c>
      <c r="Q49" s="55" t="str">
        <f>IF(P49="","",P49&amp;"|"&amp;COUNTIF(P$6:P49,P49))</f>
        <v>A-08|46295|1</v>
      </c>
      <c r="R49" s="55" t="str">
        <f t="shared" si="5"/>
        <v>Nina Albrecht|46295</v>
      </c>
      <c r="S49" s="55" t="str">
        <f>IF(R49="","",R49&amp;"|"&amp;COUNTIF(R$6:R49,R49))</f>
        <v>Nina Albrecht|46295|1</v>
      </c>
      <c r="T49" s="55" t="str">
        <f>IF(G49="","",IFERROR(INDEX(Stammdaten!$O$10:$O$69,MATCH(G49,Stammdaten!$N$10:$N$69,0)),G49)&amp;IF(H49="Vormittag"," (VM)",IF(H49="Nachmittag"," (NM)",""))&amp;IF(I49="Angefragt"," ?",""))</f>
        <v>N. Albrecht</v>
      </c>
      <c r="U49" s="55" t="str">
        <f t="shared" si="6"/>
        <v>A-08</v>
      </c>
    </row>
    <row r="50" spans="2:21" ht="16.5" customHeight="1" x14ac:dyDescent="0.25">
      <c r="B50" s="47">
        <f t="shared" si="0"/>
        <v>45</v>
      </c>
      <c r="C50" s="48">
        <v>46295</v>
      </c>
      <c r="D50" s="49" t="str">
        <f t="shared" si="1"/>
        <v>Mi</v>
      </c>
      <c r="E50" s="50">
        <f t="shared" si="2"/>
        <v>40</v>
      </c>
      <c r="F50" s="51" t="s">
        <v>129</v>
      </c>
      <c r="G50" s="52" t="s">
        <v>115</v>
      </c>
      <c r="H50" s="51" t="s">
        <v>76</v>
      </c>
      <c r="I50" s="51" t="s">
        <v>77</v>
      </c>
      <c r="J50" s="52" t="s">
        <v>128</v>
      </c>
      <c r="K50" s="53" t="str">
        <f>IF(G50="","",IFERROR(INDEX(Stammdaten!$P$10:$P$69,MATCH(G50,Stammdaten!$N$10:$N$69,0)),"–"))</f>
        <v>Projektmanagement</v>
      </c>
      <c r="L50" s="53" t="str">
        <f>IF(F50="","",IFERROR(INDEX(Stammdaten!$D$10:$D$49,MATCH(F50,Stammdaten!$B$10:$B$49,0)),"–"))</f>
        <v>Fokuszone</v>
      </c>
      <c r="M50" s="54" t="str">
        <f>IF(C50="","",IF(OR(F50="",G50="",I50=""),"unvollständig",IF(I50="Storniert","storniert",IF(WEEKDAY(C50,2)&gt;5,"Wochenende",IF(COUNTIF(Stammdaten!$AD$10:$AD$30,C50)&gt;0,"Feiertag",IF(IFERROR(INDEX(Stammdaten!$I$10:$I$49,MATCH(F50,Stammdaten!$B$10:$B$49,0)),"")="Gesperrt","Platz gesperrt",IF(AND(COUNTIF($P$6:$P$605,P50)&gt;1,NOT(AND(COUNTIF($P$6:$P$605,P50)=2,COUNTIFS($P$6:$P$605,P50,$H$6:$H$605,"Vormittag")=1,COUNTIFS($P$6:$P$605,P50,$H$6:$H$605,"Nachmittag")=1))),"Doppelbuchung",IF(AND(COUNTIF($R$6:$R$605,R50)&gt;1,NOT(AND(COUNTIF($R$6:$R$605,R50)=2,COUNTIFS($R$6:$R$605,R50,$H$6:$H$605,"Vormittag")=1,COUNTIFS($R$6:$R$605,R50,$H$6:$H$605,"Nachmittag")=1))),"Person doppelt","OK"))))))))</f>
        <v>OK</v>
      </c>
      <c r="O50" s="55">
        <f t="shared" si="3"/>
        <v>1</v>
      </c>
      <c r="P50" s="55" t="str">
        <f t="shared" si="4"/>
        <v>A-09|46295</v>
      </c>
      <c r="Q50" s="55" t="str">
        <f>IF(P50="","",P50&amp;"|"&amp;COUNTIF(P$6:P50,P50))</f>
        <v>A-09|46295|1</v>
      </c>
      <c r="R50" s="55" t="str">
        <f t="shared" si="5"/>
        <v>Jan Peters|46295</v>
      </c>
      <c r="S50" s="55" t="str">
        <f>IF(R50="","",R50&amp;"|"&amp;COUNTIF(R$6:R50,R50))</f>
        <v>Jan Peters|46295|1</v>
      </c>
      <c r="T50" s="55" t="str">
        <f>IF(G50="","",IFERROR(INDEX(Stammdaten!$O$10:$O$69,MATCH(G50,Stammdaten!$N$10:$N$69,0)),G50)&amp;IF(H50="Vormittag"," (VM)",IF(H50="Nachmittag"," (NM)",""))&amp;IF(I50="Angefragt"," ?",""))</f>
        <v>J. Peters</v>
      </c>
      <c r="U50" s="55" t="str">
        <f t="shared" si="6"/>
        <v>A-09</v>
      </c>
    </row>
    <row r="51" spans="2:21" ht="16.5" customHeight="1" x14ac:dyDescent="0.25">
      <c r="B51" s="47">
        <f t="shared" si="0"/>
        <v>46</v>
      </c>
      <c r="C51" s="48">
        <v>46295</v>
      </c>
      <c r="D51" s="49" t="str">
        <f t="shared" si="1"/>
        <v>Mi</v>
      </c>
      <c r="E51" s="50">
        <f t="shared" si="2"/>
        <v>40</v>
      </c>
      <c r="F51" s="51" t="s">
        <v>113</v>
      </c>
      <c r="G51" s="52" t="s">
        <v>89</v>
      </c>
      <c r="H51" s="51" t="s">
        <v>76</v>
      </c>
      <c r="I51" s="51" t="s">
        <v>77</v>
      </c>
      <c r="J51" s="52"/>
      <c r="K51" s="53" t="str">
        <f>IF(G51="","",IFERROR(INDEX(Stammdaten!$P$10:$P$69,MATCH(G51,Stammdaten!$N$10:$N$69,0)),"–"))</f>
        <v>Projektmanagement</v>
      </c>
      <c r="L51" s="53" t="str">
        <f>IF(F51="","",IFERROR(INDEX(Stammdaten!$D$10:$D$49,MATCH(F51,Stammdaten!$B$10:$B$49,0)),"–"))</f>
        <v>Fokuszone</v>
      </c>
      <c r="M51" s="54" t="str">
        <f>IF(C51="","",IF(OR(F51="",G51="",I51=""),"unvollständig",IF(I51="Storniert","storniert",IF(WEEKDAY(C51,2)&gt;5,"Wochenende",IF(COUNTIF(Stammdaten!$AD$10:$AD$30,C51)&gt;0,"Feiertag",IF(IFERROR(INDEX(Stammdaten!$I$10:$I$49,MATCH(F51,Stammdaten!$B$10:$B$49,0)),"")="Gesperrt","Platz gesperrt",IF(AND(COUNTIF($P$6:$P$605,P51)&gt;1,NOT(AND(COUNTIF($P$6:$P$605,P51)=2,COUNTIFS($P$6:$P$605,P51,$H$6:$H$605,"Vormittag")=1,COUNTIFS($P$6:$P$605,P51,$H$6:$H$605,"Nachmittag")=1))),"Doppelbuchung",IF(AND(COUNTIF($R$6:$R$605,R51)&gt;1,NOT(AND(COUNTIF($R$6:$R$605,R51)=2,COUNTIFS($R$6:$R$605,R51,$H$6:$H$605,"Vormittag")=1,COUNTIFS($R$6:$R$605,R51,$H$6:$H$605,"Nachmittag")=1))),"Person doppelt","OK"))))))))</f>
        <v>OK</v>
      </c>
      <c r="O51" s="55">
        <f t="shared" si="3"/>
        <v>1</v>
      </c>
      <c r="P51" s="55" t="str">
        <f t="shared" si="4"/>
        <v>A-10|46295</v>
      </c>
      <c r="Q51" s="55" t="str">
        <f>IF(P51="","",P51&amp;"|"&amp;COUNTIF(P$6:P51,P51))</f>
        <v>A-10|46295|1</v>
      </c>
      <c r="R51" s="55" t="str">
        <f t="shared" si="5"/>
        <v>Theresa Jung|46295</v>
      </c>
      <c r="S51" s="55" t="str">
        <f>IF(R51="","",R51&amp;"|"&amp;COUNTIF(R$6:R51,R51))</f>
        <v>Theresa Jung|46295|1</v>
      </c>
      <c r="T51" s="55" t="str">
        <f>IF(G51="","",IFERROR(INDEX(Stammdaten!$O$10:$O$69,MATCH(G51,Stammdaten!$N$10:$N$69,0)),G51)&amp;IF(H51="Vormittag"," (VM)",IF(H51="Nachmittag"," (NM)",""))&amp;IF(I51="Angefragt"," ?",""))</f>
        <v>T. Jung</v>
      </c>
      <c r="U51" s="55" t="str">
        <f t="shared" si="6"/>
        <v>A-10</v>
      </c>
    </row>
    <row r="52" spans="2:21" ht="16.5" customHeight="1" x14ac:dyDescent="0.25">
      <c r="B52" s="47">
        <f t="shared" si="0"/>
        <v>47</v>
      </c>
      <c r="C52" s="48">
        <v>46295</v>
      </c>
      <c r="D52" s="49" t="str">
        <f t="shared" si="1"/>
        <v>Mi</v>
      </c>
      <c r="E52" s="50">
        <f t="shared" si="2"/>
        <v>40</v>
      </c>
      <c r="F52" s="51" t="s">
        <v>88</v>
      </c>
      <c r="G52" s="52" t="s">
        <v>114</v>
      </c>
      <c r="H52" s="51" t="s">
        <v>76</v>
      </c>
      <c r="I52" s="51" t="s">
        <v>77</v>
      </c>
      <c r="J52" s="52"/>
      <c r="K52" s="53" t="str">
        <f>IF(G52="","",IFERROR(INDEX(Stammdaten!$P$10:$P$69,MATCH(G52,Stammdaten!$N$10:$N$69,0)),"–"))</f>
        <v>Projektmanagement</v>
      </c>
      <c r="L52" s="53" t="str">
        <f>IF(F52="","",IFERROR(INDEX(Stammdaten!$D$10:$D$49,MATCH(F52,Stammdaten!$B$10:$B$49,0)),"–"))</f>
        <v>Fokuszone</v>
      </c>
      <c r="M52" s="54" t="str">
        <f>IF(C52="","",IF(OR(F52="",G52="",I52=""),"unvollständig",IF(I52="Storniert","storniert",IF(WEEKDAY(C52,2)&gt;5,"Wochenende",IF(COUNTIF(Stammdaten!$AD$10:$AD$30,C52)&gt;0,"Feiertag",IF(IFERROR(INDEX(Stammdaten!$I$10:$I$49,MATCH(F52,Stammdaten!$B$10:$B$49,0)),"")="Gesperrt","Platz gesperrt",IF(AND(COUNTIF($P$6:$P$605,P52)&gt;1,NOT(AND(COUNTIF($P$6:$P$605,P52)=2,COUNTIFS($P$6:$P$605,P52,$H$6:$H$605,"Vormittag")=1,COUNTIFS($P$6:$P$605,P52,$H$6:$H$605,"Nachmittag")=1))),"Doppelbuchung",IF(AND(COUNTIF($R$6:$R$605,R52)&gt;1,NOT(AND(COUNTIF($R$6:$R$605,R52)=2,COUNTIFS($R$6:$R$605,R52,$H$6:$H$605,"Vormittag")=1,COUNTIFS($R$6:$R$605,R52,$H$6:$H$605,"Nachmittag")=1))),"Person doppelt","OK"))))))))</f>
        <v>OK</v>
      </c>
      <c r="O52" s="55">
        <f t="shared" si="3"/>
        <v>1</v>
      </c>
      <c r="P52" s="55" t="str">
        <f t="shared" si="4"/>
        <v>A-11|46295</v>
      </c>
      <c r="Q52" s="55" t="str">
        <f>IF(P52="","",P52&amp;"|"&amp;COUNTIF(P$6:P52,P52))</f>
        <v>A-11|46295|1</v>
      </c>
      <c r="R52" s="55" t="str">
        <f t="shared" si="5"/>
        <v>Isabel Marx|46295</v>
      </c>
      <c r="S52" s="55" t="str">
        <f>IF(R52="","",R52&amp;"|"&amp;COUNTIF(R$6:R52,R52))</f>
        <v>Isabel Marx|46295|1</v>
      </c>
      <c r="T52" s="55" t="str">
        <f>IF(G52="","",IFERROR(INDEX(Stammdaten!$O$10:$O$69,MATCH(G52,Stammdaten!$N$10:$N$69,0)),G52)&amp;IF(H52="Vormittag"," (VM)",IF(H52="Nachmittag"," (NM)",""))&amp;IF(I52="Angefragt"," ?",""))</f>
        <v>I. Marx</v>
      </c>
      <c r="U52" s="55" t="str">
        <f t="shared" si="6"/>
        <v>A-11</v>
      </c>
    </row>
    <row r="53" spans="2:21" ht="16.5" customHeight="1" x14ac:dyDescent="0.25">
      <c r="B53" s="47">
        <f t="shared" si="0"/>
        <v>48</v>
      </c>
      <c r="C53" s="48">
        <v>46295</v>
      </c>
      <c r="D53" s="49" t="str">
        <f t="shared" si="1"/>
        <v>Mi</v>
      </c>
      <c r="E53" s="50">
        <f t="shared" si="2"/>
        <v>40</v>
      </c>
      <c r="F53" s="51" t="s">
        <v>90</v>
      </c>
      <c r="G53" s="52" t="s">
        <v>130</v>
      </c>
      <c r="H53" s="51" t="s">
        <v>76</v>
      </c>
      <c r="I53" s="51" t="s">
        <v>77</v>
      </c>
      <c r="J53" s="52"/>
      <c r="K53" s="53" t="str">
        <f>IF(G53="","",IFERROR(INDEX(Stammdaten!$P$10:$P$69,MATCH(G53,Stammdaten!$N$10:$N$69,0)),"–"))</f>
        <v>Projektmanagement</v>
      </c>
      <c r="L53" s="53" t="str">
        <f>IF(F53="","",IFERROR(INDEX(Stammdaten!$D$10:$D$49,MATCH(F53,Stammdaten!$B$10:$B$49,0)),"–"))</f>
        <v>Fokuszone</v>
      </c>
      <c r="M53" s="54" t="str">
        <f>IF(C53="","",IF(OR(F53="",G53="",I53=""),"unvollständig",IF(I53="Storniert","storniert",IF(WEEKDAY(C53,2)&gt;5,"Wochenende",IF(COUNTIF(Stammdaten!$AD$10:$AD$30,C53)&gt;0,"Feiertag",IF(IFERROR(INDEX(Stammdaten!$I$10:$I$49,MATCH(F53,Stammdaten!$B$10:$B$49,0)),"")="Gesperrt","Platz gesperrt",IF(AND(COUNTIF($P$6:$P$605,P53)&gt;1,NOT(AND(COUNTIF($P$6:$P$605,P53)=2,COUNTIFS($P$6:$P$605,P53,$H$6:$H$605,"Vormittag")=1,COUNTIFS($P$6:$P$605,P53,$H$6:$H$605,"Nachmittag")=1))),"Doppelbuchung",IF(AND(COUNTIF($R$6:$R$605,R53)&gt;1,NOT(AND(COUNTIF($R$6:$R$605,R53)=2,COUNTIFS($R$6:$R$605,R53,$H$6:$H$605,"Vormittag")=1,COUNTIFS($R$6:$R$605,R53,$H$6:$H$605,"Nachmittag")=1))),"Person doppelt","OK"))))))))</f>
        <v>OK</v>
      </c>
      <c r="O53" s="55">
        <f t="shared" si="3"/>
        <v>1</v>
      </c>
      <c r="P53" s="55" t="str">
        <f t="shared" si="4"/>
        <v>A-12|46295</v>
      </c>
      <c r="Q53" s="55" t="str">
        <f>IF(P53="","",P53&amp;"|"&amp;COUNTIF(P$6:P53,P53))</f>
        <v>A-12|46295|1</v>
      </c>
      <c r="R53" s="55" t="str">
        <f t="shared" si="5"/>
        <v>Fabian Ott|46295</v>
      </c>
      <c r="S53" s="55" t="str">
        <f>IF(R53="","",R53&amp;"|"&amp;COUNTIF(R$6:R53,R53))</f>
        <v>Fabian Ott|46295|1</v>
      </c>
      <c r="T53" s="55" t="str">
        <f>IF(G53="","",IFERROR(INDEX(Stammdaten!$O$10:$O$69,MATCH(G53,Stammdaten!$N$10:$N$69,0)),G53)&amp;IF(H53="Vormittag"," (VM)",IF(H53="Nachmittag"," (NM)",""))&amp;IF(I53="Angefragt"," ?",""))</f>
        <v>F. Ott</v>
      </c>
      <c r="U53" s="55" t="str">
        <f t="shared" si="6"/>
        <v>A-12</v>
      </c>
    </row>
    <row r="54" spans="2:21" ht="16.5" customHeight="1" x14ac:dyDescent="0.25">
      <c r="B54" s="47">
        <f t="shared" si="0"/>
        <v>49</v>
      </c>
      <c r="C54" s="48">
        <v>46295</v>
      </c>
      <c r="D54" s="49" t="str">
        <f t="shared" si="1"/>
        <v>Mi</v>
      </c>
      <c r="E54" s="50">
        <f t="shared" si="2"/>
        <v>40</v>
      </c>
      <c r="F54" s="51" t="s">
        <v>92</v>
      </c>
      <c r="G54" s="52" t="s">
        <v>93</v>
      </c>
      <c r="H54" s="51" t="s">
        <v>76</v>
      </c>
      <c r="I54" s="51" t="s">
        <v>77</v>
      </c>
      <c r="J54" s="52"/>
      <c r="K54" s="53" t="str">
        <f>IF(G54="","",IFERROR(INDEX(Stammdaten!$P$10:$P$69,MATCH(G54,Stammdaten!$N$10:$N$69,0)),"–"))</f>
        <v>Finanzen</v>
      </c>
      <c r="L54" s="53" t="str">
        <f>IF(F54="","",IFERROR(INDEX(Stammdaten!$D$10:$D$49,MATCH(F54,Stammdaten!$B$10:$B$49,0)),"–"))</f>
        <v>Teamzone Süd</v>
      </c>
      <c r="M54" s="54" t="str">
        <f>IF(C54="","",IF(OR(F54="",G54="",I54=""),"unvollständig",IF(I54="Storniert","storniert",IF(WEEKDAY(C54,2)&gt;5,"Wochenende",IF(COUNTIF(Stammdaten!$AD$10:$AD$30,C54)&gt;0,"Feiertag",IF(IFERROR(INDEX(Stammdaten!$I$10:$I$49,MATCH(F54,Stammdaten!$B$10:$B$49,0)),"")="Gesperrt","Platz gesperrt",IF(AND(COUNTIF($P$6:$P$605,P54)&gt;1,NOT(AND(COUNTIF($P$6:$P$605,P54)=2,COUNTIFS($P$6:$P$605,P54,$H$6:$H$605,"Vormittag")=1,COUNTIFS($P$6:$P$605,P54,$H$6:$H$605,"Nachmittag")=1))),"Doppelbuchung",IF(AND(COUNTIF($R$6:$R$605,R54)&gt;1,NOT(AND(COUNTIF($R$6:$R$605,R54)=2,COUNTIFS($R$6:$R$605,R54,$H$6:$H$605,"Vormittag")=1,COUNTIFS($R$6:$R$605,R54,$H$6:$H$605,"Nachmittag")=1))),"Person doppelt","OK"))))))))</f>
        <v>OK</v>
      </c>
      <c r="O54" s="55">
        <f t="shared" si="3"/>
        <v>1</v>
      </c>
      <c r="P54" s="55" t="str">
        <f t="shared" si="4"/>
        <v>B-01|46295</v>
      </c>
      <c r="Q54" s="55" t="str">
        <f>IF(P54="","",P54&amp;"|"&amp;COUNTIF(P$6:P54,P54))</f>
        <v>B-01|46295|1</v>
      </c>
      <c r="R54" s="55" t="str">
        <f t="shared" si="5"/>
        <v>Sarah Böhm|46295</v>
      </c>
      <c r="S54" s="55" t="str">
        <f>IF(R54="","",R54&amp;"|"&amp;COUNTIF(R$6:R54,R54))</f>
        <v>Sarah Böhm|46295|1</v>
      </c>
      <c r="T54" s="55" t="str">
        <f>IF(G54="","",IFERROR(INDEX(Stammdaten!$O$10:$O$69,MATCH(G54,Stammdaten!$N$10:$N$69,0)),G54)&amp;IF(H54="Vormittag"," (VM)",IF(H54="Nachmittag"," (NM)",""))&amp;IF(I54="Angefragt"," ?",""))</f>
        <v>S. Böhm</v>
      </c>
      <c r="U54" s="55" t="str">
        <f t="shared" si="6"/>
        <v>B-01</v>
      </c>
    </row>
    <row r="55" spans="2:21" ht="16.5" customHeight="1" x14ac:dyDescent="0.25">
      <c r="B55" s="47">
        <f t="shared" si="0"/>
        <v>50</v>
      </c>
      <c r="C55" s="48">
        <v>46295</v>
      </c>
      <c r="D55" s="49" t="str">
        <f t="shared" si="1"/>
        <v>Mi</v>
      </c>
      <c r="E55" s="50">
        <f t="shared" si="2"/>
        <v>40</v>
      </c>
      <c r="F55" s="51" t="s">
        <v>94</v>
      </c>
      <c r="G55" s="52" t="s">
        <v>95</v>
      </c>
      <c r="H55" s="51" t="s">
        <v>76</v>
      </c>
      <c r="I55" s="51" t="s">
        <v>77</v>
      </c>
      <c r="J55" s="52"/>
      <c r="K55" s="53" t="str">
        <f>IF(G55="","",IFERROR(INDEX(Stammdaten!$P$10:$P$69,MATCH(G55,Stammdaten!$N$10:$N$69,0)),"–"))</f>
        <v>Finanzen</v>
      </c>
      <c r="L55" s="53" t="str">
        <f>IF(F55="","",IFERROR(INDEX(Stammdaten!$D$10:$D$49,MATCH(F55,Stammdaten!$B$10:$B$49,0)),"–"))</f>
        <v>Teamzone Süd</v>
      </c>
      <c r="M55" s="54" t="str">
        <f>IF(C55="","",IF(OR(F55="",G55="",I55=""),"unvollständig",IF(I55="Storniert","storniert",IF(WEEKDAY(C55,2)&gt;5,"Wochenende",IF(COUNTIF(Stammdaten!$AD$10:$AD$30,C55)&gt;0,"Feiertag",IF(IFERROR(INDEX(Stammdaten!$I$10:$I$49,MATCH(F55,Stammdaten!$B$10:$B$49,0)),"")="Gesperrt","Platz gesperrt",IF(AND(COUNTIF($P$6:$P$605,P55)&gt;1,NOT(AND(COUNTIF($P$6:$P$605,P55)=2,COUNTIFS($P$6:$P$605,P55,$H$6:$H$605,"Vormittag")=1,COUNTIFS($P$6:$P$605,P55,$H$6:$H$605,"Nachmittag")=1))),"Doppelbuchung",IF(AND(COUNTIF($R$6:$R$605,R55)&gt;1,NOT(AND(COUNTIF($R$6:$R$605,R55)=2,COUNTIFS($R$6:$R$605,R55,$H$6:$H$605,"Vormittag")=1,COUNTIFS($R$6:$R$605,R55,$H$6:$H$605,"Nachmittag")=1))),"Person doppelt","OK"))))))))</f>
        <v>OK</v>
      </c>
      <c r="O55" s="55">
        <f t="shared" si="3"/>
        <v>1</v>
      </c>
      <c r="P55" s="55" t="str">
        <f t="shared" si="4"/>
        <v>B-02|46295</v>
      </c>
      <c r="Q55" s="55" t="str">
        <f>IF(P55="","",P55&amp;"|"&amp;COUNTIF(P$6:P55,P55))</f>
        <v>B-02|46295|1</v>
      </c>
      <c r="R55" s="55" t="str">
        <f t="shared" si="5"/>
        <v>Hanna Roth|46295</v>
      </c>
      <c r="S55" s="55" t="str">
        <f>IF(R55="","",R55&amp;"|"&amp;COUNTIF(R$6:R55,R55))</f>
        <v>Hanna Roth|46295|1</v>
      </c>
      <c r="T55" s="55" t="str">
        <f>IF(G55="","",IFERROR(INDEX(Stammdaten!$O$10:$O$69,MATCH(G55,Stammdaten!$N$10:$N$69,0)),G55)&amp;IF(H55="Vormittag"," (VM)",IF(H55="Nachmittag"," (NM)",""))&amp;IF(I55="Angefragt"," ?",""))</f>
        <v>H. Roth</v>
      </c>
      <c r="U55" s="55" t="str">
        <f t="shared" si="6"/>
        <v>B-02</v>
      </c>
    </row>
    <row r="56" spans="2:21" ht="16.5" customHeight="1" x14ac:dyDescent="0.25">
      <c r="B56" s="47">
        <f t="shared" si="0"/>
        <v>51</v>
      </c>
      <c r="C56" s="48">
        <v>46295</v>
      </c>
      <c r="D56" s="49" t="str">
        <f t="shared" si="1"/>
        <v>Mi</v>
      </c>
      <c r="E56" s="50">
        <f t="shared" si="2"/>
        <v>40</v>
      </c>
      <c r="F56" s="51" t="s">
        <v>121</v>
      </c>
      <c r="G56" s="52" t="s">
        <v>116</v>
      </c>
      <c r="H56" s="51" t="s">
        <v>76</v>
      </c>
      <c r="I56" s="51" t="s">
        <v>77</v>
      </c>
      <c r="J56" s="52"/>
      <c r="K56" s="53" t="str">
        <f>IF(G56="","",IFERROR(INDEX(Stammdaten!$P$10:$P$69,MATCH(G56,Stammdaten!$N$10:$N$69,0)),"–"))</f>
        <v>Finanzen</v>
      </c>
      <c r="L56" s="53" t="str">
        <f>IF(F56="","",IFERROR(INDEX(Stammdaten!$D$10:$D$49,MATCH(F56,Stammdaten!$B$10:$B$49,0)),"–"))</f>
        <v>Teamzone Süd</v>
      </c>
      <c r="M56" s="54" t="str">
        <f>IF(C56="","",IF(OR(F56="",G56="",I56=""),"unvollständig",IF(I56="Storniert","storniert",IF(WEEKDAY(C56,2)&gt;5,"Wochenende",IF(COUNTIF(Stammdaten!$AD$10:$AD$30,C56)&gt;0,"Feiertag",IF(IFERROR(INDEX(Stammdaten!$I$10:$I$49,MATCH(F56,Stammdaten!$B$10:$B$49,0)),"")="Gesperrt","Platz gesperrt",IF(AND(COUNTIF($P$6:$P$605,P56)&gt;1,NOT(AND(COUNTIF($P$6:$P$605,P56)=2,COUNTIFS($P$6:$P$605,P56,$H$6:$H$605,"Vormittag")=1,COUNTIFS($P$6:$P$605,P56,$H$6:$H$605,"Nachmittag")=1))),"Doppelbuchung",IF(AND(COUNTIF($R$6:$R$605,R56)&gt;1,NOT(AND(COUNTIF($R$6:$R$605,R56)=2,COUNTIFS($R$6:$R$605,R56,$H$6:$H$605,"Vormittag")=1,COUNTIFS($R$6:$R$605,R56,$H$6:$H$605,"Nachmittag")=1))),"Person doppelt","OK"))))))))</f>
        <v>OK</v>
      </c>
      <c r="O56" s="55">
        <f t="shared" si="3"/>
        <v>1</v>
      </c>
      <c r="P56" s="55" t="str">
        <f t="shared" si="4"/>
        <v>B-05|46295</v>
      </c>
      <c r="Q56" s="55" t="str">
        <f>IF(P56="","",P56&amp;"|"&amp;COUNTIF(P$6:P56,P56))</f>
        <v>B-05|46295|1</v>
      </c>
      <c r="R56" s="55" t="str">
        <f t="shared" si="5"/>
        <v>Julia Herrmann|46295</v>
      </c>
      <c r="S56" s="55" t="str">
        <f>IF(R56="","",R56&amp;"|"&amp;COUNTIF(R$6:R56,R56))</f>
        <v>Julia Herrmann|46295|1</v>
      </c>
      <c r="T56" s="55" t="str">
        <f>IF(G56="","",IFERROR(INDEX(Stammdaten!$O$10:$O$69,MATCH(G56,Stammdaten!$N$10:$N$69,0)),G56)&amp;IF(H56="Vormittag"," (VM)",IF(H56="Nachmittag"," (NM)",""))&amp;IF(I56="Angefragt"," ?",""))</f>
        <v>J. Herrmann</v>
      </c>
      <c r="U56" s="55" t="str">
        <f t="shared" si="6"/>
        <v>B-05</v>
      </c>
    </row>
    <row r="57" spans="2:21" ht="16.5" customHeight="1" x14ac:dyDescent="0.25">
      <c r="B57" s="47">
        <f t="shared" si="0"/>
        <v>52</v>
      </c>
      <c r="C57" s="48">
        <v>46295</v>
      </c>
      <c r="D57" s="49" t="str">
        <f t="shared" si="1"/>
        <v>Mi</v>
      </c>
      <c r="E57" s="50">
        <f t="shared" si="2"/>
        <v>40</v>
      </c>
      <c r="F57" s="51" t="s">
        <v>96</v>
      </c>
      <c r="G57" s="52" t="s">
        <v>120</v>
      </c>
      <c r="H57" s="51" t="s">
        <v>76</v>
      </c>
      <c r="I57" s="51" t="s">
        <v>77</v>
      </c>
      <c r="J57" s="52"/>
      <c r="K57" s="53" t="str">
        <f>IF(G57="","",IFERROR(INDEX(Stammdaten!$P$10:$P$69,MATCH(G57,Stammdaten!$N$10:$N$69,0)),"–"))</f>
        <v>Personal</v>
      </c>
      <c r="L57" s="53" t="str">
        <f>IF(F57="","",IFERROR(INDEX(Stammdaten!$D$10:$D$49,MATCH(F57,Stammdaten!$B$10:$B$49,0)),"–"))</f>
        <v>Teamzone Süd</v>
      </c>
      <c r="M57" s="54" t="str">
        <f>IF(C57="","",IF(OR(F57="",G57="",I57=""),"unvollständig",IF(I57="Storniert","storniert",IF(WEEKDAY(C57,2)&gt;5,"Wochenende",IF(COUNTIF(Stammdaten!$AD$10:$AD$30,C57)&gt;0,"Feiertag",IF(IFERROR(INDEX(Stammdaten!$I$10:$I$49,MATCH(F57,Stammdaten!$B$10:$B$49,0)),"")="Gesperrt","Platz gesperrt",IF(AND(COUNTIF($P$6:$P$605,P57)&gt;1,NOT(AND(COUNTIF($P$6:$P$605,P57)=2,COUNTIFS($P$6:$P$605,P57,$H$6:$H$605,"Vormittag")=1,COUNTIFS($P$6:$P$605,P57,$H$6:$H$605,"Nachmittag")=1))),"Doppelbuchung",IF(AND(COUNTIF($R$6:$R$605,R57)&gt;1,NOT(AND(COUNTIF($R$6:$R$605,R57)=2,COUNTIFS($R$6:$R$605,R57,$H$6:$H$605,"Vormittag")=1,COUNTIFS($R$6:$R$605,R57,$H$6:$H$605,"Nachmittag")=1))),"Person doppelt","OK"))))))))</f>
        <v>OK</v>
      </c>
      <c r="O57" s="55">
        <f t="shared" si="3"/>
        <v>1</v>
      </c>
      <c r="P57" s="55" t="str">
        <f t="shared" si="4"/>
        <v>B-06|46295</v>
      </c>
      <c r="Q57" s="55" t="str">
        <f>IF(P57="","",P57&amp;"|"&amp;COUNTIF(P$6:P57,P57))</f>
        <v>B-06|46295|1</v>
      </c>
      <c r="R57" s="55" t="str">
        <f t="shared" si="5"/>
        <v>Elif Yilmaz|46295</v>
      </c>
      <c r="S57" s="55" t="str">
        <f>IF(R57="","",R57&amp;"|"&amp;COUNTIF(R$6:R57,R57))</f>
        <v>Elif Yilmaz|46295|1</v>
      </c>
      <c r="T57" s="55" t="str">
        <f>IF(G57="","",IFERROR(INDEX(Stammdaten!$O$10:$O$69,MATCH(G57,Stammdaten!$N$10:$N$69,0)),G57)&amp;IF(H57="Vormittag"," (VM)",IF(H57="Nachmittag"," (NM)",""))&amp;IF(I57="Angefragt"," ?",""))</f>
        <v>E. Yilmaz</v>
      </c>
      <c r="U57" s="55" t="str">
        <f t="shared" si="6"/>
        <v>B-06</v>
      </c>
    </row>
    <row r="58" spans="2:21" ht="16.5" customHeight="1" x14ac:dyDescent="0.25">
      <c r="B58" s="47">
        <f t="shared" si="0"/>
        <v>53</v>
      </c>
      <c r="C58" s="48">
        <v>46295</v>
      </c>
      <c r="D58" s="49" t="str">
        <f t="shared" si="1"/>
        <v>Mi</v>
      </c>
      <c r="E58" s="50">
        <f t="shared" si="2"/>
        <v>40</v>
      </c>
      <c r="F58" s="51" t="s">
        <v>98</v>
      </c>
      <c r="G58" s="52" t="s">
        <v>131</v>
      </c>
      <c r="H58" s="51" t="s">
        <v>76</v>
      </c>
      <c r="I58" s="51" t="s">
        <v>77</v>
      </c>
      <c r="J58" s="52"/>
      <c r="K58" s="53" t="str">
        <f>IF(G58="","",IFERROR(INDEX(Stammdaten!$P$10:$P$69,MATCH(G58,Stammdaten!$N$10:$N$69,0)),"–"))</f>
        <v>Finanzen</v>
      </c>
      <c r="L58" s="53" t="str">
        <f>IF(F58="","",IFERROR(INDEX(Stammdaten!$D$10:$D$49,MATCH(F58,Stammdaten!$B$10:$B$49,0)),"–"))</f>
        <v>Teamzone Süd</v>
      </c>
      <c r="M58" s="54" t="str">
        <f>IF(C58="","",IF(OR(F58="",G58="",I58=""),"unvollständig",IF(I58="Storniert","storniert",IF(WEEKDAY(C58,2)&gt;5,"Wochenende",IF(COUNTIF(Stammdaten!$AD$10:$AD$30,C58)&gt;0,"Feiertag",IF(IFERROR(INDEX(Stammdaten!$I$10:$I$49,MATCH(F58,Stammdaten!$B$10:$B$49,0)),"")="Gesperrt","Platz gesperrt",IF(AND(COUNTIF($P$6:$P$605,P58)&gt;1,NOT(AND(COUNTIF($P$6:$P$605,P58)=2,COUNTIFS($P$6:$P$605,P58,$H$6:$H$605,"Vormittag")=1,COUNTIFS($P$6:$P$605,P58,$H$6:$H$605,"Nachmittag")=1))),"Doppelbuchung",IF(AND(COUNTIF($R$6:$R$605,R58)&gt;1,NOT(AND(COUNTIF($R$6:$R$605,R58)=2,COUNTIFS($R$6:$R$605,R58,$H$6:$H$605,"Vormittag")=1,COUNTIFS($R$6:$R$605,R58,$H$6:$H$605,"Nachmittag")=1))),"Person doppelt","OK"))))))))</f>
        <v>OK</v>
      </c>
      <c r="O58" s="55">
        <f t="shared" si="3"/>
        <v>1</v>
      </c>
      <c r="P58" s="55" t="str">
        <f t="shared" si="4"/>
        <v>B-08|46295</v>
      </c>
      <c r="Q58" s="55" t="str">
        <f>IF(P58="","",P58&amp;"|"&amp;COUNTIF(P$6:P58,P58))</f>
        <v>B-08|46295|1</v>
      </c>
      <c r="R58" s="55" t="str">
        <f t="shared" si="5"/>
        <v>Leon Fuchs|46295</v>
      </c>
      <c r="S58" s="55" t="str">
        <f>IF(R58="","",R58&amp;"|"&amp;COUNTIF(R$6:R58,R58))</f>
        <v>Leon Fuchs|46295|1</v>
      </c>
      <c r="T58" s="55" t="str">
        <f>IF(G58="","",IFERROR(INDEX(Stammdaten!$O$10:$O$69,MATCH(G58,Stammdaten!$N$10:$N$69,0)),G58)&amp;IF(H58="Vormittag"," (VM)",IF(H58="Nachmittag"," (NM)",""))&amp;IF(I58="Angefragt"," ?",""))</f>
        <v>L. Fuchs</v>
      </c>
      <c r="U58" s="55" t="str">
        <f t="shared" si="6"/>
        <v>B-08</v>
      </c>
    </row>
    <row r="59" spans="2:21" ht="16.5" customHeight="1" x14ac:dyDescent="0.25">
      <c r="B59" s="47">
        <f t="shared" si="0"/>
        <v>54</v>
      </c>
      <c r="C59" s="48">
        <v>46295</v>
      </c>
      <c r="D59" s="49" t="str">
        <f t="shared" si="1"/>
        <v>Mi</v>
      </c>
      <c r="E59" s="50">
        <f t="shared" si="2"/>
        <v>40</v>
      </c>
      <c r="F59" s="51" t="s">
        <v>100</v>
      </c>
      <c r="G59" s="52" t="s">
        <v>132</v>
      </c>
      <c r="H59" s="51" t="s">
        <v>76</v>
      </c>
      <c r="I59" s="51" t="s">
        <v>77</v>
      </c>
      <c r="J59" s="52"/>
      <c r="K59" s="53" t="str">
        <f>IF(G59="","",IFERROR(INDEX(Stammdaten!$P$10:$P$69,MATCH(G59,Stammdaten!$N$10:$N$69,0)),"–"))</f>
        <v>Projektmanagement</v>
      </c>
      <c r="L59" s="53" t="str">
        <f>IF(F59="","",IFERROR(INDEX(Stammdaten!$D$10:$D$49,MATCH(F59,Stammdaten!$B$10:$B$49,0)),"–"))</f>
        <v>Projektfläche</v>
      </c>
      <c r="M59" s="54" t="str">
        <f>IF(C59="","",IF(OR(F59="",G59="",I59=""),"unvollständig",IF(I59="Storniert","storniert",IF(WEEKDAY(C59,2)&gt;5,"Wochenende",IF(COUNTIF(Stammdaten!$AD$10:$AD$30,C59)&gt;0,"Feiertag",IF(IFERROR(INDEX(Stammdaten!$I$10:$I$49,MATCH(F59,Stammdaten!$B$10:$B$49,0)),"")="Gesperrt","Platz gesperrt",IF(AND(COUNTIF($P$6:$P$605,P59)&gt;1,NOT(AND(COUNTIF($P$6:$P$605,P59)=2,COUNTIFS($P$6:$P$605,P59,$H$6:$H$605,"Vormittag")=1,COUNTIFS($P$6:$P$605,P59,$H$6:$H$605,"Nachmittag")=1))),"Doppelbuchung",IF(AND(COUNTIF($R$6:$R$605,R59)&gt;1,NOT(AND(COUNTIF($R$6:$R$605,R59)=2,COUNTIFS($R$6:$R$605,R59,$H$6:$H$605,"Vormittag")=1,COUNTIFS($R$6:$R$605,R59,$H$6:$H$605,"Nachmittag")=1))),"Person doppelt","OK"))))))))</f>
        <v>OK</v>
      </c>
      <c r="O59" s="55">
        <f t="shared" si="3"/>
        <v>1</v>
      </c>
      <c r="P59" s="55" t="str">
        <f t="shared" si="4"/>
        <v>B-09|46295</v>
      </c>
      <c r="Q59" s="55" t="str">
        <f>IF(P59="","",P59&amp;"|"&amp;COUNTIF(P$6:P59,P59))</f>
        <v>B-09|46295|1</v>
      </c>
      <c r="R59" s="55" t="str">
        <f t="shared" si="5"/>
        <v>Vanessa Kraft|46295</v>
      </c>
      <c r="S59" s="55" t="str">
        <f>IF(R59="","",R59&amp;"|"&amp;COUNTIF(R$6:R59,R59))</f>
        <v>Vanessa Kraft|46295|1</v>
      </c>
      <c r="T59" s="55" t="str">
        <f>IF(G59="","",IFERROR(INDEX(Stammdaten!$O$10:$O$69,MATCH(G59,Stammdaten!$N$10:$N$69,0)),G59)&amp;IF(H59="Vormittag"," (VM)",IF(H59="Nachmittag"," (NM)",""))&amp;IF(I59="Angefragt"," ?",""))</f>
        <v>V. Kraft</v>
      </c>
      <c r="U59" s="55" t="str">
        <f t="shared" si="6"/>
        <v>B-09</v>
      </c>
    </row>
    <row r="60" spans="2:21" ht="16.5" customHeight="1" x14ac:dyDescent="0.25">
      <c r="B60" s="47">
        <f t="shared" si="0"/>
        <v>55</v>
      </c>
      <c r="C60" s="48">
        <v>46295</v>
      </c>
      <c r="D60" s="49" t="str">
        <f t="shared" si="1"/>
        <v>Mi</v>
      </c>
      <c r="E60" s="50">
        <f t="shared" si="2"/>
        <v>40</v>
      </c>
      <c r="F60" s="51" t="s">
        <v>102</v>
      </c>
      <c r="G60" s="52" t="s">
        <v>105</v>
      </c>
      <c r="H60" s="51" t="s">
        <v>76</v>
      </c>
      <c r="I60" s="51" t="s">
        <v>77</v>
      </c>
      <c r="J60" s="52"/>
      <c r="K60" s="53" t="str">
        <f>IF(G60="","",IFERROR(INDEX(Stammdaten!$P$10:$P$69,MATCH(G60,Stammdaten!$N$10:$N$69,0)),"–"))</f>
        <v>Projektmanagement</v>
      </c>
      <c r="L60" s="53" t="str">
        <f>IF(F60="","",IFERROR(INDEX(Stammdaten!$D$10:$D$49,MATCH(F60,Stammdaten!$B$10:$B$49,0)),"–"))</f>
        <v>Projektfläche</v>
      </c>
      <c r="M60" s="54" t="str">
        <f>IF(C60="","",IF(OR(F60="",G60="",I60=""),"unvollständig",IF(I60="Storniert","storniert",IF(WEEKDAY(C60,2)&gt;5,"Wochenende",IF(COUNTIF(Stammdaten!$AD$10:$AD$30,C60)&gt;0,"Feiertag",IF(IFERROR(INDEX(Stammdaten!$I$10:$I$49,MATCH(F60,Stammdaten!$B$10:$B$49,0)),"")="Gesperrt","Platz gesperrt",IF(AND(COUNTIF($P$6:$P$605,P60)&gt;1,NOT(AND(COUNTIF($P$6:$P$605,P60)=2,COUNTIFS($P$6:$P$605,P60,$H$6:$H$605,"Vormittag")=1,COUNTIFS($P$6:$P$605,P60,$H$6:$H$605,"Nachmittag")=1))),"Doppelbuchung",IF(AND(COUNTIF($R$6:$R$605,R60)&gt;1,NOT(AND(COUNTIF($R$6:$R$605,R60)=2,COUNTIFS($R$6:$R$605,R60,$H$6:$H$605,"Vormittag")=1,COUNTIFS($R$6:$R$605,R60,$H$6:$H$605,"Nachmittag")=1))),"Person doppelt","OK"))))))))</f>
        <v>OK</v>
      </c>
      <c r="O60" s="55">
        <f t="shared" si="3"/>
        <v>1</v>
      </c>
      <c r="P60" s="55" t="str">
        <f t="shared" si="4"/>
        <v>B-10|46295</v>
      </c>
      <c r="Q60" s="55" t="str">
        <f>IF(P60="","",P60&amp;"|"&amp;COUNTIF(P$6:P60,P60))</f>
        <v>B-10|46295|1</v>
      </c>
      <c r="R60" s="55" t="str">
        <f t="shared" si="5"/>
        <v>Philipp Haas|46295</v>
      </c>
      <c r="S60" s="55" t="str">
        <f>IF(R60="","",R60&amp;"|"&amp;COUNTIF(R$6:R60,R60))</f>
        <v>Philipp Haas|46295|1</v>
      </c>
      <c r="T60" s="55" t="str">
        <f>IF(G60="","",IFERROR(INDEX(Stammdaten!$O$10:$O$69,MATCH(G60,Stammdaten!$N$10:$N$69,0)),G60)&amp;IF(H60="Vormittag"," (VM)",IF(H60="Nachmittag"," (NM)",""))&amp;IF(I60="Angefragt"," ?",""))</f>
        <v>P. Haas</v>
      </c>
      <c r="U60" s="55" t="str">
        <f t="shared" si="6"/>
        <v>B-10</v>
      </c>
    </row>
    <row r="61" spans="2:21" ht="16.5" customHeight="1" x14ac:dyDescent="0.25">
      <c r="B61" s="47">
        <f t="shared" si="0"/>
        <v>56</v>
      </c>
      <c r="C61" s="48">
        <v>46295</v>
      </c>
      <c r="D61" s="49" t="str">
        <f t="shared" si="1"/>
        <v>Mi</v>
      </c>
      <c r="E61" s="50">
        <f t="shared" si="2"/>
        <v>40</v>
      </c>
      <c r="F61" s="51" t="s">
        <v>104</v>
      </c>
      <c r="G61" s="52" t="s">
        <v>91</v>
      </c>
      <c r="H61" s="51" t="s">
        <v>133</v>
      </c>
      <c r="I61" s="51" t="s">
        <v>77</v>
      </c>
      <c r="J61" s="52"/>
      <c r="K61" s="53" t="str">
        <f>IF(G61="","",IFERROR(INDEX(Stammdaten!$P$10:$P$69,MATCH(G61,Stammdaten!$N$10:$N$69,0)),"–"))</f>
        <v>IT</v>
      </c>
      <c r="L61" s="53" t="str">
        <f>IF(F61="","",IFERROR(INDEX(Stammdaten!$D$10:$D$49,MATCH(F61,Stammdaten!$B$10:$B$49,0)),"–"))</f>
        <v>Projektfläche</v>
      </c>
      <c r="M61" s="54" t="str">
        <f>IF(C61="","",IF(OR(F61="",G61="",I61=""),"unvollständig",IF(I61="Storniert","storniert",IF(WEEKDAY(C61,2)&gt;5,"Wochenende",IF(COUNTIF(Stammdaten!$AD$10:$AD$30,C61)&gt;0,"Feiertag",IF(IFERROR(INDEX(Stammdaten!$I$10:$I$49,MATCH(F61,Stammdaten!$B$10:$B$49,0)),"")="Gesperrt","Platz gesperrt",IF(AND(COUNTIF($P$6:$P$605,P61)&gt;1,NOT(AND(COUNTIF($P$6:$P$605,P61)=2,COUNTIFS($P$6:$P$605,P61,$H$6:$H$605,"Vormittag")=1,COUNTIFS($P$6:$P$605,P61,$H$6:$H$605,"Nachmittag")=1))),"Doppelbuchung",IF(AND(COUNTIF($R$6:$R$605,R61)&gt;1,NOT(AND(COUNTIF($R$6:$R$605,R61)=2,COUNTIFS($R$6:$R$605,R61,$H$6:$H$605,"Vormittag")=1,COUNTIFS($R$6:$R$605,R61,$H$6:$H$605,"Nachmittag")=1))),"Person doppelt","OK"))))))))</f>
        <v>OK</v>
      </c>
      <c r="O61" s="55">
        <f t="shared" si="3"/>
        <v>0.5</v>
      </c>
      <c r="P61" s="55" t="str">
        <f t="shared" si="4"/>
        <v>B-11|46295</v>
      </c>
      <c r="Q61" s="55" t="str">
        <f>IF(P61="","",P61&amp;"|"&amp;COUNTIF(P$6:P61,P61))</f>
        <v>B-11|46295|1</v>
      </c>
      <c r="R61" s="55" t="str">
        <f t="shared" si="5"/>
        <v>Mara Winter|46295</v>
      </c>
      <c r="S61" s="55" t="str">
        <f>IF(R61="","",R61&amp;"|"&amp;COUNTIF(R$6:R61,R61))</f>
        <v>Mara Winter|46295|1</v>
      </c>
      <c r="T61" s="55" t="str">
        <f>IF(G61="","",IFERROR(INDEX(Stammdaten!$O$10:$O$69,MATCH(G61,Stammdaten!$N$10:$N$69,0)),G61)&amp;IF(H61="Vormittag"," (VM)",IF(H61="Nachmittag"," (NM)",""))&amp;IF(I61="Angefragt"," ?",""))</f>
        <v>M. Winter (VM)</v>
      </c>
      <c r="U61" s="55" t="str">
        <f t="shared" si="6"/>
        <v>B-11 (VM)</v>
      </c>
    </row>
    <row r="62" spans="2:21" ht="16.5" customHeight="1" x14ac:dyDescent="0.25">
      <c r="B62" s="47">
        <f t="shared" si="0"/>
        <v>57</v>
      </c>
      <c r="C62" s="48">
        <v>46295</v>
      </c>
      <c r="D62" s="49" t="str">
        <f t="shared" si="1"/>
        <v>Mi</v>
      </c>
      <c r="E62" s="50">
        <f t="shared" si="2"/>
        <v>40</v>
      </c>
      <c r="F62" s="51" t="s">
        <v>104</v>
      </c>
      <c r="G62" s="52" t="s">
        <v>122</v>
      </c>
      <c r="H62" s="51" t="s">
        <v>134</v>
      </c>
      <c r="I62" s="51" t="s">
        <v>77</v>
      </c>
      <c r="J62" s="52" t="s">
        <v>135</v>
      </c>
      <c r="K62" s="53" t="str">
        <f>IF(G62="","",IFERROR(INDEX(Stammdaten!$P$10:$P$69,MATCH(G62,Stammdaten!$N$10:$N$69,0)),"–"))</f>
        <v>Personal</v>
      </c>
      <c r="L62" s="53" t="str">
        <f>IF(F62="","",IFERROR(INDEX(Stammdaten!$D$10:$D$49,MATCH(F62,Stammdaten!$B$10:$B$49,0)),"–"))</f>
        <v>Projektfläche</v>
      </c>
      <c r="M62" s="54" t="str">
        <f>IF(C62="","",IF(OR(F62="",G62="",I62=""),"unvollständig",IF(I62="Storniert","storniert",IF(WEEKDAY(C62,2)&gt;5,"Wochenende",IF(COUNTIF(Stammdaten!$AD$10:$AD$30,C62)&gt;0,"Feiertag",IF(IFERROR(INDEX(Stammdaten!$I$10:$I$49,MATCH(F62,Stammdaten!$B$10:$B$49,0)),"")="Gesperrt","Platz gesperrt",IF(AND(COUNTIF($P$6:$P$605,P62)&gt;1,NOT(AND(COUNTIF($P$6:$P$605,P62)=2,COUNTIFS($P$6:$P$605,P62,$H$6:$H$605,"Vormittag")=1,COUNTIFS($P$6:$P$605,P62,$H$6:$H$605,"Nachmittag")=1))),"Doppelbuchung",IF(AND(COUNTIF($R$6:$R$605,R62)&gt;1,NOT(AND(COUNTIF($R$6:$R$605,R62)=2,COUNTIFS($R$6:$R$605,R62,$H$6:$H$605,"Vormittag")=1,COUNTIFS($R$6:$R$605,R62,$H$6:$H$605,"Nachmittag")=1))),"Person doppelt","OK"))))))))</f>
        <v>OK</v>
      </c>
      <c r="O62" s="55">
        <f t="shared" si="3"/>
        <v>0.5</v>
      </c>
      <c r="P62" s="55" t="str">
        <f t="shared" si="4"/>
        <v>B-11|46295</v>
      </c>
      <c r="Q62" s="55" t="str">
        <f>IF(P62="","",P62&amp;"|"&amp;COUNTIF(P$6:P62,P62))</f>
        <v>B-11|46295|2</v>
      </c>
      <c r="R62" s="55" t="str">
        <f t="shared" si="5"/>
        <v>Niklas Wolf|46295</v>
      </c>
      <c r="S62" s="55" t="str">
        <f>IF(R62="","",R62&amp;"|"&amp;COUNTIF(R$6:R62,R62))</f>
        <v>Niklas Wolf|46295|1</v>
      </c>
      <c r="T62" s="55" t="str">
        <f>IF(G62="","",IFERROR(INDEX(Stammdaten!$O$10:$O$69,MATCH(G62,Stammdaten!$N$10:$N$69,0)),G62)&amp;IF(H62="Vormittag"," (VM)",IF(H62="Nachmittag"," (NM)",""))&amp;IF(I62="Angefragt"," ?",""))</f>
        <v>N. Wolf (NM)</v>
      </c>
      <c r="U62" s="55" t="str">
        <f t="shared" si="6"/>
        <v>B-11 (NM)</v>
      </c>
    </row>
    <row r="63" spans="2:21" ht="16.5" customHeight="1" x14ac:dyDescent="0.25">
      <c r="B63" s="47">
        <f t="shared" si="0"/>
        <v>58</v>
      </c>
      <c r="C63" s="48">
        <v>46295</v>
      </c>
      <c r="D63" s="49" t="str">
        <f t="shared" si="1"/>
        <v>Mi</v>
      </c>
      <c r="E63" s="50">
        <f t="shared" si="2"/>
        <v>40</v>
      </c>
      <c r="F63" s="51" t="s">
        <v>106</v>
      </c>
      <c r="G63" s="52" t="s">
        <v>103</v>
      </c>
      <c r="H63" s="51" t="s">
        <v>76</v>
      </c>
      <c r="I63" s="51" t="s">
        <v>77</v>
      </c>
      <c r="J63" s="52"/>
      <c r="K63" s="53" t="str">
        <f>IF(G63="","",IFERROR(INDEX(Stammdaten!$P$10:$P$69,MATCH(G63,Stammdaten!$N$10:$N$69,0)),"–"))</f>
        <v>Projektmanagement</v>
      </c>
      <c r="L63" s="53" t="str">
        <f>IF(F63="","",IFERROR(INDEX(Stammdaten!$D$10:$D$49,MATCH(F63,Stammdaten!$B$10:$B$49,0)),"–"))</f>
        <v>Projektfläche</v>
      </c>
      <c r="M63" s="54" t="str">
        <f>IF(C63="","",IF(OR(F63="",G63="",I63=""),"unvollständig",IF(I63="Storniert","storniert",IF(WEEKDAY(C63,2)&gt;5,"Wochenende",IF(COUNTIF(Stammdaten!$AD$10:$AD$30,C63)&gt;0,"Feiertag",IF(IFERROR(INDEX(Stammdaten!$I$10:$I$49,MATCH(F63,Stammdaten!$B$10:$B$49,0)),"")="Gesperrt","Platz gesperrt",IF(AND(COUNTIF($P$6:$P$605,P63)&gt;1,NOT(AND(COUNTIF($P$6:$P$605,P63)=2,COUNTIFS($P$6:$P$605,P63,$H$6:$H$605,"Vormittag")=1,COUNTIFS($P$6:$P$605,P63,$H$6:$H$605,"Nachmittag")=1))),"Doppelbuchung",IF(AND(COUNTIF($R$6:$R$605,R63)&gt;1,NOT(AND(COUNTIF($R$6:$R$605,R63)=2,COUNTIFS($R$6:$R$605,R63,$H$6:$H$605,"Vormittag")=1,COUNTIFS($R$6:$R$605,R63,$H$6:$H$605,"Nachmittag")=1))),"Person doppelt","OK"))))))))</f>
        <v>OK</v>
      </c>
      <c r="O63" s="55">
        <f t="shared" si="3"/>
        <v>1</v>
      </c>
      <c r="P63" s="55" t="str">
        <f t="shared" si="4"/>
        <v>B-12|46295</v>
      </c>
      <c r="Q63" s="55" t="str">
        <f>IF(P63="","",P63&amp;"|"&amp;COUNTIF(P$6:P63,P63))</f>
        <v>B-12|46295|1</v>
      </c>
      <c r="R63" s="55" t="str">
        <f t="shared" si="5"/>
        <v>Kevin Brandl|46295</v>
      </c>
      <c r="S63" s="55" t="str">
        <f>IF(R63="","",R63&amp;"|"&amp;COUNTIF(R$6:R63,R63))</f>
        <v>Kevin Brandl|46295|1</v>
      </c>
      <c r="T63" s="55" t="str">
        <f>IF(G63="","",IFERROR(INDEX(Stammdaten!$O$10:$O$69,MATCH(G63,Stammdaten!$N$10:$N$69,0)),G63)&amp;IF(H63="Vormittag"," (VM)",IF(H63="Nachmittag"," (NM)",""))&amp;IF(I63="Angefragt"," ?",""))</f>
        <v>K. Brandl</v>
      </c>
      <c r="U63" s="55" t="str">
        <f t="shared" si="6"/>
        <v>B-12</v>
      </c>
    </row>
    <row r="64" spans="2:21" ht="16.5" customHeight="1" x14ac:dyDescent="0.25">
      <c r="B64" s="47">
        <f t="shared" si="0"/>
        <v>59</v>
      </c>
      <c r="C64" s="48">
        <v>46296</v>
      </c>
      <c r="D64" s="49" t="str">
        <f t="shared" si="1"/>
        <v>Do</v>
      </c>
      <c r="E64" s="50">
        <f t="shared" si="2"/>
        <v>40</v>
      </c>
      <c r="F64" s="51" t="s">
        <v>74</v>
      </c>
      <c r="G64" s="52" t="s">
        <v>126</v>
      </c>
      <c r="H64" s="51" t="s">
        <v>76</v>
      </c>
      <c r="I64" s="51" t="s">
        <v>77</v>
      </c>
      <c r="J64" s="52"/>
      <c r="K64" s="53" t="str">
        <f>IF(G64="","",IFERROR(INDEX(Stammdaten!$P$10:$P$69,MATCH(G64,Stammdaten!$N$10:$N$69,0)),"–"))</f>
        <v>Vertrieb</v>
      </c>
      <c r="L64" s="53" t="str">
        <f>IF(F64="","",IFERROR(INDEX(Stammdaten!$D$10:$D$49,MATCH(F64,Stammdaten!$B$10:$B$49,0)),"–"))</f>
        <v>Teamzone Nord</v>
      </c>
      <c r="M64" s="54" t="str">
        <f>IF(C64="","",IF(OR(F64="",G64="",I64=""),"unvollständig",IF(I64="Storniert","storniert",IF(WEEKDAY(C64,2)&gt;5,"Wochenende",IF(COUNTIF(Stammdaten!$AD$10:$AD$30,C64)&gt;0,"Feiertag",IF(IFERROR(INDEX(Stammdaten!$I$10:$I$49,MATCH(F64,Stammdaten!$B$10:$B$49,0)),"")="Gesperrt","Platz gesperrt",IF(AND(COUNTIF($P$6:$P$605,P64)&gt;1,NOT(AND(COUNTIF($P$6:$P$605,P64)=2,COUNTIFS($P$6:$P$605,P64,$H$6:$H$605,"Vormittag")=1,COUNTIFS($P$6:$P$605,P64,$H$6:$H$605,"Nachmittag")=1))),"Doppelbuchung",IF(AND(COUNTIF($R$6:$R$605,R64)&gt;1,NOT(AND(COUNTIF($R$6:$R$605,R64)=2,COUNTIFS($R$6:$R$605,R64,$H$6:$H$605,"Vormittag")=1,COUNTIFS($R$6:$R$605,R64,$H$6:$H$605,"Nachmittag")=1))),"Person doppelt","OK"))))))))</f>
        <v>OK</v>
      </c>
      <c r="O64" s="55">
        <f t="shared" si="3"/>
        <v>1</v>
      </c>
      <c r="P64" s="55" t="str">
        <f t="shared" si="4"/>
        <v>A-01|46296</v>
      </c>
      <c r="Q64" s="55" t="str">
        <f>IF(P64="","",P64&amp;"|"&amp;COUNTIF(P$6:P64,P64))</f>
        <v>A-01|46296|1</v>
      </c>
      <c r="R64" s="55" t="str">
        <f t="shared" si="5"/>
        <v>Jonas Weber|46296</v>
      </c>
      <c r="S64" s="55" t="str">
        <f>IF(R64="","",R64&amp;"|"&amp;COUNTIF(R$6:R64,R64))</f>
        <v>Jonas Weber|46296|1</v>
      </c>
      <c r="T64" s="55" t="str">
        <f>IF(G64="","",IFERROR(INDEX(Stammdaten!$O$10:$O$69,MATCH(G64,Stammdaten!$N$10:$N$69,0)),G64)&amp;IF(H64="Vormittag"," (VM)",IF(H64="Nachmittag"," (NM)",""))&amp;IF(I64="Angefragt"," ?",""))</f>
        <v>J. Weber</v>
      </c>
      <c r="U64" s="55" t="str">
        <f t="shared" si="6"/>
        <v>A-01</v>
      </c>
    </row>
    <row r="65" spans="2:21" ht="16.5" customHeight="1" x14ac:dyDescent="0.25">
      <c r="B65" s="47">
        <f t="shared" si="0"/>
        <v>60</v>
      </c>
      <c r="C65" s="48">
        <v>46296</v>
      </c>
      <c r="D65" s="49" t="str">
        <f t="shared" si="1"/>
        <v>Do</v>
      </c>
      <c r="E65" s="50">
        <f t="shared" si="2"/>
        <v>40</v>
      </c>
      <c r="F65" s="51" t="s">
        <v>78</v>
      </c>
      <c r="G65" s="52" t="s">
        <v>87</v>
      </c>
      <c r="H65" s="51" t="s">
        <v>76</v>
      </c>
      <c r="I65" s="51" t="s">
        <v>77</v>
      </c>
      <c r="J65" s="52"/>
      <c r="K65" s="53" t="str">
        <f>IF(G65="","",IFERROR(INDEX(Stammdaten!$P$10:$P$69,MATCH(G65,Stammdaten!$N$10:$N$69,0)),"–"))</f>
        <v>Marketing</v>
      </c>
      <c r="L65" s="53" t="str">
        <f>IF(F65="","",IFERROR(INDEX(Stammdaten!$D$10:$D$49,MATCH(F65,Stammdaten!$B$10:$B$49,0)),"–"))</f>
        <v>Teamzone Nord</v>
      </c>
      <c r="M65" s="54" t="str">
        <f>IF(C65="","",IF(OR(F65="",G65="",I65=""),"unvollständig",IF(I65="Storniert","storniert",IF(WEEKDAY(C65,2)&gt;5,"Wochenende",IF(COUNTIF(Stammdaten!$AD$10:$AD$30,C65)&gt;0,"Feiertag",IF(IFERROR(INDEX(Stammdaten!$I$10:$I$49,MATCH(F65,Stammdaten!$B$10:$B$49,0)),"")="Gesperrt","Platz gesperrt",IF(AND(COUNTIF($P$6:$P$605,P65)&gt;1,NOT(AND(COUNTIF($P$6:$P$605,P65)=2,COUNTIFS($P$6:$P$605,P65,$H$6:$H$605,"Vormittag")=1,COUNTIFS($P$6:$P$605,P65,$H$6:$H$605,"Nachmittag")=1))),"Doppelbuchung",IF(AND(COUNTIF($R$6:$R$605,R65)&gt;1,NOT(AND(COUNTIF($R$6:$R$605,R65)=2,COUNTIFS($R$6:$R$605,R65,$H$6:$H$605,"Vormittag")=1,COUNTIFS($R$6:$R$605,R65,$H$6:$H$605,"Nachmittag")=1))),"Person doppelt","OK"))))))))</f>
        <v>OK</v>
      </c>
      <c r="O65" s="55">
        <f t="shared" si="3"/>
        <v>1</v>
      </c>
      <c r="P65" s="55" t="str">
        <f t="shared" si="4"/>
        <v>A-02|46296</v>
      </c>
      <c r="Q65" s="55" t="str">
        <f>IF(P65="","",P65&amp;"|"&amp;COUNTIF(P$6:P65,P65))</f>
        <v>A-02|46296|1</v>
      </c>
      <c r="R65" s="55" t="str">
        <f t="shared" si="5"/>
        <v>Paul Schreiber|46296</v>
      </c>
      <c r="S65" s="55" t="str">
        <f>IF(R65="","",R65&amp;"|"&amp;COUNTIF(R$6:R65,R65))</f>
        <v>Paul Schreiber|46296|1</v>
      </c>
      <c r="T65" s="55" t="str">
        <f>IF(G65="","",IFERROR(INDEX(Stammdaten!$O$10:$O$69,MATCH(G65,Stammdaten!$N$10:$N$69,0)),G65)&amp;IF(H65="Vormittag"," (VM)",IF(H65="Nachmittag"," (NM)",""))&amp;IF(I65="Angefragt"," ?",""))</f>
        <v>P. Schreiber</v>
      </c>
      <c r="U65" s="55" t="str">
        <f t="shared" si="6"/>
        <v>A-02</v>
      </c>
    </row>
    <row r="66" spans="2:21" ht="16.5" customHeight="1" x14ac:dyDescent="0.25">
      <c r="B66" s="47">
        <f t="shared" si="0"/>
        <v>61</v>
      </c>
      <c r="C66" s="48">
        <v>46296</v>
      </c>
      <c r="D66" s="49" t="str">
        <f t="shared" si="1"/>
        <v>Do</v>
      </c>
      <c r="E66" s="50">
        <f t="shared" si="2"/>
        <v>40</v>
      </c>
      <c r="F66" s="51" t="s">
        <v>109</v>
      </c>
      <c r="G66" s="52" t="s">
        <v>136</v>
      </c>
      <c r="H66" s="51" t="s">
        <v>76</v>
      </c>
      <c r="I66" s="51" t="s">
        <v>77</v>
      </c>
      <c r="J66" s="52"/>
      <c r="K66" s="53" t="str">
        <f>IF(G66="","",IFERROR(INDEX(Stammdaten!$P$10:$P$69,MATCH(G66,Stammdaten!$N$10:$N$69,0)),"–"))</f>
        <v>Vertrieb</v>
      </c>
      <c r="L66" s="53" t="str">
        <f>IF(F66="","",IFERROR(INDEX(Stammdaten!$D$10:$D$49,MATCH(F66,Stammdaten!$B$10:$B$49,0)),"–"))</f>
        <v>Teamzone Nord</v>
      </c>
      <c r="M66" s="54" t="str">
        <f>IF(C66="","",IF(OR(F66="",G66="",I66=""),"unvollständig",IF(I66="Storniert","storniert",IF(WEEKDAY(C66,2)&gt;5,"Wochenende",IF(COUNTIF(Stammdaten!$AD$10:$AD$30,C66)&gt;0,"Feiertag",IF(IFERROR(INDEX(Stammdaten!$I$10:$I$49,MATCH(F66,Stammdaten!$B$10:$B$49,0)),"")="Gesperrt","Platz gesperrt",IF(AND(COUNTIF($P$6:$P$605,P66)&gt;1,NOT(AND(COUNTIF($P$6:$P$605,P66)=2,COUNTIFS($P$6:$P$605,P66,$H$6:$H$605,"Vormittag")=1,COUNTIFS($P$6:$P$605,P66,$H$6:$H$605,"Nachmittag")=1))),"Doppelbuchung",IF(AND(COUNTIF($R$6:$R$605,R66)&gt;1,NOT(AND(COUNTIF($R$6:$R$605,R66)=2,COUNTIFS($R$6:$R$605,R66,$H$6:$H$605,"Vormittag")=1,COUNTIFS($R$6:$R$605,R66,$H$6:$H$605,"Nachmittag")=1))),"Person doppelt","OK"))))))))</f>
        <v>OK</v>
      </c>
      <c r="O66" s="55">
        <f t="shared" si="3"/>
        <v>1</v>
      </c>
      <c r="P66" s="55" t="str">
        <f t="shared" si="4"/>
        <v>A-03|46296</v>
      </c>
      <c r="Q66" s="55" t="str">
        <f>IF(P66="","",P66&amp;"|"&amp;COUNTIF(P$6:P66,P66))</f>
        <v>A-03|46296|1</v>
      </c>
      <c r="R66" s="55" t="str">
        <f t="shared" si="5"/>
        <v>David Kühn|46296</v>
      </c>
      <c r="S66" s="55" t="str">
        <f>IF(R66="","",R66&amp;"|"&amp;COUNTIF(R$6:R66,R66))</f>
        <v>David Kühn|46296|1</v>
      </c>
      <c r="T66" s="55" t="str">
        <f>IF(G66="","",IFERROR(INDEX(Stammdaten!$O$10:$O$69,MATCH(G66,Stammdaten!$N$10:$N$69,0)),G66)&amp;IF(H66="Vormittag"," (VM)",IF(H66="Nachmittag"," (NM)",""))&amp;IF(I66="Angefragt"," ?",""))</f>
        <v>D. Kühn</v>
      </c>
      <c r="U66" s="55" t="str">
        <f t="shared" si="6"/>
        <v>A-03</v>
      </c>
    </row>
    <row r="67" spans="2:21" ht="16.5" customHeight="1" x14ac:dyDescent="0.25">
      <c r="B67" s="47">
        <f t="shared" si="0"/>
        <v>62</v>
      </c>
      <c r="C67" s="48">
        <v>46296</v>
      </c>
      <c r="D67" s="49" t="str">
        <f t="shared" si="1"/>
        <v>Do</v>
      </c>
      <c r="E67" s="50">
        <f t="shared" si="2"/>
        <v>40</v>
      </c>
      <c r="F67" s="51" t="s">
        <v>110</v>
      </c>
      <c r="G67" s="52" t="s">
        <v>127</v>
      </c>
      <c r="H67" s="51" t="s">
        <v>76</v>
      </c>
      <c r="I67" s="51" t="s">
        <v>77</v>
      </c>
      <c r="J67" s="52"/>
      <c r="K67" s="53" t="str">
        <f>IF(G67="","",IFERROR(INDEX(Stammdaten!$P$10:$P$69,MATCH(G67,Stammdaten!$N$10:$N$69,0)),"–"))</f>
        <v>Vertrieb</v>
      </c>
      <c r="L67" s="53" t="str">
        <f>IF(F67="","",IFERROR(INDEX(Stammdaten!$D$10:$D$49,MATCH(F67,Stammdaten!$B$10:$B$49,0)),"–"))</f>
        <v>Teamzone Nord</v>
      </c>
      <c r="M67" s="54" t="str">
        <f>IF(C67="","",IF(OR(F67="",G67="",I67=""),"unvollständig",IF(I67="Storniert","storniert",IF(WEEKDAY(C67,2)&gt;5,"Wochenende",IF(COUNTIF(Stammdaten!$AD$10:$AD$30,C67)&gt;0,"Feiertag",IF(IFERROR(INDEX(Stammdaten!$I$10:$I$49,MATCH(F67,Stammdaten!$B$10:$B$49,0)),"")="Gesperrt","Platz gesperrt",IF(AND(COUNTIF($P$6:$P$605,P67)&gt;1,NOT(AND(COUNTIF($P$6:$P$605,P67)=2,COUNTIFS($P$6:$P$605,P67,$H$6:$H$605,"Vormittag")=1,COUNTIFS($P$6:$P$605,P67,$H$6:$H$605,"Nachmittag")=1))),"Doppelbuchung",IF(AND(COUNTIF($R$6:$R$605,R67)&gt;1,NOT(AND(COUNTIF($R$6:$R$605,R67)=2,COUNTIFS($R$6:$R$605,R67,$H$6:$H$605,"Vormittag")=1,COUNTIFS($R$6:$R$605,R67,$H$6:$H$605,"Nachmittag")=1))),"Person doppelt","OK"))))))))</f>
        <v>OK</v>
      </c>
      <c r="O67" s="55">
        <f t="shared" si="3"/>
        <v>1</v>
      </c>
      <c r="P67" s="55" t="str">
        <f t="shared" si="4"/>
        <v>A-04|46296</v>
      </c>
      <c r="Q67" s="55" t="str">
        <f>IF(P67="","",P67&amp;"|"&amp;COUNTIF(P$6:P67,P67))</f>
        <v>A-04|46296|1</v>
      </c>
      <c r="R67" s="55" t="str">
        <f t="shared" si="5"/>
        <v>Tobias Lindner|46296</v>
      </c>
      <c r="S67" s="55" t="str">
        <f>IF(R67="","",R67&amp;"|"&amp;COUNTIF(R$6:R67,R67))</f>
        <v>Tobias Lindner|46296|1</v>
      </c>
      <c r="T67" s="55" t="str">
        <f>IF(G67="","",IFERROR(INDEX(Stammdaten!$O$10:$O$69,MATCH(G67,Stammdaten!$N$10:$N$69,0)),G67)&amp;IF(H67="Vormittag"," (VM)",IF(H67="Nachmittag"," (NM)",""))&amp;IF(I67="Angefragt"," ?",""))</f>
        <v>T. Lindner</v>
      </c>
      <c r="U67" s="55" t="str">
        <f t="shared" si="6"/>
        <v>A-04</v>
      </c>
    </row>
    <row r="68" spans="2:21" ht="16.5" customHeight="1" x14ac:dyDescent="0.25">
      <c r="B68" s="47">
        <f t="shared" si="0"/>
        <v>63</v>
      </c>
      <c r="C68" s="48">
        <v>46296</v>
      </c>
      <c r="D68" s="49" t="str">
        <f t="shared" si="1"/>
        <v>Do</v>
      </c>
      <c r="E68" s="50">
        <f t="shared" si="2"/>
        <v>40</v>
      </c>
      <c r="F68" s="51" t="s">
        <v>80</v>
      </c>
      <c r="G68" s="52" t="s">
        <v>85</v>
      </c>
      <c r="H68" s="51" t="s">
        <v>76</v>
      </c>
      <c r="I68" s="51" t="s">
        <v>77</v>
      </c>
      <c r="J68" s="52"/>
      <c r="K68" s="53" t="str">
        <f>IF(G68="","",IFERROR(INDEX(Stammdaten!$P$10:$P$69,MATCH(G68,Stammdaten!$N$10:$N$69,0)),"–"))</f>
        <v>Vertrieb</v>
      </c>
      <c r="L68" s="53" t="str">
        <f>IF(F68="","",IFERROR(INDEX(Stammdaten!$D$10:$D$49,MATCH(F68,Stammdaten!$B$10:$B$49,0)),"–"))</f>
        <v>Teamzone Nord</v>
      </c>
      <c r="M68" s="54" t="str">
        <f>IF(C68="","",IF(OR(F68="",G68="",I68=""),"unvollständig",IF(I68="Storniert","storniert",IF(WEEKDAY(C68,2)&gt;5,"Wochenende",IF(COUNTIF(Stammdaten!$AD$10:$AD$30,C68)&gt;0,"Feiertag",IF(IFERROR(INDEX(Stammdaten!$I$10:$I$49,MATCH(F68,Stammdaten!$B$10:$B$49,0)),"")="Gesperrt","Platz gesperrt",IF(AND(COUNTIF($P$6:$P$605,P68)&gt;1,NOT(AND(COUNTIF($P$6:$P$605,P68)=2,COUNTIFS($P$6:$P$605,P68,$H$6:$H$605,"Vormittag")=1,COUNTIFS($P$6:$P$605,P68,$H$6:$H$605,"Nachmittag")=1))),"Doppelbuchung",IF(AND(COUNTIF($R$6:$R$605,R68)&gt;1,NOT(AND(COUNTIF($R$6:$R$605,R68)=2,COUNTIFS($R$6:$R$605,R68,$H$6:$H$605,"Vormittag")=1,COUNTIFS($R$6:$R$605,R68,$H$6:$H$605,"Nachmittag")=1))),"Person doppelt","OK"))))))))</f>
        <v>OK</v>
      </c>
      <c r="O68" s="55">
        <f t="shared" si="3"/>
        <v>1</v>
      </c>
      <c r="P68" s="55" t="str">
        <f t="shared" si="4"/>
        <v>A-05|46296</v>
      </c>
      <c r="Q68" s="55" t="str">
        <f>IF(P68="","",P68&amp;"|"&amp;COUNTIF(P$6:P68,P68))</f>
        <v>A-05|46296|1</v>
      </c>
      <c r="R68" s="55" t="str">
        <f t="shared" si="5"/>
        <v>Miriam Krause|46296</v>
      </c>
      <c r="S68" s="55" t="str">
        <f>IF(R68="","",R68&amp;"|"&amp;COUNTIF(R$6:R68,R68))</f>
        <v>Miriam Krause|46296|1</v>
      </c>
      <c r="T68" s="55" t="str">
        <f>IF(G68="","",IFERROR(INDEX(Stammdaten!$O$10:$O$69,MATCH(G68,Stammdaten!$N$10:$N$69,0)),G68)&amp;IF(H68="Vormittag"," (VM)",IF(H68="Nachmittag"," (NM)",""))&amp;IF(I68="Angefragt"," ?",""))</f>
        <v>M. Krause</v>
      </c>
      <c r="U68" s="55" t="str">
        <f t="shared" si="6"/>
        <v>A-05</v>
      </c>
    </row>
    <row r="69" spans="2:21" ht="16.5" customHeight="1" x14ac:dyDescent="0.25">
      <c r="B69" s="47">
        <f t="shared" si="0"/>
        <v>64</v>
      </c>
      <c r="C69" s="48">
        <v>46296</v>
      </c>
      <c r="D69" s="49" t="str">
        <f t="shared" si="1"/>
        <v>Do</v>
      </c>
      <c r="E69" s="50">
        <f t="shared" si="2"/>
        <v>40</v>
      </c>
      <c r="F69" s="51" t="s">
        <v>84</v>
      </c>
      <c r="G69" s="52" t="s">
        <v>112</v>
      </c>
      <c r="H69" s="51" t="s">
        <v>76</v>
      </c>
      <c r="I69" s="51" t="s">
        <v>77</v>
      </c>
      <c r="J69" s="52"/>
      <c r="K69" s="53" t="str">
        <f>IF(G69="","",IFERROR(INDEX(Stammdaten!$P$10:$P$69,MATCH(G69,Stammdaten!$N$10:$N$69,0)),"–"))</f>
        <v>Marketing</v>
      </c>
      <c r="L69" s="53" t="str">
        <f>IF(F69="","",IFERROR(INDEX(Stammdaten!$D$10:$D$49,MATCH(F69,Stammdaten!$B$10:$B$49,0)),"–"))</f>
        <v>Teamzone Nord</v>
      </c>
      <c r="M69" s="54" t="str">
        <f>IF(C69="","",IF(OR(F69="",G69="",I69=""),"unvollständig",IF(I69="Storniert","storniert",IF(WEEKDAY(C69,2)&gt;5,"Wochenende",IF(COUNTIF(Stammdaten!$AD$10:$AD$30,C69)&gt;0,"Feiertag",IF(IFERROR(INDEX(Stammdaten!$I$10:$I$49,MATCH(F69,Stammdaten!$B$10:$B$49,0)),"")="Gesperrt","Platz gesperrt",IF(AND(COUNTIF($P$6:$P$605,P69)&gt;1,NOT(AND(COUNTIF($P$6:$P$605,P69)=2,COUNTIFS($P$6:$P$605,P69,$H$6:$H$605,"Vormittag")=1,COUNTIFS($P$6:$P$605,P69,$H$6:$H$605,"Nachmittag")=1))),"Doppelbuchung",IF(AND(COUNTIF($R$6:$R$605,R69)&gt;1,NOT(AND(COUNTIF($R$6:$R$605,R69)=2,COUNTIFS($R$6:$R$605,R69,$H$6:$H$605,"Vormittag")=1,COUNTIFS($R$6:$R$605,R69,$H$6:$H$605,"Nachmittag")=1))),"Person doppelt","OK"))))))))</f>
        <v>OK</v>
      </c>
      <c r="O69" s="55">
        <f t="shared" si="3"/>
        <v>1</v>
      </c>
      <c r="P69" s="55" t="str">
        <f t="shared" si="4"/>
        <v>A-07|46296</v>
      </c>
      <c r="Q69" s="55" t="str">
        <f>IF(P69="","",P69&amp;"|"&amp;COUNTIF(P$6:P69,P69))</f>
        <v>A-07|46296|1</v>
      </c>
      <c r="R69" s="55" t="str">
        <f t="shared" si="5"/>
        <v>Clara Vogt|46296</v>
      </c>
      <c r="S69" s="55" t="str">
        <f>IF(R69="","",R69&amp;"|"&amp;COUNTIF(R$6:R69,R69))</f>
        <v>Clara Vogt|46296|1</v>
      </c>
      <c r="T69" s="55" t="str">
        <f>IF(G69="","",IFERROR(INDEX(Stammdaten!$O$10:$O$69,MATCH(G69,Stammdaten!$N$10:$N$69,0)),G69)&amp;IF(H69="Vormittag"," (VM)",IF(H69="Nachmittag"," (NM)",""))&amp;IF(I69="Angefragt"," ?",""))</f>
        <v>C. Vogt</v>
      </c>
      <c r="U69" s="55" t="str">
        <f t="shared" si="6"/>
        <v>A-07</v>
      </c>
    </row>
    <row r="70" spans="2:21" ht="16.5" customHeight="1" x14ac:dyDescent="0.25">
      <c r="B70" s="47">
        <f t="shared" ref="B70:B133" si="7">IF(C70="","",ROW()-5)</f>
        <v>65</v>
      </c>
      <c r="C70" s="48">
        <v>46296</v>
      </c>
      <c r="D70" s="49" t="str">
        <f t="shared" ref="D70:D133" si="8">IF(C70="","",CHOOSE(WEEKDAY(C70,2),"Mo","Di","Mi","Do","Fr","Sa","So"))</f>
        <v>Do</v>
      </c>
      <c r="E70" s="50">
        <f t="shared" ref="E70:E133" si="9">IF(C70="","",_xlfn.ISOWEEKNUM(C70))</f>
        <v>40</v>
      </c>
      <c r="F70" s="51" t="s">
        <v>113</v>
      </c>
      <c r="G70" s="52" t="s">
        <v>114</v>
      </c>
      <c r="H70" s="51" t="s">
        <v>76</v>
      </c>
      <c r="I70" s="51" t="s">
        <v>77</v>
      </c>
      <c r="J70" s="52"/>
      <c r="K70" s="53" t="str">
        <f>IF(G70="","",IFERROR(INDEX(Stammdaten!$P$10:$P$69,MATCH(G70,Stammdaten!$N$10:$N$69,0)),"–"))</f>
        <v>Projektmanagement</v>
      </c>
      <c r="L70" s="53" t="str">
        <f>IF(F70="","",IFERROR(INDEX(Stammdaten!$D$10:$D$49,MATCH(F70,Stammdaten!$B$10:$B$49,0)),"–"))</f>
        <v>Fokuszone</v>
      </c>
      <c r="M70" s="54" t="str">
        <f>IF(C70="","",IF(OR(F70="",G70="",I70=""),"unvollständig",IF(I70="Storniert","storniert",IF(WEEKDAY(C70,2)&gt;5,"Wochenende",IF(COUNTIF(Stammdaten!$AD$10:$AD$30,C70)&gt;0,"Feiertag",IF(IFERROR(INDEX(Stammdaten!$I$10:$I$49,MATCH(F70,Stammdaten!$B$10:$B$49,0)),"")="Gesperrt","Platz gesperrt",IF(AND(COUNTIF($P$6:$P$605,P70)&gt;1,NOT(AND(COUNTIF($P$6:$P$605,P70)=2,COUNTIFS($P$6:$P$605,P70,$H$6:$H$605,"Vormittag")=1,COUNTIFS($P$6:$P$605,P70,$H$6:$H$605,"Nachmittag")=1))),"Doppelbuchung",IF(AND(COUNTIF($R$6:$R$605,R70)&gt;1,NOT(AND(COUNTIF($R$6:$R$605,R70)=2,COUNTIFS($R$6:$R$605,R70,$H$6:$H$605,"Vormittag")=1,COUNTIFS($R$6:$R$605,R70,$H$6:$H$605,"Nachmittag")=1))),"Person doppelt","OK"))))))))</f>
        <v>OK</v>
      </c>
      <c r="O70" s="55">
        <f t="shared" ref="O70:O133" si="10">IF(OR(C70="",I70&lt;&gt;"Bestätigt",M70="Platz gesperrt"),0,IF(H70="Ganztägig",1,0.5))</f>
        <v>1</v>
      </c>
      <c r="P70" s="55" t="str">
        <f t="shared" ref="P70:P133" si="11">IF(OR(C70="",F70="",I70="Storniert"),"",F70&amp;"|"&amp;C70)</f>
        <v>A-10|46296</v>
      </c>
      <c r="Q70" s="55" t="str">
        <f>IF(P70="","",P70&amp;"|"&amp;COUNTIF(P$6:P70,P70))</f>
        <v>A-10|46296|1</v>
      </c>
      <c r="R70" s="55" t="str">
        <f t="shared" ref="R70:R133" si="12">IF(OR(C70="",G70="",I70="Storniert"),"",G70&amp;"|"&amp;C70)</f>
        <v>Isabel Marx|46296</v>
      </c>
      <c r="S70" s="55" t="str">
        <f>IF(R70="","",R70&amp;"|"&amp;COUNTIF(R$6:R70,R70))</f>
        <v>Isabel Marx|46296|1</v>
      </c>
      <c r="T70" s="55" t="str">
        <f>IF(G70="","",IFERROR(INDEX(Stammdaten!$O$10:$O$69,MATCH(G70,Stammdaten!$N$10:$N$69,0)),G70)&amp;IF(H70="Vormittag"," (VM)",IF(H70="Nachmittag"," (NM)",""))&amp;IF(I70="Angefragt"," ?",""))</f>
        <v>I. Marx</v>
      </c>
      <c r="U70" s="55" t="str">
        <f t="shared" ref="U70:U133" si="13">IF(F70="","",F70&amp;IF(H70="Vormittag"," (VM)",IF(H70="Nachmittag"," (NM)",""))&amp;IF(I70="Angefragt"," ?",""))</f>
        <v>A-10</v>
      </c>
    </row>
    <row r="71" spans="2:21" ht="16.5" customHeight="1" x14ac:dyDescent="0.25">
      <c r="B71" s="47">
        <f t="shared" si="7"/>
        <v>66</v>
      </c>
      <c r="C71" s="48">
        <v>46296</v>
      </c>
      <c r="D71" s="49" t="str">
        <f t="shared" si="8"/>
        <v>Do</v>
      </c>
      <c r="E71" s="50">
        <f t="shared" si="9"/>
        <v>40</v>
      </c>
      <c r="F71" s="51" t="s">
        <v>88</v>
      </c>
      <c r="G71" s="52" t="s">
        <v>89</v>
      </c>
      <c r="H71" s="51" t="s">
        <v>76</v>
      </c>
      <c r="I71" s="51" t="s">
        <v>77</v>
      </c>
      <c r="J71" s="52"/>
      <c r="K71" s="53" t="str">
        <f>IF(G71="","",IFERROR(INDEX(Stammdaten!$P$10:$P$69,MATCH(G71,Stammdaten!$N$10:$N$69,0)),"–"))</f>
        <v>Projektmanagement</v>
      </c>
      <c r="L71" s="53" t="str">
        <f>IF(F71="","",IFERROR(INDEX(Stammdaten!$D$10:$D$49,MATCH(F71,Stammdaten!$B$10:$B$49,0)),"–"))</f>
        <v>Fokuszone</v>
      </c>
      <c r="M71" s="54" t="str">
        <f>IF(C71="","",IF(OR(F71="",G71="",I71=""),"unvollständig",IF(I71="Storniert","storniert",IF(WEEKDAY(C71,2)&gt;5,"Wochenende",IF(COUNTIF(Stammdaten!$AD$10:$AD$30,C71)&gt;0,"Feiertag",IF(IFERROR(INDEX(Stammdaten!$I$10:$I$49,MATCH(F71,Stammdaten!$B$10:$B$49,0)),"")="Gesperrt","Platz gesperrt",IF(AND(COUNTIF($P$6:$P$605,P71)&gt;1,NOT(AND(COUNTIF($P$6:$P$605,P71)=2,COUNTIFS($P$6:$P$605,P71,$H$6:$H$605,"Vormittag")=1,COUNTIFS($P$6:$P$605,P71,$H$6:$H$605,"Nachmittag")=1))),"Doppelbuchung",IF(AND(COUNTIF($R$6:$R$605,R71)&gt;1,NOT(AND(COUNTIF($R$6:$R$605,R71)=2,COUNTIFS($R$6:$R$605,R71,$H$6:$H$605,"Vormittag")=1,COUNTIFS($R$6:$R$605,R71,$H$6:$H$605,"Nachmittag")=1))),"Person doppelt","OK"))))))))</f>
        <v>OK</v>
      </c>
      <c r="O71" s="55">
        <f t="shared" si="10"/>
        <v>1</v>
      </c>
      <c r="P71" s="55" t="str">
        <f t="shared" si="11"/>
        <v>A-11|46296</v>
      </c>
      <c r="Q71" s="55" t="str">
        <f>IF(P71="","",P71&amp;"|"&amp;COUNTIF(P$6:P71,P71))</f>
        <v>A-11|46296|1</v>
      </c>
      <c r="R71" s="55" t="str">
        <f t="shared" si="12"/>
        <v>Theresa Jung|46296</v>
      </c>
      <c r="S71" s="55" t="str">
        <f>IF(R71="","",R71&amp;"|"&amp;COUNTIF(R$6:R71,R71))</f>
        <v>Theresa Jung|46296|1</v>
      </c>
      <c r="T71" s="55" t="str">
        <f>IF(G71="","",IFERROR(INDEX(Stammdaten!$O$10:$O$69,MATCH(G71,Stammdaten!$N$10:$N$69,0)),G71)&amp;IF(H71="Vormittag"," (VM)",IF(H71="Nachmittag"," (NM)",""))&amp;IF(I71="Angefragt"," ?",""))</f>
        <v>T. Jung</v>
      </c>
      <c r="U71" s="55" t="str">
        <f t="shared" si="13"/>
        <v>A-11</v>
      </c>
    </row>
    <row r="72" spans="2:21" ht="16.5" customHeight="1" x14ac:dyDescent="0.25">
      <c r="B72" s="47">
        <f t="shared" si="7"/>
        <v>67</v>
      </c>
      <c r="C72" s="48">
        <v>46296</v>
      </c>
      <c r="D72" s="49" t="str">
        <f t="shared" si="8"/>
        <v>Do</v>
      </c>
      <c r="E72" s="50">
        <f t="shared" si="9"/>
        <v>40</v>
      </c>
      <c r="F72" s="51" t="s">
        <v>90</v>
      </c>
      <c r="G72" s="52" t="s">
        <v>101</v>
      </c>
      <c r="H72" s="51" t="s">
        <v>76</v>
      </c>
      <c r="I72" s="51" t="s">
        <v>137</v>
      </c>
      <c r="J72" s="52" t="s">
        <v>138</v>
      </c>
      <c r="K72" s="53" t="str">
        <f>IF(G72="","",IFERROR(INDEX(Stammdaten!$P$10:$P$69,MATCH(G72,Stammdaten!$N$10:$N$69,0)),"–"))</f>
        <v>IT</v>
      </c>
      <c r="L72" s="53" t="str">
        <f>IF(F72="","",IFERROR(INDEX(Stammdaten!$D$10:$D$49,MATCH(F72,Stammdaten!$B$10:$B$49,0)),"–"))</f>
        <v>Fokuszone</v>
      </c>
      <c r="M72" s="54" t="str">
        <f>IF(C72="","",IF(OR(F72="",G72="",I72=""),"unvollständig",IF(I72="Storniert","storniert",IF(WEEKDAY(C72,2)&gt;5,"Wochenende",IF(COUNTIF(Stammdaten!$AD$10:$AD$30,C72)&gt;0,"Feiertag",IF(IFERROR(INDEX(Stammdaten!$I$10:$I$49,MATCH(F72,Stammdaten!$B$10:$B$49,0)),"")="Gesperrt","Platz gesperrt",IF(AND(COUNTIF($P$6:$P$605,P72)&gt;1,NOT(AND(COUNTIF($P$6:$P$605,P72)=2,COUNTIFS($P$6:$P$605,P72,$H$6:$H$605,"Vormittag")=1,COUNTIFS($P$6:$P$605,P72,$H$6:$H$605,"Nachmittag")=1))),"Doppelbuchung",IF(AND(COUNTIF($R$6:$R$605,R72)&gt;1,NOT(AND(COUNTIF($R$6:$R$605,R72)=2,COUNTIFS($R$6:$R$605,R72,$H$6:$H$605,"Vormittag")=1,COUNTIFS($R$6:$R$605,R72,$H$6:$H$605,"Nachmittag")=1))),"Person doppelt","OK"))))))))</f>
        <v>storniert</v>
      </c>
      <c r="O72" s="55">
        <f t="shared" si="10"/>
        <v>0</v>
      </c>
      <c r="P72" s="55" t="str">
        <f t="shared" si="11"/>
        <v/>
      </c>
      <c r="Q72" s="55" t="str">
        <f>IF(P72="","",P72&amp;"|"&amp;COUNTIF(P$6:P72,P72))</f>
        <v/>
      </c>
      <c r="R72" s="55" t="str">
        <f t="shared" si="12"/>
        <v/>
      </c>
      <c r="S72" s="55" t="str">
        <f>IF(R72="","",R72&amp;"|"&amp;COUNTIF(R$6:R72,R72))</f>
        <v/>
      </c>
      <c r="T72" s="55" t="str">
        <f>IF(G72="","",IFERROR(INDEX(Stammdaten!$O$10:$O$69,MATCH(G72,Stammdaten!$N$10:$N$69,0)),G72)&amp;IF(H72="Vormittag"," (VM)",IF(H72="Nachmittag"," (NM)",""))&amp;IF(I72="Angefragt"," ?",""))</f>
        <v>D. Ritter</v>
      </c>
      <c r="U72" s="55" t="str">
        <f t="shared" si="13"/>
        <v>A-12</v>
      </c>
    </row>
    <row r="73" spans="2:21" ht="16.5" customHeight="1" x14ac:dyDescent="0.25">
      <c r="B73" s="47">
        <f t="shared" si="7"/>
        <v>68</v>
      </c>
      <c r="C73" s="48">
        <v>46296</v>
      </c>
      <c r="D73" s="49" t="str">
        <f t="shared" si="8"/>
        <v>Do</v>
      </c>
      <c r="E73" s="50">
        <f t="shared" si="9"/>
        <v>40</v>
      </c>
      <c r="F73" s="51" t="s">
        <v>119</v>
      </c>
      <c r="G73" s="52" t="s">
        <v>131</v>
      </c>
      <c r="H73" s="51" t="s">
        <v>76</v>
      </c>
      <c r="I73" s="51" t="s">
        <v>77</v>
      </c>
      <c r="J73" s="52"/>
      <c r="K73" s="53" t="str">
        <f>IF(G73="","",IFERROR(INDEX(Stammdaten!$P$10:$P$69,MATCH(G73,Stammdaten!$N$10:$N$69,0)),"–"))</f>
        <v>Finanzen</v>
      </c>
      <c r="L73" s="53" t="str">
        <f>IF(F73="","",IFERROR(INDEX(Stammdaten!$D$10:$D$49,MATCH(F73,Stammdaten!$B$10:$B$49,0)),"–"))</f>
        <v>Teamzone Süd</v>
      </c>
      <c r="M73" s="54" t="str">
        <f>IF(C73="","",IF(OR(F73="",G73="",I73=""),"unvollständig",IF(I73="Storniert","storniert",IF(WEEKDAY(C73,2)&gt;5,"Wochenende",IF(COUNTIF(Stammdaten!$AD$10:$AD$30,C73)&gt;0,"Feiertag",IF(IFERROR(INDEX(Stammdaten!$I$10:$I$49,MATCH(F73,Stammdaten!$B$10:$B$49,0)),"")="Gesperrt","Platz gesperrt",IF(AND(COUNTIF($P$6:$P$605,P73)&gt;1,NOT(AND(COUNTIF($P$6:$P$605,P73)=2,COUNTIFS($P$6:$P$605,P73,$H$6:$H$605,"Vormittag")=1,COUNTIFS($P$6:$P$605,P73,$H$6:$H$605,"Nachmittag")=1))),"Doppelbuchung",IF(AND(COUNTIF($R$6:$R$605,R73)&gt;1,NOT(AND(COUNTIF($R$6:$R$605,R73)=2,COUNTIFS($R$6:$R$605,R73,$H$6:$H$605,"Vormittag")=1,COUNTIFS($R$6:$R$605,R73,$H$6:$H$605,"Nachmittag")=1))),"Person doppelt","OK"))))))))</f>
        <v>OK</v>
      </c>
      <c r="O73" s="55">
        <f t="shared" si="10"/>
        <v>1</v>
      </c>
      <c r="P73" s="55" t="str">
        <f t="shared" si="11"/>
        <v>B-04|46296</v>
      </c>
      <c r="Q73" s="55" t="str">
        <f>IF(P73="","",P73&amp;"|"&amp;COUNTIF(P$6:P73,P73))</f>
        <v>B-04|46296|1</v>
      </c>
      <c r="R73" s="55" t="str">
        <f t="shared" si="12"/>
        <v>Leon Fuchs|46296</v>
      </c>
      <c r="S73" s="55" t="str">
        <f>IF(R73="","",R73&amp;"|"&amp;COUNTIF(R$6:R73,R73))</f>
        <v>Leon Fuchs|46296|1</v>
      </c>
      <c r="T73" s="55" t="str">
        <f>IF(G73="","",IFERROR(INDEX(Stammdaten!$O$10:$O$69,MATCH(G73,Stammdaten!$N$10:$N$69,0)),G73)&amp;IF(H73="Vormittag"," (VM)",IF(H73="Nachmittag"," (NM)",""))&amp;IF(I73="Angefragt"," ?",""))</f>
        <v>L. Fuchs</v>
      </c>
      <c r="U73" s="55" t="str">
        <f t="shared" si="13"/>
        <v>B-04</v>
      </c>
    </row>
    <row r="74" spans="2:21" ht="16.5" customHeight="1" x14ac:dyDescent="0.25">
      <c r="B74" s="47">
        <f t="shared" si="7"/>
        <v>69</v>
      </c>
      <c r="C74" s="48">
        <v>46296</v>
      </c>
      <c r="D74" s="49" t="str">
        <f t="shared" si="8"/>
        <v>Do</v>
      </c>
      <c r="E74" s="50">
        <f t="shared" si="9"/>
        <v>40</v>
      </c>
      <c r="F74" s="51" t="s">
        <v>121</v>
      </c>
      <c r="G74" s="52" t="s">
        <v>122</v>
      </c>
      <c r="H74" s="51" t="s">
        <v>76</v>
      </c>
      <c r="I74" s="51" t="s">
        <v>77</v>
      </c>
      <c r="J74" s="52"/>
      <c r="K74" s="53" t="str">
        <f>IF(G74="","",IFERROR(INDEX(Stammdaten!$P$10:$P$69,MATCH(G74,Stammdaten!$N$10:$N$69,0)),"–"))</f>
        <v>Personal</v>
      </c>
      <c r="L74" s="53" t="str">
        <f>IF(F74="","",IFERROR(INDEX(Stammdaten!$D$10:$D$49,MATCH(F74,Stammdaten!$B$10:$B$49,0)),"–"))</f>
        <v>Teamzone Süd</v>
      </c>
      <c r="M74" s="54" t="str">
        <f>IF(C74="","",IF(OR(F74="",G74="",I74=""),"unvollständig",IF(I74="Storniert","storniert",IF(WEEKDAY(C74,2)&gt;5,"Wochenende",IF(COUNTIF(Stammdaten!$AD$10:$AD$30,C74)&gt;0,"Feiertag",IF(IFERROR(INDEX(Stammdaten!$I$10:$I$49,MATCH(F74,Stammdaten!$B$10:$B$49,0)),"")="Gesperrt","Platz gesperrt",IF(AND(COUNTIF($P$6:$P$605,P74)&gt;1,NOT(AND(COUNTIF($P$6:$P$605,P74)=2,COUNTIFS($P$6:$P$605,P74,$H$6:$H$605,"Vormittag")=1,COUNTIFS($P$6:$P$605,P74,$H$6:$H$605,"Nachmittag")=1))),"Doppelbuchung",IF(AND(COUNTIF($R$6:$R$605,R74)&gt;1,NOT(AND(COUNTIF($R$6:$R$605,R74)=2,COUNTIFS($R$6:$R$605,R74,$H$6:$H$605,"Vormittag")=1,COUNTIFS($R$6:$R$605,R74,$H$6:$H$605,"Nachmittag")=1))),"Person doppelt","OK"))))))))</f>
        <v>OK</v>
      </c>
      <c r="O74" s="55">
        <f t="shared" si="10"/>
        <v>1</v>
      </c>
      <c r="P74" s="55" t="str">
        <f t="shared" si="11"/>
        <v>B-05|46296</v>
      </c>
      <c r="Q74" s="55" t="str">
        <f>IF(P74="","",P74&amp;"|"&amp;COUNTIF(P$6:P74,P74))</f>
        <v>B-05|46296|1</v>
      </c>
      <c r="R74" s="55" t="str">
        <f t="shared" si="12"/>
        <v>Niklas Wolf|46296</v>
      </c>
      <c r="S74" s="55" t="str">
        <f>IF(R74="","",R74&amp;"|"&amp;COUNTIF(R$6:R74,R74))</f>
        <v>Niklas Wolf|46296|1</v>
      </c>
      <c r="T74" s="55" t="str">
        <f>IF(G74="","",IFERROR(INDEX(Stammdaten!$O$10:$O$69,MATCH(G74,Stammdaten!$N$10:$N$69,0)),G74)&amp;IF(H74="Vormittag"," (VM)",IF(H74="Nachmittag"," (NM)",""))&amp;IF(I74="Angefragt"," ?",""))</f>
        <v>N. Wolf</v>
      </c>
      <c r="U74" s="55" t="str">
        <f t="shared" si="13"/>
        <v>B-05</v>
      </c>
    </row>
    <row r="75" spans="2:21" ht="16.5" customHeight="1" x14ac:dyDescent="0.25">
      <c r="B75" s="47">
        <f t="shared" si="7"/>
        <v>70</v>
      </c>
      <c r="C75" s="48">
        <v>46296</v>
      </c>
      <c r="D75" s="49" t="str">
        <f t="shared" si="8"/>
        <v>Do</v>
      </c>
      <c r="E75" s="50">
        <f t="shared" si="9"/>
        <v>40</v>
      </c>
      <c r="F75" s="51" t="s">
        <v>96</v>
      </c>
      <c r="G75" s="52" t="s">
        <v>118</v>
      </c>
      <c r="H75" s="51" t="s">
        <v>76</v>
      </c>
      <c r="I75" s="51" t="s">
        <v>77</v>
      </c>
      <c r="J75" s="52"/>
      <c r="K75" s="53" t="str">
        <f>IF(G75="","",IFERROR(INDEX(Stammdaten!$P$10:$P$69,MATCH(G75,Stammdaten!$N$10:$N$69,0)),"–"))</f>
        <v>Personal</v>
      </c>
      <c r="L75" s="53" t="str">
        <f>IF(F75="","",IFERROR(INDEX(Stammdaten!$D$10:$D$49,MATCH(F75,Stammdaten!$B$10:$B$49,0)),"–"))</f>
        <v>Teamzone Süd</v>
      </c>
      <c r="M75" s="54" t="str">
        <f>IF(C75="","",IF(OR(F75="",G75="",I75=""),"unvollständig",IF(I75="Storniert","storniert",IF(WEEKDAY(C75,2)&gt;5,"Wochenende",IF(COUNTIF(Stammdaten!$AD$10:$AD$30,C75)&gt;0,"Feiertag",IF(IFERROR(INDEX(Stammdaten!$I$10:$I$49,MATCH(F75,Stammdaten!$B$10:$B$49,0)),"")="Gesperrt","Platz gesperrt",IF(AND(COUNTIF($P$6:$P$605,P75)&gt;1,NOT(AND(COUNTIF($P$6:$P$605,P75)=2,COUNTIFS($P$6:$P$605,P75,$H$6:$H$605,"Vormittag")=1,COUNTIFS($P$6:$P$605,P75,$H$6:$H$605,"Nachmittag")=1))),"Doppelbuchung",IF(AND(COUNTIF($R$6:$R$605,R75)&gt;1,NOT(AND(COUNTIF($R$6:$R$605,R75)=2,COUNTIFS($R$6:$R$605,R75,$H$6:$H$605,"Vormittag")=1,COUNTIFS($R$6:$R$605,R75,$H$6:$H$605,"Nachmittag")=1))),"Person doppelt","OK"))))))))</f>
        <v>OK</v>
      </c>
      <c r="O75" s="55">
        <f t="shared" si="10"/>
        <v>1</v>
      </c>
      <c r="P75" s="55" t="str">
        <f t="shared" si="11"/>
        <v>B-06|46296</v>
      </c>
      <c r="Q75" s="55" t="str">
        <f>IF(P75="","",P75&amp;"|"&amp;COUNTIF(P$6:P75,P75))</f>
        <v>B-06|46296|1</v>
      </c>
      <c r="R75" s="55" t="str">
        <f t="shared" si="12"/>
        <v>Anna Lorenz|46296</v>
      </c>
      <c r="S75" s="55" t="str">
        <f>IF(R75="","",R75&amp;"|"&amp;COUNTIF(R$6:R75,R75))</f>
        <v>Anna Lorenz|46296|1</v>
      </c>
      <c r="T75" s="55" t="str">
        <f>IF(G75="","",IFERROR(INDEX(Stammdaten!$O$10:$O$69,MATCH(G75,Stammdaten!$N$10:$N$69,0)),G75)&amp;IF(H75="Vormittag"," (VM)",IF(H75="Nachmittag"," (NM)",""))&amp;IF(I75="Angefragt"," ?",""))</f>
        <v>A. Lorenz</v>
      </c>
      <c r="U75" s="55" t="str">
        <f t="shared" si="13"/>
        <v>B-06</v>
      </c>
    </row>
    <row r="76" spans="2:21" ht="16.5" customHeight="1" x14ac:dyDescent="0.25">
      <c r="B76" s="47">
        <f t="shared" si="7"/>
        <v>71</v>
      </c>
      <c r="C76" s="48">
        <v>46296</v>
      </c>
      <c r="D76" s="49" t="str">
        <f t="shared" si="8"/>
        <v>Do</v>
      </c>
      <c r="E76" s="50">
        <f t="shared" si="9"/>
        <v>40</v>
      </c>
      <c r="F76" s="51" t="s">
        <v>98</v>
      </c>
      <c r="G76" s="52" t="s">
        <v>116</v>
      </c>
      <c r="H76" s="51" t="s">
        <v>76</v>
      </c>
      <c r="I76" s="51" t="s">
        <v>77</v>
      </c>
      <c r="J76" s="52"/>
      <c r="K76" s="53" t="str">
        <f>IF(G76="","",IFERROR(INDEX(Stammdaten!$P$10:$P$69,MATCH(G76,Stammdaten!$N$10:$N$69,0)),"–"))</f>
        <v>Finanzen</v>
      </c>
      <c r="L76" s="53" t="str">
        <f>IF(F76="","",IFERROR(INDEX(Stammdaten!$D$10:$D$49,MATCH(F76,Stammdaten!$B$10:$B$49,0)),"–"))</f>
        <v>Teamzone Süd</v>
      </c>
      <c r="M76" s="54" t="str">
        <f>IF(C76="","",IF(OR(F76="",G76="",I76=""),"unvollständig",IF(I76="Storniert","storniert",IF(WEEKDAY(C76,2)&gt;5,"Wochenende",IF(COUNTIF(Stammdaten!$AD$10:$AD$30,C76)&gt;0,"Feiertag",IF(IFERROR(INDEX(Stammdaten!$I$10:$I$49,MATCH(F76,Stammdaten!$B$10:$B$49,0)),"")="Gesperrt","Platz gesperrt",IF(AND(COUNTIF($P$6:$P$605,P76)&gt;1,NOT(AND(COUNTIF($P$6:$P$605,P76)=2,COUNTIFS($P$6:$P$605,P76,$H$6:$H$605,"Vormittag")=1,COUNTIFS($P$6:$P$605,P76,$H$6:$H$605,"Nachmittag")=1))),"Doppelbuchung",IF(AND(COUNTIF($R$6:$R$605,R76)&gt;1,NOT(AND(COUNTIF($R$6:$R$605,R76)=2,COUNTIFS($R$6:$R$605,R76,$H$6:$H$605,"Vormittag")=1,COUNTIFS($R$6:$R$605,R76,$H$6:$H$605,"Nachmittag")=1))),"Person doppelt","OK"))))))))</f>
        <v>OK</v>
      </c>
      <c r="O76" s="55">
        <f t="shared" si="10"/>
        <v>1</v>
      </c>
      <c r="P76" s="55" t="str">
        <f t="shared" si="11"/>
        <v>B-08|46296</v>
      </c>
      <c r="Q76" s="55" t="str">
        <f>IF(P76="","",P76&amp;"|"&amp;COUNTIF(P$6:P76,P76))</f>
        <v>B-08|46296|1</v>
      </c>
      <c r="R76" s="55" t="str">
        <f t="shared" si="12"/>
        <v>Julia Herrmann|46296</v>
      </c>
      <c r="S76" s="55" t="str">
        <f>IF(R76="","",R76&amp;"|"&amp;COUNTIF(R$6:R76,R76))</f>
        <v>Julia Herrmann|46296|1</v>
      </c>
      <c r="T76" s="55" t="str">
        <f>IF(G76="","",IFERROR(INDEX(Stammdaten!$O$10:$O$69,MATCH(G76,Stammdaten!$N$10:$N$69,0)),G76)&amp;IF(H76="Vormittag"," (VM)",IF(H76="Nachmittag"," (NM)",""))&amp;IF(I76="Angefragt"," ?",""))</f>
        <v>J. Herrmann</v>
      </c>
      <c r="U76" s="55" t="str">
        <f t="shared" si="13"/>
        <v>B-08</v>
      </c>
    </row>
    <row r="77" spans="2:21" ht="16.5" customHeight="1" x14ac:dyDescent="0.25">
      <c r="B77" s="47">
        <f t="shared" si="7"/>
        <v>72</v>
      </c>
      <c r="C77" s="48">
        <v>46296</v>
      </c>
      <c r="D77" s="49" t="str">
        <f t="shared" si="8"/>
        <v>Do</v>
      </c>
      <c r="E77" s="50">
        <f t="shared" si="9"/>
        <v>40</v>
      </c>
      <c r="F77" s="51" t="s">
        <v>100</v>
      </c>
      <c r="G77" s="52" t="s">
        <v>124</v>
      </c>
      <c r="H77" s="51" t="s">
        <v>76</v>
      </c>
      <c r="I77" s="51" t="s">
        <v>77</v>
      </c>
      <c r="J77" s="52"/>
      <c r="K77" s="53" t="str">
        <f>IF(G77="","",IFERROR(INDEX(Stammdaten!$P$10:$P$69,MATCH(G77,Stammdaten!$N$10:$N$69,0)),"–"))</f>
        <v>IT</v>
      </c>
      <c r="L77" s="53" t="str">
        <f>IF(F77="","",IFERROR(INDEX(Stammdaten!$D$10:$D$49,MATCH(F77,Stammdaten!$B$10:$B$49,0)),"–"))</f>
        <v>Projektfläche</v>
      </c>
      <c r="M77" s="54" t="str">
        <f>IF(C77="","",IF(OR(F77="",G77="",I77=""),"unvollständig",IF(I77="Storniert","storniert",IF(WEEKDAY(C77,2)&gt;5,"Wochenende",IF(COUNTIF(Stammdaten!$AD$10:$AD$30,C77)&gt;0,"Feiertag",IF(IFERROR(INDEX(Stammdaten!$I$10:$I$49,MATCH(F77,Stammdaten!$B$10:$B$49,0)),"")="Gesperrt","Platz gesperrt",IF(AND(COUNTIF($P$6:$P$605,P77)&gt;1,NOT(AND(COUNTIF($P$6:$P$605,P77)=2,COUNTIFS($P$6:$P$605,P77,$H$6:$H$605,"Vormittag")=1,COUNTIFS($P$6:$P$605,P77,$H$6:$H$605,"Nachmittag")=1))),"Doppelbuchung",IF(AND(COUNTIF($R$6:$R$605,R77)&gt;1,NOT(AND(COUNTIF($R$6:$R$605,R77)=2,COUNTIFS($R$6:$R$605,R77,$H$6:$H$605,"Vormittag")=1,COUNTIFS($R$6:$R$605,R77,$H$6:$H$605,"Nachmittag")=1))),"Person doppelt","OK"))))))))</f>
        <v>OK</v>
      </c>
      <c r="O77" s="55">
        <f t="shared" si="10"/>
        <v>1</v>
      </c>
      <c r="P77" s="55" t="str">
        <f t="shared" si="11"/>
        <v>B-09|46296</v>
      </c>
      <c r="Q77" s="55" t="str">
        <f>IF(P77="","",P77&amp;"|"&amp;COUNTIF(P$6:P77,P77))</f>
        <v>B-09|46296|1</v>
      </c>
      <c r="R77" s="55" t="str">
        <f t="shared" si="12"/>
        <v>Laura Sommer|46296</v>
      </c>
      <c r="S77" s="55" t="str">
        <f>IF(R77="","",R77&amp;"|"&amp;COUNTIF(R$6:R77,R77))</f>
        <v>Laura Sommer|46296|1</v>
      </c>
      <c r="T77" s="55" t="str">
        <f>IF(G77="","",IFERROR(INDEX(Stammdaten!$O$10:$O$69,MATCH(G77,Stammdaten!$N$10:$N$69,0)),G77)&amp;IF(H77="Vormittag"," (VM)",IF(H77="Nachmittag"," (NM)",""))&amp;IF(I77="Angefragt"," ?",""))</f>
        <v>L. Sommer</v>
      </c>
      <c r="U77" s="55" t="str">
        <f t="shared" si="13"/>
        <v>B-09</v>
      </c>
    </row>
    <row r="78" spans="2:21" ht="16.5" customHeight="1" x14ac:dyDescent="0.25">
      <c r="B78" s="47">
        <f t="shared" si="7"/>
        <v>73</v>
      </c>
      <c r="C78" s="48">
        <v>46296</v>
      </c>
      <c r="D78" s="49" t="str">
        <f t="shared" si="8"/>
        <v>Do</v>
      </c>
      <c r="E78" s="50">
        <f t="shared" si="9"/>
        <v>40</v>
      </c>
      <c r="F78" s="51" t="s">
        <v>102</v>
      </c>
      <c r="G78" s="52" t="s">
        <v>132</v>
      </c>
      <c r="H78" s="51" t="s">
        <v>76</v>
      </c>
      <c r="I78" s="51" t="s">
        <v>77</v>
      </c>
      <c r="J78" s="52"/>
      <c r="K78" s="53" t="str">
        <f>IF(G78="","",IFERROR(INDEX(Stammdaten!$P$10:$P$69,MATCH(G78,Stammdaten!$N$10:$N$69,0)),"–"))</f>
        <v>Projektmanagement</v>
      </c>
      <c r="L78" s="53" t="str">
        <f>IF(F78="","",IFERROR(INDEX(Stammdaten!$D$10:$D$49,MATCH(F78,Stammdaten!$B$10:$B$49,0)),"–"))</f>
        <v>Projektfläche</v>
      </c>
      <c r="M78" s="54" t="str">
        <f>IF(C78="","",IF(OR(F78="",G78="",I78=""),"unvollständig",IF(I78="Storniert","storniert",IF(WEEKDAY(C78,2)&gt;5,"Wochenende",IF(COUNTIF(Stammdaten!$AD$10:$AD$30,C78)&gt;0,"Feiertag",IF(IFERROR(INDEX(Stammdaten!$I$10:$I$49,MATCH(F78,Stammdaten!$B$10:$B$49,0)),"")="Gesperrt","Platz gesperrt",IF(AND(COUNTIF($P$6:$P$605,P78)&gt;1,NOT(AND(COUNTIF($P$6:$P$605,P78)=2,COUNTIFS($P$6:$P$605,P78,$H$6:$H$605,"Vormittag")=1,COUNTIFS($P$6:$P$605,P78,$H$6:$H$605,"Nachmittag")=1))),"Doppelbuchung",IF(AND(COUNTIF($R$6:$R$605,R78)&gt;1,NOT(AND(COUNTIF($R$6:$R$605,R78)=2,COUNTIFS($R$6:$R$605,R78,$H$6:$H$605,"Vormittag")=1,COUNTIFS($R$6:$R$605,R78,$H$6:$H$605,"Nachmittag")=1))),"Person doppelt","OK"))))))))</f>
        <v>OK</v>
      </c>
      <c r="O78" s="55">
        <f t="shared" si="10"/>
        <v>1</v>
      </c>
      <c r="P78" s="55" t="str">
        <f t="shared" si="11"/>
        <v>B-10|46296</v>
      </c>
      <c r="Q78" s="55" t="str">
        <f>IF(P78="","",P78&amp;"|"&amp;COUNTIF(P$6:P78,P78))</f>
        <v>B-10|46296|1</v>
      </c>
      <c r="R78" s="55" t="str">
        <f t="shared" si="12"/>
        <v>Vanessa Kraft|46296</v>
      </c>
      <c r="S78" s="55" t="str">
        <f>IF(R78="","",R78&amp;"|"&amp;COUNTIF(R$6:R78,R78))</f>
        <v>Vanessa Kraft|46296|1</v>
      </c>
      <c r="T78" s="55" t="str">
        <f>IF(G78="","",IFERROR(INDEX(Stammdaten!$O$10:$O$69,MATCH(G78,Stammdaten!$N$10:$N$69,0)),G78)&amp;IF(H78="Vormittag"," (VM)",IF(H78="Nachmittag"," (NM)",""))&amp;IF(I78="Angefragt"," ?",""))</f>
        <v>V. Kraft</v>
      </c>
      <c r="U78" s="55" t="str">
        <f t="shared" si="13"/>
        <v>B-10</v>
      </c>
    </row>
    <row r="79" spans="2:21" ht="16.5" customHeight="1" x14ac:dyDescent="0.25">
      <c r="B79" s="47">
        <f t="shared" si="7"/>
        <v>74</v>
      </c>
      <c r="C79" s="48">
        <v>46296</v>
      </c>
      <c r="D79" s="49" t="str">
        <f t="shared" si="8"/>
        <v>Do</v>
      </c>
      <c r="E79" s="50">
        <f t="shared" si="9"/>
        <v>40</v>
      </c>
      <c r="F79" s="51" t="s">
        <v>104</v>
      </c>
      <c r="G79" s="52" t="s">
        <v>130</v>
      </c>
      <c r="H79" s="51" t="s">
        <v>76</v>
      </c>
      <c r="I79" s="51" t="s">
        <v>77</v>
      </c>
      <c r="J79" s="52"/>
      <c r="K79" s="53" t="str">
        <f>IF(G79="","",IFERROR(INDEX(Stammdaten!$P$10:$P$69,MATCH(G79,Stammdaten!$N$10:$N$69,0)),"–"))</f>
        <v>Projektmanagement</v>
      </c>
      <c r="L79" s="53" t="str">
        <f>IF(F79="","",IFERROR(INDEX(Stammdaten!$D$10:$D$49,MATCH(F79,Stammdaten!$B$10:$B$49,0)),"–"))</f>
        <v>Projektfläche</v>
      </c>
      <c r="M79" s="54" t="str">
        <f>IF(C79="","",IF(OR(F79="",G79="",I79=""),"unvollständig",IF(I79="Storniert","storniert",IF(WEEKDAY(C79,2)&gt;5,"Wochenende",IF(COUNTIF(Stammdaten!$AD$10:$AD$30,C79)&gt;0,"Feiertag",IF(IFERROR(INDEX(Stammdaten!$I$10:$I$49,MATCH(F79,Stammdaten!$B$10:$B$49,0)),"")="Gesperrt","Platz gesperrt",IF(AND(COUNTIF($P$6:$P$605,P79)&gt;1,NOT(AND(COUNTIF($P$6:$P$605,P79)=2,COUNTIFS($P$6:$P$605,P79,$H$6:$H$605,"Vormittag")=1,COUNTIFS($P$6:$P$605,P79,$H$6:$H$605,"Nachmittag")=1))),"Doppelbuchung",IF(AND(COUNTIF($R$6:$R$605,R79)&gt;1,NOT(AND(COUNTIF($R$6:$R$605,R79)=2,COUNTIFS($R$6:$R$605,R79,$H$6:$H$605,"Vormittag")=1,COUNTIFS($R$6:$R$605,R79,$H$6:$H$605,"Nachmittag")=1))),"Person doppelt","OK"))))))))</f>
        <v>OK</v>
      </c>
      <c r="O79" s="55">
        <f t="shared" si="10"/>
        <v>1</v>
      </c>
      <c r="P79" s="55" t="str">
        <f t="shared" si="11"/>
        <v>B-11|46296</v>
      </c>
      <c r="Q79" s="55" t="str">
        <f>IF(P79="","",P79&amp;"|"&amp;COUNTIF(P$6:P79,P79))</f>
        <v>B-11|46296|1</v>
      </c>
      <c r="R79" s="55" t="str">
        <f t="shared" si="12"/>
        <v>Fabian Ott|46296</v>
      </c>
      <c r="S79" s="55" t="str">
        <f>IF(R79="","",R79&amp;"|"&amp;COUNTIF(R$6:R79,R79))</f>
        <v>Fabian Ott|46296|1</v>
      </c>
      <c r="T79" s="55" t="str">
        <f>IF(G79="","",IFERROR(INDEX(Stammdaten!$O$10:$O$69,MATCH(G79,Stammdaten!$N$10:$N$69,0)),G79)&amp;IF(H79="Vormittag"," (VM)",IF(H79="Nachmittag"," (NM)",""))&amp;IF(I79="Angefragt"," ?",""))</f>
        <v>F. Ott</v>
      </c>
      <c r="U79" s="55" t="str">
        <f t="shared" si="13"/>
        <v>B-11</v>
      </c>
    </row>
    <row r="80" spans="2:21" ht="16.5" customHeight="1" x14ac:dyDescent="0.25">
      <c r="B80" s="47">
        <f t="shared" si="7"/>
        <v>75</v>
      </c>
      <c r="C80" s="48">
        <v>46296</v>
      </c>
      <c r="D80" s="49" t="str">
        <f t="shared" si="8"/>
        <v>Do</v>
      </c>
      <c r="E80" s="50">
        <f t="shared" si="9"/>
        <v>40</v>
      </c>
      <c r="F80" s="51" t="s">
        <v>106</v>
      </c>
      <c r="G80" s="52" t="s">
        <v>125</v>
      </c>
      <c r="H80" s="51" t="s">
        <v>76</v>
      </c>
      <c r="I80" s="51" t="s">
        <v>77</v>
      </c>
      <c r="J80" s="52"/>
      <c r="K80" s="53" t="str">
        <f>IF(G80="","",IFERROR(INDEX(Stammdaten!$P$10:$P$69,MATCH(G80,Stammdaten!$N$10:$N$69,0)),"–"))</f>
        <v>IT</v>
      </c>
      <c r="L80" s="53" t="str">
        <f>IF(F80="","",IFERROR(INDEX(Stammdaten!$D$10:$D$49,MATCH(F80,Stammdaten!$B$10:$B$49,0)),"–"))</f>
        <v>Projektfläche</v>
      </c>
      <c r="M80" s="54" t="str">
        <f>IF(C80="","",IF(OR(F80="",G80="",I80=""),"unvollständig",IF(I80="Storniert","storniert",IF(WEEKDAY(C80,2)&gt;5,"Wochenende",IF(COUNTIF(Stammdaten!$AD$10:$AD$30,C80)&gt;0,"Feiertag",IF(IFERROR(INDEX(Stammdaten!$I$10:$I$49,MATCH(F80,Stammdaten!$B$10:$B$49,0)),"")="Gesperrt","Platz gesperrt",IF(AND(COUNTIF($P$6:$P$605,P80)&gt;1,NOT(AND(COUNTIF($P$6:$P$605,P80)=2,COUNTIFS($P$6:$P$605,P80,$H$6:$H$605,"Vormittag")=1,COUNTIFS($P$6:$P$605,P80,$H$6:$H$605,"Nachmittag")=1))),"Doppelbuchung",IF(AND(COUNTIF($R$6:$R$605,R80)&gt;1,NOT(AND(COUNTIF($R$6:$R$605,R80)=2,COUNTIFS($R$6:$R$605,R80,$H$6:$H$605,"Vormittag")=1,COUNTIFS($R$6:$R$605,R80,$H$6:$H$605,"Nachmittag")=1))),"Person doppelt","OK"))))))))</f>
        <v>OK</v>
      </c>
      <c r="O80" s="55">
        <f t="shared" si="10"/>
        <v>1</v>
      </c>
      <c r="P80" s="55" t="str">
        <f t="shared" si="11"/>
        <v>B-12|46296</v>
      </c>
      <c r="Q80" s="55" t="str">
        <f>IF(P80="","",P80&amp;"|"&amp;COUNTIF(P$6:P80,P80))</f>
        <v>B-12|46296|1</v>
      </c>
      <c r="R80" s="55" t="str">
        <f t="shared" si="12"/>
        <v>Simon Graf|46296</v>
      </c>
      <c r="S80" s="55" t="str">
        <f>IF(R80="","",R80&amp;"|"&amp;COUNTIF(R$6:R80,R80))</f>
        <v>Simon Graf|46296|1</v>
      </c>
      <c r="T80" s="55" t="str">
        <f>IF(G80="","",IFERROR(INDEX(Stammdaten!$O$10:$O$69,MATCH(G80,Stammdaten!$N$10:$N$69,0)),G80)&amp;IF(H80="Vormittag"," (VM)",IF(H80="Nachmittag"," (NM)",""))&amp;IF(I80="Angefragt"," ?",""))</f>
        <v>S. Graf</v>
      </c>
      <c r="U80" s="55" t="str">
        <f t="shared" si="13"/>
        <v>B-12</v>
      </c>
    </row>
    <row r="81" spans="2:21" ht="16.5" customHeight="1" x14ac:dyDescent="0.25">
      <c r="B81" s="47">
        <f t="shared" si="7"/>
        <v>76</v>
      </c>
      <c r="C81" s="48">
        <v>46297</v>
      </c>
      <c r="D81" s="49" t="str">
        <f t="shared" si="8"/>
        <v>Fr</v>
      </c>
      <c r="E81" s="50">
        <f t="shared" si="9"/>
        <v>40</v>
      </c>
      <c r="F81" s="51" t="s">
        <v>74</v>
      </c>
      <c r="G81" s="52" t="s">
        <v>111</v>
      </c>
      <c r="H81" s="51" t="s">
        <v>76</v>
      </c>
      <c r="I81" s="51" t="s">
        <v>77</v>
      </c>
      <c r="J81" s="52"/>
      <c r="K81" s="53" t="str">
        <f>IF(G81="","",IFERROR(INDEX(Stammdaten!$P$10:$P$69,MATCH(G81,Stammdaten!$N$10:$N$69,0)),"–"))</f>
        <v>Vertrieb</v>
      </c>
      <c r="L81" s="53" t="str">
        <f>IF(F81="","",IFERROR(INDEX(Stammdaten!$D$10:$D$49,MATCH(F81,Stammdaten!$B$10:$B$49,0)),"–"))</f>
        <v>Teamzone Nord</v>
      </c>
      <c r="M81" s="54" t="str">
        <f>IF(C81="","",IF(OR(F81="",G81="",I81=""),"unvollständig",IF(I81="Storniert","storniert",IF(WEEKDAY(C81,2)&gt;5,"Wochenende",IF(COUNTIF(Stammdaten!$AD$10:$AD$30,C81)&gt;0,"Feiertag",IF(IFERROR(INDEX(Stammdaten!$I$10:$I$49,MATCH(F81,Stammdaten!$B$10:$B$49,0)),"")="Gesperrt","Platz gesperrt",IF(AND(COUNTIF($P$6:$P$605,P81)&gt;1,NOT(AND(COUNTIF($P$6:$P$605,P81)=2,COUNTIFS($P$6:$P$605,P81,$H$6:$H$605,"Vormittag")=1,COUNTIFS($P$6:$P$605,P81,$H$6:$H$605,"Nachmittag")=1))),"Doppelbuchung",IF(AND(COUNTIF($R$6:$R$605,R81)&gt;1,NOT(AND(COUNTIF($R$6:$R$605,R81)=2,COUNTIFS($R$6:$R$605,R81,$H$6:$H$605,"Vormittag")=1,COUNTIFS($R$6:$R$605,R81,$H$6:$H$605,"Nachmittag")=1))),"Person doppelt","OK"))))))))</f>
        <v>OK</v>
      </c>
      <c r="O81" s="55">
        <f t="shared" si="10"/>
        <v>1</v>
      </c>
      <c r="P81" s="55" t="str">
        <f t="shared" si="11"/>
        <v>A-01|46297</v>
      </c>
      <c r="Q81" s="55" t="str">
        <f>IF(P81="","",P81&amp;"|"&amp;COUNTIF(P$6:P81,P81))</f>
        <v>A-01|46297|1</v>
      </c>
      <c r="R81" s="55" t="str">
        <f t="shared" si="12"/>
        <v>Sophie Brandt|46297</v>
      </c>
      <c r="S81" s="55" t="str">
        <f>IF(R81="","",R81&amp;"|"&amp;COUNTIF(R$6:R81,R81))</f>
        <v>Sophie Brandt|46297|1</v>
      </c>
      <c r="T81" s="55" t="str">
        <f>IF(G81="","",IFERROR(INDEX(Stammdaten!$O$10:$O$69,MATCH(G81,Stammdaten!$N$10:$N$69,0)),G81)&amp;IF(H81="Vormittag"," (VM)",IF(H81="Nachmittag"," (NM)",""))&amp;IF(I81="Angefragt"," ?",""))</f>
        <v>S. Brandt</v>
      </c>
      <c r="U81" s="55" t="str">
        <f t="shared" si="13"/>
        <v>A-01</v>
      </c>
    </row>
    <row r="82" spans="2:21" ht="16.5" customHeight="1" x14ac:dyDescent="0.25">
      <c r="B82" s="47">
        <f t="shared" si="7"/>
        <v>77</v>
      </c>
      <c r="C82" s="48">
        <v>46297</v>
      </c>
      <c r="D82" s="49" t="str">
        <f t="shared" si="8"/>
        <v>Fr</v>
      </c>
      <c r="E82" s="50">
        <f t="shared" si="9"/>
        <v>40</v>
      </c>
      <c r="F82" s="51" t="s">
        <v>78</v>
      </c>
      <c r="G82" s="52" t="s">
        <v>79</v>
      </c>
      <c r="H82" s="51" t="s">
        <v>76</v>
      </c>
      <c r="I82" s="51" t="s">
        <v>77</v>
      </c>
      <c r="J82" s="52"/>
      <c r="K82" s="53" t="str">
        <f>IF(G82="","",IFERROR(INDEX(Stammdaten!$P$10:$P$69,MATCH(G82,Stammdaten!$N$10:$N$69,0)),"–"))</f>
        <v>Vertrieb</v>
      </c>
      <c r="L82" s="53" t="str">
        <f>IF(F82="","",IFERROR(INDEX(Stammdaten!$D$10:$D$49,MATCH(F82,Stammdaten!$B$10:$B$49,0)),"–"))</f>
        <v>Teamzone Nord</v>
      </c>
      <c r="M82" s="54" t="str">
        <f>IF(C82="","",IF(OR(F82="",G82="",I82=""),"unvollständig",IF(I82="Storniert","storniert",IF(WEEKDAY(C82,2)&gt;5,"Wochenende",IF(COUNTIF(Stammdaten!$AD$10:$AD$30,C82)&gt;0,"Feiertag",IF(IFERROR(INDEX(Stammdaten!$I$10:$I$49,MATCH(F82,Stammdaten!$B$10:$B$49,0)),"")="Gesperrt","Platz gesperrt",IF(AND(COUNTIF($P$6:$P$605,P82)&gt;1,NOT(AND(COUNTIF($P$6:$P$605,P82)=2,COUNTIFS($P$6:$P$605,P82,$H$6:$H$605,"Vormittag")=1,COUNTIFS($P$6:$P$605,P82,$H$6:$H$605,"Nachmittag")=1))),"Doppelbuchung",IF(AND(COUNTIF($R$6:$R$605,R82)&gt;1,NOT(AND(COUNTIF($R$6:$R$605,R82)=2,COUNTIFS($R$6:$R$605,R82,$H$6:$H$605,"Vormittag")=1,COUNTIFS($R$6:$R$605,R82,$H$6:$H$605,"Nachmittag")=1))),"Person doppelt","OK"))))))))</f>
        <v>OK</v>
      </c>
      <c r="O82" s="55">
        <f t="shared" si="10"/>
        <v>1</v>
      </c>
      <c r="P82" s="55" t="str">
        <f t="shared" si="11"/>
        <v>A-02|46297</v>
      </c>
      <c r="Q82" s="55" t="str">
        <f>IF(P82="","",P82&amp;"|"&amp;COUNTIF(P$6:P82,P82))</f>
        <v>A-02|46297|1</v>
      </c>
      <c r="R82" s="55" t="str">
        <f t="shared" si="12"/>
        <v>Lena Hartmann|46297</v>
      </c>
      <c r="S82" s="55" t="str">
        <f>IF(R82="","",R82&amp;"|"&amp;COUNTIF(R$6:R82,R82))</f>
        <v>Lena Hartmann|46297|1</v>
      </c>
      <c r="T82" s="55" t="str">
        <f>IF(G82="","",IFERROR(INDEX(Stammdaten!$O$10:$O$69,MATCH(G82,Stammdaten!$N$10:$N$69,0)),G82)&amp;IF(H82="Vormittag"," (VM)",IF(H82="Nachmittag"," (NM)",""))&amp;IF(I82="Angefragt"," ?",""))</f>
        <v>L. Hartmann</v>
      </c>
      <c r="U82" s="55" t="str">
        <f t="shared" si="13"/>
        <v>A-02</v>
      </c>
    </row>
    <row r="83" spans="2:21" ht="16.5" customHeight="1" x14ac:dyDescent="0.25">
      <c r="B83" s="47">
        <f t="shared" si="7"/>
        <v>78</v>
      </c>
      <c r="C83" s="48">
        <v>46297</v>
      </c>
      <c r="D83" s="49" t="str">
        <f t="shared" si="8"/>
        <v>Fr</v>
      </c>
      <c r="E83" s="50">
        <f t="shared" si="9"/>
        <v>40</v>
      </c>
      <c r="F83" s="51" t="s">
        <v>109</v>
      </c>
      <c r="G83" s="52" t="s">
        <v>108</v>
      </c>
      <c r="H83" s="51" t="s">
        <v>76</v>
      </c>
      <c r="I83" s="51" t="s">
        <v>77</v>
      </c>
      <c r="J83" s="52" t="s">
        <v>128</v>
      </c>
      <c r="K83" s="53" t="str">
        <f>IF(G83="","",IFERROR(INDEX(Stammdaten!$P$10:$P$69,MATCH(G83,Stammdaten!$N$10:$N$69,0)),"–"))</f>
        <v>Marketing</v>
      </c>
      <c r="L83" s="53" t="str">
        <f>IF(F83="","",IFERROR(INDEX(Stammdaten!$D$10:$D$49,MATCH(F83,Stammdaten!$B$10:$B$49,0)),"–"))</f>
        <v>Teamzone Nord</v>
      </c>
      <c r="M83" s="54" t="str">
        <f>IF(C83="","",IF(OR(F83="",G83="",I83=""),"unvollständig",IF(I83="Storniert","storniert",IF(WEEKDAY(C83,2)&gt;5,"Wochenende",IF(COUNTIF(Stammdaten!$AD$10:$AD$30,C83)&gt;0,"Feiertag",IF(IFERROR(INDEX(Stammdaten!$I$10:$I$49,MATCH(F83,Stammdaten!$B$10:$B$49,0)),"")="Gesperrt","Platz gesperrt",IF(AND(COUNTIF($P$6:$P$605,P83)&gt;1,NOT(AND(COUNTIF($P$6:$P$605,P83)=2,COUNTIFS($P$6:$P$605,P83,$H$6:$H$605,"Vormittag")=1,COUNTIFS($P$6:$P$605,P83,$H$6:$H$605,"Nachmittag")=1))),"Doppelbuchung",IF(AND(COUNTIF($R$6:$R$605,R83)&gt;1,NOT(AND(COUNTIF($R$6:$R$605,R83)=2,COUNTIFS($R$6:$R$605,R83,$H$6:$H$605,"Vormittag")=1,COUNTIFS($R$6:$R$605,R83,$H$6:$H$605,"Nachmittag")=1))),"Person doppelt","OK"))))))))</f>
        <v>OK</v>
      </c>
      <c r="O83" s="55">
        <f t="shared" si="10"/>
        <v>1</v>
      </c>
      <c r="P83" s="55" t="str">
        <f t="shared" si="11"/>
        <v>A-03|46297</v>
      </c>
      <c r="Q83" s="55" t="str">
        <f>IF(P83="","",P83&amp;"|"&amp;COUNTIF(P$6:P83,P83))</f>
        <v>A-03|46297|1</v>
      </c>
      <c r="R83" s="55" t="str">
        <f t="shared" si="12"/>
        <v>Aylin Demir|46297</v>
      </c>
      <c r="S83" s="55" t="str">
        <f>IF(R83="","",R83&amp;"|"&amp;COUNTIF(R$6:R83,R83))</f>
        <v>Aylin Demir|46297|1</v>
      </c>
      <c r="T83" s="55" t="str">
        <f>IF(G83="","",IFERROR(INDEX(Stammdaten!$O$10:$O$69,MATCH(G83,Stammdaten!$N$10:$N$69,0)),G83)&amp;IF(H83="Vormittag"," (VM)",IF(H83="Nachmittag"," (NM)",""))&amp;IF(I83="Angefragt"," ?",""))</f>
        <v>A. Demir</v>
      </c>
      <c r="U83" s="55" t="str">
        <f t="shared" si="13"/>
        <v>A-03</v>
      </c>
    </row>
    <row r="84" spans="2:21" ht="16.5" customHeight="1" x14ac:dyDescent="0.25">
      <c r="B84" s="47">
        <f t="shared" si="7"/>
        <v>79</v>
      </c>
      <c r="C84" s="48">
        <v>46297</v>
      </c>
      <c r="D84" s="49" t="str">
        <f t="shared" si="8"/>
        <v>Fr</v>
      </c>
      <c r="E84" s="50">
        <f t="shared" si="9"/>
        <v>40</v>
      </c>
      <c r="F84" s="51" t="s">
        <v>82</v>
      </c>
      <c r="G84" s="52" t="s">
        <v>85</v>
      </c>
      <c r="H84" s="51" t="s">
        <v>76</v>
      </c>
      <c r="I84" s="51" t="s">
        <v>77</v>
      </c>
      <c r="J84" s="52"/>
      <c r="K84" s="53" t="str">
        <f>IF(G84="","",IFERROR(INDEX(Stammdaten!$P$10:$P$69,MATCH(G84,Stammdaten!$N$10:$N$69,0)),"–"))</f>
        <v>Vertrieb</v>
      </c>
      <c r="L84" s="53" t="str">
        <f>IF(F84="","",IFERROR(INDEX(Stammdaten!$D$10:$D$49,MATCH(F84,Stammdaten!$B$10:$B$49,0)),"–"))</f>
        <v>Teamzone Nord</v>
      </c>
      <c r="M84" s="54" t="str">
        <f>IF(C84="","",IF(OR(F84="",G84="",I84=""),"unvollständig",IF(I84="Storniert","storniert",IF(WEEKDAY(C84,2)&gt;5,"Wochenende",IF(COUNTIF(Stammdaten!$AD$10:$AD$30,C84)&gt;0,"Feiertag",IF(IFERROR(INDEX(Stammdaten!$I$10:$I$49,MATCH(F84,Stammdaten!$B$10:$B$49,0)),"")="Gesperrt","Platz gesperrt",IF(AND(COUNTIF($P$6:$P$605,P84)&gt;1,NOT(AND(COUNTIF($P$6:$P$605,P84)=2,COUNTIFS($P$6:$P$605,P84,$H$6:$H$605,"Vormittag")=1,COUNTIFS($P$6:$P$605,P84,$H$6:$H$605,"Nachmittag")=1))),"Doppelbuchung",IF(AND(COUNTIF($R$6:$R$605,R84)&gt;1,NOT(AND(COUNTIF($R$6:$R$605,R84)=2,COUNTIFS($R$6:$R$605,R84,$H$6:$H$605,"Vormittag")=1,COUNTIFS($R$6:$R$605,R84,$H$6:$H$605,"Nachmittag")=1))),"Person doppelt","OK"))))))))</f>
        <v>OK</v>
      </c>
      <c r="O84" s="55">
        <f t="shared" si="10"/>
        <v>1</v>
      </c>
      <c r="P84" s="55" t="str">
        <f t="shared" si="11"/>
        <v>A-06|46297</v>
      </c>
      <c r="Q84" s="55" t="str">
        <f>IF(P84="","",P84&amp;"|"&amp;COUNTIF(P$6:P84,P84))</f>
        <v>A-06|46297|1</v>
      </c>
      <c r="R84" s="55" t="str">
        <f t="shared" si="12"/>
        <v>Miriam Krause|46297</v>
      </c>
      <c r="S84" s="55" t="str">
        <f>IF(R84="","",R84&amp;"|"&amp;COUNTIF(R$6:R84,R84))</f>
        <v>Miriam Krause|46297|1</v>
      </c>
      <c r="T84" s="55" t="str">
        <f>IF(G84="","",IFERROR(INDEX(Stammdaten!$O$10:$O$69,MATCH(G84,Stammdaten!$N$10:$N$69,0)),G84)&amp;IF(H84="Vormittag"," (VM)",IF(H84="Nachmittag"," (NM)",""))&amp;IF(I84="Angefragt"," ?",""))</f>
        <v>M. Krause</v>
      </c>
      <c r="U84" s="55" t="str">
        <f t="shared" si="13"/>
        <v>A-06</v>
      </c>
    </row>
    <row r="85" spans="2:21" ht="16.5" customHeight="1" x14ac:dyDescent="0.25">
      <c r="B85" s="47">
        <f t="shared" si="7"/>
        <v>80</v>
      </c>
      <c r="C85" s="48">
        <v>46297</v>
      </c>
      <c r="D85" s="49" t="str">
        <f t="shared" si="8"/>
        <v>Fr</v>
      </c>
      <c r="E85" s="50">
        <f t="shared" si="9"/>
        <v>40</v>
      </c>
      <c r="F85" s="51" t="s">
        <v>84</v>
      </c>
      <c r="G85" s="52" t="s">
        <v>87</v>
      </c>
      <c r="H85" s="51" t="s">
        <v>76</v>
      </c>
      <c r="I85" s="51" t="s">
        <v>77</v>
      </c>
      <c r="J85" s="52"/>
      <c r="K85" s="53" t="str">
        <f>IF(G85="","",IFERROR(INDEX(Stammdaten!$P$10:$P$69,MATCH(G85,Stammdaten!$N$10:$N$69,0)),"–"))</f>
        <v>Marketing</v>
      </c>
      <c r="L85" s="53" t="str">
        <f>IF(F85="","",IFERROR(INDEX(Stammdaten!$D$10:$D$49,MATCH(F85,Stammdaten!$B$10:$B$49,0)),"–"))</f>
        <v>Teamzone Nord</v>
      </c>
      <c r="M85" s="54" t="str">
        <f>IF(C85="","",IF(OR(F85="",G85="",I85=""),"unvollständig",IF(I85="Storniert","storniert",IF(WEEKDAY(C85,2)&gt;5,"Wochenende",IF(COUNTIF(Stammdaten!$AD$10:$AD$30,C85)&gt;0,"Feiertag",IF(IFERROR(INDEX(Stammdaten!$I$10:$I$49,MATCH(F85,Stammdaten!$B$10:$B$49,0)),"")="Gesperrt","Platz gesperrt",IF(AND(COUNTIF($P$6:$P$605,P85)&gt;1,NOT(AND(COUNTIF($P$6:$P$605,P85)=2,COUNTIFS($P$6:$P$605,P85,$H$6:$H$605,"Vormittag")=1,COUNTIFS($P$6:$P$605,P85,$H$6:$H$605,"Nachmittag")=1))),"Doppelbuchung",IF(AND(COUNTIF($R$6:$R$605,R85)&gt;1,NOT(AND(COUNTIF($R$6:$R$605,R85)=2,COUNTIFS($R$6:$R$605,R85,$H$6:$H$605,"Vormittag")=1,COUNTIFS($R$6:$R$605,R85,$H$6:$H$605,"Nachmittag")=1))),"Person doppelt","OK"))))))))</f>
        <v>OK</v>
      </c>
      <c r="O85" s="55">
        <f t="shared" si="10"/>
        <v>1</v>
      </c>
      <c r="P85" s="55" t="str">
        <f t="shared" si="11"/>
        <v>A-07|46297</v>
      </c>
      <c r="Q85" s="55" t="str">
        <f>IF(P85="","",P85&amp;"|"&amp;COUNTIF(P$6:P85,P85))</f>
        <v>A-07|46297|1</v>
      </c>
      <c r="R85" s="55" t="str">
        <f t="shared" si="12"/>
        <v>Paul Schreiber|46297</v>
      </c>
      <c r="S85" s="55" t="str">
        <f>IF(R85="","",R85&amp;"|"&amp;COUNTIF(R$6:R85,R85))</f>
        <v>Paul Schreiber|46297|1</v>
      </c>
      <c r="T85" s="55" t="str">
        <f>IF(G85="","",IFERROR(INDEX(Stammdaten!$O$10:$O$69,MATCH(G85,Stammdaten!$N$10:$N$69,0)),G85)&amp;IF(H85="Vormittag"," (VM)",IF(H85="Nachmittag"," (NM)",""))&amp;IF(I85="Angefragt"," ?",""))</f>
        <v>P. Schreiber</v>
      </c>
      <c r="U85" s="55" t="str">
        <f t="shared" si="13"/>
        <v>A-07</v>
      </c>
    </row>
    <row r="86" spans="2:21" ht="16.5" customHeight="1" x14ac:dyDescent="0.25">
      <c r="B86" s="47">
        <f t="shared" si="7"/>
        <v>81</v>
      </c>
      <c r="C86" s="48">
        <v>46297</v>
      </c>
      <c r="D86" s="49" t="str">
        <f t="shared" si="8"/>
        <v>Fr</v>
      </c>
      <c r="E86" s="50">
        <f t="shared" si="9"/>
        <v>40</v>
      </c>
      <c r="F86" s="51" t="s">
        <v>88</v>
      </c>
      <c r="G86" s="52" t="s">
        <v>89</v>
      </c>
      <c r="H86" s="51" t="s">
        <v>76</v>
      </c>
      <c r="I86" s="51" t="s">
        <v>77</v>
      </c>
      <c r="J86" s="52"/>
      <c r="K86" s="53" t="str">
        <f>IF(G86="","",IFERROR(INDEX(Stammdaten!$P$10:$P$69,MATCH(G86,Stammdaten!$N$10:$N$69,0)),"–"))</f>
        <v>Projektmanagement</v>
      </c>
      <c r="L86" s="53" t="str">
        <f>IF(F86="","",IFERROR(INDEX(Stammdaten!$D$10:$D$49,MATCH(F86,Stammdaten!$B$10:$B$49,0)),"–"))</f>
        <v>Fokuszone</v>
      </c>
      <c r="M86" s="54" t="str">
        <f>IF(C86="","",IF(OR(F86="",G86="",I86=""),"unvollständig",IF(I86="Storniert","storniert",IF(WEEKDAY(C86,2)&gt;5,"Wochenende",IF(COUNTIF(Stammdaten!$AD$10:$AD$30,C86)&gt;0,"Feiertag",IF(IFERROR(INDEX(Stammdaten!$I$10:$I$49,MATCH(F86,Stammdaten!$B$10:$B$49,0)),"")="Gesperrt","Platz gesperrt",IF(AND(COUNTIF($P$6:$P$605,P86)&gt;1,NOT(AND(COUNTIF($P$6:$P$605,P86)=2,COUNTIFS($P$6:$P$605,P86,$H$6:$H$605,"Vormittag")=1,COUNTIFS($P$6:$P$605,P86,$H$6:$H$605,"Nachmittag")=1))),"Doppelbuchung",IF(AND(COUNTIF($R$6:$R$605,R86)&gt;1,NOT(AND(COUNTIF($R$6:$R$605,R86)=2,COUNTIFS($R$6:$R$605,R86,$H$6:$H$605,"Vormittag")=1,COUNTIFS($R$6:$R$605,R86,$H$6:$H$605,"Nachmittag")=1))),"Person doppelt","OK"))))))))</f>
        <v>OK</v>
      </c>
      <c r="O86" s="55">
        <f t="shared" si="10"/>
        <v>1</v>
      </c>
      <c r="P86" s="55" t="str">
        <f t="shared" si="11"/>
        <v>A-11|46297</v>
      </c>
      <c r="Q86" s="55" t="str">
        <f>IF(P86="","",P86&amp;"|"&amp;COUNTIF(P$6:P86,P86))</f>
        <v>A-11|46297|1</v>
      </c>
      <c r="R86" s="55" t="str">
        <f t="shared" si="12"/>
        <v>Theresa Jung|46297</v>
      </c>
      <c r="S86" s="55" t="str">
        <f>IF(R86="","",R86&amp;"|"&amp;COUNTIF(R$6:R86,R86))</f>
        <v>Theresa Jung|46297|1</v>
      </c>
      <c r="T86" s="55" t="str">
        <f>IF(G86="","",IFERROR(INDEX(Stammdaten!$O$10:$O$69,MATCH(G86,Stammdaten!$N$10:$N$69,0)),G86)&amp;IF(H86="Vormittag"," (VM)",IF(H86="Nachmittag"," (NM)",""))&amp;IF(I86="Angefragt"," ?",""))</f>
        <v>T. Jung</v>
      </c>
      <c r="U86" s="55" t="str">
        <f t="shared" si="13"/>
        <v>A-11</v>
      </c>
    </row>
    <row r="87" spans="2:21" ht="16.5" customHeight="1" x14ac:dyDescent="0.25">
      <c r="B87" s="47">
        <f t="shared" si="7"/>
        <v>82</v>
      </c>
      <c r="C87" s="48">
        <v>46297</v>
      </c>
      <c r="D87" s="49" t="str">
        <f t="shared" si="8"/>
        <v>Fr</v>
      </c>
      <c r="E87" s="50">
        <f t="shared" si="9"/>
        <v>40</v>
      </c>
      <c r="F87" s="51" t="s">
        <v>94</v>
      </c>
      <c r="G87" s="52" t="s">
        <v>95</v>
      </c>
      <c r="H87" s="51" t="s">
        <v>76</v>
      </c>
      <c r="I87" s="51" t="s">
        <v>77</v>
      </c>
      <c r="J87" s="52" t="s">
        <v>139</v>
      </c>
      <c r="K87" s="53" t="str">
        <f>IF(G87="","",IFERROR(INDEX(Stammdaten!$P$10:$P$69,MATCH(G87,Stammdaten!$N$10:$N$69,0)),"–"))</f>
        <v>Finanzen</v>
      </c>
      <c r="L87" s="53" t="str">
        <f>IF(F87="","",IFERROR(INDEX(Stammdaten!$D$10:$D$49,MATCH(F87,Stammdaten!$B$10:$B$49,0)),"–"))</f>
        <v>Teamzone Süd</v>
      </c>
      <c r="M87" s="54" t="str">
        <f>IF(C87="","",IF(OR(F87="",G87="",I87=""),"unvollständig",IF(I87="Storniert","storniert",IF(WEEKDAY(C87,2)&gt;5,"Wochenende",IF(COUNTIF(Stammdaten!$AD$10:$AD$30,C87)&gt;0,"Feiertag",IF(IFERROR(INDEX(Stammdaten!$I$10:$I$49,MATCH(F87,Stammdaten!$B$10:$B$49,0)),"")="Gesperrt","Platz gesperrt",IF(AND(COUNTIF($P$6:$P$605,P87)&gt;1,NOT(AND(COUNTIF($P$6:$P$605,P87)=2,COUNTIFS($P$6:$P$605,P87,$H$6:$H$605,"Vormittag")=1,COUNTIFS($P$6:$P$605,P87,$H$6:$H$605,"Nachmittag")=1))),"Doppelbuchung",IF(AND(COUNTIF($R$6:$R$605,R87)&gt;1,NOT(AND(COUNTIF($R$6:$R$605,R87)=2,COUNTIFS($R$6:$R$605,R87,$H$6:$H$605,"Vormittag")=1,COUNTIFS($R$6:$R$605,R87,$H$6:$H$605,"Nachmittag")=1))),"Person doppelt","OK"))))))))</f>
        <v>OK</v>
      </c>
      <c r="O87" s="55">
        <f t="shared" si="10"/>
        <v>1</v>
      </c>
      <c r="P87" s="55" t="str">
        <f t="shared" si="11"/>
        <v>B-02|46297</v>
      </c>
      <c r="Q87" s="55" t="str">
        <f>IF(P87="","",P87&amp;"|"&amp;COUNTIF(P$6:P87,P87))</f>
        <v>B-02|46297|1</v>
      </c>
      <c r="R87" s="55" t="str">
        <f t="shared" si="12"/>
        <v>Hanna Roth|46297</v>
      </c>
      <c r="S87" s="55" t="str">
        <f>IF(R87="","",R87&amp;"|"&amp;COUNTIF(R$6:R87,R87))</f>
        <v>Hanna Roth|46297|1</v>
      </c>
      <c r="T87" s="55" t="str">
        <f>IF(G87="","",IFERROR(INDEX(Stammdaten!$O$10:$O$69,MATCH(G87,Stammdaten!$N$10:$N$69,0)),G87)&amp;IF(H87="Vormittag"," (VM)",IF(H87="Nachmittag"," (NM)",""))&amp;IF(I87="Angefragt"," ?",""))</f>
        <v>H. Roth</v>
      </c>
      <c r="U87" s="55" t="str">
        <f t="shared" si="13"/>
        <v>B-02</v>
      </c>
    </row>
    <row r="88" spans="2:21" ht="16.5" customHeight="1" x14ac:dyDescent="0.25">
      <c r="B88" s="47">
        <f t="shared" si="7"/>
        <v>83</v>
      </c>
      <c r="C88" s="48">
        <v>46297</v>
      </c>
      <c r="D88" s="49" t="str">
        <f t="shared" si="8"/>
        <v>Fr</v>
      </c>
      <c r="E88" s="50">
        <f t="shared" si="9"/>
        <v>40</v>
      </c>
      <c r="F88" s="51" t="s">
        <v>121</v>
      </c>
      <c r="G88" s="52" t="s">
        <v>122</v>
      </c>
      <c r="H88" s="51" t="s">
        <v>76</v>
      </c>
      <c r="I88" s="51" t="s">
        <v>77</v>
      </c>
      <c r="J88" s="52"/>
      <c r="K88" s="53" t="str">
        <f>IF(G88="","",IFERROR(INDEX(Stammdaten!$P$10:$P$69,MATCH(G88,Stammdaten!$N$10:$N$69,0)),"–"))</f>
        <v>Personal</v>
      </c>
      <c r="L88" s="53" t="str">
        <f>IF(F88="","",IFERROR(INDEX(Stammdaten!$D$10:$D$49,MATCH(F88,Stammdaten!$B$10:$B$49,0)),"–"))</f>
        <v>Teamzone Süd</v>
      </c>
      <c r="M88" s="54" t="str">
        <f>IF(C88="","",IF(OR(F88="",G88="",I88=""),"unvollständig",IF(I88="Storniert","storniert",IF(WEEKDAY(C88,2)&gt;5,"Wochenende",IF(COUNTIF(Stammdaten!$AD$10:$AD$30,C88)&gt;0,"Feiertag",IF(IFERROR(INDEX(Stammdaten!$I$10:$I$49,MATCH(F88,Stammdaten!$B$10:$B$49,0)),"")="Gesperrt","Platz gesperrt",IF(AND(COUNTIF($P$6:$P$605,P88)&gt;1,NOT(AND(COUNTIF($P$6:$P$605,P88)=2,COUNTIFS($P$6:$P$605,P88,$H$6:$H$605,"Vormittag")=1,COUNTIFS($P$6:$P$605,P88,$H$6:$H$605,"Nachmittag")=1))),"Doppelbuchung",IF(AND(COUNTIF($R$6:$R$605,R88)&gt;1,NOT(AND(COUNTIF($R$6:$R$605,R88)=2,COUNTIFS($R$6:$R$605,R88,$H$6:$H$605,"Vormittag")=1,COUNTIFS($R$6:$R$605,R88,$H$6:$H$605,"Nachmittag")=1))),"Person doppelt","OK"))))))))</f>
        <v>OK</v>
      </c>
      <c r="O88" s="55">
        <f t="shared" si="10"/>
        <v>1</v>
      </c>
      <c r="P88" s="55" t="str">
        <f t="shared" si="11"/>
        <v>B-05|46297</v>
      </c>
      <c r="Q88" s="55" t="str">
        <f>IF(P88="","",P88&amp;"|"&amp;COUNTIF(P$6:P88,P88))</f>
        <v>B-05|46297|1</v>
      </c>
      <c r="R88" s="55" t="str">
        <f t="shared" si="12"/>
        <v>Niklas Wolf|46297</v>
      </c>
      <c r="S88" s="55" t="str">
        <f>IF(R88="","",R88&amp;"|"&amp;COUNTIF(R$6:R88,R88))</f>
        <v>Niklas Wolf|46297|1</v>
      </c>
      <c r="T88" s="55" t="str">
        <f>IF(G88="","",IFERROR(INDEX(Stammdaten!$O$10:$O$69,MATCH(G88,Stammdaten!$N$10:$N$69,0)),G88)&amp;IF(H88="Vormittag"," (VM)",IF(H88="Nachmittag"," (NM)",""))&amp;IF(I88="Angefragt"," ?",""))</f>
        <v>N. Wolf</v>
      </c>
      <c r="U88" s="55" t="str">
        <f t="shared" si="13"/>
        <v>B-05</v>
      </c>
    </row>
    <row r="89" spans="2:21" ht="16.5" customHeight="1" x14ac:dyDescent="0.25">
      <c r="B89" s="47">
        <f t="shared" si="7"/>
        <v>84</v>
      </c>
      <c r="C89" s="48">
        <v>46297</v>
      </c>
      <c r="D89" s="49" t="str">
        <f t="shared" si="8"/>
        <v>Fr</v>
      </c>
      <c r="E89" s="50">
        <f t="shared" si="9"/>
        <v>40</v>
      </c>
      <c r="F89" s="51" t="s">
        <v>96</v>
      </c>
      <c r="G89" s="52" t="s">
        <v>97</v>
      </c>
      <c r="H89" s="51" t="s">
        <v>76</v>
      </c>
      <c r="I89" s="51" t="s">
        <v>77</v>
      </c>
      <c r="J89" s="52"/>
      <c r="K89" s="53" t="str">
        <f>IF(G89="","",IFERROR(INDEX(Stammdaten!$P$10:$P$69,MATCH(G89,Stammdaten!$N$10:$N$69,0)),"–"))</f>
        <v>Personal</v>
      </c>
      <c r="L89" s="53" t="str">
        <f>IF(F89="","",IFERROR(INDEX(Stammdaten!$D$10:$D$49,MATCH(F89,Stammdaten!$B$10:$B$49,0)),"–"))</f>
        <v>Teamzone Süd</v>
      </c>
      <c r="M89" s="54" t="str">
        <f>IF(C89="","",IF(OR(F89="",G89="",I89=""),"unvollständig",IF(I89="Storniert","storniert",IF(WEEKDAY(C89,2)&gt;5,"Wochenende",IF(COUNTIF(Stammdaten!$AD$10:$AD$30,C89)&gt;0,"Feiertag",IF(IFERROR(INDEX(Stammdaten!$I$10:$I$49,MATCH(F89,Stammdaten!$B$10:$B$49,0)),"")="Gesperrt","Platz gesperrt",IF(AND(COUNTIF($P$6:$P$605,P89)&gt;1,NOT(AND(COUNTIF($P$6:$P$605,P89)=2,COUNTIFS($P$6:$P$605,P89,$H$6:$H$605,"Vormittag")=1,COUNTIFS($P$6:$P$605,P89,$H$6:$H$605,"Nachmittag")=1))),"Doppelbuchung",IF(AND(COUNTIF($R$6:$R$605,R89)&gt;1,NOT(AND(COUNTIF($R$6:$R$605,R89)=2,COUNTIFS($R$6:$R$605,R89,$H$6:$H$605,"Vormittag")=1,COUNTIFS($R$6:$R$605,R89,$H$6:$H$605,"Nachmittag")=1))),"Person doppelt","OK"))))))))</f>
        <v>OK</v>
      </c>
      <c r="O89" s="55">
        <f t="shared" si="10"/>
        <v>1</v>
      </c>
      <c r="P89" s="55" t="str">
        <f t="shared" si="11"/>
        <v>B-06|46297</v>
      </c>
      <c r="Q89" s="55" t="str">
        <f>IF(P89="","",P89&amp;"|"&amp;COUNTIF(P$6:P89,P89))</f>
        <v>B-06|46297|1</v>
      </c>
      <c r="R89" s="55" t="str">
        <f t="shared" si="12"/>
        <v>Moritz Keller|46297</v>
      </c>
      <c r="S89" s="55" t="str">
        <f>IF(R89="","",R89&amp;"|"&amp;COUNTIF(R$6:R89,R89))</f>
        <v>Moritz Keller|46297|1</v>
      </c>
      <c r="T89" s="55" t="str">
        <f>IF(G89="","",IFERROR(INDEX(Stammdaten!$O$10:$O$69,MATCH(G89,Stammdaten!$N$10:$N$69,0)),G89)&amp;IF(H89="Vormittag"," (VM)",IF(H89="Nachmittag"," (NM)",""))&amp;IF(I89="Angefragt"," ?",""))</f>
        <v>M. Keller</v>
      </c>
      <c r="U89" s="55" t="str">
        <f t="shared" si="13"/>
        <v>B-06</v>
      </c>
    </row>
    <row r="90" spans="2:21" ht="16.5" customHeight="1" x14ac:dyDescent="0.25">
      <c r="B90" s="47">
        <f t="shared" si="7"/>
        <v>85</v>
      </c>
      <c r="C90" s="48">
        <v>46297</v>
      </c>
      <c r="D90" s="49" t="str">
        <f t="shared" si="8"/>
        <v>Fr</v>
      </c>
      <c r="E90" s="50">
        <f t="shared" si="9"/>
        <v>40</v>
      </c>
      <c r="F90" s="51" t="s">
        <v>100</v>
      </c>
      <c r="G90" s="52" t="s">
        <v>107</v>
      </c>
      <c r="H90" s="51" t="s">
        <v>76</v>
      </c>
      <c r="I90" s="51" t="s">
        <v>77</v>
      </c>
      <c r="J90" s="52"/>
      <c r="K90" s="53" t="str">
        <f>IF(G90="","",IFERROR(INDEX(Stammdaten!$P$10:$P$69,MATCH(G90,Stammdaten!$N$10:$N$69,0)),"–"))</f>
        <v>IT</v>
      </c>
      <c r="L90" s="53" t="str">
        <f>IF(F90="","",IFERROR(INDEX(Stammdaten!$D$10:$D$49,MATCH(F90,Stammdaten!$B$10:$B$49,0)),"–"))</f>
        <v>Projektfläche</v>
      </c>
      <c r="M90" s="54" t="str">
        <f>IF(C90="","",IF(OR(F90="",G90="",I90=""),"unvollständig",IF(I90="Storniert","storniert",IF(WEEKDAY(C90,2)&gt;5,"Wochenende",IF(COUNTIF(Stammdaten!$AD$10:$AD$30,C90)&gt;0,"Feiertag",IF(IFERROR(INDEX(Stammdaten!$I$10:$I$49,MATCH(F90,Stammdaten!$B$10:$B$49,0)),"")="Gesperrt","Platz gesperrt",IF(AND(COUNTIF($P$6:$P$605,P90)&gt;1,NOT(AND(COUNTIF($P$6:$P$605,P90)=2,COUNTIFS($P$6:$P$605,P90,$H$6:$H$605,"Vormittag")=1,COUNTIFS($P$6:$P$605,P90,$H$6:$H$605,"Nachmittag")=1))),"Doppelbuchung",IF(AND(COUNTIF($R$6:$R$605,R90)&gt;1,NOT(AND(COUNTIF($R$6:$R$605,R90)=2,COUNTIFS($R$6:$R$605,R90,$H$6:$H$605,"Vormittag")=1,COUNTIFS($R$6:$R$605,R90,$H$6:$H$605,"Nachmittag")=1))),"Person doppelt","OK"))))))))</f>
        <v>OK</v>
      </c>
      <c r="O90" s="55">
        <f t="shared" si="10"/>
        <v>1</v>
      </c>
      <c r="P90" s="55" t="str">
        <f t="shared" si="11"/>
        <v>B-09|46297</v>
      </c>
      <c r="Q90" s="55" t="str">
        <f>IF(P90="","",P90&amp;"|"&amp;COUNTIF(P$6:P90,P90))</f>
        <v>B-09|46297|1</v>
      </c>
      <c r="R90" s="55" t="str">
        <f t="shared" si="12"/>
        <v>Katharina Busch|46297</v>
      </c>
      <c r="S90" s="55" t="str">
        <f>IF(R90="","",R90&amp;"|"&amp;COUNTIF(R$6:R90,R90))</f>
        <v>Katharina Busch|46297|1</v>
      </c>
      <c r="T90" s="55" t="str">
        <f>IF(G90="","",IFERROR(INDEX(Stammdaten!$O$10:$O$69,MATCH(G90,Stammdaten!$N$10:$N$69,0)),G90)&amp;IF(H90="Vormittag"," (VM)",IF(H90="Nachmittag"," (NM)",""))&amp;IF(I90="Angefragt"," ?",""))</f>
        <v>K. Busch</v>
      </c>
      <c r="U90" s="55" t="str">
        <f t="shared" si="13"/>
        <v>B-09</v>
      </c>
    </row>
    <row r="91" spans="2:21" ht="16.5" customHeight="1" x14ac:dyDescent="0.25">
      <c r="B91" s="47">
        <f t="shared" si="7"/>
        <v>86</v>
      </c>
      <c r="C91" s="48">
        <v>46297</v>
      </c>
      <c r="D91" s="49" t="str">
        <f t="shared" si="8"/>
        <v>Fr</v>
      </c>
      <c r="E91" s="50">
        <f t="shared" si="9"/>
        <v>40</v>
      </c>
      <c r="F91" s="51" t="s">
        <v>102</v>
      </c>
      <c r="G91" s="52" t="s">
        <v>132</v>
      </c>
      <c r="H91" s="51" t="s">
        <v>76</v>
      </c>
      <c r="I91" s="51" t="s">
        <v>77</v>
      </c>
      <c r="J91" s="52"/>
      <c r="K91" s="53" t="str">
        <f>IF(G91="","",IFERROR(INDEX(Stammdaten!$P$10:$P$69,MATCH(G91,Stammdaten!$N$10:$N$69,0)),"–"))</f>
        <v>Projektmanagement</v>
      </c>
      <c r="L91" s="53" t="str">
        <f>IF(F91="","",IFERROR(INDEX(Stammdaten!$D$10:$D$49,MATCH(F91,Stammdaten!$B$10:$B$49,0)),"–"))</f>
        <v>Projektfläche</v>
      </c>
      <c r="M91" s="54" t="str">
        <f>IF(C91="","",IF(OR(F91="",G91="",I91=""),"unvollständig",IF(I91="Storniert","storniert",IF(WEEKDAY(C91,2)&gt;5,"Wochenende",IF(COUNTIF(Stammdaten!$AD$10:$AD$30,C91)&gt;0,"Feiertag",IF(IFERROR(INDEX(Stammdaten!$I$10:$I$49,MATCH(F91,Stammdaten!$B$10:$B$49,0)),"")="Gesperrt","Platz gesperrt",IF(AND(COUNTIF($P$6:$P$605,P91)&gt;1,NOT(AND(COUNTIF($P$6:$P$605,P91)=2,COUNTIFS($P$6:$P$605,P91,$H$6:$H$605,"Vormittag")=1,COUNTIFS($P$6:$P$605,P91,$H$6:$H$605,"Nachmittag")=1))),"Doppelbuchung",IF(AND(COUNTIF($R$6:$R$605,R91)&gt;1,NOT(AND(COUNTIF($R$6:$R$605,R91)=2,COUNTIFS($R$6:$R$605,R91,$H$6:$H$605,"Vormittag")=1,COUNTIFS($R$6:$R$605,R91,$H$6:$H$605,"Nachmittag")=1))),"Person doppelt","OK"))))))))</f>
        <v>OK</v>
      </c>
      <c r="O91" s="55">
        <f t="shared" si="10"/>
        <v>1</v>
      </c>
      <c r="P91" s="55" t="str">
        <f t="shared" si="11"/>
        <v>B-10|46297</v>
      </c>
      <c r="Q91" s="55" t="str">
        <f>IF(P91="","",P91&amp;"|"&amp;COUNTIF(P$6:P91,P91))</f>
        <v>B-10|46297|1</v>
      </c>
      <c r="R91" s="55" t="str">
        <f t="shared" si="12"/>
        <v>Vanessa Kraft|46297</v>
      </c>
      <c r="S91" s="55" t="str">
        <f>IF(R91="","",R91&amp;"|"&amp;COUNTIF(R$6:R91,R91))</f>
        <v>Vanessa Kraft|46297|1</v>
      </c>
      <c r="T91" s="55" t="str">
        <f>IF(G91="","",IFERROR(INDEX(Stammdaten!$O$10:$O$69,MATCH(G91,Stammdaten!$N$10:$N$69,0)),G91)&amp;IF(H91="Vormittag"," (VM)",IF(H91="Nachmittag"," (NM)",""))&amp;IF(I91="Angefragt"," ?",""))</f>
        <v>V. Kraft</v>
      </c>
      <c r="U91" s="55" t="str">
        <f t="shared" si="13"/>
        <v>B-10</v>
      </c>
    </row>
    <row r="92" spans="2:21" ht="16.5" customHeight="1" x14ac:dyDescent="0.25">
      <c r="B92" s="47">
        <f t="shared" si="7"/>
        <v>87</v>
      </c>
      <c r="C92" s="48">
        <v>46297</v>
      </c>
      <c r="D92" s="49" t="str">
        <f t="shared" si="8"/>
        <v>Fr</v>
      </c>
      <c r="E92" s="50">
        <f t="shared" si="9"/>
        <v>40</v>
      </c>
      <c r="F92" s="51" t="s">
        <v>104</v>
      </c>
      <c r="G92" s="52" t="s">
        <v>103</v>
      </c>
      <c r="H92" s="51" t="s">
        <v>76</v>
      </c>
      <c r="I92" s="51" t="s">
        <v>77</v>
      </c>
      <c r="J92" s="52"/>
      <c r="K92" s="53" t="str">
        <f>IF(G92="","",IFERROR(INDEX(Stammdaten!$P$10:$P$69,MATCH(G92,Stammdaten!$N$10:$N$69,0)),"–"))</f>
        <v>Projektmanagement</v>
      </c>
      <c r="L92" s="53" t="str">
        <f>IF(F92="","",IFERROR(INDEX(Stammdaten!$D$10:$D$49,MATCH(F92,Stammdaten!$B$10:$B$49,0)),"–"))</f>
        <v>Projektfläche</v>
      </c>
      <c r="M92" s="54" t="str">
        <f>IF(C92="","",IF(OR(F92="",G92="",I92=""),"unvollständig",IF(I92="Storniert","storniert",IF(WEEKDAY(C92,2)&gt;5,"Wochenende",IF(COUNTIF(Stammdaten!$AD$10:$AD$30,C92)&gt;0,"Feiertag",IF(IFERROR(INDEX(Stammdaten!$I$10:$I$49,MATCH(F92,Stammdaten!$B$10:$B$49,0)),"")="Gesperrt","Platz gesperrt",IF(AND(COUNTIF($P$6:$P$605,P92)&gt;1,NOT(AND(COUNTIF($P$6:$P$605,P92)=2,COUNTIFS($P$6:$P$605,P92,$H$6:$H$605,"Vormittag")=1,COUNTIFS($P$6:$P$605,P92,$H$6:$H$605,"Nachmittag")=1))),"Doppelbuchung",IF(AND(COUNTIF($R$6:$R$605,R92)&gt;1,NOT(AND(COUNTIF($R$6:$R$605,R92)=2,COUNTIFS($R$6:$R$605,R92,$H$6:$H$605,"Vormittag")=1,COUNTIFS($R$6:$R$605,R92,$H$6:$H$605,"Nachmittag")=1))),"Person doppelt","OK"))))))))</f>
        <v>OK</v>
      </c>
      <c r="O92" s="55">
        <f t="shared" si="10"/>
        <v>1</v>
      </c>
      <c r="P92" s="55" t="str">
        <f t="shared" si="11"/>
        <v>B-11|46297</v>
      </c>
      <c r="Q92" s="55" t="str">
        <f>IF(P92="","",P92&amp;"|"&amp;COUNTIF(P$6:P92,P92))</f>
        <v>B-11|46297|1</v>
      </c>
      <c r="R92" s="55" t="str">
        <f t="shared" si="12"/>
        <v>Kevin Brandl|46297</v>
      </c>
      <c r="S92" s="55" t="str">
        <f>IF(R92="","",R92&amp;"|"&amp;COUNTIF(R$6:R92,R92))</f>
        <v>Kevin Brandl|46297|1</v>
      </c>
      <c r="T92" s="55" t="str">
        <f>IF(G92="","",IFERROR(INDEX(Stammdaten!$O$10:$O$69,MATCH(G92,Stammdaten!$N$10:$N$69,0)),G92)&amp;IF(H92="Vormittag"," (VM)",IF(H92="Nachmittag"," (NM)",""))&amp;IF(I92="Angefragt"," ?",""))</f>
        <v>K. Brandl</v>
      </c>
      <c r="U92" s="55" t="str">
        <f t="shared" si="13"/>
        <v>B-11</v>
      </c>
    </row>
    <row r="93" spans="2:21" ht="16.5" customHeight="1" x14ac:dyDescent="0.25">
      <c r="B93" s="47">
        <f t="shared" si="7"/>
        <v>88</v>
      </c>
      <c r="C93" s="48">
        <v>46297</v>
      </c>
      <c r="D93" s="49" t="str">
        <f t="shared" si="8"/>
        <v>Fr</v>
      </c>
      <c r="E93" s="50">
        <f t="shared" si="9"/>
        <v>40</v>
      </c>
      <c r="F93" s="51" t="s">
        <v>106</v>
      </c>
      <c r="G93" s="52" t="s">
        <v>140</v>
      </c>
      <c r="H93" s="51" t="s">
        <v>76</v>
      </c>
      <c r="I93" s="51" t="s">
        <v>77</v>
      </c>
      <c r="J93" s="52"/>
      <c r="K93" s="53" t="str">
        <f>IF(G93="","",IFERROR(INDEX(Stammdaten!$P$10:$P$69,MATCH(G93,Stammdaten!$N$10:$N$69,0)),"–"))</f>
        <v>IT</v>
      </c>
      <c r="L93" s="53" t="str">
        <f>IF(F93="","",IFERROR(INDEX(Stammdaten!$D$10:$D$49,MATCH(F93,Stammdaten!$B$10:$B$49,0)),"–"))</f>
        <v>Projektfläche</v>
      </c>
      <c r="M93" s="54" t="str">
        <f>IF(C93="","",IF(OR(F93="",G93="",I93=""),"unvollständig",IF(I93="Storniert","storniert",IF(WEEKDAY(C93,2)&gt;5,"Wochenende",IF(COUNTIF(Stammdaten!$AD$10:$AD$30,C93)&gt;0,"Feiertag",IF(IFERROR(INDEX(Stammdaten!$I$10:$I$49,MATCH(F93,Stammdaten!$B$10:$B$49,0)),"")="Gesperrt","Platz gesperrt",IF(AND(COUNTIF($P$6:$P$605,P93)&gt;1,NOT(AND(COUNTIF($P$6:$P$605,P93)=2,COUNTIFS($P$6:$P$605,P93,$H$6:$H$605,"Vormittag")=1,COUNTIFS($P$6:$P$605,P93,$H$6:$H$605,"Nachmittag")=1))),"Doppelbuchung",IF(AND(COUNTIF($R$6:$R$605,R93)&gt;1,NOT(AND(COUNTIF($R$6:$R$605,R93)=2,COUNTIFS($R$6:$R$605,R93,$H$6:$H$605,"Vormittag")=1,COUNTIFS($R$6:$R$605,R93,$H$6:$H$605,"Nachmittag")=1))),"Person doppelt","OK"))))))))</f>
        <v>OK</v>
      </c>
      <c r="O93" s="55">
        <f t="shared" si="10"/>
        <v>1</v>
      </c>
      <c r="P93" s="55" t="str">
        <f t="shared" si="11"/>
        <v>B-12|46297</v>
      </c>
      <c r="Q93" s="55" t="str">
        <f>IF(P93="","",P93&amp;"|"&amp;COUNTIF(P$6:P93,P93))</f>
        <v>B-12|46297|1</v>
      </c>
      <c r="R93" s="55" t="str">
        <f t="shared" si="12"/>
        <v>Lukas Pohl|46297</v>
      </c>
      <c r="S93" s="55" t="str">
        <f>IF(R93="","",R93&amp;"|"&amp;COUNTIF(R$6:R93,R93))</f>
        <v>Lukas Pohl|46297|1</v>
      </c>
      <c r="T93" s="55" t="str">
        <f>IF(G93="","",IFERROR(INDEX(Stammdaten!$O$10:$O$69,MATCH(G93,Stammdaten!$N$10:$N$69,0)),G93)&amp;IF(H93="Vormittag"," (VM)",IF(H93="Nachmittag"," (NM)",""))&amp;IF(I93="Angefragt"," ?",""))</f>
        <v>L. Pohl</v>
      </c>
      <c r="U93" s="55" t="str">
        <f t="shared" si="13"/>
        <v>B-12</v>
      </c>
    </row>
    <row r="94" spans="2:21" ht="16.5" customHeight="1" x14ac:dyDescent="0.25">
      <c r="B94" s="47">
        <f t="shared" si="7"/>
        <v>89</v>
      </c>
      <c r="C94" s="48">
        <v>46300</v>
      </c>
      <c r="D94" s="49" t="str">
        <f t="shared" si="8"/>
        <v>Mo</v>
      </c>
      <c r="E94" s="50">
        <f t="shared" si="9"/>
        <v>41</v>
      </c>
      <c r="F94" s="51" t="s">
        <v>74</v>
      </c>
      <c r="G94" s="52" t="s">
        <v>112</v>
      </c>
      <c r="H94" s="51" t="s">
        <v>76</v>
      </c>
      <c r="I94" s="51" t="s">
        <v>77</v>
      </c>
      <c r="J94" s="52"/>
      <c r="K94" s="53" t="str">
        <f>IF(G94="","",IFERROR(INDEX(Stammdaten!$P$10:$P$69,MATCH(G94,Stammdaten!$N$10:$N$69,0)),"–"))</f>
        <v>Marketing</v>
      </c>
      <c r="L94" s="53" t="str">
        <f>IF(F94="","",IFERROR(INDEX(Stammdaten!$D$10:$D$49,MATCH(F94,Stammdaten!$B$10:$B$49,0)),"–"))</f>
        <v>Teamzone Nord</v>
      </c>
      <c r="M94" s="54" t="str">
        <f>IF(C94="","",IF(OR(F94="",G94="",I94=""),"unvollständig",IF(I94="Storniert","storniert",IF(WEEKDAY(C94,2)&gt;5,"Wochenende",IF(COUNTIF(Stammdaten!$AD$10:$AD$30,C94)&gt;0,"Feiertag",IF(IFERROR(INDEX(Stammdaten!$I$10:$I$49,MATCH(F94,Stammdaten!$B$10:$B$49,0)),"")="Gesperrt","Platz gesperrt",IF(AND(COUNTIF($P$6:$P$605,P94)&gt;1,NOT(AND(COUNTIF($P$6:$P$605,P94)=2,COUNTIFS($P$6:$P$605,P94,$H$6:$H$605,"Vormittag")=1,COUNTIFS($P$6:$P$605,P94,$H$6:$H$605,"Nachmittag")=1))),"Doppelbuchung",IF(AND(COUNTIF($R$6:$R$605,R94)&gt;1,NOT(AND(COUNTIF($R$6:$R$605,R94)=2,COUNTIFS($R$6:$R$605,R94,$H$6:$H$605,"Vormittag")=1,COUNTIFS($R$6:$R$605,R94,$H$6:$H$605,"Nachmittag")=1))),"Person doppelt","OK"))))))))</f>
        <v>OK</v>
      </c>
      <c r="O94" s="55">
        <f t="shared" si="10"/>
        <v>1</v>
      </c>
      <c r="P94" s="55" t="str">
        <f t="shared" si="11"/>
        <v>A-01|46300</v>
      </c>
      <c r="Q94" s="55" t="str">
        <f>IF(P94="","",P94&amp;"|"&amp;COUNTIF(P$6:P94,P94))</f>
        <v>A-01|46300|1</v>
      </c>
      <c r="R94" s="55" t="str">
        <f t="shared" si="12"/>
        <v>Clara Vogt|46300</v>
      </c>
      <c r="S94" s="55" t="str">
        <f>IF(R94="","",R94&amp;"|"&amp;COUNTIF(R$6:R94,R94))</f>
        <v>Clara Vogt|46300|1</v>
      </c>
      <c r="T94" s="55" t="str">
        <f>IF(G94="","",IFERROR(INDEX(Stammdaten!$O$10:$O$69,MATCH(G94,Stammdaten!$N$10:$N$69,0)),G94)&amp;IF(H94="Vormittag"," (VM)",IF(H94="Nachmittag"," (NM)",""))&amp;IF(I94="Angefragt"," ?",""))</f>
        <v>C. Vogt</v>
      </c>
      <c r="U94" s="55" t="str">
        <f t="shared" si="13"/>
        <v>A-01</v>
      </c>
    </row>
    <row r="95" spans="2:21" ht="16.5" customHeight="1" x14ac:dyDescent="0.25">
      <c r="B95" s="47">
        <f t="shared" si="7"/>
        <v>90</v>
      </c>
      <c r="C95" s="48">
        <v>46300</v>
      </c>
      <c r="D95" s="49" t="str">
        <f t="shared" si="8"/>
        <v>Mo</v>
      </c>
      <c r="E95" s="50">
        <f t="shared" si="9"/>
        <v>41</v>
      </c>
      <c r="F95" s="51" t="s">
        <v>78</v>
      </c>
      <c r="G95" s="52" t="s">
        <v>83</v>
      </c>
      <c r="H95" s="51" t="s">
        <v>76</v>
      </c>
      <c r="I95" s="51" t="s">
        <v>77</v>
      </c>
      <c r="J95" s="52"/>
      <c r="K95" s="53" t="str">
        <f>IF(G95="","",IFERROR(INDEX(Stammdaten!$P$10:$P$69,MATCH(G95,Stammdaten!$N$10:$N$69,0)),"–"))</f>
        <v>Marketing</v>
      </c>
      <c r="L95" s="53" t="str">
        <f>IF(F95="","",IFERROR(INDEX(Stammdaten!$D$10:$D$49,MATCH(F95,Stammdaten!$B$10:$B$49,0)),"–"))</f>
        <v>Teamzone Nord</v>
      </c>
      <c r="M95" s="54" t="str">
        <f>IF(C95="","",IF(OR(F95="",G95="",I95=""),"unvollständig",IF(I95="Storniert","storniert",IF(WEEKDAY(C95,2)&gt;5,"Wochenende",IF(COUNTIF(Stammdaten!$AD$10:$AD$30,C95)&gt;0,"Feiertag",IF(IFERROR(INDEX(Stammdaten!$I$10:$I$49,MATCH(F95,Stammdaten!$B$10:$B$49,0)),"")="Gesperrt","Platz gesperrt",IF(AND(COUNTIF($P$6:$P$605,P95)&gt;1,NOT(AND(COUNTIF($P$6:$P$605,P95)=2,COUNTIFS($P$6:$P$605,P95,$H$6:$H$605,"Vormittag")=1,COUNTIFS($P$6:$P$605,P95,$H$6:$H$605,"Nachmittag")=1))),"Doppelbuchung",IF(AND(COUNTIF($R$6:$R$605,R95)&gt;1,NOT(AND(COUNTIF($R$6:$R$605,R95)=2,COUNTIFS($R$6:$R$605,R95,$H$6:$H$605,"Vormittag")=1,COUNTIFS($R$6:$R$605,R95,$H$6:$H$605,"Nachmittag")=1))),"Person doppelt","OK"))))))))</f>
        <v>OK</v>
      </c>
      <c r="O95" s="55">
        <f t="shared" si="10"/>
        <v>1</v>
      </c>
      <c r="P95" s="55" t="str">
        <f t="shared" si="11"/>
        <v>A-02|46300</v>
      </c>
      <c r="Q95" s="55" t="str">
        <f>IF(P95="","",P95&amp;"|"&amp;COUNTIF(P$6:P95,P95))</f>
        <v>A-02|46300|1</v>
      </c>
      <c r="R95" s="55" t="str">
        <f t="shared" si="12"/>
        <v>Felix Engel|46300</v>
      </c>
      <c r="S95" s="55" t="str">
        <f>IF(R95="","",R95&amp;"|"&amp;COUNTIF(R$6:R95,R95))</f>
        <v>Felix Engel|46300|1</v>
      </c>
      <c r="T95" s="55" t="str">
        <f>IF(G95="","",IFERROR(INDEX(Stammdaten!$O$10:$O$69,MATCH(G95,Stammdaten!$N$10:$N$69,0)),G95)&amp;IF(H95="Vormittag"," (VM)",IF(H95="Nachmittag"," (NM)",""))&amp;IF(I95="Angefragt"," ?",""))</f>
        <v>F. Engel</v>
      </c>
      <c r="U95" s="55" t="str">
        <f t="shared" si="13"/>
        <v>A-02</v>
      </c>
    </row>
    <row r="96" spans="2:21" ht="16.5" customHeight="1" x14ac:dyDescent="0.25">
      <c r="B96" s="47">
        <f t="shared" si="7"/>
        <v>91</v>
      </c>
      <c r="C96" s="48">
        <v>46300</v>
      </c>
      <c r="D96" s="49" t="str">
        <f t="shared" si="8"/>
        <v>Mo</v>
      </c>
      <c r="E96" s="50">
        <f t="shared" si="9"/>
        <v>41</v>
      </c>
      <c r="F96" s="51" t="s">
        <v>109</v>
      </c>
      <c r="G96" s="52" t="s">
        <v>87</v>
      </c>
      <c r="H96" s="51" t="s">
        <v>76</v>
      </c>
      <c r="I96" s="51" t="s">
        <v>137</v>
      </c>
      <c r="J96" s="52" t="s">
        <v>138</v>
      </c>
      <c r="K96" s="53" t="str">
        <f>IF(G96="","",IFERROR(INDEX(Stammdaten!$P$10:$P$69,MATCH(G96,Stammdaten!$N$10:$N$69,0)),"–"))</f>
        <v>Marketing</v>
      </c>
      <c r="L96" s="53" t="str">
        <f>IF(F96="","",IFERROR(INDEX(Stammdaten!$D$10:$D$49,MATCH(F96,Stammdaten!$B$10:$B$49,0)),"–"))</f>
        <v>Teamzone Nord</v>
      </c>
      <c r="M96" s="54" t="str">
        <f>IF(C96="","",IF(OR(F96="",G96="",I96=""),"unvollständig",IF(I96="Storniert","storniert",IF(WEEKDAY(C96,2)&gt;5,"Wochenende",IF(COUNTIF(Stammdaten!$AD$10:$AD$30,C96)&gt;0,"Feiertag",IF(IFERROR(INDEX(Stammdaten!$I$10:$I$49,MATCH(F96,Stammdaten!$B$10:$B$49,0)),"")="Gesperrt","Platz gesperrt",IF(AND(COUNTIF($P$6:$P$605,P96)&gt;1,NOT(AND(COUNTIF($P$6:$P$605,P96)=2,COUNTIFS($P$6:$P$605,P96,$H$6:$H$605,"Vormittag")=1,COUNTIFS($P$6:$P$605,P96,$H$6:$H$605,"Nachmittag")=1))),"Doppelbuchung",IF(AND(COUNTIF($R$6:$R$605,R96)&gt;1,NOT(AND(COUNTIF($R$6:$R$605,R96)=2,COUNTIFS($R$6:$R$605,R96,$H$6:$H$605,"Vormittag")=1,COUNTIFS($R$6:$R$605,R96,$H$6:$H$605,"Nachmittag")=1))),"Person doppelt","OK"))))))))</f>
        <v>storniert</v>
      </c>
      <c r="O96" s="55">
        <f t="shared" si="10"/>
        <v>0</v>
      </c>
      <c r="P96" s="55" t="str">
        <f t="shared" si="11"/>
        <v/>
      </c>
      <c r="Q96" s="55" t="str">
        <f>IF(P96="","",P96&amp;"|"&amp;COUNTIF(P$6:P96,P96))</f>
        <v/>
      </c>
      <c r="R96" s="55" t="str">
        <f t="shared" si="12"/>
        <v/>
      </c>
      <c r="S96" s="55" t="str">
        <f>IF(R96="","",R96&amp;"|"&amp;COUNTIF(R$6:R96,R96))</f>
        <v/>
      </c>
      <c r="T96" s="55" t="str">
        <f>IF(G96="","",IFERROR(INDEX(Stammdaten!$O$10:$O$69,MATCH(G96,Stammdaten!$N$10:$N$69,0)),G96)&amp;IF(H96="Vormittag"," (VM)",IF(H96="Nachmittag"," (NM)",""))&amp;IF(I96="Angefragt"," ?",""))</f>
        <v>P. Schreiber</v>
      </c>
      <c r="U96" s="55" t="str">
        <f t="shared" si="13"/>
        <v>A-03</v>
      </c>
    </row>
    <row r="97" spans="2:21" ht="16.5" customHeight="1" x14ac:dyDescent="0.25">
      <c r="B97" s="47">
        <f t="shared" si="7"/>
        <v>92</v>
      </c>
      <c r="C97" s="48">
        <v>46300</v>
      </c>
      <c r="D97" s="49" t="str">
        <f t="shared" si="8"/>
        <v>Mo</v>
      </c>
      <c r="E97" s="50">
        <f t="shared" si="9"/>
        <v>41</v>
      </c>
      <c r="F97" s="51" t="s">
        <v>110</v>
      </c>
      <c r="G97" s="52" t="s">
        <v>111</v>
      </c>
      <c r="H97" s="51" t="s">
        <v>76</v>
      </c>
      <c r="I97" s="51" t="s">
        <v>77</v>
      </c>
      <c r="J97" s="52"/>
      <c r="K97" s="53" t="str">
        <f>IF(G97="","",IFERROR(INDEX(Stammdaten!$P$10:$P$69,MATCH(G97,Stammdaten!$N$10:$N$69,0)),"–"))</f>
        <v>Vertrieb</v>
      </c>
      <c r="L97" s="53" t="str">
        <f>IF(F97="","",IFERROR(INDEX(Stammdaten!$D$10:$D$49,MATCH(F97,Stammdaten!$B$10:$B$49,0)),"–"))</f>
        <v>Teamzone Nord</v>
      </c>
      <c r="M97" s="54" t="str">
        <f>IF(C97="","",IF(OR(F97="",G97="",I97=""),"unvollständig",IF(I97="Storniert","storniert",IF(WEEKDAY(C97,2)&gt;5,"Wochenende",IF(COUNTIF(Stammdaten!$AD$10:$AD$30,C97)&gt;0,"Feiertag",IF(IFERROR(INDEX(Stammdaten!$I$10:$I$49,MATCH(F97,Stammdaten!$B$10:$B$49,0)),"")="Gesperrt","Platz gesperrt",IF(AND(COUNTIF($P$6:$P$605,P97)&gt;1,NOT(AND(COUNTIF($P$6:$P$605,P97)=2,COUNTIFS($P$6:$P$605,P97,$H$6:$H$605,"Vormittag")=1,COUNTIFS($P$6:$P$605,P97,$H$6:$H$605,"Nachmittag")=1))),"Doppelbuchung",IF(AND(COUNTIF($R$6:$R$605,R97)&gt;1,NOT(AND(COUNTIF($R$6:$R$605,R97)=2,COUNTIFS($R$6:$R$605,R97,$H$6:$H$605,"Vormittag")=1,COUNTIFS($R$6:$R$605,R97,$H$6:$H$605,"Nachmittag")=1))),"Person doppelt","OK"))))))))</f>
        <v>OK</v>
      </c>
      <c r="O97" s="55">
        <f t="shared" si="10"/>
        <v>1</v>
      </c>
      <c r="P97" s="55" t="str">
        <f t="shared" si="11"/>
        <v>A-04|46300</v>
      </c>
      <c r="Q97" s="55" t="str">
        <f>IF(P97="","",P97&amp;"|"&amp;COUNTIF(P$6:P97,P97))</f>
        <v>A-04|46300|1</v>
      </c>
      <c r="R97" s="55" t="str">
        <f t="shared" si="12"/>
        <v>Sophie Brandt|46300</v>
      </c>
      <c r="S97" s="55" t="str">
        <f>IF(R97="","",R97&amp;"|"&amp;COUNTIF(R$6:R97,R97))</f>
        <v>Sophie Brandt|46300|1</v>
      </c>
      <c r="T97" s="55" t="str">
        <f>IF(G97="","",IFERROR(INDEX(Stammdaten!$O$10:$O$69,MATCH(G97,Stammdaten!$N$10:$N$69,0)),G97)&amp;IF(H97="Vormittag"," (VM)",IF(H97="Nachmittag"," (NM)",""))&amp;IF(I97="Angefragt"," ?",""))</f>
        <v>S. Brandt</v>
      </c>
      <c r="U97" s="55" t="str">
        <f t="shared" si="13"/>
        <v>A-04</v>
      </c>
    </row>
    <row r="98" spans="2:21" ht="16.5" customHeight="1" x14ac:dyDescent="0.25">
      <c r="B98" s="47">
        <f t="shared" si="7"/>
        <v>93</v>
      </c>
      <c r="C98" s="48">
        <v>46300</v>
      </c>
      <c r="D98" s="49" t="str">
        <f t="shared" si="8"/>
        <v>Mo</v>
      </c>
      <c r="E98" s="50">
        <f t="shared" si="9"/>
        <v>41</v>
      </c>
      <c r="F98" s="51" t="s">
        <v>80</v>
      </c>
      <c r="G98" s="52" t="s">
        <v>85</v>
      </c>
      <c r="H98" s="51" t="s">
        <v>76</v>
      </c>
      <c r="I98" s="51" t="s">
        <v>77</v>
      </c>
      <c r="J98" s="52"/>
      <c r="K98" s="53" t="str">
        <f>IF(G98="","",IFERROR(INDEX(Stammdaten!$P$10:$P$69,MATCH(G98,Stammdaten!$N$10:$N$69,0)),"–"))</f>
        <v>Vertrieb</v>
      </c>
      <c r="L98" s="53" t="str">
        <f>IF(F98="","",IFERROR(INDEX(Stammdaten!$D$10:$D$49,MATCH(F98,Stammdaten!$B$10:$B$49,0)),"–"))</f>
        <v>Teamzone Nord</v>
      </c>
      <c r="M98" s="54" t="str">
        <f>IF(C98="","",IF(OR(F98="",G98="",I98=""),"unvollständig",IF(I98="Storniert","storniert",IF(WEEKDAY(C98,2)&gt;5,"Wochenende",IF(COUNTIF(Stammdaten!$AD$10:$AD$30,C98)&gt;0,"Feiertag",IF(IFERROR(INDEX(Stammdaten!$I$10:$I$49,MATCH(F98,Stammdaten!$B$10:$B$49,0)),"")="Gesperrt","Platz gesperrt",IF(AND(COUNTIF($P$6:$P$605,P98)&gt;1,NOT(AND(COUNTIF($P$6:$P$605,P98)=2,COUNTIFS($P$6:$P$605,P98,$H$6:$H$605,"Vormittag")=1,COUNTIFS($P$6:$P$605,P98,$H$6:$H$605,"Nachmittag")=1))),"Doppelbuchung",IF(AND(COUNTIF($R$6:$R$605,R98)&gt;1,NOT(AND(COUNTIF($R$6:$R$605,R98)=2,COUNTIFS($R$6:$R$605,R98,$H$6:$H$605,"Vormittag")=1,COUNTIFS($R$6:$R$605,R98,$H$6:$H$605,"Nachmittag")=1))),"Person doppelt","OK"))))))))</f>
        <v>OK</v>
      </c>
      <c r="O98" s="55">
        <f t="shared" si="10"/>
        <v>1</v>
      </c>
      <c r="P98" s="55" t="str">
        <f t="shared" si="11"/>
        <v>A-05|46300</v>
      </c>
      <c r="Q98" s="55" t="str">
        <f>IF(P98="","",P98&amp;"|"&amp;COUNTIF(P$6:P98,P98))</f>
        <v>A-05|46300|1</v>
      </c>
      <c r="R98" s="55" t="str">
        <f t="shared" si="12"/>
        <v>Miriam Krause|46300</v>
      </c>
      <c r="S98" s="55" t="str">
        <f>IF(R98="","",R98&amp;"|"&amp;COUNTIF(R$6:R98,R98))</f>
        <v>Miriam Krause|46300|1</v>
      </c>
      <c r="T98" s="55" t="str">
        <f>IF(G98="","",IFERROR(INDEX(Stammdaten!$O$10:$O$69,MATCH(G98,Stammdaten!$N$10:$N$69,0)),G98)&amp;IF(H98="Vormittag"," (VM)",IF(H98="Nachmittag"," (NM)",""))&amp;IF(I98="Angefragt"," ?",""))</f>
        <v>M. Krause</v>
      </c>
      <c r="U98" s="55" t="str">
        <f t="shared" si="13"/>
        <v>A-05</v>
      </c>
    </row>
    <row r="99" spans="2:21" ht="16.5" customHeight="1" x14ac:dyDescent="0.25">
      <c r="B99" s="47">
        <f t="shared" si="7"/>
        <v>94</v>
      </c>
      <c r="C99" s="48">
        <v>46300</v>
      </c>
      <c r="D99" s="49" t="str">
        <f t="shared" si="8"/>
        <v>Mo</v>
      </c>
      <c r="E99" s="50">
        <f t="shared" si="9"/>
        <v>41</v>
      </c>
      <c r="F99" s="51" t="s">
        <v>82</v>
      </c>
      <c r="G99" s="52" t="s">
        <v>81</v>
      </c>
      <c r="H99" s="51" t="s">
        <v>76</v>
      </c>
      <c r="I99" s="51" t="s">
        <v>77</v>
      </c>
      <c r="J99" s="52"/>
      <c r="K99" s="53" t="str">
        <f>IF(G99="","",IFERROR(INDEX(Stammdaten!$P$10:$P$69,MATCH(G99,Stammdaten!$N$10:$N$69,0)),"–"))</f>
        <v>Vertrieb</v>
      </c>
      <c r="L99" s="53" t="str">
        <f>IF(F99="","",IFERROR(INDEX(Stammdaten!$D$10:$D$49,MATCH(F99,Stammdaten!$B$10:$B$49,0)),"–"))</f>
        <v>Teamzone Nord</v>
      </c>
      <c r="M99" s="54" t="str">
        <f>IF(C99="","",IF(OR(F99="",G99="",I99=""),"unvollständig",IF(I99="Storniert","storniert",IF(WEEKDAY(C99,2)&gt;5,"Wochenende",IF(COUNTIF(Stammdaten!$AD$10:$AD$30,C99)&gt;0,"Feiertag",IF(IFERROR(INDEX(Stammdaten!$I$10:$I$49,MATCH(F99,Stammdaten!$B$10:$B$49,0)),"")="Gesperrt","Platz gesperrt",IF(AND(COUNTIF($P$6:$P$605,P99)&gt;1,NOT(AND(COUNTIF($P$6:$P$605,P99)=2,COUNTIFS($P$6:$P$605,P99,$H$6:$H$605,"Vormittag")=1,COUNTIFS($P$6:$P$605,P99,$H$6:$H$605,"Nachmittag")=1))),"Doppelbuchung",IF(AND(COUNTIF($R$6:$R$605,R99)&gt;1,NOT(AND(COUNTIF($R$6:$R$605,R99)=2,COUNTIFS($R$6:$R$605,R99,$H$6:$H$605,"Vormittag")=1,COUNTIFS($R$6:$R$605,R99,$H$6:$H$605,"Nachmittag")=1))),"Person doppelt","OK"))))))))</f>
        <v>OK</v>
      </c>
      <c r="O99" s="55">
        <f t="shared" si="10"/>
        <v>1</v>
      </c>
      <c r="P99" s="55" t="str">
        <f t="shared" si="11"/>
        <v>A-06|46300</v>
      </c>
      <c r="Q99" s="55" t="str">
        <f>IF(P99="","",P99&amp;"|"&amp;COUNTIF(P$6:P99,P99))</f>
        <v>A-06|46300|1</v>
      </c>
      <c r="R99" s="55" t="str">
        <f t="shared" si="12"/>
        <v>Nina Albrecht|46300</v>
      </c>
      <c r="S99" s="55" t="str">
        <f>IF(R99="","",R99&amp;"|"&amp;COUNTIF(R$6:R99,R99))</f>
        <v>Nina Albrecht|46300|1</v>
      </c>
      <c r="T99" s="55" t="str">
        <f>IF(G99="","",IFERROR(INDEX(Stammdaten!$O$10:$O$69,MATCH(G99,Stammdaten!$N$10:$N$69,0)),G99)&amp;IF(H99="Vormittag"," (VM)",IF(H99="Nachmittag"," (NM)",""))&amp;IF(I99="Angefragt"," ?",""))</f>
        <v>N. Albrecht</v>
      </c>
      <c r="U99" s="55" t="str">
        <f t="shared" si="13"/>
        <v>A-06</v>
      </c>
    </row>
    <row r="100" spans="2:21" ht="16.5" customHeight="1" x14ac:dyDescent="0.25">
      <c r="B100" s="47">
        <f t="shared" si="7"/>
        <v>95</v>
      </c>
      <c r="C100" s="48">
        <v>46300</v>
      </c>
      <c r="D100" s="49" t="str">
        <f t="shared" si="8"/>
        <v>Mo</v>
      </c>
      <c r="E100" s="50">
        <f t="shared" si="9"/>
        <v>41</v>
      </c>
      <c r="F100" s="51" t="s">
        <v>84</v>
      </c>
      <c r="G100" s="52" t="s">
        <v>75</v>
      </c>
      <c r="H100" s="51" t="s">
        <v>76</v>
      </c>
      <c r="I100" s="51" t="s">
        <v>77</v>
      </c>
      <c r="J100" s="52" t="s">
        <v>123</v>
      </c>
      <c r="K100" s="53" t="str">
        <f>IF(G100="","",IFERROR(INDEX(Stammdaten!$P$10:$P$69,MATCH(G100,Stammdaten!$N$10:$N$69,0)),"–"))</f>
        <v>Marketing</v>
      </c>
      <c r="L100" s="53" t="str">
        <f>IF(F100="","",IFERROR(INDEX(Stammdaten!$D$10:$D$49,MATCH(F100,Stammdaten!$B$10:$B$49,0)),"–"))</f>
        <v>Teamzone Nord</v>
      </c>
      <c r="M100" s="54" t="str">
        <f>IF(C100="","",IF(OR(F100="",G100="",I100=""),"unvollständig",IF(I100="Storniert","storniert",IF(WEEKDAY(C100,2)&gt;5,"Wochenende",IF(COUNTIF(Stammdaten!$AD$10:$AD$30,C100)&gt;0,"Feiertag",IF(IFERROR(INDEX(Stammdaten!$I$10:$I$49,MATCH(F100,Stammdaten!$B$10:$B$49,0)),"")="Gesperrt","Platz gesperrt",IF(AND(COUNTIF($P$6:$P$605,P100)&gt;1,NOT(AND(COUNTIF($P$6:$P$605,P100)=2,COUNTIFS($P$6:$P$605,P100,$H$6:$H$605,"Vormittag")=1,COUNTIFS($P$6:$P$605,P100,$H$6:$H$605,"Nachmittag")=1))),"Doppelbuchung",IF(AND(COUNTIF($R$6:$R$605,R100)&gt;1,NOT(AND(COUNTIF($R$6:$R$605,R100)=2,COUNTIFS($R$6:$R$605,R100,$H$6:$H$605,"Vormittag")=1,COUNTIFS($R$6:$R$605,R100,$H$6:$H$605,"Nachmittag")=1))),"Person doppelt","OK"))))))))</f>
        <v>OK</v>
      </c>
      <c r="O100" s="55">
        <f t="shared" si="10"/>
        <v>1</v>
      </c>
      <c r="P100" s="55" t="str">
        <f t="shared" si="11"/>
        <v>A-07|46300</v>
      </c>
      <c r="Q100" s="55" t="str">
        <f>IF(P100="","",P100&amp;"|"&amp;COUNTIF(P$6:P100,P100))</f>
        <v>A-07|46300|1</v>
      </c>
      <c r="R100" s="55" t="str">
        <f t="shared" si="12"/>
        <v>Marco Seidel|46300</v>
      </c>
      <c r="S100" s="55" t="str">
        <f>IF(R100="","",R100&amp;"|"&amp;COUNTIF(R$6:R100,R100))</f>
        <v>Marco Seidel|46300|1</v>
      </c>
      <c r="T100" s="55" t="str">
        <f>IF(G100="","",IFERROR(INDEX(Stammdaten!$O$10:$O$69,MATCH(G100,Stammdaten!$N$10:$N$69,0)),G100)&amp;IF(H100="Vormittag"," (VM)",IF(H100="Nachmittag"," (NM)",""))&amp;IF(I100="Angefragt"," ?",""))</f>
        <v>M. Seidel</v>
      </c>
      <c r="U100" s="55" t="str">
        <f t="shared" si="13"/>
        <v>A-07</v>
      </c>
    </row>
    <row r="101" spans="2:21" ht="16.5" customHeight="1" x14ac:dyDescent="0.25">
      <c r="B101" s="47">
        <f t="shared" si="7"/>
        <v>96</v>
      </c>
      <c r="C101" s="48">
        <v>46300</v>
      </c>
      <c r="D101" s="49" t="str">
        <f t="shared" si="8"/>
        <v>Mo</v>
      </c>
      <c r="E101" s="50">
        <f t="shared" si="9"/>
        <v>41</v>
      </c>
      <c r="F101" s="51" t="s">
        <v>86</v>
      </c>
      <c r="G101" s="52" t="s">
        <v>108</v>
      </c>
      <c r="H101" s="51" t="s">
        <v>76</v>
      </c>
      <c r="I101" s="51" t="s">
        <v>77</v>
      </c>
      <c r="J101" s="52"/>
      <c r="K101" s="53" t="str">
        <f>IF(G101="","",IFERROR(INDEX(Stammdaten!$P$10:$P$69,MATCH(G101,Stammdaten!$N$10:$N$69,0)),"–"))</f>
        <v>Marketing</v>
      </c>
      <c r="L101" s="53" t="str">
        <f>IF(F101="","",IFERROR(INDEX(Stammdaten!$D$10:$D$49,MATCH(F101,Stammdaten!$B$10:$B$49,0)),"–"))</f>
        <v>Teamzone Nord</v>
      </c>
      <c r="M101" s="54" t="str">
        <f>IF(C101="","",IF(OR(F101="",G101="",I101=""),"unvollständig",IF(I101="Storniert","storniert",IF(WEEKDAY(C101,2)&gt;5,"Wochenende",IF(COUNTIF(Stammdaten!$AD$10:$AD$30,C101)&gt;0,"Feiertag",IF(IFERROR(INDEX(Stammdaten!$I$10:$I$49,MATCH(F101,Stammdaten!$B$10:$B$49,0)),"")="Gesperrt","Platz gesperrt",IF(AND(COUNTIF($P$6:$P$605,P101)&gt;1,NOT(AND(COUNTIF($P$6:$P$605,P101)=2,COUNTIFS($P$6:$P$605,P101,$H$6:$H$605,"Vormittag")=1,COUNTIFS($P$6:$P$605,P101,$H$6:$H$605,"Nachmittag")=1))),"Doppelbuchung",IF(AND(COUNTIF($R$6:$R$605,R101)&gt;1,NOT(AND(COUNTIF($R$6:$R$605,R101)=2,COUNTIFS($R$6:$R$605,R101,$H$6:$H$605,"Vormittag")=1,COUNTIFS($R$6:$R$605,R101,$H$6:$H$605,"Nachmittag")=1))),"Person doppelt","OK"))))))))</f>
        <v>OK</v>
      </c>
      <c r="O101" s="55">
        <f t="shared" si="10"/>
        <v>1</v>
      </c>
      <c r="P101" s="55" t="str">
        <f t="shared" si="11"/>
        <v>A-08|46300</v>
      </c>
      <c r="Q101" s="55" t="str">
        <f>IF(P101="","",P101&amp;"|"&amp;COUNTIF(P$6:P101,P101))</f>
        <v>A-08|46300|1</v>
      </c>
      <c r="R101" s="55" t="str">
        <f t="shared" si="12"/>
        <v>Aylin Demir|46300</v>
      </c>
      <c r="S101" s="55" t="str">
        <f>IF(R101="","",R101&amp;"|"&amp;COUNTIF(R$6:R101,R101))</f>
        <v>Aylin Demir|46300|1</v>
      </c>
      <c r="T101" s="55" t="str">
        <f>IF(G101="","",IFERROR(INDEX(Stammdaten!$O$10:$O$69,MATCH(G101,Stammdaten!$N$10:$N$69,0)),G101)&amp;IF(H101="Vormittag"," (VM)",IF(H101="Nachmittag"," (NM)",""))&amp;IF(I101="Angefragt"," ?",""))</f>
        <v>A. Demir</v>
      </c>
      <c r="U101" s="55" t="str">
        <f t="shared" si="13"/>
        <v>A-08</v>
      </c>
    </row>
    <row r="102" spans="2:21" ht="16.5" customHeight="1" x14ac:dyDescent="0.25">
      <c r="B102" s="47">
        <f t="shared" si="7"/>
        <v>97</v>
      </c>
      <c r="C102" s="48">
        <v>46300</v>
      </c>
      <c r="D102" s="49" t="str">
        <f t="shared" si="8"/>
        <v>Mo</v>
      </c>
      <c r="E102" s="50">
        <f t="shared" si="9"/>
        <v>41</v>
      </c>
      <c r="F102" s="51" t="s">
        <v>129</v>
      </c>
      <c r="G102" s="52" t="s">
        <v>89</v>
      </c>
      <c r="H102" s="51" t="s">
        <v>76</v>
      </c>
      <c r="I102" s="51" t="s">
        <v>77</v>
      </c>
      <c r="J102" s="52"/>
      <c r="K102" s="53" t="str">
        <f>IF(G102="","",IFERROR(INDEX(Stammdaten!$P$10:$P$69,MATCH(G102,Stammdaten!$N$10:$N$69,0)),"–"))</f>
        <v>Projektmanagement</v>
      </c>
      <c r="L102" s="53" t="str">
        <f>IF(F102="","",IFERROR(INDEX(Stammdaten!$D$10:$D$49,MATCH(F102,Stammdaten!$B$10:$B$49,0)),"–"))</f>
        <v>Fokuszone</v>
      </c>
      <c r="M102" s="54" t="str">
        <f>IF(C102="","",IF(OR(F102="",G102="",I102=""),"unvollständig",IF(I102="Storniert","storniert",IF(WEEKDAY(C102,2)&gt;5,"Wochenende",IF(COUNTIF(Stammdaten!$AD$10:$AD$30,C102)&gt;0,"Feiertag",IF(IFERROR(INDEX(Stammdaten!$I$10:$I$49,MATCH(F102,Stammdaten!$B$10:$B$49,0)),"")="Gesperrt","Platz gesperrt",IF(AND(COUNTIF($P$6:$P$605,P102)&gt;1,NOT(AND(COUNTIF($P$6:$P$605,P102)=2,COUNTIFS($P$6:$P$605,P102,$H$6:$H$605,"Vormittag")=1,COUNTIFS($P$6:$P$605,P102,$H$6:$H$605,"Nachmittag")=1))),"Doppelbuchung",IF(AND(COUNTIF($R$6:$R$605,R102)&gt;1,NOT(AND(COUNTIF($R$6:$R$605,R102)=2,COUNTIFS($R$6:$R$605,R102,$H$6:$H$605,"Vormittag")=1,COUNTIFS($R$6:$R$605,R102,$H$6:$H$605,"Nachmittag")=1))),"Person doppelt","OK"))))))))</f>
        <v>OK</v>
      </c>
      <c r="O102" s="55">
        <f t="shared" si="10"/>
        <v>1</v>
      </c>
      <c r="P102" s="55" t="str">
        <f t="shared" si="11"/>
        <v>A-09|46300</v>
      </c>
      <c r="Q102" s="55" t="str">
        <f>IF(P102="","",P102&amp;"|"&amp;COUNTIF(P$6:P102,P102))</f>
        <v>A-09|46300|1</v>
      </c>
      <c r="R102" s="55" t="str">
        <f t="shared" si="12"/>
        <v>Theresa Jung|46300</v>
      </c>
      <c r="S102" s="55" t="str">
        <f>IF(R102="","",R102&amp;"|"&amp;COUNTIF(R$6:R102,R102))</f>
        <v>Theresa Jung|46300|1</v>
      </c>
      <c r="T102" s="55" t="str">
        <f>IF(G102="","",IFERROR(INDEX(Stammdaten!$O$10:$O$69,MATCH(G102,Stammdaten!$N$10:$N$69,0)),G102)&amp;IF(H102="Vormittag"," (VM)",IF(H102="Nachmittag"," (NM)",""))&amp;IF(I102="Angefragt"," ?",""))</f>
        <v>T. Jung</v>
      </c>
      <c r="U102" s="55" t="str">
        <f t="shared" si="13"/>
        <v>A-09</v>
      </c>
    </row>
    <row r="103" spans="2:21" ht="16.5" customHeight="1" x14ac:dyDescent="0.25">
      <c r="B103" s="47">
        <f t="shared" si="7"/>
        <v>98</v>
      </c>
      <c r="C103" s="48">
        <v>46300</v>
      </c>
      <c r="D103" s="49" t="str">
        <f t="shared" si="8"/>
        <v>Mo</v>
      </c>
      <c r="E103" s="50">
        <f t="shared" si="9"/>
        <v>41</v>
      </c>
      <c r="F103" s="51" t="s">
        <v>113</v>
      </c>
      <c r="G103" s="52" t="s">
        <v>114</v>
      </c>
      <c r="H103" s="51" t="s">
        <v>76</v>
      </c>
      <c r="I103" s="51" t="s">
        <v>77</v>
      </c>
      <c r="J103" s="52"/>
      <c r="K103" s="53" t="str">
        <f>IF(G103="","",IFERROR(INDEX(Stammdaten!$P$10:$P$69,MATCH(G103,Stammdaten!$N$10:$N$69,0)),"–"))</f>
        <v>Projektmanagement</v>
      </c>
      <c r="L103" s="53" t="str">
        <f>IF(F103="","",IFERROR(INDEX(Stammdaten!$D$10:$D$49,MATCH(F103,Stammdaten!$B$10:$B$49,0)),"–"))</f>
        <v>Fokuszone</v>
      </c>
      <c r="M103" s="54" t="str">
        <f>IF(C103="","",IF(OR(F103="",G103="",I103=""),"unvollständig",IF(I103="Storniert","storniert",IF(WEEKDAY(C103,2)&gt;5,"Wochenende",IF(COUNTIF(Stammdaten!$AD$10:$AD$30,C103)&gt;0,"Feiertag",IF(IFERROR(INDEX(Stammdaten!$I$10:$I$49,MATCH(F103,Stammdaten!$B$10:$B$49,0)),"")="Gesperrt","Platz gesperrt",IF(AND(COUNTIF($P$6:$P$605,P103)&gt;1,NOT(AND(COUNTIF($P$6:$P$605,P103)=2,COUNTIFS($P$6:$P$605,P103,$H$6:$H$605,"Vormittag")=1,COUNTIFS($P$6:$P$605,P103,$H$6:$H$605,"Nachmittag")=1))),"Doppelbuchung",IF(AND(COUNTIF($R$6:$R$605,R103)&gt;1,NOT(AND(COUNTIF($R$6:$R$605,R103)=2,COUNTIFS($R$6:$R$605,R103,$H$6:$H$605,"Vormittag")=1,COUNTIFS($R$6:$R$605,R103,$H$6:$H$605,"Nachmittag")=1))),"Person doppelt","OK"))))))))</f>
        <v>OK</v>
      </c>
      <c r="O103" s="55">
        <f t="shared" si="10"/>
        <v>1</v>
      </c>
      <c r="P103" s="55" t="str">
        <f t="shared" si="11"/>
        <v>A-10|46300</v>
      </c>
      <c r="Q103" s="55" t="str">
        <f>IF(P103="","",P103&amp;"|"&amp;COUNTIF(P$6:P103,P103))</f>
        <v>A-10|46300|1</v>
      </c>
      <c r="R103" s="55" t="str">
        <f t="shared" si="12"/>
        <v>Isabel Marx|46300</v>
      </c>
      <c r="S103" s="55" t="str">
        <f>IF(R103="","",R103&amp;"|"&amp;COUNTIF(R$6:R103,R103))</f>
        <v>Isabel Marx|46300|1</v>
      </c>
      <c r="T103" s="55" t="str">
        <f>IF(G103="","",IFERROR(INDEX(Stammdaten!$O$10:$O$69,MATCH(G103,Stammdaten!$N$10:$N$69,0)),G103)&amp;IF(H103="Vormittag"," (VM)",IF(H103="Nachmittag"," (NM)",""))&amp;IF(I103="Angefragt"," ?",""))</f>
        <v>I. Marx</v>
      </c>
      <c r="U103" s="55" t="str">
        <f t="shared" si="13"/>
        <v>A-10</v>
      </c>
    </row>
    <row r="104" spans="2:21" ht="16.5" customHeight="1" x14ac:dyDescent="0.25">
      <c r="B104" s="47">
        <f t="shared" si="7"/>
        <v>99</v>
      </c>
      <c r="C104" s="48">
        <v>46300</v>
      </c>
      <c r="D104" s="49" t="str">
        <f t="shared" si="8"/>
        <v>Mo</v>
      </c>
      <c r="E104" s="50">
        <f t="shared" si="9"/>
        <v>41</v>
      </c>
      <c r="F104" s="51" t="s">
        <v>119</v>
      </c>
      <c r="G104" s="52" t="s">
        <v>97</v>
      </c>
      <c r="H104" s="51" t="s">
        <v>76</v>
      </c>
      <c r="I104" s="51" t="s">
        <v>77</v>
      </c>
      <c r="J104" s="52"/>
      <c r="K104" s="53" t="str">
        <f>IF(G104="","",IFERROR(INDEX(Stammdaten!$P$10:$P$69,MATCH(G104,Stammdaten!$N$10:$N$69,0)),"–"))</f>
        <v>Personal</v>
      </c>
      <c r="L104" s="53" t="str">
        <f>IF(F104="","",IFERROR(INDEX(Stammdaten!$D$10:$D$49,MATCH(F104,Stammdaten!$B$10:$B$49,0)),"–"))</f>
        <v>Teamzone Süd</v>
      </c>
      <c r="M104" s="54" t="str">
        <f>IF(C104="","",IF(OR(F104="",G104="",I104=""),"unvollständig",IF(I104="Storniert","storniert",IF(WEEKDAY(C104,2)&gt;5,"Wochenende",IF(COUNTIF(Stammdaten!$AD$10:$AD$30,C104)&gt;0,"Feiertag",IF(IFERROR(INDEX(Stammdaten!$I$10:$I$49,MATCH(F104,Stammdaten!$B$10:$B$49,0)),"")="Gesperrt","Platz gesperrt",IF(AND(COUNTIF($P$6:$P$605,P104)&gt;1,NOT(AND(COUNTIF($P$6:$P$605,P104)=2,COUNTIFS($P$6:$P$605,P104,$H$6:$H$605,"Vormittag")=1,COUNTIFS($P$6:$P$605,P104,$H$6:$H$605,"Nachmittag")=1))),"Doppelbuchung",IF(AND(COUNTIF($R$6:$R$605,R104)&gt;1,NOT(AND(COUNTIF($R$6:$R$605,R104)=2,COUNTIFS($R$6:$R$605,R104,$H$6:$H$605,"Vormittag")=1,COUNTIFS($R$6:$R$605,R104,$H$6:$H$605,"Nachmittag")=1))),"Person doppelt","OK"))))))))</f>
        <v>OK</v>
      </c>
      <c r="O104" s="55">
        <f t="shared" si="10"/>
        <v>1</v>
      </c>
      <c r="P104" s="55" t="str">
        <f t="shared" si="11"/>
        <v>B-04|46300</v>
      </c>
      <c r="Q104" s="55" t="str">
        <f>IF(P104="","",P104&amp;"|"&amp;COUNTIF(P$6:P104,P104))</f>
        <v>B-04|46300|1</v>
      </c>
      <c r="R104" s="55" t="str">
        <f t="shared" si="12"/>
        <v>Moritz Keller|46300</v>
      </c>
      <c r="S104" s="55" t="str">
        <f>IF(R104="","",R104&amp;"|"&amp;COUNTIF(R$6:R104,R104))</f>
        <v>Moritz Keller|46300|1</v>
      </c>
      <c r="T104" s="55" t="str">
        <f>IF(G104="","",IFERROR(INDEX(Stammdaten!$O$10:$O$69,MATCH(G104,Stammdaten!$N$10:$N$69,0)),G104)&amp;IF(H104="Vormittag"," (VM)",IF(H104="Nachmittag"," (NM)",""))&amp;IF(I104="Angefragt"," ?",""))</f>
        <v>M. Keller</v>
      </c>
      <c r="U104" s="55" t="str">
        <f t="shared" si="13"/>
        <v>B-04</v>
      </c>
    </row>
    <row r="105" spans="2:21" ht="16.5" customHeight="1" x14ac:dyDescent="0.25">
      <c r="B105" s="47">
        <f t="shared" si="7"/>
        <v>100</v>
      </c>
      <c r="C105" s="48">
        <v>46300</v>
      </c>
      <c r="D105" s="49" t="str">
        <f t="shared" si="8"/>
        <v>Mo</v>
      </c>
      <c r="E105" s="50">
        <f t="shared" si="9"/>
        <v>41</v>
      </c>
      <c r="F105" s="51" t="s">
        <v>121</v>
      </c>
      <c r="G105" s="52" t="s">
        <v>99</v>
      </c>
      <c r="H105" s="51" t="s">
        <v>76</v>
      </c>
      <c r="I105" s="51" t="s">
        <v>77</v>
      </c>
      <c r="J105" s="52"/>
      <c r="K105" s="53" t="str">
        <f>IF(G105="","",IFERROR(INDEX(Stammdaten!$P$10:$P$69,MATCH(G105,Stammdaten!$N$10:$N$69,0)),"–"))</f>
        <v>Finanzen</v>
      </c>
      <c r="L105" s="53" t="str">
        <f>IF(F105="","",IFERROR(INDEX(Stammdaten!$D$10:$D$49,MATCH(F105,Stammdaten!$B$10:$B$49,0)),"–"))</f>
        <v>Teamzone Süd</v>
      </c>
      <c r="M105" s="54" t="str">
        <f>IF(C105="","",IF(OR(F105="",G105="",I105=""),"unvollständig",IF(I105="Storniert","storniert",IF(WEEKDAY(C105,2)&gt;5,"Wochenende",IF(COUNTIF(Stammdaten!$AD$10:$AD$30,C105)&gt;0,"Feiertag",IF(IFERROR(INDEX(Stammdaten!$I$10:$I$49,MATCH(F105,Stammdaten!$B$10:$B$49,0)),"")="Gesperrt","Platz gesperrt",IF(AND(COUNTIF($P$6:$P$605,P105)&gt;1,NOT(AND(COUNTIF($P$6:$P$605,P105)=2,COUNTIFS($P$6:$P$605,P105,$H$6:$H$605,"Vormittag")=1,COUNTIFS($P$6:$P$605,P105,$H$6:$H$605,"Nachmittag")=1))),"Doppelbuchung",IF(AND(COUNTIF($R$6:$R$605,R105)&gt;1,NOT(AND(COUNTIF($R$6:$R$605,R105)=2,COUNTIFS($R$6:$R$605,R105,$H$6:$H$605,"Vormittag")=1,COUNTIFS($R$6:$R$605,R105,$H$6:$H$605,"Nachmittag")=1))),"Person doppelt","OK"))))))))</f>
        <v>OK</v>
      </c>
      <c r="O105" s="55">
        <f t="shared" si="10"/>
        <v>1</v>
      </c>
      <c r="P105" s="55" t="str">
        <f t="shared" si="11"/>
        <v>B-05|46300</v>
      </c>
      <c r="Q105" s="55" t="str">
        <f>IF(P105="","",P105&amp;"|"&amp;COUNTIF(P$6:P105,P105))</f>
        <v>B-05|46300|1</v>
      </c>
      <c r="R105" s="55" t="str">
        <f t="shared" si="12"/>
        <v>Erik Neumann|46300</v>
      </c>
      <c r="S105" s="55" t="str">
        <f>IF(R105="","",R105&amp;"|"&amp;COUNTIF(R$6:R105,R105))</f>
        <v>Erik Neumann|46300|1</v>
      </c>
      <c r="T105" s="55" t="str">
        <f>IF(G105="","",IFERROR(INDEX(Stammdaten!$O$10:$O$69,MATCH(G105,Stammdaten!$N$10:$N$69,0)),G105)&amp;IF(H105="Vormittag"," (VM)",IF(H105="Nachmittag"," (NM)",""))&amp;IF(I105="Angefragt"," ?",""))</f>
        <v>E. Neumann</v>
      </c>
      <c r="U105" s="55" t="str">
        <f t="shared" si="13"/>
        <v>B-05</v>
      </c>
    </row>
    <row r="106" spans="2:21" ht="16.5" customHeight="1" x14ac:dyDescent="0.25">
      <c r="B106" s="47">
        <f t="shared" si="7"/>
        <v>101</v>
      </c>
      <c r="C106" s="48">
        <v>46300</v>
      </c>
      <c r="D106" s="49" t="str">
        <f t="shared" si="8"/>
        <v>Mo</v>
      </c>
      <c r="E106" s="50">
        <f t="shared" si="9"/>
        <v>41</v>
      </c>
      <c r="F106" s="51" t="s">
        <v>96</v>
      </c>
      <c r="G106" s="52" t="s">
        <v>122</v>
      </c>
      <c r="H106" s="51" t="s">
        <v>76</v>
      </c>
      <c r="I106" s="51" t="s">
        <v>77</v>
      </c>
      <c r="J106" s="52"/>
      <c r="K106" s="53" t="str">
        <f>IF(G106="","",IFERROR(INDEX(Stammdaten!$P$10:$P$69,MATCH(G106,Stammdaten!$N$10:$N$69,0)),"–"))</f>
        <v>Personal</v>
      </c>
      <c r="L106" s="53" t="str">
        <f>IF(F106="","",IFERROR(INDEX(Stammdaten!$D$10:$D$49,MATCH(F106,Stammdaten!$B$10:$B$49,0)),"–"))</f>
        <v>Teamzone Süd</v>
      </c>
      <c r="M106" s="54" t="str">
        <f>IF(C106="","",IF(OR(F106="",G106="",I106=""),"unvollständig",IF(I106="Storniert","storniert",IF(WEEKDAY(C106,2)&gt;5,"Wochenende",IF(COUNTIF(Stammdaten!$AD$10:$AD$30,C106)&gt;0,"Feiertag",IF(IFERROR(INDEX(Stammdaten!$I$10:$I$49,MATCH(F106,Stammdaten!$B$10:$B$49,0)),"")="Gesperrt","Platz gesperrt",IF(AND(COUNTIF($P$6:$P$605,P106)&gt;1,NOT(AND(COUNTIF($P$6:$P$605,P106)=2,COUNTIFS($P$6:$P$605,P106,$H$6:$H$605,"Vormittag")=1,COUNTIFS($P$6:$P$605,P106,$H$6:$H$605,"Nachmittag")=1))),"Doppelbuchung",IF(AND(COUNTIF($R$6:$R$605,R106)&gt;1,NOT(AND(COUNTIF($R$6:$R$605,R106)=2,COUNTIFS($R$6:$R$605,R106,$H$6:$H$605,"Vormittag")=1,COUNTIFS($R$6:$R$605,R106,$H$6:$H$605,"Nachmittag")=1))),"Person doppelt","OK"))))))))</f>
        <v>OK</v>
      </c>
      <c r="O106" s="55">
        <f t="shared" si="10"/>
        <v>1</v>
      </c>
      <c r="P106" s="55" t="str">
        <f t="shared" si="11"/>
        <v>B-06|46300</v>
      </c>
      <c r="Q106" s="55" t="str">
        <f>IF(P106="","",P106&amp;"|"&amp;COUNTIF(P$6:P106,P106))</f>
        <v>B-06|46300|1</v>
      </c>
      <c r="R106" s="55" t="str">
        <f t="shared" si="12"/>
        <v>Niklas Wolf|46300</v>
      </c>
      <c r="S106" s="55" t="str">
        <f>IF(R106="","",R106&amp;"|"&amp;COUNTIF(R$6:R106,R106))</f>
        <v>Niklas Wolf|46300|1</v>
      </c>
      <c r="T106" s="55" t="str">
        <f>IF(G106="","",IFERROR(INDEX(Stammdaten!$O$10:$O$69,MATCH(G106,Stammdaten!$N$10:$N$69,0)),G106)&amp;IF(H106="Vormittag"," (VM)",IF(H106="Nachmittag"," (NM)",""))&amp;IF(I106="Angefragt"," ?",""))</f>
        <v>N. Wolf</v>
      </c>
      <c r="U106" s="55" t="str">
        <f t="shared" si="13"/>
        <v>B-06</v>
      </c>
    </row>
    <row r="107" spans="2:21" ht="16.5" customHeight="1" x14ac:dyDescent="0.25">
      <c r="B107" s="47">
        <f t="shared" si="7"/>
        <v>102</v>
      </c>
      <c r="C107" s="48">
        <v>46300</v>
      </c>
      <c r="D107" s="49" t="str">
        <f t="shared" si="8"/>
        <v>Mo</v>
      </c>
      <c r="E107" s="50">
        <f t="shared" si="9"/>
        <v>41</v>
      </c>
      <c r="F107" s="51" t="s">
        <v>100</v>
      </c>
      <c r="G107" s="52" t="s">
        <v>132</v>
      </c>
      <c r="H107" s="51" t="s">
        <v>76</v>
      </c>
      <c r="I107" s="51" t="s">
        <v>77</v>
      </c>
      <c r="J107" s="52"/>
      <c r="K107" s="53" t="str">
        <f>IF(G107="","",IFERROR(INDEX(Stammdaten!$P$10:$P$69,MATCH(G107,Stammdaten!$N$10:$N$69,0)),"–"))</f>
        <v>Projektmanagement</v>
      </c>
      <c r="L107" s="53" t="str">
        <f>IF(F107="","",IFERROR(INDEX(Stammdaten!$D$10:$D$49,MATCH(F107,Stammdaten!$B$10:$B$49,0)),"–"))</f>
        <v>Projektfläche</v>
      </c>
      <c r="M107" s="54" t="str">
        <f>IF(C107="","",IF(OR(F107="",G107="",I107=""),"unvollständig",IF(I107="Storniert","storniert",IF(WEEKDAY(C107,2)&gt;5,"Wochenende",IF(COUNTIF(Stammdaten!$AD$10:$AD$30,C107)&gt;0,"Feiertag",IF(IFERROR(INDEX(Stammdaten!$I$10:$I$49,MATCH(F107,Stammdaten!$B$10:$B$49,0)),"")="Gesperrt","Platz gesperrt",IF(AND(COUNTIF($P$6:$P$605,P107)&gt;1,NOT(AND(COUNTIF($P$6:$P$605,P107)=2,COUNTIFS($P$6:$P$605,P107,$H$6:$H$605,"Vormittag")=1,COUNTIFS($P$6:$P$605,P107,$H$6:$H$605,"Nachmittag")=1))),"Doppelbuchung",IF(AND(COUNTIF($R$6:$R$605,R107)&gt;1,NOT(AND(COUNTIF($R$6:$R$605,R107)=2,COUNTIFS($R$6:$R$605,R107,$H$6:$H$605,"Vormittag")=1,COUNTIFS($R$6:$R$605,R107,$H$6:$H$605,"Nachmittag")=1))),"Person doppelt","OK"))))))))</f>
        <v>OK</v>
      </c>
      <c r="O107" s="55">
        <f t="shared" si="10"/>
        <v>1</v>
      </c>
      <c r="P107" s="55" t="str">
        <f t="shared" si="11"/>
        <v>B-09|46300</v>
      </c>
      <c r="Q107" s="55" t="str">
        <f>IF(P107="","",P107&amp;"|"&amp;COUNTIF(P$6:P107,P107))</f>
        <v>B-09|46300|1</v>
      </c>
      <c r="R107" s="55" t="str">
        <f t="shared" si="12"/>
        <v>Vanessa Kraft|46300</v>
      </c>
      <c r="S107" s="55" t="str">
        <f>IF(R107="","",R107&amp;"|"&amp;COUNTIF(R$6:R107,R107))</f>
        <v>Vanessa Kraft|46300|1</v>
      </c>
      <c r="T107" s="55" t="str">
        <f>IF(G107="","",IFERROR(INDEX(Stammdaten!$O$10:$O$69,MATCH(G107,Stammdaten!$N$10:$N$69,0)),G107)&amp;IF(H107="Vormittag"," (VM)",IF(H107="Nachmittag"," (NM)",""))&amp;IF(I107="Angefragt"," ?",""))</f>
        <v>V. Kraft</v>
      </c>
      <c r="U107" s="55" t="str">
        <f t="shared" si="13"/>
        <v>B-09</v>
      </c>
    </row>
    <row r="108" spans="2:21" ht="16.5" customHeight="1" x14ac:dyDescent="0.25">
      <c r="B108" s="47">
        <f t="shared" si="7"/>
        <v>103</v>
      </c>
      <c r="C108" s="48">
        <v>46300</v>
      </c>
      <c r="D108" s="49" t="str">
        <f t="shared" si="8"/>
        <v>Mo</v>
      </c>
      <c r="E108" s="50">
        <f t="shared" si="9"/>
        <v>41</v>
      </c>
      <c r="F108" s="51" t="s">
        <v>102</v>
      </c>
      <c r="G108" s="52" t="s">
        <v>125</v>
      </c>
      <c r="H108" s="51" t="s">
        <v>76</v>
      </c>
      <c r="I108" s="51" t="s">
        <v>77</v>
      </c>
      <c r="J108" s="52"/>
      <c r="K108" s="53" t="str">
        <f>IF(G108="","",IFERROR(INDEX(Stammdaten!$P$10:$P$69,MATCH(G108,Stammdaten!$N$10:$N$69,0)),"–"))</f>
        <v>IT</v>
      </c>
      <c r="L108" s="53" t="str">
        <f>IF(F108="","",IFERROR(INDEX(Stammdaten!$D$10:$D$49,MATCH(F108,Stammdaten!$B$10:$B$49,0)),"–"))</f>
        <v>Projektfläche</v>
      </c>
      <c r="M108" s="54" t="str">
        <f>IF(C108="","",IF(OR(F108="",G108="",I108=""),"unvollständig",IF(I108="Storniert","storniert",IF(WEEKDAY(C108,2)&gt;5,"Wochenende",IF(COUNTIF(Stammdaten!$AD$10:$AD$30,C108)&gt;0,"Feiertag",IF(IFERROR(INDEX(Stammdaten!$I$10:$I$49,MATCH(F108,Stammdaten!$B$10:$B$49,0)),"")="Gesperrt","Platz gesperrt",IF(AND(COUNTIF($P$6:$P$605,P108)&gt;1,NOT(AND(COUNTIF($P$6:$P$605,P108)=2,COUNTIFS($P$6:$P$605,P108,$H$6:$H$605,"Vormittag")=1,COUNTIFS($P$6:$P$605,P108,$H$6:$H$605,"Nachmittag")=1))),"Doppelbuchung",IF(AND(COUNTIF($R$6:$R$605,R108)&gt;1,NOT(AND(COUNTIF($R$6:$R$605,R108)=2,COUNTIFS($R$6:$R$605,R108,$H$6:$H$605,"Vormittag")=1,COUNTIFS($R$6:$R$605,R108,$H$6:$H$605,"Nachmittag")=1))),"Person doppelt","OK"))))))))</f>
        <v>OK</v>
      </c>
      <c r="O108" s="55">
        <f t="shared" si="10"/>
        <v>1</v>
      </c>
      <c r="P108" s="55" t="str">
        <f t="shared" si="11"/>
        <v>B-10|46300</v>
      </c>
      <c r="Q108" s="55" t="str">
        <f>IF(P108="","",P108&amp;"|"&amp;COUNTIF(P$6:P108,P108))</f>
        <v>B-10|46300|1</v>
      </c>
      <c r="R108" s="55" t="str">
        <f t="shared" si="12"/>
        <v>Simon Graf|46300</v>
      </c>
      <c r="S108" s="55" t="str">
        <f>IF(R108="","",R108&amp;"|"&amp;COUNTIF(R$6:R108,R108))</f>
        <v>Simon Graf|46300|1</v>
      </c>
      <c r="T108" s="55" t="str">
        <f>IF(G108="","",IFERROR(INDEX(Stammdaten!$O$10:$O$69,MATCH(G108,Stammdaten!$N$10:$N$69,0)),G108)&amp;IF(H108="Vormittag"," (VM)",IF(H108="Nachmittag"," (NM)",""))&amp;IF(I108="Angefragt"," ?",""))</f>
        <v>S. Graf</v>
      </c>
      <c r="U108" s="55" t="str">
        <f t="shared" si="13"/>
        <v>B-10</v>
      </c>
    </row>
    <row r="109" spans="2:21" ht="16.5" customHeight="1" x14ac:dyDescent="0.25">
      <c r="B109" s="47">
        <f t="shared" si="7"/>
        <v>104</v>
      </c>
      <c r="C109" s="48">
        <v>46300</v>
      </c>
      <c r="D109" s="49" t="str">
        <f t="shared" si="8"/>
        <v>Mo</v>
      </c>
      <c r="E109" s="50">
        <f t="shared" si="9"/>
        <v>41</v>
      </c>
      <c r="F109" s="51" t="s">
        <v>104</v>
      </c>
      <c r="G109" s="52" t="s">
        <v>91</v>
      </c>
      <c r="H109" s="51" t="s">
        <v>76</v>
      </c>
      <c r="I109" s="51" t="s">
        <v>77</v>
      </c>
      <c r="J109" s="52"/>
      <c r="K109" s="53" t="str">
        <f>IF(G109="","",IFERROR(INDEX(Stammdaten!$P$10:$P$69,MATCH(G109,Stammdaten!$N$10:$N$69,0)),"–"))</f>
        <v>IT</v>
      </c>
      <c r="L109" s="53" t="str">
        <f>IF(F109="","",IFERROR(INDEX(Stammdaten!$D$10:$D$49,MATCH(F109,Stammdaten!$B$10:$B$49,0)),"–"))</f>
        <v>Projektfläche</v>
      </c>
      <c r="M109" s="54" t="str">
        <f>IF(C109="","",IF(OR(F109="",G109="",I109=""),"unvollständig",IF(I109="Storniert","storniert",IF(WEEKDAY(C109,2)&gt;5,"Wochenende",IF(COUNTIF(Stammdaten!$AD$10:$AD$30,C109)&gt;0,"Feiertag",IF(IFERROR(INDEX(Stammdaten!$I$10:$I$49,MATCH(F109,Stammdaten!$B$10:$B$49,0)),"")="Gesperrt","Platz gesperrt",IF(AND(COUNTIF($P$6:$P$605,P109)&gt;1,NOT(AND(COUNTIF($P$6:$P$605,P109)=2,COUNTIFS($P$6:$P$605,P109,$H$6:$H$605,"Vormittag")=1,COUNTIFS($P$6:$P$605,P109,$H$6:$H$605,"Nachmittag")=1))),"Doppelbuchung",IF(AND(COUNTIF($R$6:$R$605,R109)&gt;1,NOT(AND(COUNTIF($R$6:$R$605,R109)=2,COUNTIFS($R$6:$R$605,R109,$H$6:$H$605,"Vormittag")=1,COUNTIFS($R$6:$R$605,R109,$H$6:$H$605,"Nachmittag")=1))),"Person doppelt","OK"))))))))</f>
        <v>OK</v>
      </c>
      <c r="O109" s="55">
        <f t="shared" si="10"/>
        <v>1</v>
      </c>
      <c r="P109" s="55" t="str">
        <f t="shared" si="11"/>
        <v>B-11|46300</v>
      </c>
      <c r="Q109" s="55" t="str">
        <f>IF(P109="","",P109&amp;"|"&amp;COUNTIF(P$6:P109,P109))</f>
        <v>B-11|46300|1</v>
      </c>
      <c r="R109" s="55" t="str">
        <f t="shared" si="12"/>
        <v>Mara Winter|46300</v>
      </c>
      <c r="S109" s="55" t="str">
        <f>IF(R109="","",R109&amp;"|"&amp;COUNTIF(R$6:R109,R109))</f>
        <v>Mara Winter|46300|1</v>
      </c>
      <c r="T109" s="55" t="str">
        <f>IF(G109="","",IFERROR(INDEX(Stammdaten!$O$10:$O$69,MATCH(G109,Stammdaten!$N$10:$N$69,0)),G109)&amp;IF(H109="Vormittag"," (VM)",IF(H109="Nachmittag"," (NM)",""))&amp;IF(I109="Angefragt"," ?",""))</f>
        <v>M. Winter</v>
      </c>
      <c r="U109" s="55" t="str">
        <f t="shared" si="13"/>
        <v>B-11</v>
      </c>
    </row>
    <row r="110" spans="2:21" ht="16.5" customHeight="1" x14ac:dyDescent="0.25">
      <c r="B110" s="47">
        <f t="shared" si="7"/>
        <v>105</v>
      </c>
      <c r="C110" s="48">
        <v>46300</v>
      </c>
      <c r="D110" s="49" t="str">
        <f t="shared" si="8"/>
        <v>Mo</v>
      </c>
      <c r="E110" s="50">
        <f t="shared" si="9"/>
        <v>41</v>
      </c>
      <c r="F110" s="51" t="s">
        <v>106</v>
      </c>
      <c r="G110" s="52" t="s">
        <v>103</v>
      </c>
      <c r="H110" s="51" t="s">
        <v>76</v>
      </c>
      <c r="I110" s="51" t="s">
        <v>77</v>
      </c>
      <c r="J110" s="52"/>
      <c r="K110" s="53" t="str">
        <f>IF(G110="","",IFERROR(INDEX(Stammdaten!$P$10:$P$69,MATCH(G110,Stammdaten!$N$10:$N$69,0)),"–"))</f>
        <v>Projektmanagement</v>
      </c>
      <c r="L110" s="53" t="str">
        <f>IF(F110="","",IFERROR(INDEX(Stammdaten!$D$10:$D$49,MATCH(F110,Stammdaten!$B$10:$B$49,0)),"–"))</f>
        <v>Projektfläche</v>
      </c>
      <c r="M110" s="54" t="str">
        <f>IF(C110="","",IF(OR(F110="",G110="",I110=""),"unvollständig",IF(I110="Storniert","storniert",IF(WEEKDAY(C110,2)&gt;5,"Wochenende",IF(COUNTIF(Stammdaten!$AD$10:$AD$30,C110)&gt;0,"Feiertag",IF(IFERROR(INDEX(Stammdaten!$I$10:$I$49,MATCH(F110,Stammdaten!$B$10:$B$49,0)),"")="Gesperrt","Platz gesperrt",IF(AND(COUNTIF($P$6:$P$605,P110)&gt;1,NOT(AND(COUNTIF($P$6:$P$605,P110)=2,COUNTIFS($P$6:$P$605,P110,$H$6:$H$605,"Vormittag")=1,COUNTIFS($P$6:$P$605,P110,$H$6:$H$605,"Nachmittag")=1))),"Doppelbuchung",IF(AND(COUNTIF($R$6:$R$605,R110)&gt;1,NOT(AND(COUNTIF($R$6:$R$605,R110)=2,COUNTIFS($R$6:$R$605,R110,$H$6:$H$605,"Vormittag")=1,COUNTIFS($R$6:$R$605,R110,$H$6:$H$605,"Nachmittag")=1))),"Person doppelt","OK"))))))))</f>
        <v>OK</v>
      </c>
      <c r="O110" s="55">
        <f t="shared" si="10"/>
        <v>1</v>
      </c>
      <c r="P110" s="55" t="str">
        <f t="shared" si="11"/>
        <v>B-12|46300</v>
      </c>
      <c r="Q110" s="55" t="str">
        <f>IF(P110="","",P110&amp;"|"&amp;COUNTIF(P$6:P110,P110))</f>
        <v>B-12|46300|1</v>
      </c>
      <c r="R110" s="55" t="str">
        <f t="shared" si="12"/>
        <v>Kevin Brandl|46300</v>
      </c>
      <c r="S110" s="55" t="str">
        <f>IF(R110="","",R110&amp;"|"&amp;COUNTIF(R$6:R110,R110))</f>
        <v>Kevin Brandl|46300|1</v>
      </c>
      <c r="T110" s="55" t="str">
        <f>IF(G110="","",IFERROR(INDEX(Stammdaten!$O$10:$O$69,MATCH(G110,Stammdaten!$N$10:$N$69,0)),G110)&amp;IF(H110="Vormittag"," (VM)",IF(H110="Nachmittag"," (NM)",""))&amp;IF(I110="Angefragt"," ?",""))</f>
        <v>K. Brandl</v>
      </c>
      <c r="U110" s="55" t="str">
        <f t="shared" si="13"/>
        <v>B-12</v>
      </c>
    </row>
    <row r="111" spans="2:21" ht="16.5" customHeight="1" x14ac:dyDescent="0.25">
      <c r="B111" s="47">
        <f t="shared" si="7"/>
        <v>106</v>
      </c>
      <c r="C111" s="48">
        <v>46301</v>
      </c>
      <c r="D111" s="49" t="str">
        <f t="shared" si="8"/>
        <v>Di</v>
      </c>
      <c r="E111" s="50">
        <f t="shared" si="9"/>
        <v>41</v>
      </c>
      <c r="F111" s="51" t="s">
        <v>74</v>
      </c>
      <c r="G111" s="52" t="s">
        <v>126</v>
      </c>
      <c r="H111" s="51" t="s">
        <v>76</v>
      </c>
      <c r="I111" s="51" t="s">
        <v>77</v>
      </c>
      <c r="J111" s="52"/>
      <c r="K111" s="53" t="str">
        <f>IF(G111="","",IFERROR(INDEX(Stammdaten!$P$10:$P$69,MATCH(G111,Stammdaten!$N$10:$N$69,0)),"–"))</f>
        <v>Vertrieb</v>
      </c>
      <c r="L111" s="53" t="str">
        <f>IF(F111="","",IFERROR(INDEX(Stammdaten!$D$10:$D$49,MATCH(F111,Stammdaten!$B$10:$B$49,0)),"–"))</f>
        <v>Teamzone Nord</v>
      </c>
      <c r="M111" s="54" t="str">
        <f>IF(C111="","",IF(OR(F111="",G111="",I111=""),"unvollständig",IF(I111="Storniert","storniert",IF(WEEKDAY(C111,2)&gt;5,"Wochenende",IF(COUNTIF(Stammdaten!$AD$10:$AD$30,C111)&gt;0,"Feiertag",IF(IFERROR(INDEX(Stammdaten!$I$10:$I$49,MATCH(F111,Stammdaten!$B$10:$B$49,0)),"")="Gesperrt","Platz gesperrt",IF(AND(COUNTIF($P$6:$P$605,P111)&gt;1,NOT(AND(COUNTIF($P$6:$P$605,P111)=2,COUNTIFS($P$6:$P$605,P111,$H$6:$H$605,"Vormittag")=1,COUNTIFS($P$6:$P$605,P111,$H$6:$H$605,"Nachmittag")=1))),"Doppelbuchung",IF(AND(COUNTIF($R$6:$R$605,R111)&gt;1,NOT(AND(COUNTIF($R$6:$R$605,R111)=2,COUNTIFS($R$6:$R$605,R111,$H$6:$H$605,"Vormittag")=1,COUNTIFS($R$6:$R$605,R111,$H$6:$H$605,"Nachmittag")=1))),"Person doppelt","OK"))))))))</f>
        <v>OK</v>
      </c>
      <c r="O111" s="55">
        <f t="shared" si="10"/>
        <v>1</v>
      </c>
      <c r="P111" s="55" t="str">
        <f t="shared" si="11"/>
        <v>A-01|46301</v>
      </c>
      <c r="Q111" s="55" t="str">
        <f>IF(P111="","",P111&amp;"|"&amp;COUNTIF(P$6:P111,P111))</f>
        <v>A-01|46301|1</v>
      </c>
      <c r="R111" s="55" t="str">
        <f t="shared" si="12"/>
        <v>Jonas Weber|46301</v>
      </c>
      <c r="S111" s="55" t="str">
        <f>IF(R111="","",R111&amp;"|"&amp;COUNTIF(R$6:R111,R111))</f>
        <v>Jonas Weber|46301|1</v>
      </c>
      <c r="T111" s="55" t="str">
        <f>IF(G111="","",IFERROR(INDEX(Stammdaten!$O$10:$O$69,MATCH(G111,Stammdaten!$N$10:$N$69,0)),G111)&amp;IF(H111="Vormittag"," (VM)",IF(H111="Nachmittag"," (NM)",""))&amp;IF(I111="Angefragt"," ?",""))</f>
        <v>J. Weber</v>
      </c>
      <c r="U111" s="55" t="str">
        <f t="shared" si="13"/>
        <v>A-01</v>
      </c>
    </row>
    <row r="112" spans="2:21" ht="16.5" customHeight="1" x14ac:dyDescent="0.25">
      <c r="B112" s="47">
        <f t="shared" si="7"/>
        <v>107</v>
      </c>
      <c r="C112" s="48">
        <v>46301</v>
      </c>
      <c r="D112" s="49" t="str">
        <f t="shared" si="8"/>
        <v>Di</v>
      </c>
      <c r="E112" s="50">
        <f t="shared" si="9"/>
        <v>41</v>
      </c>
      <c r="F112" s="51" t="s">
        <v>78</v>
      </c>
      <c r="G112" s="52" t="s">
        <v>79</v>
      </c>
      <c r="H112" s="51" t="s">
        <v>76</v>
      </c>
      <c r="I112" s="51" t="s">
        <v>77</v>
      </c>
      <c r="J112" s="52"/>
      <c r="K112" s="53" t="str">
        <f>IF(G112="","",IFERROR(INDEX(Stammdaten!$P$10:$P$69,MATCH(G112,Stammdaten!$N$10:$N$69,0)),"–"))</f>
        <v>Vertrieb</v>
      </c>
      <c r="L112" s="53" t="str">
        <f>IF(F112="","",IFERROR(INDEX(Stammdaten!$D$10:$D$49,MATCH(F112,Stammdaten!$B$10:$B$49,0)),"–"))</f>
        <v>Teamzone Nord</v>
      </c>
      <c r="M112" s="54" t="str">
        <f>IF(C112="","",IF(OR(F112="",G112="",I112=""),"unvollständig",IF(I112="Storniert","storniert",IF(WEEKDAY(C112,2)&gt;5,"Wochenende",IF(COUNTIF(Stammdaten!$AD$10:$AD$30,C112)&gt;0,"Feiertag",IF(IFERROR(INDEX(Stammdaten!$I$10:$I$49,MATCH(F112,Stammdaten!$B$10:$B$49,0)),"")="Gesperrt","Platz gesperrt",IF(AND(COUNTIF($P$6:$P$605,P112)&gt;1,NOT(AND(COUNTIF($P$6:$P$605,P112)=2,COUNTIFS($P$6:$P$605,P112,$H$6:$H$605,"Vormittag")=1,COUNTIFS($P$6:$P$605,P112,$H$6:$H$605,"Nachmittag")=1))),"Doppelbuchung",IF(AND(COUNTIF($R$6:$R$605,R112)&gt;1,NOT(AND(COUNTIF($R$6:$R$605,R112)=2,COUNTIFS($R$6:$R$605,R112,$H$6:$H$605,"Vormittag")=1,COUNTIFS($R$6:$R$605,R112,$H$6:$H$605,"Nachmittag")=1))),"Person doppelt","OK"))))))))</f>
        <v>OK</v>
      </c>
      <c r="O112" s="55">
        <f t="shared" si="10"/>
        <v>1</v>
      </c>
      <c r="P112" s="55" t="str">
        <f t="shared" si="11"/>
        <v>A-02|46301</v>
      </c>
      <c r="Q112" s="55" t="str">
        <f>IF(P112="","",P112&amp;"|"&amp;COUNTIF(P$6:P112,P112))</f>
        <v>A-02|46301|1</v>
      </c>
      <c r="R112" s="55" t="str">
        <f t="shared" si="12"/>
        <v>Lena Hartmann|46301</v>
      </c>
      <c r="S112" s="55" t="str">
        <f>IF(R112="","",R112&amp;"|"&amp;COUNTIF(R$6:R112,R112))</f>
        <v>Lena Hartmann|46301|1</v>
      </c>
      <c r="T112" s="55" t="str">
        <f>IF(G112="","",IFERROR(INDEX(Stammdaten!$O$10:$O$69,MATCH(G112,Stammdaten!$N$10:$N$69,0)),G112)&amp;IF(H112="Vormittag"," (VM)",IF(H112="Nachmittag"," (NM)",""))&amp;IF(I112="Angefragt"," ?",""))</f>
        <v>L. Hartmann</v>
      </c>
      <c r="U112" s="55" t="str">
        <f t="shared" si="13"/>
        <v>A-02</v>
      </c>
    </row>
    <row r="113" spans="2:21" ht="16.5" customHeight="1" x14ac:dyDescent="0.25">
      <c r="B113" s="47">
        <f t="shared" si="7"/>
        <v>108</v>
      </c>
      <c r="C113" s="48">
        <v>46301</v>
      </c>
      <c r="D113" s="49" t="str">
        <f t="shared" si="8"/>
        <v>Di</v>
      </c>
      <c r="E113" s="50">
        <f t="shared" si="9"/>
        <v>41</v>
      </c>
      <c r="F113" s="51" t="s">
        <v>109</v>
      </c>
      <c r="G113" s="52" t="s">
        <v>111</v>
      </c>
      <c r="H113" s="51" t="s">
        <v>76</v>
      </c>
      <c r="I113" s="51" t="s">
        <v>77</v>
      </c>
      <c r="J113" s="52"/>
      <c r="K113" s="53" t="str">
        <f>IF(G113="","",IFERROR(INDEX(Stammdaten!$P$10:$P$69,MATCH(G113,Stammdaten!$N$10:$N$69,0)),"–"))</f>
        <v>Vertrieb</v>
      </c>
      <c r="L113" s="53" t="str">
        <f>IF(F113="","",IFERROR(INDEX(Stammdaten!$D$10:$D$49,MATCH(F113,Stammdaten!$B$10:$B$49,0)),"–"))</f>
        <v>Teamzone Nord</v>
      </c>
      <c r="M113" s="54" t="str">
        <f>IF(C113="","",IF(OR(F113="",G113="",I113=""),"unvollständig",IF(I113="Storniert","storniert",IF(WEEKDAY(C113,2)&gt;5,"Wochenende",IF(COUNTIF(Stammdaten!$AD$10:$AD$30,C113)&gt;0,"Feiertag",IF(IFERROR(INDEX(Stammdaten!$I$10:$I$49,MATCH(F113,Stammdaten!$B$10:$B$49,0)),"")="Gesperrt","Platz gesperrt",IF(AND(COUNTIF($P$6:$P$605,P113)&gt;1,NOT(AND(COUNTIF($P$6:$P$605,P113)=2,COUNTIFS($P$6:$P$605,P113,$H$6:$H$605,"Vormittag")=1,COUNTIFS($P$6:$P$605,P113,$H$6:$H$605,"Nachmittag")=1))),"Doppelbuchung",IF(AND(COUNTIF($R$6:$R$605,R113)&gt;1,NOT(AND(COUNTIF($R$6:$R$605,R113)=2,COUNTIFS($R$6:$R$605,R113,$H$6:$H$605,"Vormittag")=1,COUNTIFS($R$6:$R$605,R113,$H$6:$H$605,"Nachmittag")=1))),"Person doppelt","OK"))))))))</f>
        <v>OK</v>
      </c>
      <c r="O113" s="55">
        <f t="shared" si="10"/>
        <v>1</v>
      </c>
      <c r="P113" s="55" t="str">
        <f t="shared" si="11"/>
        <v>A-03|46301</v>
      </c>
      <c r="Q113" s="55" t="str">
        <f>IF(P113="","",P113&amp;"|"&amp;COUNTIF(P$6:P113,P113))</f>
        <v>A-03|46301|1</v>
      </c>
      <c r="R113" s="55" t="str">
        <f t="shared" si="12"/>
        <v>Sophie Brandt|46301</v>
      </c>
      <c r="S113" s="55" t="str">
        <f>IF(R113="","",R113&amp;"|"&amp;COUNTIF(R$6:R113,R113))</f>
        <v>Sophie Brandt|46301|1</v>
      </c>
      <c r="T113" s="55" t="str">
        <f>IF(G113="","",IFERROR(INDEX(Stammdaten!$O$10:$O$69,MATCH(G113,Stammdaten!$N$10:$N$69,0)),G113)&amp;IF(H113="Vormittag"," (VM)",IF(H113="Nachmittag"," (NM)",""))&amp;IF(I113="Angefragt"," ?",""))</f>
        <v>S. Brandt</v>
      </c>
      <c r="U113" s="55" t="str">
        <f t="shared" si="13"/>
        <v>A-03</v>
      </c>
    </row>
    <row r="114" spans="2:21" ht="16.5" customHeight="1" x14ac:dyDescent="0.25">
      <c r="B114" s="47">
        <f t="shared" si="7"/>
        <v>109</v>
      </c>
      <c r="C114" s="48">
        <v>46301</v>
      </c>
      <c r="D114" s="49" t="str">
        <f t="shared" si="8"/>
        <v>Di</v>
      </c>
      <c r="E114" s="50">
        <f t="shared" si="9"/>
        <v>41</v>
      </c>
      <c r="F114" s="51" t="s">
        <v>110</v>
      </c>
      <c r="G114" s="52" t="s">
        <v>127</v>
      </c>
      <c r="H114" s="51" t="s">
        <v>76</v>
      </c>
      <c r="I114" s="51" t="s">
        <v>77</v>
      </c>
      <c r="J114" s="52"/>
      <c r="K114" s="53" t="str">
        <f>IF(G114="","",IFERROR(INDEX(Stammdaten!$P$10:$P$69,MATCH(G114,Stammdaten!$N$10:$N$69,0)),"–"))</f>
        <v>Vertrieb</v>
      </c>
      <c r="L114" s="53" t="str">
        <f>IF(F114="","",IFERROR(INDEX(Stammdaten!$D$10:$D$49,MATCH(F114,Stammdaten!$B$10:$B$49,0)),"–"))</f>
        <v>Teamzone Nord</v>
      </c>
      <c r="M114" s="54" t="str">
        <f>IF(C114="","",IF(OR(F114="",G114="",I114=""),"unvollständig",IF(I114="Storniert","storniert",IF(WEEKDAY(C114,2)&gt;5,"Wochenende",IF(COUNTIF(Stammdaten!$AD$10:$AD$30,C114)&gt;0,"Feiertag",IF(IFERROR(INDEX(Stammdaten!$I$10:$I$49,MATCH(F114,Stammdaten!$B$10:$B$49,0)),"")="Gesperrt","Platz gesperrt",IF(AND(COUNTIF($P$6:$P$605,P114)&gt;1,NOT(AND(COUNTIF($P$6:$P$605,P114)=2,COUNTIFS($P$6:$P$605,P114,$H$6:$H$605,"Vormittag")=1,COUNTIFS($P$6:$P$605,P114,$H$6:$H$605,"Nachmittag")=1))),"Doppelbuchung",IF(AND(COUNTIF($R$6:$R$605,R114)&gt;1,NOT(AND(COUNTIF($R$6:$R$605,R114)=2,COUNTIFS($R$6:$R$605,R114,$H$6:$H$605,"Vormittag")=1,COUNTIFS($R$6:$R$605,R114,$H$6:$H$605,"Nachmittag")=1))),"Person doppelt","OK"))))))))</f>
        <v>OK</v>
      </c>
      <c r="O114" s="55">
        <f t="shared" si="10"/>
        <v>1</v>
      </c>
      <c r="P114" s="55" t="str">
        <f t="shared" si="11"/>
        <v>A-04|46301</v>
      </c>
      <c r="Q114" s="55" t="str">
        <f>IF(P114="","",P114&amp;"|"&amp;COUNTIF(P$6:P114,P114))</f>
        <v>A-04|46301|1</v>
      </c>
      <c r="R114" s="55" t="str">
        <f t="shared" si="12"/>
        <v>Tobias Lindner|46301</v>
      </c>
      <c r="S114" s="55" t="str">
        <f>IF(R114="","",R114&amp;"|"&amp;COUNTIF(R$6:R114,R114))</f>
        <v>Tobias Lindner|46301|1</v>
      </c>
      <c r="T114" s="55" t="str">
        <f>IF(G114="","",IFERROR(INDEX(Stammdaten!$O$10:$O$69,MATCH(G114,Stammdaten!$N$10:$N$69,0)),G114)&amp;IF(H114="Vormittag"," (VM)",IF(H114="Nachmittag"," (NM)",""))&amp;IF(I114="Angefragt"," ?",""))</f>
        <v>T. Lindner</v>
      </c>
      <c r="U114" s="55" t="str">
        <f t="shared" si="13"/>
        <v>A-04</v>
      </c>
    </row>
    <row r="115" spans="2:21" ht="16.5" customHeight="1" x14ac:dyDescent="0.25">
      <c r="B115" s="47">
        <f t="shared" si="7"/>
        <v>110</v>
      </c>
      <c r="C115" s="48">
        <v>46301</v>
      </c>
      <c r="D115" s="49" t="str">
        <f t="shared" si="8"/>
        <v>Di</v>
      </c>
      <c r="E115" s="50">
        <f t="shared" si="9"/>
        <v>41</v>
      </c>
      <c r="F115" s="51" t="s">
        <v>82</v>
      </c>
      <c r="G115" s="52" t="s">
        <v>87</v>
      </c>
      <c r="H115" s="51" t="s">
        <v>76</v>
      </c>
      <c r="I115" s="51" t="s">
        <v>77</v>
      </c>
      <c r="J115" s="52"/>
      <c r="K115" s="53" t="str">
        <f>IF(G115="","",IFERROR(INDEX(Stammdaten!$P$10:$P$69,MATCH(G115,Stammdaten!$N$10:$N$69,0)),"–"))</f>
        <v>Marketing</v>
      </c>
      <c r="L115" s="53" t="str">
        <f>IF(F115="","",IFERROR(INDEX(Stammdaten!$D$10:$D$49,MATCH(F115,Stammdaten!$B$10:$B$49,0)),"–"))</f>
        <v>Teamzone Nord</v>
      </c>
      <c r="M115" s="54" t="str">
        <f>IF(C115="","",IF(OR(F115="",G115="",I115=""),"unvollständig",IF(I115="Storniert","storniert",IF(WEEKDAY(C115,2)&gt;5,"Wochenende",IF(COUNTIF(Stammdaten!$AD$10:$AD$30,C115)&gt;0,"Feiertag",IF(IFERROR(INDEX(Stammdaten!$I$10:$I$49,MATCH(F115,Stammdaten!$B$10:$B$49,0)),"")="Gesperrt","Platz gesperrt",IF(AND(COUNTIF($P$6:$P$605,P115)&gt;1,NOT(AND(COUNTIF($P$6:$P$605,P115)=2,COUNTIFS($P$6:$P$605,P115,$H$6:$H$605,"Vormittag")=1,COUNTIFS($P$6:$P$605,P115,$H$6:$H$605,"Nachmittag")=1))),"Doppelbuchung",IF(AND(COUNTIF($R$6:$R$605,R115)&gt;1,NOT(AND(COUNTIF($R$6:$R$605,R115)=2,COUNTIFS($R$6:$R$605,R115,$H$6:$H$605,"Vormittag")=1,COUNTIFS($R$6:$R$605,R115,$H$6:$H$605,"Nachmittag")=1))),"Person doppelt","OK"))))))))</f>
        <v>OK</v>
      </c>
      <c r="O115" s="55">
        <f t="shared" si="10"/>
        <v>1</v>
      </c>
      <c r="P115" s="55" t="str">
        <f t="shared" si="11"/>
        <v>A-06|46301</v>
      </c>
      <c r="Q115" s="55" t="str">
        <f>IF(P115="","",P115&amp;"|"&amp;COUNTIF(P$6:P115,P115))</f>
        <v>A-06|46301|1</v>
      </c>
      <c r="R115" s="55" t="str">
        <f t="shared" si="12"/>
        <v>Paul Schreiber|46301</v>
      </c>
      <c r="S115" s="55" t="str">
        <f>IF(R115="","",R115&amp;"|"&amp;COUNTIF(R$6:R115,R115))</f>
        <v>Paul Schreiber|46301|1</v>
      </c>
      <c r="T115" s="55" t="str">
        <f>IF(G115="","",IFERROR(INDEX(Stammdaten!$O$10:$O$69,MATCH(G115,Stammdaten!$N$10:$N$69,0)),G115)&amp;IF(H115="Vormittag"," (VM)",IF(H115="Nachmittag"," (NM)",""))&amp;IF(I115="Angefragt"," ?",""))</f>
        <v>P. Schreiber</v>
      </c>
      <c r="U115" s="55" t="str">
        <f t="shared" si="13"/>
        <v>A-06</v>
      </c>
    </row>
    <row r="116" spans="2:21" ht="16.5" customHeight="1" x14ac:dyDescent="0.25">
      <c r="B116" s="47">
        <f t="shared" si="7"/>
        <v>111</v>
      </c>
      <c r="C116" s="48">
        <v>46301</v>
      </c>
      <c r="D116" s="49" t="str">
        <f t="shared" si="8"/>
        <v>Di</v>
      </c>
      <c r="E116" s="50">
        <f t="shared" si="9"/>
        <v>41</v>
      </c>
      <c r="F116" s="51" t="s">
        <v>84</v>
      </c>
      <c r="G116" s="52" t="s">
        <v>85</v>
      </c>
      <c r="H116" s="51" t="s">
        <v>76</v>
      </c>
      <c r="I116" s="51" t="s">
        <v>77</v>
      </c>
      <c r="J116" s="52"/>
      <c r="K116" s="53" t="str">
        <f>IF(G116="","",IFERROR(INDEX(Stammdaten!$P$10:$P$69,MATCH(G116,Stammdaten!$N$10:$N$69,0)),"–"))</f>
        <v>Vertrieb</v>
      </c>
      <c r="L116" s="53" t="str">
        <f>IF(F116="","",IFERROR(INDEX(Stammdaten!$D$10:$D$49,MATCH(F116,Stammdaten!$B$10:$B$49,0)),"–"))</f>
        <v>Teamzone Nord</v>
      </c>
      <c r="M116" s="54" t="str">
        <f>IF(C116="","",IF(OR(F116="",G116="",I116=""),"unvollständig",IF(I116="Storniert","storniert",IF(WEEKDAY(C116,2)&gt;5,"Wochenende",IF(COUNTIF(Stammdaten!$AD$10:$AD$30,C116)&gt;0,"Feiertag",IF(IFERROR(INDEX(Stammdaten!$I$10:$I$49,MATCH(F116,Stammdaten!$B$10:$B$49,0)),"")="Gesperrt","Platz gesperrt",IF(AND(COUNTIF($P$6:$P$605,P116)&gt;1,NOT(AND(COUNTIF($P$6:$P$605,P116)=2,COUNTIFS($P$6:$P$605,P116,$H$6:$H$605,"Vormittag")=1,COUNTIFS($P$6:$P$605,P116,$H$6:$H$605,"Nachmittag")=1))),"Doppelbuchung",IF(AND(COUNTIF($R$6:$R$605,R116)&gt;1,NOT(AND(COUNTIF($R$6:$R$605,R116)=2,COUNTIFS($R$6:$R$605,R116,$H$6:$H$605,"Vormittag")=1,COUNTIFS($R$6:$R$605,R116,$H$6:$H$605,"Nachmittag")=1))),"Person doppelt","OK"))))))))</f>
        <v>OK</v>
      </c>
      <c r="O116" s="55">
        <f t="shared" si="10"/>
        <v>1</v>
      </c>
      <c r="P116" s="55" t="str">
        <f t="shared" si="11"/>
        <v>A-07|46301</v>
      </c>
      <c r="Q116" s="55" t="str">
        <f>IF(P116="","",P116&amp;"|"&amp;COUNTIF(P$6:P116,P116))</f>
        <v>A-07|46301|1</v>
      </c>
      <c r="R116" s="55" t="str">
        <f t="shared" si="12"/>
        <v>Miriam Krause|46301</v>
      </c>
      <c r="S116" s="55" t="str">
        <f>IF(R116="","",R116&amp;"|"&amp;COUNTIF(R$6:R116,R116))</f>
        <v>Miriam Krause|46301|1</v>
      </c>
      <c r="T116" s="55" t="str">
        <f>IF(G116="","",IFERROR(INDEX(Stammdaten!$O$10:$O$69,MATCH(G116,Stammdaten!$N$10:$N$69,0)),G116)&amp;IF(H116="Vormittag"," (VM)",IF(H116="Nachmittag"," (NM)",""))&amp;IF(I116="Angefragt"," ?",""))</f>
        <v>M. Krause</v>
      </c>
      <c r="U116" s="55" t="str">
        <f t="shared" si="13"/>
        <v>A-07</v>
      </c>
    </row>
    <row r="117" spans="2:21" ht="16.5" customHeight="1" x14ac:dyDescent="0.25">
      <c r="B117" s="47">
        <f t="shared" si="7"/>
        <v>112</v>
      </c>
      <c r="C117" s="48">
        <v>46301</v>
      </c>
      <c r="D117" s="49" t="str">
        <f t="shared" si="8"/>
        <v>Di</v>
      </c>
      <c r="E117" s="50">
        <f t="shared" si="9"/>
        <v>41</v>
      </c>
      <c r="F117" s="51" t="s">
        <v>129</v>
      </c>
      <c r="G117" s="52" t="s">
        <v>91</v>
      </c>
      <c r="H117" s="51" t="s">
        <v>76</v>
      </c>
      <c r="I117" s="51" t="s">
        <v>77</v>
      </c>
      <c r="J117" s="52"/>
      <c r="K117" s="53" t="str">
        <f>IF(G117="","",IFERROR(INDEX(Stammdaten!$P$10:$P$69,MATCH(G117,Stammdaten!$N$10:$N$69,0)),"–"))</f>
        <v>IT</v>
      </c>
      <c r="L117" s="53" t="str">
        <f>IF(F117="","",IFERROR(INDEX(Stammdaten!$D$10:$D$49,MATCH(F117,Stammdaten!$B$10:$B$49,0)),"–"))</f>
        <v>Fokuszone</v>
      </c>
      <c r="M117" s="54" t="str">
        <f>IF(C117="","",IF(OR(F117="",G117="",I117=""),"unvollständig",IF(I117="Storniert","storniert",IF(WEEKDAY(C117,2)&gt;5,"Wochenende",IF(COUNTIF(Stammdaten!$AD$10:$AD$30,C117)&gt;0,"Feiertag",IF(IFERROR(INDEX(Stammdaten!$I$10:$I$49,MATCH(F117,Stammdaten!$B$10:$B$49,0)),"")="Gesperrt","Platz gesperrt",IF(AND(COUNTIF($P$6:$P$605,P117)&gt;1,NOT(AND(COUNTIF($P$6:$P$605,P117)=2,COUNTIFS($P$6:$P$605,P117,$H$6:$H$605,"Vormittag")=1,COUNTIFS($P$6:$P$605,P117,$H$6:$H$605,"Nachmittag")=1))),"Doppelbuchung",IF(AND(COUNTIF($R$6:$R$605,R117)&gt;1,NOT(AND(COUNTIF($R$6:$R$605,R117)=2,COUNTIFS($R$6:$R$605,R117,$H$6:$H$605,"Vormittag")=1,COUNTIFS($R$6:$R$605,R117,$H$6:$H$605,"Nachmittag")=1))),"Person doppelt","OK"))))))))</f>
        <v>OK</v>
      </c>
      <c r="O117" s="55">
        <f t="shared" si="10"/>
        <v>1</v>
      </c>
      <c r="P117" s="55" t="str">
        <f t="shared" si="11"/>
        <v>A-09|46301</v>
      </c>
      <c r="Q117" s="55" t="str">
        <f>IF(P117="","",P117&amp;"|"&amp;COUNTIF(P$6:P117,P117))</f>
        <v>A-09|46301|1</v>
      </c>
      <c r="R117" s="55" t="str">
        <f t="shared" si="12"/>
        <v>Mara Winter|46301</v>
      </c>
      <c r="S117" s="55" t="str">
        <f>IF(R117="","",R117&amp;"|"&amp;COUNTIF(R$6:R117,R117))</f>
        <v>Mara Winter|46301|1</v>
      </c>
      <c r="T117" s="55" t="str">
        <f>IF(G117="","",IFERROR(INDEX(Stammdaten!$O$10:$O$69,MATCH(G117,Stammdaten!$N$10:$N$69,0)),G117)&amp;IF(H117="Vormittag"," (VM)",IF(H117="Nachmittag"," (NM)",""))&amp;IF(I117="Angefragt"," ?",""))</f>
        <v>M. Winter</v>
      </c>
      <c r="U117" s="55" t="str">
        <f t="shared" si="13"/>
        <v>A-09</v>
      </c>
    </row>
    <row r="118" spans="2:21" ht="16.5" customHeight="1" x14ac:dyDescent="0.25">
      <c r="B118" s="47">
        <f t="shared" si="7"/>
        <v>113</v>
      </c>
      <c r="C118" s="48">
        <v>46301</v>
      </c>
      <c r="D118" s="49" t="str">
        <f t="shared" si="8"/>
        <v>Di</v>
      </c>
      <c r="E118" s="50">
        <f t="shared" si="9"/>
        <v>41</v>
      </c>
      <c r="F118" s="51" t="s">
        <v>113</v>
      </c>
      <c r="G118" s="52" t="s">
        <v>114</v>
      </c>
      <c r="H118" s="51" t="s">
        <v>76</v>
      </c>
      <c r="I118" s="51" t="s">
        <v>77</v>
      </c>
      <c r="J118" s="52"/>
      <c r="K118" s="53" t="str">
        <f>IF(G118="","",IFERROR(INDEX(Stammdaten!$P$10:$P$69,MATCH(G118,Stammdaten!$N$10:$N$69,0)),"–"))</f>
        <v>Projektmanagement</v>
      </c>
      <c r="L118" s="53" t="str">
        <f>IF(F118="","",IFERROR(INDEX(Stammdaten!$D$10:$D$49,MATCH(F118,Stammdaten!$B$10:$B$49,0)),"–"))</f>
        <v>Fokuszone</v>
      </c>
      <c r="M118" s="54" t="str">
        <f>IF(C118="","",IF(OR(F118="",G118="",I118=""),"unvollständig",IF(I118="Storniert","storniert",IF(WEEKDAY(C118,2)&gt;5,"Wochenende",IF(COUNTIF(Stammdaten!$AD$10:$AD$30,C118)&gt;0,"Feiertag",IF(IFERROR(INDEX(Stammdaten!$I$10:$I$49,MATCH(F118,Stammdaten!$B$10:$B$49,0)),"")="Gesperrt","Platz gesperrt",IF(AND(COUNTIF($P$6:$P$605,P118)&gt;1,NOT(AND(COUNTIF($P$6:$P$605,P118)=2,COUNTIFS($P$6:$P$605,P118,$H$6:$H$605,"Vormittag")=1,COUNTIFS($P$6:$P$605,P118,$H$6:$H$605,"Nachmittag")=1))),"Doppelbuchung",IF(AND(COUNTIF($R$6:$R$605,R118)&gt;1,NOT(AND(COUNTIF($R$6:$R$605,R118)=2,COUNTIFS($R$6:$R$605,R118,$H$6:$H$605,"Vormittag")=1,COUNTIFS($R$6:$R$605,R118,$H$6:$H$605,"Nachmittag")=1))),"Person doppelt","OK"))))))))</f>
        <v>OK</v>
      </c>
      <c r="O118" s="55">
        <f t="shared" si="10"/>
        <v>1</v>
      </c>
      <c r="P118" s="55" t="str">
        <f t="shared" si="11"/>
        <v>A-10|46301</v>
      </c>
      <c r="Q118" s="55" t="str">
        <f>IF(P118="","",P118&amp;"|"&amp;COUNTIF(P$6:P118,P118))</f>
        <v>A-10|46301|1</v>
      </c>
      <c r="R118" s="55" t="str">
        <f t="shared" si="12"/>
        <v>Isabel Marx|46301</v>
      </c>
      <c r="S118" s="55" t="str">
        <f>IF(R118="","",R118&amp;"|"&amp;COUNTIF(R$6:R118,R118))</f>
        <v>Isabel Marx|46301|1</v>
      </c>
      <c r="T118" s="55" t="str">
        <f>IF(G118="","",IFERROR(INDEX(Stammdaten!$O$10:$O$69,MATCH(G118,Stammdaten!$N$10:$N$69,0)),G118)&amp;IF(H118="Vormittag"," (VM)",IF(H118="Nachmittag"," (NM)",""))&amp;IF(I118="Angefragt"," ?",""))</f>
        <v>I. Marx</v>
      </c>
      <c r="U118" s="55" t="str">
        <f t="shared" si="13"/>
        <v>A-10</v>
      </c>
    </row>
    <row r="119" spans="2:21" ht="16.5" customHeight="1" x14ac:dyDescent="0.25">
      <c r="B119" s="47">
        <f t="shared" si="7"/>
        <v>114</v>
      </c>
      <c r="C119" s="48">
        <v>46301</v>
      </c>
      <c r="D119" s="49" t="str">
        <f t="shared" si="8"/>
        <v>Di</v>
      </c>
      <c r="E119" s="50">
        <f t="shared" si="9"/>
        <v>41</v>
      </c>
      <c r="F119" s="51" t="s">
        <v>88</v>
      </c>
      <c r="G119" s="52" t="s">
        <v>89</v>
      </c>
      <c r="H119" s="51" t="s">
        <v>76</v>
      </c>
      <c r="I119" s="51" t="s">
        <v>77</v>
      </c>
      <c r="J119" s="52"/>
      <c r="K119" s="53" t="str">
        <f>IF(G119="","",IFERROR(INDEX(Stammdaten!$P$10:$P$69,MATCH(G119,Stammdaten!$N$10:$N$69,0)),"–"))</f>
        <v>Projektmanagement</v>
      </c>
      <c r="L119" s="53" t="str">
        <f>IF(F119="","",IFERROR(INDEX(Stammdaten!$D$10:$D$49,MATCH(F119,Stammdaten!$B$10:$B$49,0)),"–"))</f>
        <v>Fokuszone</v>
      </c>
      <c r="M119" s="54" t="str">
        <f>IF(C119="","",IF(OR(F119="",G119="",I119=""),"unvollständig",IF(I119="Storniert","storniert",IF(WEEKDAY(C119,2)&gt;5,"Wochenende",IF(COUNTIF(Stammdaten!$AD$10:$AD$30,C119)&gt;0,"Feiertag",IF(IFERROR(INDEX(Stammdaten!$I$10:$I$49,MATCH(F119,Stammdaten!$B$10:$B$49,0)),"")="Gesperrt","Platz gesperrt",IF(AND(COUNTIF($P$6:$P$605,P119)&gt;1,NOT(AND(COUNTIF($P$6:$P$605,P119)=2,COUNTIFS($P$6:$P$605,P119,$H$6:$H$605,"Vormittag")=1,COUNTIFS($P$6:$P$605,P119,$H$6:$H$605,"Nachmittag")=1))),"Doppelbuchung",IF(AND(COUNTIF($R$6:$R$605,R119)&gt;1,NOT(AND(COUNTIF($R$6:$R$605,R119)=2,COUNTIFS($R$6:$R$605,R119,$H$6:$H$605,"Vormittag")=1,COUNTIFS($R$6:$R$605,R119,$H$6:$H$605,"Nachmittag")=1))),"Person doppelt","OK"))))))))</f>
        <v>OK</v>
      </c>
      <c r="O119" s="55">
        <f t="shared" si="10"/>
        <v>1</v>
      </c>
      <c r="P119" s="55" t="str">
        <f t="shared" si="11"/>
        <v>A-11|46301</v>
      </c>
      <c r="Q119" s="55" t="str">
        <f>IF(P119="","",P119&amp;"|"&amp;COUNTIF(P$6:P119,P119))</f>
        <v>A-11|46301|1</v>
      </c>
      <c r="R119" s="55" t="str">
        <f t="shared" si="12"/>
        <v>Theresa Jung|46301</v>
      </c>
      <c r="S119" s="55" t="str">
        <f>IF(R119="","",R119&amp;"|"&amp;COUNTIF(R$6:R119,R119))</f>
        <v>Theresa Jung|46301|1</v>
      </c>
      <c r="T119" s="55" t="str">
        <f>IF(G119="","",IFERROR(INDEX(Stammdaten!$O$10:$O$69,MATCH(G119,Stammdaten!$N$10:$N$69,0)),G119)&amp;IF(H119="Vormittag"," (VM)",IF(H119="Nachmittag"," (NM)",""))&amp;IF(I119="Angefragt"," ?",""))</f>
        <v>T. Jung</v>
      </c>
      <c r="U119" s="55" t="str">
        <f t="shared" si="13"/>
        <v>A-11</v>
      </c>
    </row>
    <row r="120" spans="2:21" ht="16.5" customHeight="1" x14ac:dyDescent="0.25">
      <c r="B120" s="47">
        <f t="shared" si="7"/>
        <v>115</v>
      </c>
      <c r="C120" s="48">
        <v>46301</v>
      </c>
      <c r="D120" s="49" t="str">
        <f t="shared" si="8"/>
        <v>Di</v>
      </c>
      <c r="E120" s="50">
        <f t="shared" si="9"/>
        <v>41</v>
      </c>
      <c r="F120" s="51" t="s">
        <v>90</v>
      </c>
      <c r="G120" s="52" t="s">
        <v>101</v>
      </c>
      <c r="H120" s="51" t="s">
        <v>76</v>
      </c>
      <c r="I120" s="51" t="s">
        <v>77</v>
      </c>
      <c r="J120" s="52"/>
      <c r="K120" s="53" t="str">
        <f>IF(G120="","",IFERROR(INDEX(Stammdaten!$P$10:$P$69,MATCH(G120,Stammdaten!$N$10:$N$69,0)),"–"))</f>
        <v>IT</v>
      </c>
      <c r="L120" s="53" t="str">
        <f>IF(F120="","",IFERROR(INDEX(Stammdaten!$D$10:$D$49,MATCH(F120,Stammdaten!$B$10:$B$49,0)),"–"))</f>
        <v>Fokuszone</v>
      </c>
      <c r="M120" s="54" t="str">
        <f>IF(C120="","",IF(OR(F120="",G120="",I120=""),"unvollständig",IF(I120="Storniert","storniert",IF(WEEKDAY(C120,2)&gt;5,"Wochenende",IF(COUNTIF(Stammdaten!$AD$10:$AD$30,C120)&gt;0,"Feiertag",IF(IFERROR(INDEX(Stammdaten!$I$10:$I$49,MATCH(F120,Stammdaten!$B$10:$B$49,0)),"")="Gesperrt","Platz gesperrt",IF(AND(COUNTIF($P$6:$P$605,P120)&gt;1,NOT(AND(COUNTIF($P$6:$P$605,P120)=2,COUNTIFS($P$6:$P$605,P120,$H$6:$H$605,"Vormittag")=1,COUNTIFS($P$6:$P$605,P120,$H$6:$H$605,"Nachmittag")=1))),"Doppelbuchung",IF(AND(COUNTIF($R$6:$R$605,R120)&gt;1,NOT(AND(COUNTIF($R$6:$R$605,R120)=2,COUNTIFS($R$6:$R$605,R120,$H$6:$H$605,"Vormittag")=1,COUNTIFS($R$6:$R$605,R120,$H$6:$H$605,"Nachmittag")=1))),"Person doppelt","OK"))))))))</f>
        <v>OK</v>
      </c>
      <c r="O120" s="55">
        <f t="shared" si="10"/>
        <v>1</v>
      </c>
      <c r="P120" s="55" t="str">
        <f t="shared" si="11"/>
        <v>A-12|46301</v>
      </c>
      <c r="Q120" s="55" t="str">
        <f>IF(P120="","",P120&amp;"|"&amp;COUNTIF(P$6:P120,P120))</f>
        <v>A-12|46301|1</v>
      </c>
      <c r="R120" s="55" t="str">
        <f t="shared" si="12"/>
        <v>Daniel Ritter|46301</v>
      </c>
      <c r="S120" s="55" t="str">
        <f>IF(R120="","",R120&amp;"|"&amp;COUNTIF(R$6:R120,R120))</f>
        <v>Daniel Ritter|46301|1</v>
      </c>
      <c r="T120" s="55" t="str">
        <f>IF(G120="","",IFERROR(INDEX(Stammdaten!$O$10:$O$69,MATCH(G120,Stammdaten!$N$10:$N$69,0)),G120)&amp;IF(H120="Vormittag"," (VM)",IF(H120="Nachmittag"," (NM)",""))&amp;IF(I120="Angefragt"," ?",""))</f>
        <v>D. Ritter</v>
      </c>
      <c r="U120" s="55" t="str">
        <f t="shared" si="13"/>
        <v>A-12</v>
      </c>
    </row>
    <row r="121" spans="2:21" ht="16.5" customHeight="1" x14ac:dyDescent="0.25">
      <c r="B121" s="47">
        <f t="shared" si="7"/>
        <v>116</v>
      </c>
      <c r="C121" s="48">
        <v>46301</v>
      </c>
      <c r="D121" s="49" t="str">
        <f t="shared" si="8"/>
        <v>Di</v>
      </c>
      <c r="E121" s="50">
        <f t="shared" si="9"/>
        <v>41</v>
      </c>
      <c r="F121" s="51" t="s">
        <v>92</v>
      </c>
      <c r="G121" s="52" t="s">
        <v>93</v>
      </c>
      <c r="H121" s="51" t="s">
        <v>76</v>
      </c>
      <c r="I121" s="51" t="s">
        <v>77</v>
      </c>
      <c r="J121" s="52"/>
      <c r="K121" s="53" t="str">
        <f>IF(G121="","",IFERROR(INDEX(Stammdaten!$P$10:$P$69,MATCH(G121,Stammdaten!$N$10:$N$69,0)),"–"))</f>
        <v>Finanzen</v>
      </c>
      <c r="L121" s="53" t="str">
        <f>IF(F121="","",IFERROR(INDEX(Stammdaten!$D$10:$D$49,MATCH(F121,Stammdaten!$B$10:$B$49,0)),"–"))</f>
        <v>Teamzone Süd</v>
      </c>
      <c r="M121" s="54" t="str">
        <f>IF(C121="","",IF(OR(F121="",G121="",I121=""),"unvollständig",IF(I121="Storniert","storniert",IF(WEEKDAY(C121,2)&gt;5,"Wochenende",IF(COUNTIF(Stammdaten!$AD$10:$AD$30,C121)&gt;0,"Feiertag",IF(IFERROR(INDEX(Stammdaten!$I$10:$I$49,MATCH(F121,Stammdaten!$B$10:$B$49,0)),"")="Gesperrt","Platz gesperrt",IF(AND(COUNTIF($P$6:$P$605,P121)&gt;1,NOT(AND(COUNTIF($P$6:$P$605,P121)=2,COUNTIFS($P$6:$P$605,P121,$H$6:$H$605,"Vormittag")=1,COUNTIFS($P$6:$P$605,P121,$H$6:$H$605,"Nachmittag")=1))),"Doppelbuchung",IF(AND(COUNTIF($R$6:$R$605,R121)&gt;1,NOT(AND(COUNTIF($R$6:$R$605,R121)=2,COUNTIFS($R$6:$R$605,R121,$H$6:$H$605,"Vormittag")=1,COUNTIFS($R$6:$R$605,R121,$H$6:$H$605,"Nachmittag")=1))),"Person doppelt","OK"))))))))</f>
        <v>OK</v>
      </c>
      <c r="O121" s="55">
        <f t="shared" si="10"/>
        <v>1</v>
      </c>
      <c r="P121" s="55" t="str">
        <f t="shared" si="11"/>
        <v>B-01|46301</v>
      </c>
      <c r="Q121" s="55" t="str">
        <f>IF(P121="","",P121&amp;"|"&amp;COUNTIF(P$6:P121,P121))</f>
        <v>B-01|46301|1</v>
      </c>
      <c r="R121" s="55" t="str">
        <f t="shared" si="12"/>
        <v>Sarah Böhm|46301</v>
      </c>
      <c r="S121" s="55" t="str">
        <f>IF(R121="","",R121&amp;"|"&amp;COUNTIF(R$6:R121,R121))</f>
        <v>Sarah Böhm|46301|1</v>
      </c>
      <c r="T121" s="55" t="str">
        <f>IF(G121="","",IFERROR(INDEX(Stammdaten!$O$10:$O$69,MATCH(G121,Stammdaten!$N$10:$N$69,0)),G121)&amp;IF(H121="Vormittag"," (VM)",IF(H121="Nachmittag"," (NM)",""))&amp;IF(I121="Angefragt"," ?",""))</f>
        <v>S. Böhm</v>
      </c>
      <c r="U121" s="55" t="str">
        <f t="shared" si="13"/>
        <v>B-01</v>
      </c>
    </row>
    <row r="122" spans="2:21" ht="16.5" customHeight="1" x14ac:dyDescent="0.25">
      <c r="B122" s="47">
        <f t="shared" si="7"/>
        <v>117</v>
      </c>
      <c r="C122" s="48">
        <v>46301</v>
      </c>
      <c r="D122" s="49" t="str">
        <f t="shared" si="8"/>
        <v>Di</v>
      </c>
      <c r="E122" s="50">
        <f t="shared" si="9"/>
        <v>41</v>
      </c>
      <c r="F122" s="51" t="s">
        <v>94</v>
      </c>
      <c r="G122" s="52" t="s">
        <v>120</v>
      </c>
      <c r="H122" s="51" t="s">
        <v>76</v>
      </c>
      <c r="I122" s="51" t="s">
        <v>77</v>
      </c>
      <c r="J122" s="52" t="s">
        <v>141</v>
      </c>
      <c r="K122" s="53" t="str">
        <f>IF(G122="","",IFERROR(INDEX(Stammdaten!$P$10:$P$69,MATCH(G122,Stammdaten!$N$10:$N$69,0)),"–"))</f>
        <v>Personal</v>
      </c>
      <c r="L122" s="53" t="str">
        <f>IF(F122="","",IFERROR(INDEX(Stammdaten!$D$10:$D$49,MATCH(F122,Stammdaten!$B$10:$B$49,0)),"–"))</f>
        <v>Teamzone Süd</v>
      </c>
      <c r="M122" s="54" t="str">
        <f>IF(C122="","",IF(OR(F122="",G122="",I122=""),"unvollständig",IF(I122="Storniert","storniert",IF(WEEKDAY(C122,2)&gt;5,"Wochenende",IF(COUNTIF(Stammdaten!$AD$10:$AD$30,C122)&gt;0,"Feiertag",IF(IFERROR(INDEX(Stammdaten!$I$10:$I$49,MATCH(F122,Stammdaten!$B$10:$B$49,0)),"")="Gesperrt","Platz gesperrt",IF(AND(COUNTIF($P$6:$P$605,P122)&gt;1,NOT(AND(COUNTIF($P$6:$P$605,P122)=2,COUNTIFS($P$6:$P$605,P122,$H$6:$H$605,"Vormittag")=1,COUNTIFS($P$6:$P$605,P122,$H$6:$H$605,"Nachmittag")=1))),"Doppelbuchung",IF(AND(COUNTIF($R$6:$R$605,R122)&gt;1,NOT(AND(COUNTIF($R$6:$R$605,R122)=2,COUNTIFS($R$6:$R$605,R122,$H$6:$H$605,"Vormittag")=1,COUNTIFS($R$6:$R$605,R122,$H$6:$H$605,"Nachmittag")=1))),"Person doppelt","OK"))))))))</f>
        <v>OK</v>
      </c>
      <c r="O122" s="55">
        <f t="shared" si="10"/>
        <v>1</v>
      </c>
      <c r="P122" s="55" t="str">
        <f t="shared" si="11"/>
        <v>B-02|46301</v>
      </c>
      <c r="Q122" s="55" t="str">
        <f>IF(P122="","",P122&amp;"|"&amp;COUNTIF(P$6:P122,P122))</f>
        <v>B-02|46301|1</v>
      </c>
      <c r="R122" s="55" t="str">
        <f t="shared" si="12"/>
        <v>Elif Yilmaz|46301</v>
      </c>
      <c r="S122" s="55" t="str">
        <f>IF(R122="","",R122&amp;"|"&amp;COUNTIF(R$6:R122,R122))</f>
        <v>Elif Yilmaz|46301|1</v>
      </c>
      <c r="T122" s="55" t="str">
        <f>IF(G122="","",IFERROR(INDEX(Stammdaten!$O$10:$O$69,MATCH(G122,Stammdaten!$N$10:$N$69,0)),G122)&amp;IF(H122="Vormittag"," (VM)",IF(H122="Nachmittag"," (NM)",""))&amp;IF(I122="Angefragt"," ?",""))</f>
        <v>E. Yilmaz</v>
      </c>
      <c r="U122" s="55" t="str">
        <f t="shared" si="13"/>
        <v>B-02</v>
      </c>
    </row>
    <row r="123" spans="2:21" ht="16.5" customHeight="1" x14ac:dyDescent="0.25">
      <c r="B123" s="47">
        <f t="shared" si="7"/>
        <v>118</v>
      </c>
      <c r="C123" s="48">
        <v>46301</v>
      </c>
      <c r="D123" s="49" t="str">
        <f t="shared" si="8"/>
        <v>Di</v>
      </c>
      <c r="E123" s="50">
        <f t="shared" si="9"/>
        <v>41</v>
      </c>
      <c r="F123" s="51" t="s">
        <v>117</v>
      </c>
      <c r="G123" s="52" t="s">
        <v>116</v>
      </c>
      <c r="H123" s="51" t="s">
        <v>76</v>
      </c>
      <c r="I123" s="51" t="s">
        <v>77</v>
      </c>
      <c r="J123" s="52"/>
      <c r="K123" s="53" t="str">
        <f>IF(G123="","",IFERROR(INDEX(Stammdaten!$P$10:$P$69,MATCH(G123,Stammdaten!$N$10:$N$69,0)),"–"))</f>
        <v>Finanzen</v>
      </c>
      <c r="L123" s="53" t="str">
        <f>IF(F123="","",IFERROR(INDEX(Stammdaten!$D$10:$D$49,MATCH(F123,Stammdaten!$B$10:$B$49,0)),"–"))</f>
        <v>Teamzone Süd</v>
      </c>
      <c r="M123" s="54" t="str">
        <f>IF(C123="","",IF(OR(F123="",G123="",I123=""),"unvollständig",IF(I123="Storniert","storniert",IF(WEEKDAY(C123,2)&gt;5,"Wochenende",IF(COUNTIF(Stammdaten!$AD$10:$AD$30,C123)&gt;0,"Feiertag",IF(IFERROR(INDEX(Stammdaten!$I$10:$I$49,MATCH(F123,Stammdaten!$B$10:$B$49,0)),"")="Gesperrt","Platz gesperrt",IF(AND(COUNTIF($P$6:$P$605,P123)&gt;1,NOT(AND(COUNTIF($P$6:$P$605,P123)=2,COUNTIFS($P$6:$P$605,P123,$H$6:$H$605,"Vormittag")=1,COUNTIFS($P$6:$P$605,P123,$H$6:$H$605,"Nachmittag")=1))),"Doppelbuchung",IF(AND(COUNTIF($R$6:$R$605,R123)&gt;1,NOT(AND(COUNTIF($R$6:$R$605,R123)=2,COUNTIFS($R$6:$R$605,R123,$H$6:$H$605,"Vormittag")=1,COUNTIFS($R$6:$R$605,R123,$H$6:$H$605,"Nachmittag")=1))),"Person doppelt","OK"))))))))</f>
        <v>OK</v>
      </c>
      <c r="O123" s="55">
        <f t="shared" si="10"/>
        <v>1</v>
      </c>
      <c r="P123" s="55" t="str">
        <f t="shared" si="11"/>
        <v>B-03|46301</v>
      </c>
      <c r="Q123" s="55" t="str">
        <f>IF(P123="","",P123&amp;"|"&amp;COUNTIF(P$6:P123,P123))</f>
        <v>B-03|46301|1</v>
      </c>
      <c r="R123" s="55" t="str">
        <f t="shared" si="12"/>
        <v>Julia Herrmann|46301</v>
      </c>
      <c r="S123" s="55" t="str">
        <f>IF(R123="","",R123&amp;"|"&amp;COUNTIF(R$6:R123,R123))</f>
        <v>Julia Herrmann|46301|1</v>
      </c>
      <c r="T123" s="55" t="str">
        <f>IF(G123="","",IFERROR(INDEX(Stammdaten!$O$10:$O$69,MATCH(G123,Stammdaten!$N$10:$N$69,0)),G123)&amp;IF(H123="Vormittag"," (VM)",IF(H123="Nachmittag"," (NM)",""))&amp;IF(I123="Angefragt"," ?",""))</f>
        <v>J. Herrmann</v>
      </c>
      <c r="U123" s="55" t="str">
        <f t="shared" si="13"/>
        <v>B-03</v>
      </c>
    </row>
    <row r="124" spans="2:21" ht="16.5" customHeight="1" x14ac:dyDescent="0.25">
      <c r="B124" s="47">
        <f t="shared" si="7"/>
        <v>119</v>
      </c>
      <c r="C124" s="48">
        <v>46301</v>
      </c>
      <c r="D124" s="49" t="str">
        <f t="shared" si="8"/>
        <v>Di</v>
      </c>
      <c r="E124" s="50">
        <f t="shared" si="9"/>
        <v>41</v>
      </c>
      <c r="F124" s="51" t="s">
        <v>119</v>
      </c>
      <c r="G124" s="52" t="s">
        <v>95</v>
      </c>
      <c r="H124" s="51" t="s">
        <v>76</v>
      </c>
      <c r="I124" s="51" t="s">
        <v>77</v>
      </c>
      <c r="J124" s="52"/>
      <c r="K124" s="53" t="str">
        <f>IF(G124="","",IFERROR(INDEX(Stammdaten!$P$10:$P$69,MATCH(G124,Stammdaten!$N$10:$N$69,0)),"–"))</f>
        <v>Finanzen</v>
      </c>
      <c r="L124" s="53" t="str">
        <f>IF(F124="","",IFERROR(INDEX(Stammdaten!$D$10:$D$49,MATCH(F124,Stammdaten!$B$10:$B$49,0)),"–"))</f>
        <v>Teamzone Süd</v>
      </c>
      <c r="M124" s="54" t="str">
        <f>IF(C124="","",IF(OR(F124="",G124="",I124=""),"unvollständig",IF(I124="Storniert","storniert",IF(WEEKDAY(C124,2)&gt;5,"Wochenende",IF(COUNTIF(Stammdaten!$AD$10:$AD$30,C124)&gt;0,"Feiertag",IF(IFERROR(INDEX(Stammdaten!$I$10:$I$49,MATCH(F124,Stammdaten!$B$10:$B$49,0)),"")="Gesperrt","Platz gesperrt",IF(AND(COUNTIF($P$6:$P$605,P124)&gt;1,NOT(AND(COUNTIF($P$6:$P$605,P124)=2,COUNTIFS($P$6:$P$605,P124,$H$6:$H$605,"Vormittag")=1,COUNTIFS($P$6:$P$605,P124,$H$6:$H$605,"Nachmittag")=1))),"Doppelbuchung",IF(AND(COUNTIF($R$6:$R$605,R124)&gt;1,NOT(AND(COUNTIF($R$6:$R$605,R124)=2,COUNTIFS($R$6:$R$605,R124,$H$6:$H$605,"Vormittag")=1,COUNTIFS($R$6:$R$605,R124,$H$6:$H$605,"Nachmittag")=1))),"Person doppelt","OK"))))))))</f>
        <v>OK</v>
      </c>
      <c r="O124" s="55">
        <f t="shared" si="10"/>
        <v>1</v>
      </c>
      <c r="P124" s="55" t="str">
        <f t="shared" si="11"/>
        <v>B-04|46301</v>
      </c>
      <c r="Q124" s="55" t="str">
        <f>IF(P124="","",P124&amp;"|"&amp;COUNTIF(P$6:P124,P124))</f>
        <v>B-04|46301|1</v>
      </c>
      <c r="R124" s="55" t="str">
        <f t="shared" si="12"/>
        <v>Hanna Roth|46301</v>
      </c>
      <c r="S124" s="55" t="str">
        <f>IF(R124="","",R124&amp;"|"&amp;COUNTIF(R$6:R124,R124))</f>
        <v>Hanna Roth|46301|1</v>
      </c>
      <c r="T124" s="55" t="str">
        <f>IF(G124="","",IFERROR(INDEX(Stammdaten!$O$10:$O$69,MATCH(G124,Stammdaten!$N$10:$N$69,0)),G124)&amp;IF(H124="Vormittag"," (VM)",IF(H124="Nachmittag"," (NM)",""))&amp;IF(I124="Angefragt"," ?",""))</f>
        <v>H. Roth</v>
      </c>
      <c r="U124" s="55" t="str">
        <f t="shared" si="13"/>
        <v>B-04</v>
      </c>
    </row>
    <row r="125" spans="2:21" ht="16.5" customHeight="1" x14ac:dyDescent="0.25">
      <c r="B125" s="47">
        <f t="shared" si="7"/>
        <v>120</v>
      </c>
      <c r="C125" s="48">
        <v>46301</v>
      </c>
      <c r="D125" s="49" t="str">
        <f t="shared" si="8"/>
        <v>Di</v>
      </c>
      <c r="E125" s="50">
        <f t="shared" si="9"/>
        <v>41</v>
      </c>
      <c r="F125" s="51" t="s">
        <v>121</v>
      </c>
      <c r="G125" s="52" t="s">
        <v>122</v>
      </c>
      <c r="H125" s="51" t="s">
        <v>76</v>
      </c>
      <c r="I125" s="51" t="s">
        <v>77</v>
      </c>
      <c r="J125" s="52"/>
      <c r="K125" s="53" t="str">
        <f>IF(G125="","",IFERROR(INDEX(Stammdaten!$P$10:$P$69,MATCH(G125,Stammdaten!$N$10:$N$69,0)),"–"))</f>
        <v>Personal</v>
      </c>
      <c r="L125" s="53" t="str">
        <f>IF(F125="","",IFERROR(INDEX(Stammdaten!$D$10:$D$49,MATCH(F125,Stammdaten!$B$10:$B$49,0)),"–"))</f>
        <v>Teamzone Süd</v>
      </c>
      <c r="M125" s="54" t="str">
        <f>IF(C125="","",IF(OR(F125="",G125="",I125=""),"unvollständig",IF(I125="Storniert","storniert",IF(WEEKDAY(C125,2)&gt;5,"Wochenende",IF(COUNTIF(Stammdaten!$AD$10:$AD$30,C125)&gt;0,"Feiertag",IF(IFERROR(INDEX(Stammdaten!$I$10:$I$49,MATCH(F125,Stammdaten!$B$10:$B$49,0)),"")="Gesperrt","Platz gesperrt",IF(AND(COUNTIF($P$6:$P$605,P125)&gt;1,NOT(AND(COUNTIF($P$6:$P$605,P125)=2,COUNTIFS($P$6:$P$605,P125,$H$6:$H$605,"Vormittag")=1,COUNTIFS($P$6:$P$605,P125,$H$6:$H$605,"Nachmittag")=1))),"Doppelbuchung",IF(AND(COUNTIF($R$6:$R$605,R125)&gt;1,NOT(AND(COUNTIF($R$6:$R$605,R125)=2,COUNTIFS($R$6:$R$605,R125,$H$6:$H$605,"Vormittag")=1,COUNTIFS($R$6:$R$605,R125,$H$6:$H$605,"Nachmittag")=1))),"Person doppelt","OK"))))))))</f>
        <v>OK</v>
      </c>
      <c r="O125" s="55">
        <f t="shared" si="10"/>
        <v>1</v>
      </c>
      <c r="P125" s="55" t="str">
        <f t="shared" si="11"/>
        <v>B-05|46301</v>
      </c>
      <c r="Q125" s="55" t="str">
        <f>IF(P125="","",P125&amp;"|"&amp;COUNTIF(P$6:P125,P125))</f>
        <v>B-05|46301|1</v>
      </c>
      <c r="R125" s="55" t="str">
        <f t="shared" si="12"/>
        <v>Niklas Wolf|46301</v>
      </c>
      <c r="S125" s="55" t="str">
        <f>IF(R125="","",R125&amp;"|"&amp;COUNTIF(R$6:R125,R125))</f>
        <v>Niklas Wolf|46301|1</v>
      </c>
      <c r="T125" s="55" t="str">
        <f>IF(G125="","",IFERROR(INDEX(Stammdaten!$O$10:$O$69,MATCH(G125,Stammdaten!$N$10:$N$69,0)),G125)&amp;IF(H125="Vormittag"," (VM)",IF(H125="Nachmittag"," (NM)",""))&amp;IF(I125="Angefragt"," ?",""))</f>
        <v>N. Wolf</v>
      </c>
      <c r="U125" s="55" t="str">
        <f t="shared" si="13"/>
        <v>B-05</v>
      </c>
    </row>
    <row r="126" spans="2:21" ht="16.5" customHeight="1" x14ac:dyDescent="0.25">
      <c r="B126" s="47">
        <f t="shared" si="7"/>
        <v>121</v>
      </c>
      <c r="C126" s="48">
        <v>46301</v>
      </c>
      <c r="D126" s="49" t="str">
        <f t="shared" si="8"/>
        <v>Di</v>
      </c>
      <c r="E126" s="50">
        <f t="shared" si="9"/>
        <v>41</v>
      </c>
      <c r="F126" s="51" t="s">
        <v>96</v>
      </c>
      <c r="G126" s="52" t="s">
        <v>118</v>
      </c>
      <c r="H126" s="51" t="s">
        <v>76</v>
      </c>
      <c r="I126" s="51" t="s">
        <v>77</v>
      </c>
      <c r="J126" s="52"/>
      <c r="K126" s="53" t="str">
        <f>IF(G126="","",IFERROR(INDEX(Stammdaten!$P$10:$P$69,MATCH(G126,Stammdaten!$N$10:$N$69,0)),"–"))</f>
        <v>Personal</v>
      </c>
      <c r="L126" s="53" t="str">
        <f>IF(F126="","",IFERROR(INDEX(Stammdaten!$D$10:$D$49,MATCH(F126,Stammdaten!$B$10:$B$49,0)),"–"))</f>
        <v>Teamzone Süd</v>
      </c>
      <c r="M126" s="54" t="str">
        <f>IF(C126="","",IF(OR(F126="",G126="",I126=""),"unvollständig",IF(I126="Storniert","storniert",IF(WEEKDAY(C126,2)&gt;5,"Wochenende",IF(COUNTIF(Stammdaten!$AD$10:$AD$30,C126)&gt;0,"Feiertag",IF(IFERROR(INDEX(Stammdaten!$I$10:$I$49,MATCH(F126,Stammdaten!$B$10:$B$49,0)),"")="Gesperrt","Platz gesperrt",IF(AND(COUNTIF($P$6:$P$605,P126)&gt;1,NOT(AND(COUNTIF($P$6:$P$605,P126)=2,COUNTIFS($P$6:$P$605,P126,$H$6:$H$605,"Vormittag")=1,COUNTIFS($P$6:$P$605,P126,$H$6:$H$605,"Nachmittag")=1))),"Doppelbuchung",IF(AND(COUNTIF($R$6:$R$605,R126)&gt;1,NOT(AND(COUNTIF($R$6:$R$605,R126)=2,COUNTIFS($R$6:$R$605,R126,$H$6:$H$605,"Vormittag")=1,COUNTIFS($R$6:$R$605,R126,$H$6:$H$605,"Nachmittag")=1))),"Person doppelt","OK"))))))))</f>
        <v>OK</v>
      </c>
      <c r="O126" s="55">
        <f t="shared" si="10"/>
        <v>1</v>
      </c>
      <c r="P126" s="55" t="str">
        <f t="shared" si="11"/>
        <v>B-06|46301</v>
      </c>
      <c r="Q126" s="55" t="str">
        <f>IF(P126="","",P126&amp;"|"&amp;COUNTIF(P$6:P126,P126))</f>
        <v>B-06|46301|1</v>
      </c>
      <c r="R126" s="55" t="str">
        <f t="shared" si="12"/>
        <v>Anna Lorenz|46301</v>
      </c>
      <c r="S126" s="55" t="str">
        <f>IF(R126="","",R126&amp;"|"&amp;COUNTIF(R$6:R126,R126))</f>
        <v>Anna Lorenz|46301|1</v>
      </c>
      <c r="T126" s="55" t="str">
        <f>IF(G126="","",IFERROR(INDEX(Stammdaten!$O$10:$O$69,MATCH(G126,Stammdaten!$N$10:$N$69,0)),G126)&amp;IF(H126="Vormittag"," (VM)",IF(H126="Nachmittag"," (NM)",""))&amp;IF(I126="Angefragt"," ?",""))</f>
        <v>A. Lorenz</v>
      </c>
      <c r="U126" s="55" t="str">
        <f t="shared" si="13"/>
        <v>B-06</v>
      </c>
    </row>
    <row r="127" spans="2:21" ht="16.5" customHeight="1" x14ac:dyDescent="0.25">
      <c r="B127" s="47">
        <f t="shared" si="7"/>
        <v>122</v>
      </c>
      <c r="C127" s="48">
        <v>46301</v>
      </c>
      <c r="D127" s="49" t="str">
        <f t="shared" si="8"/>
        <v>Di</v>
      </c>
      <c r="E127" s="50">
        <f t="shared" si="9"/>
        <v>41</v>
      </c>
      <c r="F127" s="51" t="s">
        <v>98</v>
      </c>
      <c r="G127" s="52" t="s">
        <v>131</v>
      </c>
      <c r="H127" s="51" t="s">
        <v>76</v>
      </c>
      <c r="I127" s="51" t="s">
        <v>77</v>
      </c>
      <c r="J127" s="52"/>
      <c r="K127" s="53" t="str">
        <f>IF(G127="","",IFERROR(INDEX(Stammdaten!$P$10:$P$69,MATCH(G127,Stammdaten!$N$10:$N$69,0)),"–"))</f>
        <v>Finanzen</v>
      </c>
      <c r="L127" s="53" t="str">
        <f>IF(F127="","",IFERROR(INDEX(Stammdaten!$D$10:$D$49,MATCH(F127,Stammdaten!$B$10:$B$49,0)),"–"))</f>
        <v>Teamzone Süd</v>
      </c>
      <c r="M127" s="54" t="str">
        <f>IF(C127="","",IF(OR(F127="",G127="",I127=""),"unvollständig",IF(I127="Storniert","storniert",IF(WEEKDAY(C127,2)&gt;5,"Wochenende",IF(COUNTIF(Stammdaten!$AD$10:$AD$30,C127)&gt;0,"Feiertag",IF(IFERROR(INDEX(Stammdaten!$I$10:$I$49,MATCH(F127,Stammdaten!$B$10:$B$49,0)),"")="Gesperrt","Platz gesperrt",IF(AND(COUNTIF($P$6:$P$605,P127)&gt;1,NOT(AND(COUNTIF($P$6:$P$605,P127)=2,COUNTIFS($P$6:$P$605,P127,$H$6:$H$605,"Vormittag")=1,COUNTIFS($P$6:$P$605,P127,$H$6:$H$605,"Nachmittag")=1))),"Doppelbuchung",IF(AND(COUNTIF($R$6:$R$605,R127)&gt;1,NOT(AND(COUNTIF($R$6:$R$605,R127)=2,COUNTIFS($R$6:$R$605,R127,$H$6:$H$605,"Vormittag")=1,COUNTIFS($R$6:$R$605,R127,$H$6:$H$605,"Nachmittag")=1))),"Person doppelt","OK"))))))))</f>
        <v>OK</v>
      </c>
      <c r="O127" s="55">
        <f t="shared" si="10"/>
        <v>1</v>
      </c>
      <c r="P127" s="55" t="str">
        <f t="shared" si="11"/>
        <v>B-08|46301</v>
      </c>
      <c r="Q127" s="55" t="str">
        <f>IF(P127="","",P127&amp;"|"&amp;COUNTIF(P$6:P127,P127))</f>
        <v>B-08|46301|1</v>
      </c>
      <c r="R127" s="55" t="str">
        <f t="shared" si="12"/>
        <v>Leon Fuchs|46301</v>
      </c>
      <c r="S127" s="55" t="str">
        <f>IF(R127="","",R127&amp;"|"&amp;COUNTIF(R$6:R127,R127))</f>
        <v>Leon Fuchs|46301|1</v>
      </c>
      <c r="T127" s="55" t="str">
        <f>IF(G127="","",IFERROR(INDEX(Stammdaten!$O$10:$O$69,MATCH(G127,Stammdaten!$N$10:$N$69,0)),G127)&amp;IF(H127="Vormittag"," (VM)",IF(H127="Nachmittag"," (NM)",""))&amp;IF(I127="Angefragt"," ?",""))</f>
        <v>L. Fuchs</v>
      </c>
      <c r="U127" s="55" t="str">
        <f t="shared" si="13"/>
        <v>B-08</v>
      </c>
    </row>
    <row r="128" spans="2:21" ht="16.5" customHeight="1" x14ac:dyDescent="0.25">
      <c r="B128" s="47">
        <f t="shared" si="7"/>
        <v>123</v>
      </c>
      <c r="C128" s="48">
        <v>46301</v>
      </c>
      <c r="D128" s="49" t="str">
        <f t="shared" si="8"/>
        <v>Di</v>
      </c>
      <c r="E128" s="50">
        <f t="shared" si="9"/>
        <v>41</v>
      </c>
      <c r="F128" s="51" t="s">
        <v>100</v>
      </c>
      <c r="G128" s="52" t="s">
        <v>105</v>
      </c>
      <c r="H128" s="51" t="s">
        <v>76</v>
      </c>
      <c r="I128" s="51" t="s">
        <v>77</v>
      </c>
      <c r="J128" s="52"/>
      <c r="K128" s="53" t="str">
        <f>IF(G128="","",IFERROR(INDEX(Stammdaten!$P$10:$P$69,MATCH(G128,Stammdaten!$N$10:$N$69,0)),"–"))</f>
        <v>Projektmanagement</v>
      </c>
      <c r="L128" s="53" t="str">
        <f>IF(F128="","",IFERROR(INDEX(Stammdaten!$D$10:$D$49,MATCH(F128,Stammdaten!$B$10:$B$49,0)),"–"))</f>
        <v>Projektfläche</v>
      </c>
      <c r="M128" s="54" t="str">
        <f>IF(C128="","",IF(OR(F128="",G128="",I128=""),"unvollständig",IF(I128="Storniert","storniert",IF(WEEKDAY(C128,2)&gt;5,"Wochenende",IF(COUNTIF(Stammdaten!$AD$10:$AD$30,C128)&gt;0,"Feiertag",IF(IFERROR(INDEX(Stammdaten!$I$10:$I$49,MATCH(F128,Stammdaten!$B$10:$B$49,0)),"")="Gesperrt","Platz gesperrt",IF(AND(COUNTIF($P$6:$P$605,P128)&gt;1,NOT(AND(COUNTIF($P$6:$P$605,P128)=2,COUNTIFS($P$6:$P$605,P128,$H$6:$H$605,"Vormittag")=1,COUNTIFS($P$6:$P$605,P128,$H$6:$H$605,"Nachmittag")=1))),"Doppelbuchung",IF(AND(COUNTIF($R$6:$R$605,R128)&gt;1,NOT(AND(COUNTIF($R$6:$R$605,R128)=2,COUNTIFS($R$6:$R$605,R128,$H$6:$H$605,"Vormittag")=1,COUNTIFS($R$6:$R$605,R128,$H$6:$H$605,"Nachmittag")=1))),"Person doppelt","OK"))))))))</f>
        <v>OK</v>
      </c>
      <c r="O128" s="55">
        <f t="shared" si="10"/>
        <v>1</v>
      </c>
      <c r="P128" s="55" t="str">
        <f t="shared" si="11"/>
        <v>B-09|46301</v>
      </c>
      <c r="Q128" s="55" t="str">
        <f>IF(P128="","",P128&amp;"|"&amp;COUNTIF(P$6:P128,P128))</f>
        <v>B-09|46301|1</v>
      </c>
      <c r="R128" s="55" t="str">
        <f t="shared" si="12"/>
        <v>Philipp Haas|46301</v>
      </c>
      <c r="S128" s="55" t="str">
        <f>IF(R128="","",R128&amp;"|"&amp;COUNTIF(R$6:R128,R128))</f>
        <v>Philipp Haas|46301|1</v>
      </c>
      <c r="T128" s="55" t="str">
        <f>IF(G128="","",IFERROR(INDEX(Stammdaten!$O$10:$O$69,MATCH(G128,Stammdaten!$N$10:$N$69,0)),G128)&amp;IF(H128="Vormittag"," (VM)",IF(H128="Nachmittag"," (NM)",""))&amp;IF(I128="Angefragt"," ?",""))</f>
        <v>P. Haas</v>
      </c>
      <c r="U128" s="55" t="str">
        <f t="shared" si="13"/>
        <v>B-09</v>
      </c>
    </row>
    <row r="129" spans="2:21" ht="16.5" customHeight="1" x14ac:dyDescent="0.25">
      <c r="B129" s="47">
        <f t="shared" si="7"/>
        <v>124</v>
      </c>
      <c r="C129" s="48">
        <v>46301</v>
      </c>
      <c r="D129" s="49" t="str">
        <f t="shared" si="8"/>
        <v>Di</v>
      </c>
      <c r="E129" s="50">
        <f t="shared" si="9"/>
        <v>41</v>
      </c>
      <c r="F129" s="51" t="s">
        <v>102</v>
      </c>
      <c r="G129" s="52" t="s">
        <v>107</v>
      </c>
      <c r="H129" s="51" t="s">
        <v>76</v>
      </c>
      <c r="I129" s="51" t="s">
        <v>77</v>
      </c>
      <c r="J129" s="52"/>
      <c r="K129" s="53" t="str">
        <f>IF(G129="","",IFERROR(INDEX(Stammdaten!$P$10:$P$69,MATCH(G129,Stammdaten!$N$10:$N$69,0)),"–"))</f>
        <v>IT</v>
      </c>
      <c r="L129" s="53" t="str">
        <f>IF(F129="","",IFERROR(INDEX(Stammdaten!$D$10:$D$49,MATCH(F129,Stammdaten!$B$10:$B$49,0)),"–"))</f>
        <v>Projektfläche</v>
      </c>
      <c r="M129" s="54" t="str">
        <f>IF(C129="","",IF(OR(F129="",G129="",I129=""),"unvollständig",IF(I129="Storniert","storniert",IF(WEEKDAY(C129,2)&gt;5,"Wochenende",IF(COUNTIF(Stammdaten!$AD$10:$AD$30,C129)&gt;0,"Feiertag",IF(IFERROR(INDEX(Stammdaten!$I$10:$I$49,MATCH(F129,Stammdaten!$B$10:$B$49,0)),"")="Gesperrt","Platz gesperrt",IF(AND(COUNTIF($P$6:$P$605,P129)&gt;1,NOT(AND(COUNTIF($P$6:$P$605,P129)=2,COUNTIFS($P$6:$P$605,P129,$H$6:$H$605,"Vormittag")=1,COUNTIFS($P$6:$P$605,P129,$H$6:$H$605,"Nachmittag")=1))),"Doppelbuchung",IF(AND(COUNTIF($R$6:$R$605,R129)&gt;1,NOT(AND(COUNTIF($R$6:$R$605,R129)=2,COUNTIFS($R$6:$R$605,R129,$H$6:$H$605,"Vormittag")=1,COUNTIFS($R$6:$R$605,R129,$H$6:$H$605,"Nachmittag")=1))),"Person doppelt","OK"))))))))</f>
        <v>OK</v>
      </c>
      <c r="O129" s="55">
        <f t="shared" si="10"/>
        <v>1</v>
      </c>
      <c r="P129" s="55" t="str">
        <f t="shared" si="11"/>
        <v>B-10|46301</v>
      </c>
      <c r="Q129" s="55" t="str">
        <f>IF(P129="","",P129&amp;"|"&amp;COUNTIF(P$6:P129,P129))</f>
        <v>B-10|46301|1</v>
      </c>
      <c r="R129" s="55" t="str">
        <f t="shared" si="12"/>
        <v>Katharina Busch|46301</v>
      </c>
      <c r="S129" s="55" t="str">
        <f>IF(R129="","",R129&amp;"|"&amp;COUNTIF(R$6:R129,R129))</f>
        <v>Katharina Busch|46301|1</v>
      </c>
      <c r="T129" s="55" t="str">
        <f>IF(G129="","",IFERROR(INDEX(Stammdaten!$O$10:$O$69,MATCH(G129,Stammdaten!$N$10:$N$69,0)),G129)&amp;IF(H129="Vormittag"," (VM)",IF(H129="Nachmittag"," (NM)",""))&amp;IF(I129="Angefragt"," ?",""))</f>
        <v>K. Busch</v>
      </c>
      <c r="U129" s="55" t="str">
        <f t="shared" si="13"/>
        <v>B-10</v>
      </c>
    </row>
    <row r="130" spans="2:21" ht="16.5" customHeight="1" x14ac:dyDescent="0.25">
      <c r="B130" s="47">
        <f t="shared" si="7"/>
        <v>125</v>
      </c>
      <c r="C130" s="48">
        <v>46301</v>
      </c>
      <c r="D130" s="49" t="str">
        <f t="shared" si="8"/>
        <v>Di</v>
      </c>
      <c r="E130" s="50">
        <f t="shared" si="9"/>
        <v>41</v>
      </c>
      <c r="F130" s="51" t="s">
        <v>104</v>
      </c>
      <c r="G130" s="52" t="s">
        <v>125</v>
      </c>
      <c r="H130" s="51" t="s">
        <v>76</v>
      </c>
      <c r="I130" s="51" t="s">
        <v>77</v>
      </c>
      <c r="J130" s="52"/>
      <c r="K130" s="53" t="str">
        <f>IF(G130="","",IFERROR(INDEX(Stammdaten!$P$10:$P$69,MATCH(G130,Stammdaten!$N$10:$N$69,0)),"–"))</f>
        <v>IT</v>
      </c>
      <c r="L130" s="53" t="str">
        <f>IF(F130="","",IFERROR(INDEX(Stammdaten!$D$10:$D$49,MATCH(F130,Stammdaten!$B$10:$B$49,0)),"–"))</f>
        <v>Projektfläche</v>
      </c>
      <c r="M130" s="54" t="str">
        <f>IF(C130="","",IF(OR(F130="",G130="",I130=""),"unvollständig",IF(I130="Storniert","storniert",IF(WEEKDAY(C130,2)&gt;5,"Wochenende",IF(COUNTIF(Stammdaten!$AD$10:$AD$30,C130)&gt;0,"Feiertag",IF(IFERROR(INDEX(Stammdaten!$I$10:$I$49,MATCH(F130,Stammdaten!$B$10:$B$49,0)),"")="Gesperrt","Platz gesperrt",IF(AND(COUNTIF($P$6:$P$605,P130)&gt;1,NOT(AND(COUNTIF($P$6:$P$605,P130)=2,COUNTIFS($P$6:$P$605,P130,$H$6:$H$605,"Vormittag")=1,COUNTIFS($P$6:$P$605,P130,$H$6:$H$605,"Nachmittag")=1))),"Doppelbuchung",IF(AND(COUNTIF($R$6:$R$605,R130)&gt;1,NOT(AND(COUNTIF($R$6:$R$605,R130)=2,COUNTIFS($R$6:$R$605,R130,$H$6:$H$605,"Vormittag")=1,COUNTIFS($R$6:$R$605,R130,$H$6:$H$605,"Nachmittag")=1))),"Person doppelt","OK"))))))))</f>
        <v>OK</v>
      </c>
      <c r="O130" s="55">
        <f t="shared" si="10"/>
        <v>1</v>
      </c>
      <c r="P130" s="55" t="str">
        <f t="shared" si="11"/>
        <v>B-11|46301</v>
      </c>
      <c r="Q130" s="55" t="str">
        <f>IF(P130="","",P130&amp;"|"&amp;COUNTIF(P$6:P130,P130))</f>
        <v>B-11|46301|1</v>
      </c>
      <c r="R130" s="55" t="str">
        <f t="shared" si="12"/>
        <v>Simon Graf|46301</v>
      </c>
      <c r="S130" s="55" t="str">
        <f>IF(R130="","",R130&amp;"|"&amp;COUNTIF(R$6:R130,R130))</f>
        <v>Simon Graf|46301|1</v>
      </c>
      <c r="T130" s="55" t="str">
        <f>IF(G130="","",IFERROR(INDEX(Stammdaten!$O$10:$O$69,MATCH(G130,Stammdaten!$N$10:$N$69,0)),G130)&amp;IF(H130="Vormittag"," (VM)",IF(H130="Nachmittag"," (NM)",""))&amp;IF(I130="Angefragt"," ?",""))</f>
        <v>S. Graf</v>
      </c>
      <c r="U130" s="55" t="str">
        <f t="shared" si="13"/>
        <v>B-11</v>
      </c>
    </row>
    <row r="131" spans="2:21" ht="16.5" customHeight="1" x14ac:dyDescent="0.25">
      <c r="B131" s="47">
        <f t="shared" si="7"/>
        <v>126</v>
      </c>
      <c r="C131" s="48">
        <v>46301</v>
      </c>
      <c r="D131" s="49" t="str">
        <f t="shared" si="8"/>
        <v>Di</v>
      </c>
      <c r="E131" s="50">
        <f t="shared" si="9"/>
        <v>41</v>
      </c>
      <c r="F131" s="51" t="s">
        <v>106</v>
      </c>
      <c r="G131" s="52" t="s">
        <v>130</v>
      </c>
      <c r="H131" s="51" t="s">
        <v>76</v>
      </c>
      <c r="I131" s="51" t="s">
        <v>77</v>
      </c>
      <c r="J131" s="52"/>
      <c r="K131" s="53" t="str">
        <f>IF(G131="","",IFERROR(INDEX(Stammdaten!$P$10:$P$69,MATCH(G131,Stammdaten!$N$10:$N$69,0)),"–"))</f>
        <v>Projektmanagement</v>
      </c>
      <c r="L131" s="53" t="str">
        <f>IF(F131="","",IFERROR(INDEX(Stammdaten!$D$10:$D$49,MATCH(F131,Stammdaten!$B$10:$B$49,0)),"–"))</f>
        <v>Projektfläche</v>
      </c>
      <c r="M131" s="54" t="str">
        <f>IF(C131="","",IF(OR(F131="",G131="",I131=""),"unvollständig",IF(I131="Storniert","storniert",IF(WEEKDAY(C131,2)&gt;5,"Wochenende",IF(COUNTIF(Stammdaten!$AD$10:$AD$30,C131)&gt;0,"Feiertag",IF(IFERROR(INDEX(Stammdaten!$I$10:$I$49,MATCH(F131,Stammdaten!$B$10:$B$49,0)),"")="Gesperrt","Platz gesperrt",IF(AND(COUNTIF($P$6:$P$605,P131)&gt;1,NOT(AND(COUNTIF($P$6:$P$605,P131)=2,COUNTIFS($P$6:$P$605,P131,$H$6:$H$605,"Vormittag")=1,COUNTIFS($P$6:$P$605,P131,$H$6:$H$605,"Nachmittag")=1))),"Doppelbuchung",IF(AND(COUNTIF($R$6:$R$605,R131)&gt;1,NOT(AND(COUNTIF($R$6:$R$605,R131)=2,COUNTIFS($R$6:$R$605,R131,$H$6:$H$605,"Vormittag")=1,COUNTIFS($R$6:$R$605,R131,$H$6:$H$605,"Nachmittag")=1))),"Person doppelt","OK"))))))))</f>
        <v>OK</v>
      </c>
      <c r="O131" s="55">
        <f t="shared" si="10"/>
        <v>1</v>
      </c>
      <c r="P131" s="55" t="str">
        <f t="shared" si="11"/>
        <v>B-12|46301</v>
      </c>
      <c r="Q131" s="55" t="str">
        <f>IF(P131="","",P131&amp;"|"&amp;COUNTIF(P$6:P131,P131))</f>
        <v>B-12|46301|1</v>
      </c>
      <c r="R131" s="55" t="str">
        <f t="shared" si="12"/>
        <v>Fabian Ott|46301</v>
      </c>
      <c r="S131" s="55" t="str">
        <f>IF(R131="","",R131&amp;"|"&amp;COUNTIF(R$6:R131,R131))</f>
        <v>Fabian Ott|46301|1</v>
      </c>
      <c r="T131" s="55" t="str">
        <f>IF(G131="","",IFERROR(INDEX(Stammdaten!$O$10:$O$69,MATCH(G131,Stammdaten!$N$10:$N$69,0)),G131)&amp;IF(H131="Vormittag"," (VM)",IF(H131="Nachmittag"," (NM)",""))&amp;IF(I131="Angefragt"," ?",""))</f>
        <v>F. Ott</v>
      </c>
      <c r="U131" s="55" t="str">
        <f t="shared" si="13"/>
        <v>B-12</v>
      </c>
    </row>
    <row r="132" spans="2:21" ht="16.5" customHeight="1" x14ac:dyDescent="0.25">
      <c r="B132" s="47">
        <f t="shared" si="7"/>
        <v>127</v>
      </c>
      <c r="C132" s="48">
        <v>46302</v>
      </c>
      <c r="D132" s="49" t="str">
        <f t="shared" si="8"/>
        <v>Mi</v>
      </c>
      <c r="E132" s="50">
        <f t="shared" si="9"/>
        <v>41</v>
      </c>
      <c r="F132" s="51" t="s">
        <v>74</v>
      </c>
      <c r="G132" s="52" t="s">
        <v>75</v>
      </c>
      <c r="H132" s="51" t="s">
        <v>76</v>
      </c>
      <c r="I132" s="51" t="s">
        <v>77</v>
      </c>
      <c r="J132" s="52"/>
      <c r="K132" s="53" t="str">
        <f>IF(G132="","",IFERROR(INDEX(Stammdaten!$P$10:$P$69,MATCH(G132,Stammdaten!$N$10:$N$69,0)),"–"))</f>
        <v>Marketing</v>
      </c>
      <c r="L132" s="53" t="str">
        <f>IF(F132="","",IFERROR(INDEX(Stammdaten!$D$10:$D$49,MATCH(F132,Stammdaten!$B$10:$B$49,0)),"–"))</f>
        <v>Teamzone Nord</v>
      </c>
      <c r="M132" s="54" t="str">
        <f>IF(C132="","",IF(OR(F132="",G132="",I132=""),"unvollständig",IF(I132="Storniert","storniert",IF(WEEKDAY(C132,2)&gt;5,"Wochenende",IF(COUNTIF(Stammdaten!$AD$10:$AD$30,C132)&gt;0,"Feiertag",IF(IFERROR(INDEX(Stammdaten!$I$10:$I$49,MATCH(F132,Stammdaten!$B$10:$B$49,0)),"")="Gesperrt","Platz gesperrt",IF(AND(COUNTIF($P$6:$P$605,P132)&gt;1,NOT(AND(COUNTIF($P$6:$P$605,P132)=2,COUNTIFS($P$6:$P$605,P132,$H$6:$H$605,"Vormittag")=1,COUNTIFS($P$6:$P$605,P132,$H$6:$H$605,"Nachmittag")=1))),"Doppelbuchung",IF(AND(COUNTIF($R$6:$R$605,R132)&gt;1,NOT(AND(COUNTIF($R$6:$R$605,R132)=2,COUNTIFS($R$6:$R$605,R132,$H$6:$H$605,"Vormittag")=1,COUNTIFS($R$6:$R$605,R132,$H$6:$H$605,"Nachmittag")=1))),"Person doppelt","OK"))))))))</f>
        <v>OK</v>
      </c>
      <c r="O132" s="55">
        <f t="shared" si="10"/>
        <v>1</v>
      </c>
      <c r="P132" s="55" t="str">
        <f t="shared" si="11"/>
        <v>A-01|46302</v>
      </c>
      <c r="Q132" s="55" t="str">
        <f>IF(P132="","",P132&amp;"|"&amp;COUNTIF(P$6:P132,P132))</f>
        <v>A-01|46302|1</v>
      </c>
      <c r="R132" s="55" t="str">
        <f t="shared" si="12"/>
        <v>Marco Seidel|46302</v>
      </c>
      <c r="S132" s="55" t="str">
        <f>IF(R132="","",R132&amp;"|"&amp;COUNTIF(R$6:R132,R132))</f>
        <v>Marco Seidel|46302|1</v>
      </c>
      <c r="T132" s="55" t="str">
        <f>IF(G132="","",IFERROR(INDEX(Stammdaten!$O$10:$O$69,MATCH(G132,Stammdaten!$N$10:$N$69,0)),G132)&amp;IF(H132="Vormittag"," (VM)",IF(H132="Nachmittag"," (NM)",""))&amp;IF(I132="Angefragt"," ?",""))</f>
        <v>M. Seidel</v>
      </c>
      <c r="U132" s="55" t="str">
        <f t="shared" si="13"/>
        <v>A-01</v>
      </c>
    </row>
    <row r="133" spans="2:21" ht="16.5" customHeight="1" x14ac:dyDescent="0.25">
      <c r="B133" s="47">
        <f t="shared" si="7"/>
        <v>128</v>
      </c>
      <c r="C133" s="48">
        <v>46302</v>
      </c>
      <c r="D133" s="49" t="str">
        <f t="shared" si="8"/>
        <v>Mi</v>
      </c>
      <c r="E133" s="50">
        <f t="shared" si="9"/>
        <v>41</v>
      </c>
      <c r="F133" s="51" t="s">
        <v>78</v>
      </c>
      <c r="G133" s="52" t="s">
        <v>81</v>
      </c>
      <c r="H133" s="51" t="s">
        <v>76</v>
      </c>
      <c r="I133" s="51" t="s">
        <v>77</v>
      </c>
      <c r="J133" s="52"/>
      <c r="K133" s="53" t="str">
        <f>IF(G133="","",IFERROR(INDEX(Stammdaten!$P$10:$P$69,MATCH(G133,Stammdaten!$N$10:$N$69,0)),"–"))</f>
        <v>Vertrieb</v>
      </c>
      <c r="L133" s="53" t="str">
        <f>IF(F133="","",IFERROR(INDEX(Stammdaten!$D$10:$D$49,MATCH(F133,Stammdaten!$B$10:$B$49,0)),"–"))</f>
        <v>Teamzone Nord</v>
      </c>
      <c r="M133" s="54" t="str">
        <f>IF(C133="","",IF(OR(F133="",G133="",I133=""),"unvollständig",IF(I133="Storniert","storniert",IF(WEEKDAY(C133,2)&gt;5,"Wochenende",IF(COUNTIF(Stammdaten!$AD$10:$AD$30,C133)&gt;0,"Feiertag",IF(IFERROR(INDEX(Stammdaten!$I$10:$I$49,MATCH(F133,Stammdaten!$B$10:$B$49,0)),"")="Gesperrt","Platz gesperrt",IF(AND(COUNTIF($P$6:$P$605,P133)&gt;1,NOT(AND(COUNTIF($P$6:$P$605,P133)=2,COUNTIFS($P$6:$P$605,P133,$H$6:$H$605,"Vormittag")=1,COUNTIFS($P$6:$P$605,P133,$H$6:$H$605,"Nachmittag")=1))),"Doppelbuchung",IF(AND(COUNTIF($R$6:$R$605,R133)&gt;1,NOT(AND(COUNTIF($R$6:$R$605,R133)=2,COUNTIFS($R$6:$R$605,R133,$H$6:$H$605,"Vormittag")=1,COUNTIFS($R$6:$R$605,R133,$H$6:$H$605,"Nachmittag")=1))),"Person doppelt","OK"))))))))</f>
        <v>OK</v>
      </c>
      <c r="O133" s="55">
        <f t="shared" si="10"/>
        <v>1</v>
      </c>
      <c r="P133" s="55" t="str">
        <f t="shared" si="11"/>
        <v>A-02|46302</v>
      </c>
      <c r="Q133" s="55" t="str">
        <f>IF(P133="","",P133&amp;"|"&amp;COUNTIF(P$6:P133,P133))</f>
        <v>A-02|46302|1</v>
      </c>
      <c r="R133" s="55" t="str">
        <f t="shared" si="12"/>
        <v>Nina Albrecht|46302</v>
      </c>
      <c r="S133" s="55" t="str">
        <f>IF(R133="","",R133&amp;"|"&amp;COUNTIF(R$6:R133,R133))</f>
        <v>Nina Albrecht|46302|1</v>
      </c>
      <c r="T133" s="55" t="str">
        <f>IF(G133="","",IFERROR(INDEX(Stammdaten!$O$10:$O$69,MATCH(G133,Stammdaten!$N$10:$N$69,0)),G133)&amp;IF(H133="Vormittag"," (VM)",IF(H133="Nachmittag"," (NM)",""))&amp;IF(I133="Angefragt"," ?",""))</f>
        <v>N. Albrecht</v>
      </c>
      <c r="U133" s="55" t="str">
        <f t="shared" si="13"/>
        <v>A-02</v>
      </c>
    </row>
    <row r="134" spans="2:21" ht="16.5" customHeight="1" x14ac:dyDescent="0.25">
      <c r="B134" s="47">
        <f t="shared" ref="B134:B197" si="14">IF(C134="","",ROW()-5)</f>
        <v>129</v>
      </c>
      <c r="C134" s="48">
        <v>46302</v>
      </c>
      <c r="D134" s="49" t="str">
        <f t="shared" ref="D134:D197" si="15">IF(C134="","",CHOOSE(WEEKDAY(C134,2),"Mo","Di","Mi","Do","Fr","Sa","So"))</f>
        <v>Mi</v>
      </c>
      <c r="E134" s="50">
        <f t="shared" ref="E134:E197" si="16">IF(C134="","",_xlfn.ISOWEEKNUM(C134))</f>
        <v>41</v>
      </c>
      <c r="F134" s="51" t="s">
        <v>109</v>
      </c>
      <c r="G134" s="52" t="s">
        <v>87</v>
      </c>
      <c r="H134" s="51" t="s">
        <v>76</v>
      </c>
      <c r="I134" s="51" t="s">
        <v>77</v>
      </c>
      <c r="J134" s="52"/>
      <c r="K134" s="53" t="str">
        <f>IF(G134="","",IFERROR(INDEX(Stammdaten!$P$10:$P$69,MATCH(G134,Stammdaten!$N$10:$N$69,0)),"–"))</f>
        <v>Marketing</v>
      </c>
      <c r="L134" s="53" t="str">
        <f>IF(F134="","",IFERROR(INDEX(Stammdaten!$D$10:$D$49,MATCH(F134,Stammdaten!$B$10:$B$49,0)),"–"))</f>
        <v>Teamzone Nord</v>
      </c>
      <c r="M134" s="54" t="str">
        <f>IF(C134="","",IF(OR(F134="",G134="",I134=""),"unvollständig",IF(I134="Storniert","storniert",IF(WEEKDAY(C134,2)&gt;5,"Wochenende",IF(COUNTIF(Stammdaten!$AD$10:$AD$30,C134)&gt;0,"Feiertag",IF(IFERROR(INDEX(Stammdaten!$I$10:$I$49,MATCH(F134,Stammdaten!$B$10:$B$49,0)),"")="Gesperrt","Platz gesperrt",IF(AND(COUNTIF($P$6:$P$605,P134)&gt;1,NOT(AND(COUNTIF($P$6:$P$605,P134)=2,COUNTIFS($P$6:$P$605,P134,$H$6:$H$605,"Vormittag")=1,COUNTIFS($P$6:$P$605,P134,$H$6:$H$605,"Nachmittag")=1))),"Doppelbuchung",IF(AND(COUNTIF($R$6:$R$605,R134)&gt;1,NOT(AND(COUNTIF($R$6:$R$605,R134)=2,COUNTIFS($R$6:$R$605,R134,$H$6:$H$605,"Vormittag")=1,COUNTIFS($R$6:$R$605,R134,$H$6:$H$605,"Nachmittag")=1))),"Person doppelt","OK"))))))))</f>
        <v>OK</v>
      </c>
      <c r="O134" s="55">
        <f t="shared" ref="O134:O197" si="17">IF(OR(C134="",I134&lt;&gt;"Bestätigt",M134="Platz gesperrt"),0,IF(H134="Ganztägig",1,0.5))</f>
        <v>1</v>
      </c>
      <c r="P134" s="55" t="str">
        <f t="shared" ref="P134:P197" si="18">IF(OR(C134="",F134="",I134="Storniert"),"",F134&amp;"|"&amp;C134)</f>
        <v>A-03|46302</v>
      </c>
      <c r="Q134" s="55" t="str">
        <f>IF(P134="","",P134&amp;"|"&amp;COUNTIF(P$6:P134,P134))</f>
        <v>A-03|46302|1</v>
      </c>
      <c r="R134" s="55" t="str">
        <f t="shared" ref="R134:R197" si="19">IF(OR(C134="",G134="",I134="Storniert"),"",G134&amp;"|"&amp;C134)</f>
        <v>Paul Schreiber|46302</v>
      </c>
      <c r="S134" s="55" t="str">
        <f>IF(R134="","",R134&amp;"|"&amp;COUNTIF(R$6:R134,R134))</f>
        <v>Paul Schreiber|46302|1</v>
      </c>
      <c r="T134" s="55" t="str">
        <f>IF(G134="","",IFERROR(INDEX(Stammdaten!$O$10:$O$69,MATCH(G134,Stammdaten!$N$10:$N$69,0)),G134)&amp;IF(H134="Vormittag"," (VM)",IF(H134="Nachmittag"," (NM)",""))&amp;IF(I134="Angefragt"," ?",""))</f>
        <v>P. Schreiber</v>
      </c>
      <c r="U134" s="55" t="str">
        <f t="shared" ref="U134:U197" si="20">IF(F134="","",F134&amp;IF(H134="Vormittag"," (VM)",IF(H134="Nachmittag"," (NM)",""))&amp;IF(I134="Angefragt"," ?",""))</f>
        <v>A-03</v>
      </c>
    </row>
    <row r="135" spans="2:21" ht="16.5" customHeight="1" x14ac:dyDescent="0.25">
      <c r="B135" s="47">
        <f t="shared" si="14"/>
        <v>130</v>
      </c>
      <c r="C135" s="48">
        <v>46302</v>
      </c>
      <c r="D135" s="49" t="str">
        <f t="shared" si="15"/>
        <v>Mi</v>
      </c>
      <c r="E135" s="50">
        <f t="shared" si="16"/>
        <v>41</v>
      </c>
      <c r="F135" s="51" t="s">
        <v>110</v>
      </c>
      <c r="G135" s="52" t="s">
        <v>111</v>
      </c>
      <c r="H135" s="51" t="s">
        <v>76</v>
      </c>
      <c r="I135" s="51" t="s">
        <v>77</v>
      </c>
      <c r="J135" s="52"/>
      <c r="K135" s="53" t="str">
        <f>IF(G135="","",IFERROR(INDEX(Stammdaten!$P$10:$P$69,MATCH(G135,Stammdaten!$N$10:$N$69,0)),"–"))</f>
        <v>Vertrieb</v>
      </c>
      <c r="L135" s="53" t="str">
        <f>IF(F135="","",IFERROR(INDEX(Stammdaten!$D$10:$D$49,MATCH(F135,Stammdaten!$B$10:$B$49,0)),"–"))</f>
        <v>Teamzone Nord</v>
      </c>
      <c r="M135" s="54" t="str">
        <f>IF(C135="","",IF(OR(F135="",G135="",I135=""),"unvollständig",IF(I135="Storniert","storniert",IF(WEEKDAY(C135,2)&gt;5,"Wochenende",IF(COUNTIF(Stammdaten!$AD$10:$AD$30,C135)&gt;0,"Feiertag",IF(IFERROR(INDEX(Stammdaten!$I$10:$I$49,MATCH(F135,Stammdaten!$B$10:$B$49,0)),"")="Gesperrt","Platz gesperrt",IF(AND(COUNTIF($P$6:$P$605,P135)&gt;1,NOT(AND(COUNTIF($P$6:$P$605,P135)=2,COUNTIFS($P$6:$P$605,P135,$H$6:$H$605,"Vormittag")=1,COUNTIFS($P$6:$P$605,P135,$H$6:$H$605,"Nachmittag")=1))),"Doppelbuchung",IF(AND(COUNTIF($R$6:$R$605,R135)&gt;1,NOT(AND(COUNTIF($R$6:$R$605,R135)=2,COUNTIFS($R$6:$R$605,R135,$H$6:$H$605,"Vormittag")=1,COUNTIFS($R$6:$R$605,R135,$H$6:$H$605,"Nachmittag")=1))),"Person doppelt","OK"))))))))</f>
        <v>OK</v>
      </c>
      <c r="O135" s="55">
        <f t="shared" si="17"/>
        <v>1</v>
      </c>
      <c r="P135" s="55" t="str">
        <f t="shared" si="18"/>
        <v>A-04|46302</v>
      </c>
      <c r="Q135" s="55" t="str">
        <f>IF(P135="","",P135&amp;"|"&amp;COUNTIF(P$6:P135,P135))</f>
        <v>A-04|46302|1</v>
      </c>
      <c r="R135" s="55" t="str">
        <f t="shared" si="19"/>
        <v>Sophie Brandt|46302</v>
      </c>
      <c r="S135" s="55" t="str">
        <f>IF(R135="","",R135&amp;"|"&amp;COUNTIF(R$6:R135,R135))</f>
        <v>Sophie Brandt|46302|1</v>
      </c>
      <c r="T135" s="55" t="str">
        <f>IF(G135="","",IFERROR(INDEX(Stammdaten!$O$10:$O$69,MATCH(G135,Stammdaten!$N$10:$N$69,0)),G135)&amp;IF(H135="Vormittag"," (VM)",IF(H135="Nachmittag"," (NM)",""))&amp;IF(I135="Angefragt"," ?",""))</f>
        <v>S. Brandt</v>
      </c>
      <c r="U135" s="55" t="str">
        <f t="shared" si="20"/>
        <v>A-04</v>
      </c>
    </row>
    <row r="136" spans="2:21" ht="16.5" customHeight="1" x14ac:dyDescent="0.25">
      <c r="B136" s="47">
        <f t="shared" si="14"/>
        <v>131</v>
      </c>
      <c r="C136" s="48">
        <v>46302</v>
      </c>
      <c r="D136" s="49" t="str">
        <f t="shared" si="15"/>
        <v>Mi</v>
      </c>
      <c r="E136" s="50">
        <f t="shared" si="16"/>
        <v>41</v>
      </c>
      <c r="F136" s="51" t="s">
        <v>80</v>
      </c>
      <c r="G136" s="52" t="s">
        <v>85</v>
      </c>
      <c r="H136" s="51" t="s">
        <v>76</v>
      </c>
      <c r="I136" s="51" t="s">
        <v>77</v>
      </c>
      <c r="J136" s="52"/>
      <c r="K136" s="53" t="str">
        <f>IF(G136="","",IFERROR(INDEX(Stammdaten!$P$10:$P$69,MATCH(G136,Stammdaten!$N$10:$N$69,0)),"–"))</f>
        <v>Vertrieb</v>
      </c>
      <c r="L136" s="53" t="str">
        <f>IF(F136="","",IFERROR(INDEX(Stammdaten!$D$10:$D$49,MATCH(F136,Stammdaten!$B$10:$B$49,0)),"–"))</f>
        <v>Teamzone Nord</v>
      </c>
      <c r="M136" s="54" t="str">
        <f>IF(C136="","",IF(OR(F136="",G136="",I136=""),"unvollständig",IF(I136="Storniert","storniert",IF(WEEKDAY(C136,2)&gt;5,"Wochenende",IF(COUNTIF(Stammdaten!$AD$10:$AD$30,C136)&gt;0,"Feiertag",IF(IFERROR(INDEX(Stammdaten!$I$10:$I$49,MATCH(F136,Stammdaten!$B$10:$B$49,0)),"")="Gesperrt","Platz gesperrt",IF(AND(COUNTIF($P$6:$P$605,P136)&gt;1,NOT(AND(COUNTIF($P$6:$P$605,P136)=2,COUNTIFS($P$6:$P$605,P136,$H$6:$H$605,"Vormittag")=1,COUNTIFS($P$6:$P$605,P136,$H$6:$H$605,"Nachmittag")=1))),"Doppelbuchung",IF(AND(COUNTIF($R$6:$R$605,R136)&gt;1,NOT(AND(COUNTIF($R$6:$R$605,R136)=2,COUNTIFS($R$6:$R$605,R136,$H$6:$H$605,"Vormittag")=1,COUNTIFS($R$6:$R$605,R136,$H$6:$H$605,"Nachmittag")=1))),"Person doppelt","OK"))))))))</f>
        <v>OK</v>
      </c>
      <c r="O136" s="55">
        <f t="shared" si="17"/>
        <v>1</v>
      </c>
      <c r="P136" s="55" t="str">
        <f t="shared" si="18"/>
        <v>A-05|46302</v>
      </c>
      <c r="Q136" s="55" t="str">
        <f>IF(P136="","",P136&amp;"|"&amp;COUNTIF(P$6:P136,P136))</f>
        <v>A-05|46302|1</v>
      </c>
      <c r="R136" s="55" t="str">
        <f t="shared" si="19"/>
        <v>Miriam Krause|46302</v>
      </c>
      <c r="S136" s="55" t="str">
        <f>IF(R136="","",R136&amp;"|"&amp;COUNTIF(R$6:R136,R136))</f>
        <v>Miriam Krause|46302|1</v>
      </c>
      <c r="T136" s="55" t="str">
        <f>IF(G136="","",IFERROR(INDEX(Stammdaten!$O$10:$O$69,MATCH(G136,Stammdaten!$N$10:$N$69,0)),G136)&amp;IF(H136="Vormittag"," (VM)",IF(H136="Nachmittag"," (NM)",""))&amp;IF(I136="Angefragt"," ?",""))</f>
        <v>M. Krause</v>
      </c>
      <c r="U136" s="55" t="str">
        <f t="shared" si="20"/>
        <v>A-05</v>
      </c>
    </row>
    <row r="137" spans="2:21" ht="16.5" customHeight="1" x14ac:dyDescent="0.25">
      <c r="B137" s="47">
        <f t="shared" si="14"/>
        <v>132</v>
      </c>
      <c r="C137" s="48">
        <v>46302</v>
      </c>
      <c r="D137" s="49" t="str">
        <f t="shared" si="15"/>
        <v>Mi</v>
      </c>
      <c r="E137" s="50">
        <f t="shared" si="16"/>
        <v>41</v>
      </c>
      <c r="F137" s="51" t="s">
        <v>84</v>
      </c>
      <c r="G137" s="52" t="s">
        <v>108</v>
      </c>
      <c r="H137" s="51" t="s">
        <v>76</v>
      </c>
      <c r="I137" s="51" t="s">
        <v>77</v>
      </c>
      <c r="J137" s="52"/>
      <c r="K137" s="53" t="str">
        <f>IF(G137="","",IFERROR(INDEX(Stammdaten!$P$10:$P$69,MATCH(G137,Stammdaten!$N$10:$N$69,0)),"–"))</f>
        <v>Marketing</v>
      </c>
      <c r="L137" s="53" t="str">
        <f>IF(F137="","",IFERROR(INDEX(Stammdaten!$D$10:$D$49,MATCH(F137,Stammdaten!$B$10:$B$49,0)),"–"))</f>
        <v>Teamzone Nord</v>
      </c>
      <c r="M137" s="54" t="str">
        <f>IF(C137="","",IF(OR(F137="",G137="",I137=""),"unvollständig",IF(I137="Storniert","storniert",IF(WEEKDAY(C137,2)&gt;5,"Wochenende",IF(COUNTIF(Stammdaten!$AD$10:$AD$30,C137)&gt;0,"Feiertag",IF(IFERROR(INDEX(Stammdaten!$I$10:$I$49,MATCH(F137,Stammdaten!$B$10:$B$49,0)),"")="Gesperrt","Platz gesperrt",IF(AND(COUNTIF($P$6:$P$605,P137)&gt;1,NOT(AND(COUNTIF($P$6:$P$605,P137)=2,COUNTIFS($P$6:$P$605,P137,$H$6:$H$605,"Vormittag")=1,COUNTIFS($P$6:$P$605,P137,$H$6:$H$605,"Nachmittag")=1))),"Doppelbuchung",IF(AND(COUNTIF($R$6:$R$605,R137)&gt;1,NOT(AND(COUNTIF($R$6:$R$605,R137)=2,COUNTIFS($R$6:$R$605,R137,$H$6:$H$605,"Vormittag")=1,COUNTIFS($R$6:$R$605,R137,$H$6:$H$605,"Nachmittag")=1))),"Person doppelt","OK"))))))))</f>
        <v>OK</v>
      </c>
      <c r="O137" s="55">
        <f t="shared" si="17"/>
        <v>1</v>
      </c>
      <c r="P137" s="55" t="str">
        <f t="shared" si="18"/>
        <v>A-07|46302</v>
      </c>
      <c r="Q137" s="55" t="str">
        <f>IF(P137="","",P137&amp;"|"&amp;COUNTIF(P$6:P137,P137))</f>
        <v>A-07|46302|1</v>
      </c>
      <c r="R137" s="55" t="str">
        <f t="shared" si="19"/>
        <v>Aylin Demir|46302</v>
      </c>
      <c r="S137" s="55" t="str">
        <f>IF(R137="","",R137&amp;"|"&amp;COUNTIF(R$6:R137,R137))</f>
        <v>Aylin Demir|46302|1</v>
      </c>
      <c r="T137" s="55" t="str">
        <f>IF(G137="","",IFERROR(INDEX(Stammdaten!$O$10:$O$69,MATCH(G137,Stammdaten!$N$10:$N$69,0)),G137)&amp;IF(H137="Vormittag"," (VM)",IF(H137="Nachmittag"," (NM)",""))&amp;IF(I137="Angefragt"," ?",""))</f>
        <v>A. Demir</v>
      </c>
      <c r="U137" s="55" t="str">
        <f t="shared" si="20"/>
        <v>A-07</v>
      </c>
    </row>
    <row r="138" spans="2:21" ht="16.5" customHeight="1" x14ac:dyDescent="0.25">
      <c r="B138" s="47">
        <f t="shared" si="14"/>
        <v>133</v>
      </c>
      <c r="C138" s="48">
        <v>46302</v>
      </c>
      <c r="D138" s="49" t="str">
        <f t="shared" si="15"/>
        <v>Mi</v>
      </c>
      <c r="E138" s="50">
        <f t="shared" si="16"/>
        <v>41</v>
      </c>
      <c r="F138" s="51" t="s">
        <v>86</v>
      </c>
      <c r="G138" s="52" t="s">
        <v>112</v>
      </c>
      <c r="H138" s="51" t="s">
        <v>76</v>
      </c>
      <c r="I138" s="51" t="s">
        <v>77</v>
      </c>
      <c r="J138" s="52"/>
      <c r="K138" s="53" t="str">
        <f>IF(G138="","",IFERROR(INDEX(Stammdaten!$P$10:$P$69,MATCH(G138,Stammdaten!$N$10:$N$69,0)),"–"))</f>
        <v>Marketing</v>
      </c>
      <c r="L138" s="53" t="str">
        <f>IF(F138="","",IFERROR(INDEX(Stammdaten!$D$10:$D$49,MATCH(F138,Stammdaten!$B$10:$B$49,0)),"–"))</f>
        <v>Teamzone Nord</v>
      </c>
      <c r="M138" s="54" t="str">
        <f>IF(C138="","",IF(OR(F138="",G138="",I138=""),"unvollständig",IF(I138="Storniert","storniert",IF(WEEKDAY(C138,2)&gt;5,"Wochenende",IF(COUNTIF(Stammdaten!$AD$10:$AD$30,C138)&gt;0,"Feiertag",IF(IFERROR(INDEX(Stammdaten!$I$10:$I$49,MATCH(F138,Stammdaten!$B$10:$B$49,0)),"")="Gesperrt","Platz gesperrt",IF(AND(COUNTIF($P$6:$P$605,P138)&gt;1,NOT(AND(COUNTIF($P$6:$P$605,P138)=2,COUNTIFS($P$6:$P$605,P138,$H$6:$H$605,"Vormittag")=1,COUNTIFS($P$6:$P$605,P138,$H$6:$H$605,"Nachmittag")=1))),"Doppelbuchung",IF(AND(COUNTIF($R$6:$R$605,R138)&gt;1,NOT(AND(COUNTIF($R$6:$R$605,R138)=2,COUNTIFS($R$6:$R$605,R138,$H$6:$H$605,"Vormittag")=1,COUNTIFS($R$6:$R$605,R138,$H$6:$H$605,"Nachmittag")=1))),"Person doppelt","OK"))))))))</f>
        <v>OK</v>
      </c>
      <c r="O138" s="55">
        <f t="shared" si="17"/>
        <v>1</v>
      </c>
      <c r="P138" s="55" t="str">
        <f t="shared" si="18"/>
        <v>A-08|46302</v>
      </c>
      <c r="Q138" s="55" t="str">
        <f>IF(P138="","",P138&amp;"|"&amp;COUNTIF(P$6:P138,P138))</f>
        <v>A-08|46302|1</v>
      </c>
      <c r="R138" s="55" t="str">
        <f t="shared" si="19"/>
        <v>Clara Vogt|46302</v>
      </c>
      <c r="S138" s="55" t="str">
        <f>IF(R138="","",R138&amp;"|"&amp;COUNTIF(R$6:R138,R138))</f>
        <v>Clara Vogt|46302|1</v>
      </c>
      <c r="T138" s="55" t="str">
        <f>IF(G138="","",IFERROR(INDEX(Stammdaten!$O$10:$O$69,MATCH(G138,Stammdaten!$N$10:$N$69,0)),G138)&amp;IF(H138="Vormittag"," (VM)",IF(H138="Nachmittag"," (NM)",""))&amp;IF(I138="Angefragt"," ?",""))</f>
        <v>C. Vogt</v>
      </c>
      <c r="U138" s="55" t="str">
        <f t="shared" si="20"/>
        <v>A-08</v>
      </c>
    </row>
    <row r="139" spans="2:21" ht="16.5" customHeight="1" x14ac:dyDescent="0.25">
      <c r="B139" s="47">
        <f t="shared" si="14"/>
        <v>134</v>
      </c>
      <c r="C139" s="48">
        <v>46302</v>
      </c>
      <c r="D139" s="49" t="str">
        <f t="shared" si="15"/>
        <v>Mi</v>
      </c>
      <c r="E139" s="50">
        <f t="shared" si="16"/>
        <v>41</v>
      </c>
      <c r="F139" s="51" t="s">
        <v>129</v>
      </c>
      <c r="G139" s="52" t="s">
        <v>107</v>
      </c>
      <c r="H139" s="51" t="s">
        <v>76</v>
      </c>
      <c r="I139" s="51" t="s">
        <v>77</v>
      </c>
      <c r="J139" s="52"/>
      <c r="K139" s="53" t="str">
        <f>IF(G139="","",IFERROR(INDEX(Stammdaten!$P$10:$P$69,MATCH(G139,Stammdaten!$N$10:$N$69,0)),"–"))</f>
        <v>IT</v>
      </c>
      <c r="L139" s="53" t="str">
        <f>IF(F139="","",IFERROR(INDEX(Stammdaten!$D$10:$D$49,MATCH(F139,Stammdaten!$B$10:$B$49,0)),"–"))</f>
        <v>Fokuszone</v>
      </c>
      <c r="M139" s="54" t="str">
        <f>IF(C139="","",IF(OR(F139="",G139="",I139=""),"unvollständig",IF(I139="Storniert","storniert",IF(WEEKDAY(C139,2)&gt;5,"Wochenende",IF(COUNTIF(Stammdaten!$AD$10:$AD$30,C139)&gt;0,"Feiertag",IF(IFERROR(INDEX(Stammdaten!$I$10:$I$49,MATCH(F139,Stammdaten!$B$10:$B$49,0)),"")="Gesperrt","Platz gesperrt",IF(AND(COUNTIF($P$6:$P$605,P139)&gt;1,NOT(AND(COUNTIF($P$6:$P$605,P139)=2,COUNTIFS($P$6:$P$605,P139,$H$6:$H$605,"Vormittag")=1,COUNTIFS($P$6:$P$605,P139,$H$6:$H$605,"Nachmittag")=1))),"Doppelbuchung",IF(AND(COUNTIF($R$6:$R$605,R139)&gt;1,NOT(AND(COUNTIF($R$6:$R$605,R139)=2,COUNTIFS($R$6:$R$605,R139,$H$6:$H$605,"Vormittag")=1,COUNTIFS($R$6:$R$605,R139,$H$6:$H$605,"Nachmittag")=1))),"Person doppelt","OK"))))))))</f>
        <v>OK</v>
      </c>
      <c r="O139" s="55">
        <f t="shared" si="17"/>
        <v>1</v>
      </c>
      <c r="P139" s="55" t="str">
        <f t="shared" si="18"/>
        <v>A-09|46302</v>
      </c>
      <c r="Q139" s="55" t="str">
        <f>IF(P139="","",P139&amp;"|"&amp;COUNTIF(P$6:P139,P139))</f>
        <v>A-09|46302|1</v>
      </c>
      <c r="R139" s="55" t="str">
        <f t="shared" si="19"/>
        <v>Katharina Busch|46302</v>
      </c>
      <c r="S139" s="55" t="str">
        <f>IF(R139="","",R139&amp;"|"&amp;COUNTIF(R$6:R139,R139))</f>
        <v>Katharina Busch|46302|1</v>
      </c>
      <c r="T139" s="55" t="str">
        <f>IF(G139="","",IFERROR(INDEX(Stammdaten!$O$10:$O$69,MATCH(G139,Stammdaten!$N$10:$N$69,0)),G139)&amp;IF(H139="Vormittag"," (VM)",IF(H139="Nachmittag"," (NM)",""))&amp;IF(I139="Angefragt"," ?",""))</f>
        <v>K. Busch</v>
      </c>
      <c r="U139" s="55" t="str">
        <f t="shared" si="20"/>
        <v>A-09</v>
      </c>
    </row>
    <row r="140" spans="2:21" ht="16.5" customHeight="1" x14ac:dyDescent="0.25">
      <c r="B140" s="47">
        <f t="shared" si="14"/>
        <v>135</v>
      </c>
      <c r="C140" s="48">
        <v>46302</v>
      </c>
      <c r="D140" s="49" t="str">
        <f t="shared" si="15"/>
        <v>Mi</v>
      </c>
      <c r="E140" s="50">
        <f t="shared" si="16"/>
        <v>41</v>
      </c>
      <c r="F140" s="51" t="s">
        <v>88</v>
      </c>
      <c r="G140" s="52" t="s">
        <v>89</v>
      </c>
      <c r="H140" s="51" t="s">
        <v>76</v>
      </c>
      <c r="I140" s="51" t="s">
        <v>77</v>
      </c>
      <c r="J140" s="52"/>
      <c r="K140" s="53" t="str">
        <f>IF(G140="","",IFERROR(INDEX(Stammdaten!$P$10:$P$69,MATCH(G140,Stammdaten!$N$10:$N$69,0)),"–"))</f>
        <v>Projektmanagement</v>
      </c>
      <c r="L140" s="53" t="str">
        <f>IF(F140="","",IFERROR(INDEX(Stammdaten!$D$10:$D$49,MATCH(F140,Stammdaten!$B$10:$B$49,0)),"–"))</f>
        <v>Fokuszone</v>
      </c>
      <c r="M140" s="54" t="str">
        <f>IF(C140="","",IF(OR(F140="",G140="",I140=""),"unvollständig",IF(I140="Storniert","storniert",IF(WEEKDAY(C140,2)&gt;5,"Wochenende",IF(COUNTIF(Stammdaten!$AD$10:$AD$30,C140)&gt;0,"Feiertag",IF(IFERROR(INDEX(Stammdaten!$I$10:$I$49,MATCH(F140,Stammdaten!$B$10:$B$49,0)),"")="Gesperrt","Platz gesperrt",IF(AND(COUNTIF($P$6:$P$605,P140)&gt;1,NOT(AND(COUNTIF($P$6:$P$605,P140)=2,COUNTIFS($P$6:$P$605,P140,$H$6:$H$605,"Vormittag")=1,COUNTIFS($P$6:$P$605,P140,$H$6:$H$605,"Nachmittag")=1))),"Doppelbuchung",IF(AND(COUNTIF($R$6:$R$605,R140)&gt;1,NOT(AND(COUNTIF($R$6:$R$605,R140)=2,COUNTIFS($R$6:$R$605,R140,$H$6:$H$605,"Vormittag")=1,COUNTIFS($R$6:$R$605,R140,$H$6:$H$605,"Nachmittag")=1))),"Person doppelt","OK"))))))))</f>
        <v>OK</v>
      </c>
      <c r="O140" s="55">
        <f t="shared" si="17"/>
        <v>1</v>
      </c>
      <c r="P140" s="55" t="str">
        <f t="shared" si="18"/>
        <v>A-11|46302</v>
      </c>
      <c r="Q140" s="55" t="str">
        <f>IF(P140="","",P140&amp;"|"&amp;COUNTIF(P$6:P140,P140))</f>
        <v>A-11|46302|1</v>
      </c>
      <c r="R140" s="55" t="str">
        <f t="shared" si="19"/>
        <v>Theresa Jung|46302</v>
      </c>
      <c r="S140" s="55" t="str">
        <f>IF(R140="","",R140&amp;"|"&amp;COUNTIF(R$6:R140,R140))</f>
        <v>Theresa Jung|46302|1</v>
      </c>
      <c r="T140" s="55" t="str">
        <f>IF(G140="","",IFERROR(INDEX(Stammdaten!$O$10:$O$69,MATCH(G140,Stammdaten!$N$10:$N$69,0)),G140)&amp;IF(H140="Vormittag"," (VM)",IF(H140="Nachmittag"," (NM)",""))&amp;IF(I140="Angefragt"," ?",""))</f>
        <v>T. Jung</v>
      </c>
      <c r="U140" s="55" t="str">
        <f t="shared" si="20"/>
        <v>A-11</v>
      </c>
    </row>
    <row r="141" spans="2:21" ht="16.5" customHeight="1" x14ac:dyDescent="0.25">
      <c r="B141" s="47">
        <f t="shared" si="14"/>
        <v>136</v>
      </c>
      <c r="C141" s="48">
        <v>46302</v>
      </c>
      <c r="D141" s="49" t="str">
        <f t="shared" si="15"/>
        <v>Mi</v>
      </c>
      <c r="E141" s="50">
        <f t="shared" si="16"/>
        <v>41</v>
      </c>
      <c r="F141" s="51" t="s">
        <v>90</v>
      </c>
      <c r="G141" s="52" t="s">
        <v>114</v>
      </c>
      <c r="H141" s="51" t="s">
        <v>76</v>
      </c>
      <c r="I141" s="51" t="s">
        <v>137</v>
      </c>
      <c r="J141" s="52" t="s">
        <v>142</v>
      </c>
      <c r="K141" s="53" t="str">
        <f>IF(G141="","",IFERROR(INDEX(Stammdaten!$P$10:$P$69,MATCH(G141,Stammdaten!$N$10:$N$69,0)),"–"))</f>
        <v>Projektmanagement</v>
      </c>
      <c r="L141" s="53" t="str">
        <f>IF(F141="","",IFERROR(INDEX(Stammdaten!$D$10:$D$49,MATCH(F141,Stammdaten!$B$10:$B$49,0)),"–"))</f>
        <v>Fokuszone</v>
      </c>
      <c r="M141" s="54" t="str">
        <f>IF(C141="","",IF(OR(F141="",G141="",I141=""),"unvollständig",IF(I141="Storniert","storniert",IF(WEEKDAY(C141,2)&gt;5,"Wochenende",IF(COUNTIF(Stammdaten!$AD$10:$AD$30,C141)&gt;0,"Feiertag",IF(IFERROR(INDEX(Stammdaten!$I$10:$I$49,MATCH(F141,Stammdaten!$B$10:$B$49,0)),"")="Gesperrt","Platz gesperrt",IF(AND(COUNTIF($P$6:$P$605,P141)&gt;1,NOT(AND(COUNTIF($P$6:$P$605,P141)=2,COUNTIFS($P$6:$P$605,P141,$H$6:$H$605,"Vormittag")=1,COUNTIFS($P$6:$P$605,P141,$H$6:$H$605,"Nachmittag")=1))),"Doppelbuchung",IF(AND(COUNTIF($R$6:$R$605,R141)&gt;1,NOT(AND(COUNTIF($R$6:$R$605,R141)=2,COUNTIFS($R$6:$R$605,R141,$H$6:$H$605,"Vormittag")=1,COUNTIFS($R$6:$R$605,R141,$H$6:$H$605,"Nachmittag")=1))),"Person doppelt","OK"))))))))</f>
        <v>storniert</v>
      </c>
      <c r="O141" s="55">
        <f t="shared" si="17"/>
        <v>0</v>
      </c>
      <c r="P141" s="55" t="str">
        <f t="shared" si="18"/>
        <v/>
      </c>
      <c r="Q141" s="55" t="str">
        <f>IF(P141="","",P141&amp;"|"&amp;COUNTIF(P$6:P141,P141))</f>
        <v/>
      </c>
      <c r="R141" s="55" t="str">
        <f t="shared" si="19"/>
        <v/>
      </c>
      <c r="S141" s="55" t="str">
        <f>IF(R141="","",R141&amp;"|"&amp;COUNTIF(R$6:R141,R141))</f>
        <v/>
      </c>
      <c r="T141" s="55" t="str">
        <f>IF(G141="","",IFERROR(INDEX(Stammdaten!$O$10:$O$69,MATCH(G141,Stammdaten!$N$10:$N$69,0)),G141)&amp;IF(H141="Vormittag"," (VM)",IF(H141="Nachmittag"," (NM)",""))&amp;IF(I141="Angefragt"," ?",""))</f>
        <v>I. Marx</v>
      </c>
      <c r="U141" s="55" t="str">
        <f t="shared" si="20"/>
        <v>A-12</v>
      </c>
    </row>
    <row r="142" spans="2:21" ht="16.5" customHeight="1" x14ac:dyDescent="0.25">
      <c r="B142" s="47">
        <f t="shared" si="14"/>
        <v>137</v>
      </c>
      <c r="C142" s="48">
        <v>46302</v>
      </c>
      <c r="D142" s="49" t="str">
        <f t="shared" si="15"/>
        <v>Mi</v>
      </c>
      <c r="E142" s="50">
        <f t="shared" si="16"/>
        <v>41</v>
      </c>
      <c r="F142" s="51" t="s">
        <v>92</v>
      </c>
      <c r="G142" s="52" t="s">
        <v>131</v>
      </c>
      <c r="H142" s="51" t="s">
        <v>76</v>
      </c>
      <c r="I142" s="51" t="s">
        <v>77</v>
      </c>
      <c r="J142" s="52"/>
      <c r="K142" s="53" t="str">
        <f>IF(G142="","",IFERROR(INDEX(Stammdaten!$P$10:$P$69,MATCH(G142,Stammdaten!$N$10:$N$69,0)),"–"))</f>
        <v>Finanzen</v>
      </c>
      <c r="L142" s="53" t="str">
        <f>IF(F142="","",IFERROR(INDEX(Stammdaten!$D$10:$D$49,MATCH(F142,Stammdaten!$B$10:$B$49,0)),"–"))</f>
        <v>Teamzone Süd</v>
      </c>
      <c r="M142" s="54" t="str">
        <f>IF(C142="","",IF(OR(F142="",G142="",I142=""),"unvollständig",IF(I142="Storniert","storniert",IF(WEEKDAY(C142,2)&gt;5,"Wochenende",IF(COUNTIF(Stammdaten!$AD$10:$AD$30,C142)&gt;0,"Feiertag",IF(IFERROR(INDEX(Stammdaten!$I$10:$I$49,MATCH(F142,Stammdaten!$B$10:$B$49,0)),"")="Gesperrt","Platz gesperrt",IF(AND(COUNTIF($P$6:$P$605,P142)&gt;1,NOT(AND(COUNTIF($P$6:$P$605,P142)=2,COUNTIFS($P$6:$P$605,P142,$H$6:$H$605,"Vormittag")=1,COUNTIFS($P$6:$P$605,P142,$H$6:$H$605,"Nachmittag")=1))),"Doppelbuchung",IF(AND(COUNTIF($R$6:$R$605,R142)&gt;1,NOT(AND(COUNTIF($R$6:$R$605,R142)=2,COUNTIFS($R$6:$R$605,R142,$H$6:$H$605,"Vormittag")=1,COUNTIFS($R$6:$R$605,R142,$H$6:$H$605,"Nachmittag")=1))),"Person doppelt","OK"))))))))</f>
        <v>OK</v>
      </c>
      <c r="O142" s="55">
        <f t="shared" si="17"/>
        <v>1</v>
      </c>
      <c r="P142" s="55" t="str">
        <f t="shared" si="18"/>
        <v>B-01|46302</v>
      </c>
      <c r="Q142" s="55" t="str">
        <f>IF(P142="","",P142&amp;"|"&amp;COUNTIF(P$6:P142,P142))</f>
        <v>B-01|46302|1</v>
      </c>
      <c r="R142" s="55" t="str">
        <f t="shared" si="19"/>
        <v>Leon Fuchs|46302</v>
      </c>
      <c r="S142" s="55" t="str">
        <f>IF(R142="","",R142&amp;"|"&amp;COUNTIF(R$6:R142,R142))</f>
        <v>Leon Fuchs|46302|1</v>
      </c>
      <c r="T142" s="55" t="str">
        <f>IF(G142="","",IFERROR(INDEX(Stammdaten!$O$10:$O$69,MATCH(G142,Stammdaten!$N$10:$N$69,0)),G142)&amp;IF(H142="Vormittag"," (VM)",IF(H142="Nachmittag"," (NM)",""))&amp;IF(I142="Angefragt"," ?",""))</f>
        <v>L. Fuchs</v>
      </c>
      <c r="U142" s="55" t="str">
        <f t="shared" si="20"/>
        <v>B-01</v>
      </c>
    </row>
    <row r="143" spans="2:21" ht="16.5" customHeight="1" x14ac:dyDescent="0.25">
      <c r="B143" s="47">
        <f t="shared" si="14"/>
        <v>138</v>
      </c>
      <c r="C143" s="48">
        <v>46302</v>
      </c>
      <c r="D143" s="49" t="str">
        <f t="shared" si="15"/>
        <v>Mi</v>
      </c>
      <c r="E143" s="50">
        <f t="shared" si="16"/>
        <v>41</v>
      </c>
      <c r="F143" s="51" t="s">
        <v>94</v>
      </c>
      <c r="G143" s="52" t="s">
        <v>95</v>
      </c>
      <c r="H143" s="51" t="s">
        <v>76</v>
      </c>
      <c r="I143" s="51" t="s">
        <v>77</v>
      </c>
      <c r="J143" s="52"/>
      <c r="K143" s="53" t="str">
        <f>IF(G143="","",IFERROR(INDEX(Stammdaten!$P$10:$P$69,MATCH(G143,Stammdaten!$N$10:$N$69,0)),"–"))</f>
        <v>Finanzen</v>
      </c>
      <c r="L143" s="53" t="str">
        <f>IF(F143="","",IFERROR(INDEX(Stammdaten!$D$10:$D$49,MATCH(F143,Stammdaten!$B$10:$B$49,0)),"–"))</f>
        <v>Teamzone Süd</v>
      </c>
      <c r="M143" s="54" t="str">
        <f>IF(C143="","",IF(OR(F143="",G143="",I143=""),"unvollständig",IF(I143="Storniert","storniert",IF(WEEKDAY(C143,2)&gt;5,"Wochenende",IF(COUNTIF(Stammdaten!$AD$10:$AD$30,C143)&gt;0,"Feiertag",IF(IFERROR(INDEX(Stammdaten!$I$10:$I$49,MATCH(F143,Stammdaten!$B$10:$B$49,0)),"")="Gesperrt","Platz gesperrt",IF(AND(COUNTIF($P$6:$P$605,P143)&gt;1,NOT(AND(COUNTIF($P$6:$P$605,P143)=2,COUNTIFS($P$6:$P$605,P143,$H$6:$H$605,"Vormittag")=1,COUNTIFS($P$6:$P$605,P143,$H$6:$H$605,"Nachmittag")=1))),"Doppelbuchung",IF(AND(COUNTIF($R$6:$R$605,R143)&gt;1,NOT(AND(COUNTIF($R$6:$R$605,R143)=2,COUNTIFS($R$6:$R$605,R143,$H$6:$H$605,"Vormittag")=1,COUNTIFS($R$6:$R$605,R143,$H$6:$H$605,"Nachmittag")=1))),"Person doppelt","OK"))))))))</f>
        <v>OK</v>
      </c>
      <c r="O143" s="55">
        <f t="shared" si="17"/>
        <v>1</v>
      </c>
      <c r="P143" s="55" t="str">
        <f t="shared" si="18"/>
        <v>B-02|46302</v>
      </c>
      <c r="Q143" s="55" t="str">
        <f>IF(P143="","",P143&amp;"|"&amp;COUNTIF(P$6:P143,P143))</f>
        <v>B-02|46302|1</v>
      </c>
      <c r="R143" s="55" t="str">
        <f t="shared" si="19"/>
        <v>Hanna Roth|46302</v>
      </c>
      <c r="S143" s="55" t="str">
        <f>IF(R143="","",R143&amp;"|"&amp;COUNTIF(R$6:R143,R143))</f>
        <v>Hanna Roth|46302|1</v>
      </c>
      <c r="T143" s="55" t="str">
        <f>IF(G143="","",IFERROR(INDEX(Stammdaten!$O$10:$O$69,MATCH(G143,Stammdaten!$N$10:$N$69,0)),G143)&amp;IF(H143="Vormittag"," (VM)",IF(H143="Nachmittag"," (NM)",""))&amp;IF(I143="Angefragt"," ?",""))</f>
        <v>H. Roth</v>
      </c>
      <c r="U143" s="55" t="str">
        <f t="shared" si="20"/>
        <v>B-02</v>
      </c>
    </row>
    <row r="144" spans="2:21" ht="16.5" customHeight="1" x14ac:dyDescent="0.25">
      <c r="B144" s="47">
        <f t="shared" si="14"/>
        <v>139</v>
      </c>
      <c r="C144" s="48">
        <v>46302</v>
      </c>
      <c r="D144" s="49" t="str">
        <f t="shared" si="15"/>
        <v>Mi</v>
      </c>
      <c r="E144" s="50">
        <f t="shared" si="16"/>
        <v>41</v>
      </c>
      <c r="F144" s="51" t="s">
        <v>117</v>
      </c>
      <c r="G144" s="52" t="s">
        <v>116</v>
      </c>
      <c r="H144" s="51" t="s">
        <v>76</v>
      </c>
      <c r="I144" s="51" t="s">
        <v>77</v>
      </c>
      <c r="J144" s="52"/>
      <c r="K144" s="53" t="str">
        <f>IF(G144="","",IFERROR(INDEX(Stammdaten!$P$10:$P$69,MATCH(G144,Stammdaten!$N$10:$N$69,0)),"–"))</f>
        <v>Finanzen</v>
      </c>
      <c r="L144" s="53" t="str">
        <f>IF(F144="","",IFERROR(INDEX(Stammdaten!$D$10:$D$49,MATCH(F144,Stammdaten!$B$10:$B$49,0)),"–"))</f>
        <v>Teamzone Süd</v>
      </c>
      <c r="M144" s="54" t="str">
        <f>IF(C144="","",IF(OR(F144="",G144="",I144=""),"unvollständig",IF(I144="Storniert","storniert",IF(WEEKDAY(C144,2)&gt;5,"Wochenende",IF(COUNTIF(Stammdaten!$AD$10:$AD$30,C144)&gt;0,"Feiertag",IF(IFERROR(INDEX(Stammdaten!$I$10:$I$49,MATCH(F144,Stammdaten!$B$10:$B$49,0)),"")="Gesperrt","Platz gesperrt",IF(AND(COUNTIF($P$6:$P$605,P144)&gt;1,NOT(AND(COUNTIF($P$6:$P$605,P144)=2,COUNTIFS($P$6:$P$605,P144,$H$6:$H$605,"Vormittag")=1,COUNTIFS($P$6:$P$605,P144,$H$6:$H$605,"Nachmittag")=1))),"Doppelbuchung",IF(AND(COUNTIF($R$6:$R$605,R144)&gt;1,NOT(AND(COUNTIF($R$6:$R$605,R144)=2,COUNTIFS($R$6:$R$605,R144,$H$6:$H$605,"Vormittag")=1,COUNTIFS($R$6:$R$605,R144,$H$6:$H$605,"Nachmittag")=1))),"Person doppelt","OK"))))))))</f>
        <v>OK</v>
      </c>
      <c r="O144" s="55">
        <f t="shared" si="17"/>
        <v>1</v>
      </c>
      <c r="P144" s="55" t="str">
        <f t="shared" si="18"/>
        <v>B-03|46302</v>
      </c>
      <c r="Q144" s="55" t="str">
        <f>IF(P144="","",P144&amp;"|"&amp;COUNTIF(P$6:P144,P144))</f>
        <v>B-03|46302|1</v>
      </c>
      <c r="R144" s="55" t="str">
        <f t="shared" si="19"/>
        <v>Julia Herrmann|46302</v>
      </c>
      <c r="S144" s="55" t="str">
        <f>IF(R144="","",R144&amp;"|"&amp;COUNTIF(R$6:R144,R144))</f>
        <v>Julia Herrmann|46302|1</v>
      </c>
      <c r="T144" s="55" t="str">
        <f>IF(G144="","",IFERROR(INDEX(Stammdaten!$O$10:$O$69,MATCH(G144,Stammdaten!$N$10:$N$69,0)),G144)&amp;IF(H144="Vormittag"," (VM)",IF(H144="Nachmittag"," (NM)",""))&amp;IF(I144="Angefragt"," ?",""))</f>
        <v>J. Herrmann</v>
      </c>
      <c r="U144" s="55" t="str">
        <f t="shared" si="20"/>
        <v>B-03</v>
      </c>
    </row>
    <row r="145" spans="2:21" ht="16.5" customHeight="1" x14ac:dyDescent="0.25">
      <c r="B145" s="47">
        <f t="shared" si="14"/>
        <v>140</v>
      </c>
      <c r="C145" s="48">
        <v>46302</v>
      </c>
      <c r="D145" s="49" t="str">
        <f t="shared" si="15"/>
        <v>Mi</v>
      </c>
      <c r="E145" s="50">
        <f t="shared" si="16"/>
        <v>41</v>
      </c>
      <c r="F145" s="51" t="s">
        <v>119</v>
      </c>
      <c r="G145" s="52" t="s">
        <v>99</v>
      </c>
      <c r="H145" s="51" t="s">
        <v>76</v>
      </c>
      <c r="I145" s="51" t="s">
        <v>77</v>
      </c>
      <c r="J145" s="52"/>
      <c r="K145" s="53" t="str">
        <f>IF(G145="","",IFERROR(INDEX(Stammdaten!$P$10:$P$69,MATCH(G145,Stammdaten!$N$10:$N$69,0)),"–"))</f>
        <v>Finanzen</v>
      </c>
      <c r="L145" s="53" t="str">
        <f>IF(F145="","",IFERROR(INDEX(Stammdaten!$D$10:$D$49,MATCH(F145,Stammdaten!$B$10:$B$49,0)),"–"))</f>
        <v>Teamzone Süd</v>
      </c>
      <c r="M145" s="54" t="str">
        <f>IF(C145="","",IF(OR(F145="",G145="",I145=""),"unvollständig",IF(I145="Storniert","storniert",IF(WEEKDAY(C145,2)&gt;5,"Wochenende",IF(COUNTIF(Stammdaten!$AD$10:$AD$30,C145)&gt;0,"Feiertag",IF(IFERROR(INDEX(Stammdaten!$I$10:$I$49,MATCH(F145,Stammdaten!$B$10:$B$49,0)),"")="Gesperrt","Platz gesperrt",IF(AND(COUNTIF($P$6:$P$605,P145)&gt;1,NOT(AND(COUNTIF($P$6:$P$605,P145)=2,COUNTIFS($P$6:$P$605,P145,$H$6:$H$605,"Vormittag")=1,COUNTIFS($P$6:$P$605,P145,$H$6:$H$605,"Nachmittag")=1))),"Doppelbuchung",IF(AND(COUNTIF($R$6:$R$605,R145)&gt;1,NOT(AND(COUNTIF($R$6:$R$605,R145)=2,COUNTIFS($R$6:$R$605,R145,$H$6:$H$605,"Vormittag")=1,COUNTIFS($R$6:$R$605,R145,$H$6:$H$605,"Nachmittag")=1))),"Person doppelt","OK"))))))))</f>
        <v>OK</v>
      </c>
      <c r="O145" s="55">
        <f t="shared" si="17"/>
        <v>1</v>
      </c>
      <c r="P145" s="55" t="str">
        <f t="shared" si="18"/>
        <v>B-04|46302</v>
      </c>
      <c r="Q145" s="55" t="str">
        <f>IF(P145="","",P145&amp;"|"&amp;COUNTIF(P$6:P145,P145))</f>
        <v>B-04|46302|1</v>
      </c>
      <c r="R145" s="55" t="str">
        <f t="shared" si="19"/>
        <v>Erik Neumann|46302</v>
      </c>
      <c r="S145" s="55" t="str">
        <f>IF(R145="","",R145&amp;"|"&amp;COUNTIF(R$6:R145,R145))</f>
        <v>Erik Neumann|46302|1</v>
      </c>
      <c r="T145" s="55" t="str">
        <f>IF(G145="","",IFERROR(INDEX(Stammdaten!$O$10:$O$69,MATCH(G145,Stammdaten!$N$10:$N$69,0)),G145)&amp;IF(H145="Vormittag"," (VM)",IF(H145="Nachmittag"," (NM)",""))&amp;IF(I145="Angefragt"," ?",""))</f>
        <v>E. Neumann</v>
      </c>
      <c r="U145" s="55" t="str">
        <f t="shared" si="20"/>
        <v>B-04</v>
      </c>
    </row>
    <row r="146" spans="2:21" ht="16.5" customHeight="1" x14ac:dyDescent="0.25">
      <c r="B146" s="47">
        <f t="shared" si="14"/>
        <v>141</v>
      </c>
      <c r="C146" s="48">
        <v>46302</v>
      </c>
      <c r="D146" s="49" t="str">
        <f t="shared" si="15"/>
        <v>Mi</v>
      </c>
      <c r="E146" s="50">
        <f t="shared" si="16"/>
        <v>41</v>
      </c>
      <c r="F146" s="51" t="s">
        <v>121</v>
      </c>
      <c r="G146" s="52" t="s">
        <v>120</v>
      </c>
      <c r="H146" s="51" t="s">
        <v>76</v>
      </c>
      <c r="I146" s="51" t="s">
        <v>77</v>
      </c>
      <c r="J146" s="52"/>
      <c r="K146" s="53" t="str">
        <f>IF(G146="","",IFERROR(INDEX(Stammdaten!$P$10:$P$69,MATCH(G146,Stammdaten!$N$10:$N$69,0)),"–"))</f>
        <v>Personal</v>
      </c>
      <c r="L146" s="53" t="str">
        <f>IF(F146="","",IFERROR(INDEX(Stammdaten!$D$10:$D$49,MATCH(F146,Stammdaten!$B$10:$B$49,0)),"–"))</f>
        <v>Teamzone Süd</v>
      </c>
      <c r="M146" s="54" t="str">
        <f>IF(C146="","",IF(OR(F146="",G146="",I146=""),"unvollständig",IF(I146="Storniert","storniert",IF(WEEKDAY(C146,2)&gt;5,"Wochenende",IF(COUNTIF(Stammdaten!$AD$10:$AD$30,C146)&gt;0,"Feiertag",IF(IFERROR(INDEX(Stammdaten!$I$10:$I$49,MATCH(F146,Stammdaten!$B$10:$B$49,0)),"")="Gesperrt","Platz gesperrt",IF(AND(COUNTIF($P$6:$P$605,P146)&gt;1,NOT(AND(COUNTIF($P$6:$P$605,P146)=2,COUNTIFS($P$6:$P$605,P146,$H$6:$H$605,"Vormittag")=1,COUNTIFS($P$6:$P$605,P146,$H$6:$H$605,"Nachmittag")=1))),"Doppelbuchung",IF(AND(COUNTIF($R$6:$R$605,R146)&gt;1,NOT(AND(COUNTIF($R$6:$R$605,R146)=2,COUNTIFS($R$6:$R$605,R146,$H$6:$H$605,"Vormittag")=1,COUNTIFS($R$6:$R$605,R146,$H$6:$H$605,"Nachmittag")=1))),"Person doppelt","OK"))))))))</f>
        <v>OK</v>
      </c>
      <c r="O146" s="55">
        <f t="shared" si="17"/>
        <v>1</v>
      </c>
      <c r="P146" s="55" t="str">
        <f t="shared" si="18"/>
        <v>B-05|46302</v>
      </c>
      <c r="Q146" s="55" t="str">
        <f>IF(P146="","",P146&amp;"|"&amp;COUNTIF(P$6:P146,P146))</f>
        <v>B-05|46302|1</v>
      </c>
      <c r="R146" s="55" t="str">
        <f t="shared" si="19"/>
        <v>Elif Yilmaz|46302</v>
      </c>
      <c r="S146" s="55" t="str">
        <f>IF(R146="","",R146&amp;"|"&amp;COUNTIF(R$6:R146,R146))</f>
        <v>Elif Yilmaz|46302|1</v>
      </c>
      <c r="T146" s="55" t="str">
        <f>IF(G146="","",IFERROR(INDEX(Stammdaten!$O$10:$O$69,MATCH(G146,Stammdaten!$N$10:$N$69,0)),G146)&amp;IF(H146="Vormittag"," (VM)",IF(H146="Nachmittag"," (NM)",""))&amp;IF(I146="Angefragt"," ?",""))</f>
        <v>E. Yilmaz</v>
      </c>
      <c r="U146" s="55" t="str">
        <f t="shared" si="20"/>
        <v>B-05</v>
      </c>
    </row>
    <row r="147" spans="2:21" ht="16.5" customHeight="1" x14ac:dyDescent="0.25">
      <c r="B147" s="47">
        <f t="shared" si="14"/>
        <v>142</v>
      </c>
      <c r="C147" s="48">
        <v>46302</v>
      </c>
      <c r="D147" s="49" t="str">
        <f t="shared" si="15"/>
        <v>Mi</v>
      </c>
      <c r="E147" s="50">
        <f t="shared" si="16"/>
        <v>41</v>
      </c>
      <c r="F147" s="51" t="s">
        <v>96</v>
      </c>
      <c r="G147" s="52" t="s">
        <v>93</v>
      </c>
      <c r="H147" s="51" t="s">
        <v>133</v>
      </c>
      <c r="I147" s="51" t="s">
        <v>77</v>
      </c>
      <c r="J147" s="52"/>
      <c r="K147" s="53" t="str">
        <f>IF(G147="","",IFERROR(INDEX(Stammdaten!$P$10:$P$69,MATCH(G147,Stammdaten!$N$10:$N$69,0)),"–"))</f>
        <v>Finanzen</v>
      </c>
      <c r="L147" s="53" t="str">
        <f>IF(F147="","",IFERROR(INDEX(Stammdaten!$D$10:$D$49,MATCH(F147,Stammdaten!$B$10:$B$49,0)),"–"))</f>
        <v>Teamzone Süd</v>
      </c>
      <c r="M147" s="54" t="str">
        <f>IF(C147="","",IF(OR(F147="",G147="",I147=""),"unvollständig",IF(I147="Storniert","storniert",IF(WEEKDAY(C147,2)&gt;5,"Wochenende",IF(COUNTIF(Stammdaten!$AD$10:$AD$30,C147)&gt;0,"Feiertag",IF(IFERROR(INDEX(Stammdaten!$I$10:$I$49,MATCH(F147,Stammdaten!$B$10:$B$49,0)),"")="Gesperrt","Platz gesperrt",IF(AND(COUNTIF($P$6:$P$605,P147)&gt;1,NOT(AND(COUNTIF($P$6:$P$605,P147)=2,COUNTIFS($P$6:$P$605,P147,$H$6:$H$605,"Vormittag")=1,COUNTIFS($P$6:$P$605,P147,$H$6:$H$605,"Nachmittag")=1))),"Doppelbuchung",IF(AND(COUNTIF($R$6:$R$605,R147)&gt;1,NOT(AND(COUNTIF($R$6:$R$605,R147)=2,COUNTIFS($R$6:$R$605,R147,$H$6:$H$605,"Vormittag")=1,COUNTIFS($R$6:$R$605,R147,$H$6:$H$605,"Nachmittag")=1))),"Person doppelt","OK"))))))))</f>
        <v>OK</v>
      </c>
      <c r="O147" s="55">
        <f t="shared" si="17"/>
        <v>0.5</v>
      </c>
      <c r="P147" s="55" t="str">
        <f t="shared" si="18"/>
        <v>B-06|46302</v>
      </c>
      <c r="Q147" s="55" t="str">
        <f>IF(P147="","",P147&amp;"|"&amp;COUNTIF(P$6:P147,P147))</f>
        <v>B-06|46302|1</v>
      </c>
      <c r="R147" s="55" t="str">
        <f t="shared" si="19"/>
        <v>Sarah Böhm|46302</v>
      </c>
      <c r="S147" s="55" t="str">
        <f>IF(R147="","",R147&amp;"|"&amp;COUNTIF(R$6:R147,R147))</f>
        <v>Sarah Böhm|46302|1</v>
      </c>
      <c r="T147" s="55" t="str">
        <f>IF(G147="","",IFERROR(INDEX(Stammdaten!$O$10:$O$69,MATCH(G147,Stammdaten!$N$10:$N$69,0)),G147)&amp;IF(H147="Vormittag"," (VM)",IF(H147="Nachmittag"," (NM)",""))&amp;IF(I147="Angefragt"," ?",""))</f>
        <v>S. Böhm (VM)</v>
      </c>
      <c r="U147" s="55" t="str">
        <f t="shared" si="20"/>
        <v>B-06 (VM)</v>
      </c>
    </row>
    <row r="148" spans="2:21" ht="16.5" customHeight="1" x14ac:dyDescent="0.25">
      <c r="B148" s="47">
        <f t="shared" si="14"/>
        <v>143</v>
      </c>
      <c r="C148" s="48">
        <v>46302</v>
      </c>
      <c r="D148" s="49" t="str">
        <f t="shared" si="15"/>
        <v>Mi</v>
      </c>
      <c r="E148" s="50">
        <f t="shared" si="16"/>
        <v>41</v>
      </c>
      <c r="F148" s="51" t="s">
        <v>96</v>
      </c>
      <c r="G148" s="52" t="s">
        <v>79</v>
      </c>
      <c r="H148" s="51" t="s">
        <v>134</v>
      </c>
      <c r="I148" s="51" t="s">
        <v>77</v>
      </c>
      <c r="J148" s="52" t="s">
        <v>135</v>
      </c>
      <c r="K148" s="53" t="str">
        <f>IF(G148="","",IFERROR(INDEX(Stammdaten!$P$10:$P$69,MATCH(G148,Stammdaten!$N$10:$N$69,0)),"–"))</f>
        <v>Vertrieb</v>
      </c>
      <c r="L148" s="53" t="str">
        <f>IF(F148="","",IFERROR(INDEX(Stammdaten!$D$10:$D$49,MATCH(F148,Stammdaten!$B$10:$B$49,0)),"–"))</f>
        <v>Teamzone Süd</v>
      </c>
      <c r="M148" s="54" t="str">
        <f>IF(C148="","",IF(OR(F148="",G148="",I148=""),"unvollständig",IF(I148="Storniert","storniert",IF(WEEKDAY(C148,2)&gt;5,"Wochenende",IF(COUNTIF(Stammdaten!$AD$10:$AD$30,C148)&gt;0,"Feiertag",IF(IFERROR(INDEX(Stammdaten!$I$10:$I$49,MATCH(F148,Stammdaten!$B$10:$B$49,0)),"")="Gesperrt","Platz gesperrt",IF(AND(COUNTIF($P$6:$P$605,P148)&gt;1,NOT(AND(COUNTIF($P$6:$P$605,P148)=2,COUNTIFS($P$6:$P$605,P148,$H$6:$H$605,"Vormittag")=1,COUNTIFS($P$6:$P$605,P148,$H$6:$H$605,"Nachmittag")=1))),"Doppelbuchung",IF(AND(COUNTIF($R$6:$R$605,R148)&gt;1,NOT(AND(COUNTIF($R$6:$R$605,R148)=2,COUNTIFS($R$6:$R$605,R148,$H$6:$H$605,"Vormittag")=1,COUNTIFS($R$6:$R$605,R148,$H$6:$H$605,"Nachmittag")=1))),"Person doppelt","OK"))))))))</f>
        <v>OK</v>
      </c>
      <c r="O148" s="55">
        <f t="shared" si="17"/>
        <v>0.5</v>
      </c>
      <c r="P148" s="55" t="str">
        <f t="shared" si="18"/>
        <v>B-06|46302</v>
      </c>
      <c r="Q148" s="55" t="str">
        <f>IF(P148="","",P148&amp;"|"&amp;COUNTIF(P$6:P148,P148))</f>
        <v>B-06|46302|2</v>
      </c>
      <c r="R148" s="55" t="str">
        <f t="shared" si="19"/>
        <v>Lena Hartmann|46302</v>
      </c>
      <c r="S148" s="55" t="str">
        <f>IF(R148="","",R148&amp;"|"&amp;COUNTIF(R$6:R148,R148))</f>
        <v>Lena Hartmann|46302|1</v>
      </c>
      <c r="T148" s="55" t="str">
        <f>IF(G148="","",IFERROR(INDEX(Stammdaten!$O$10:$O$69,MATCH(G148,Stammdaten!$N$10:$N$69,0)),G148)&amp;IF(H148="Vormittag"," (VM)",IF(H148="Nachmittag"," (NM)",""))&amp;IF(I148="Angefragt"," ?",""))</f>
        <v>L. Hartmann (NM)</v>
      </c>
      <c r="U148" s="55" t="str">
        <f t="shared" si="20"/>
        <v>B-06 (NM)</v>
      </c>
    </row>
    <row r="149" spans="2:21" ht="16.5" customHeight="1" x14ac:dyDescent="0.25">
      <c r="B149" s="47">
        <f t="shared" si="14"/>
        <v>144</v>
      </c>
      <c r="C149" s="48">
        <v>46302</v>
      </c>
      <c r="D149" s="49" t="str">
        <f t="shared" si="15"/>
        <v>Mi</v>
      </c>
      <c r="E149" s="50">
        <f t="shared" si="16"/>
        <v>41</v>
      </c>
      <c r="F149" s="51" t="s">
        <v>98</v>
      </c>
      <c r="G149" s="52" t="s">
        <v>122</v>
      </c>
      <c r="H149" s="51" t="s">
        <v>76</v>
      </c>
      <c r="I149" s="51" t="s">
        <v>77</v>
      </c>
      <c r="J149" s="52"/>
      <c r="K149" s="53" t="str">
        <f>IF(G149="","",IFERROR(INDEX(Stammdaten!$P$10:$P$69,MATCH(G149,Stammdaten!$N$10:$N$69,0)),"–"))</f>
        <v>Personal</v>
      </c>
      <c r="L149" s="53" t="str">
        <f>IF(F149="","",IFERROR(INDEX(Stammdaten!$D$10:$D$49,MATCH(F149,Stammdaten!$B$10:$B$49,0)),"–"))</f>
        <v>Teamzone Süd</v>
      </c>
      <c r="M149" s="54" t="str">
        <f>IF(C149="","",IF(OR(F149="",G149="",I149=""),"unvollständig",IF(I149="Storniert","storniert",IF(WEEKDAY(C149,2)&gt;5,"Wochenende",IF(COUNTIF(Stammdaten!$AD$10:$AD$30,C149)&gt;0,"Feiertag",IF(IFERROR(INDEX(Stammdaten!$I$10:$I$49,MATCH(F149,Stammdaten!$B$10:$B$49,0)),"")="Gesperrt","Platz gesperrt",IF(AND(COUNTIF($P$6:$P$605,P149)&gt;1,NOT(AND(COUNTIF($P$6:$P$605,P149)=2,COUNTIFS($P$6:$P$605,P149,$H$6:$H$605,"Vormittag")=1,COUNTIFS($P$6:$P$605,P149,$H$6:$H$605,"Nachmittag")=1))),"Doppelbuchung",IF(AND(COUNTIF($R$6:$R$605,R149)&gt;1,NOT(AND(COUNTIF($R$6:$R$605,R149)=2,COUNTIFS($R$6:$R$605,R149,$H$6:$H$605,"Vormittag")=1,COUNTIFS($R$6:$R$605,R149,$H$6:$H$605,"Nachmittag")=1))),"Person doppelt","OK"))))))))</f>
        <v>OK</v>
      </c>
      <c r="O149" s="55">
        <f t="shared" si="17"/>
        <v>1</v>
      </c>
      <c r="P149" s="55" t="str">
        <f t="shared" si="18"/>
        <v>B-08|46302</v>
      </c>
      <c r="Q149" s="55" t="str">
        <f>IF(P149="","",P149&amp;"|"&amp;COUNTIF(P$6:P149,P149))</f>
        <v>B-08|46302|1</v>
      </c>
      <c r="R149" s="55" t="str">
        <f t="shared" si="19"/>
        <v>Niklas Wolf|46302</v>
      </c>
      <c r="S149" s="55" t="str">
        <f>IF(R149="","",R149&amp;"|"&amp;COUNTIF(R$6:R149,R149))</f>
        <v>Niklas Wolf|46302|1</v>
      </c>
      <c r="T149" s="55" t="str">
        <f>IF(G149="","",IFERROR(INDEX(Stammdaten!$O$10:$O$69,MATCH(G149,Stammdaten!$N$10:$N$69,0)),G149)&amp;IF(H149="Vormittag"," (VM)",IF(H149="Nachmittag"," (NM)",""))&amp;IF(I149="Angefragt"," ?",""))</f>
        <v>N. Wolf</v>
      </c>
      <c r="U149" s="55" t="str">
        <f t="shared" si="20"/>
        <v>B-08</v>
      </c>
    </row>
    <row r="150" spans="2:21" ht="16.5" customHeight="1" x14ac:dyDescent="0.25">
      <c r="B150" s="47">
        <f t="shared" si="14"/>
        <v>145</v>
      </c>
      <c r="C150" s="48">
        <v>46302</v>
      </c>
      <c r="D150" s="49" t="str">
        <f t="shared" si="15"/>
        <v>Mi</v>
      </c>
      <c r="E150" s="50">
        <f t="shared" si="16"/>
        <v>41</v>
      </c>
      <c r="F150" s="51" t="s">
        <v>100</v>
      </c>
      <c r="G150" s="52" t="s">
        <v>130</v>
      </c>
      <c r="H150" s="51" t="s">
        <v>76</v>
      </c>
      <c r="I150" s="51" t="s">
        <v>77</v>
      </c>
      <c r="J150" s="52"/>
      <c r="K150" s="53" t="str">
        <f>IF(G150="","",IFERROR(INDEX(Stammdaten!$P$10:$P$69,MATCH(G150,Stammdaten!$N$10:$N$69,0)),"–"))</f>
        <v>Projektmanagement</v>
      </c>
      <c r="L150" s="53" t="str">
        <f>IF(F150="","",IFERROR(INDEX(Stammdaten!$D$10:$D$49,MATCH(F150,Stammdaten!$B$10:$B$49,0)),"–"))</f>
        <v>Projektfläche</v>
      </c>
      <c r="M150" s="54" t="str">
        <f>IF(C150="","",IF(OR(F150="",G150="",I150=""),"unvollständig",IF(I150="Storniert","storniert",IF(WEEKDAY(C150,2)&gt;5,"Wochenende",IF(COUNTIF(Stammdaten!$AD$10:$AD$30,C150)&gt;0,"Feiertag",IF(IFERROR(INDEX(Stammdaten!$I$10:$I$49,MATCH(F150,Stammdaten!$B$10:$B$49,0)),"")="Gesperrt","Platz gesperrt",IF(AND(COUNTIF($P$6:$P$605,P150)&gt;1,NOT(AND(COUNTIF($P$6:$P$605,P150)=2,COUNTIFS($P$6:$P$605,P150,$H$6:$H$605,"Vormittag")=1,COUNTIFS($P$6:$P$605,P150,$H$6:$H$605,"Nachmittag")=1))),"Doppelbuchung",IF(AND(COUNTIF($R$6:$R$605,R150)&gt;1,NOT(AND(COUNTIF($R$6:$R$605,R150)=2,COUNTIFS($R$6:$R$605,R150,$H$6:$H$605,"Vormittag")=1,COUNTIFS($R$6:$R$605,R150,$H$6:$H$605,"Nachmittag")=1))),"Person doppelt","OK"))))))))</f>
        <v>OK</v>
      </c>
      <c r="O150" s="55">
        <f t="shared" si="17"/>
        <v>1</v>
      </c>
      <c r="P150" s="55" t="str">
        <f t="shared" si="18"/>
        <v>B-09|46302</v>
      </c>
      <c r="Q150" s="55" t="str">
        <f>IF(P150="","",P150&amp;"|"&amp;COUNTIF(P$6:P150,P150))</f>
        <v>B-09|46302|1</v>
      </c>
      <c r="R150" s="55" t="str">
        <f t="shared" si="19"/>
        <v>Fabian Ott|46302</v>
      </c>
      <c r="S150" s="55" t="str">
        <f>IF(R150="","",R150&amp;"|"&amp;COUNTIF(R$6:R150,R150))</f>
        <v>Fabian Ott|46302|1</v>
      </c>
      <c r="T150" s="55" t="str">
        <f>IF(G150="","",IFERROR(INDEX(Stammdaten!$O$10:$O$69,MATCH(G150,Stammdaten!$N$10:$N$69,0)),G150)&amp;IF(H150="Vormittag"," (VM)",IF(H150="Nachmittag"," (NM)",""))&amp;IF(I150="Angefragt"," ?",""))</f>
        <v>F. Ott</v>
      </c>
      <c r="U150" s="55" t="str">
        <f t="shared" si="20"/>
        <v>B-09</v>
      </c>
    </row>
    <row r="151" spans="2:21" ht="16.5" customHeight="1" x14ac:dyDescent="0.25">
      <c r="B151" s="47">
        <f t="shared" si="14"/>
        <v>146</v>
      </c>
      <c r="C151" s="48">
        <v>46302</v>
      </c>
      <c r="D151" s="49" t="str">
        <f t="shared" si="15"/>
        <v>Mi</v>
      </c>
      <c r="E151" s="50">
        <f t="shared" si="16"/>
        <v>41</v>
      </c>
      <c r="F151" s="51" t="s">
        <v>102</v>
      </c>
      <c r="G151" s="52" t="s">
        <v>124</v>
      </c>
      <c r="H151" s="51" t="s">
        <v>76</v>
      </c>
      <c r="I151" s="51" t="s">
        <v>77</v>
      </c>
      <c r="J151" s="52"/>
      <c r="K151" s="53" t="str">
        <f>IF(G151="","",IFERROR(INDEX(Stammdaten!$P$10:$P$69,MATCH(G151,Stammdaten!$N$10:$N$69,0)),"–"))</f>
        <v>IT</v>
      </c>
      <c r="L151" s="53" t="str">
        <f>IF(F151="","",IFERROR(INDEX(Stammdaten!$D$10:$D$49,MATCH(F151,Stammdaten!$B$10:$B$49,0)),"–"))</f>
        <v>Projektfläche</v>
      </c>
      <c r="M151" s="54" t="str">
        <f>IF(C151="","",IF(OR(F151="",G151="",I151=""),"unvollständig",IF(I151="Storniert","storniert",IF(WEEKDAY(C151,2)&gt;5,"Wochenende",IF(COUNTIF(Stammdaten!$AD$10:$AD$30,C151)&gt;0,"Feiertag",IF(IFERROR(INDEX(Stammdaten!$I$10:$I$49,MATCH(F151,Stammdaten!$B$10:$B$49,0)),"")="Gesperrt","Platz gesperrt",IF(AND(COUNTIF($P$6:$P$605,P151)&gt;1,NOT(AND(COUNTIF($P$6:$P$605,P151)=2,COUNTIFS($P$6:$P$605,P151,$H$6:$H$605,"Vormittag")=1,COUNTIFS($P$6:$P$605,P151,$H$6:$H$605,"Nachmittag")=1))),"Doppelbuchung",IF(AND(COUNTIF($R$6:$R$605,R151)&gt;1,NOT(AND(COUNTIF($R$6:$R$605,R151)=2,COUNTIFS($R$6:$R$605,R151,$H$6:$H$605,"Vormittag")=1,COUNTIFS($R$6:$R$605,R151,$H$6:$H$605,"Nachmittag")=1))),"Person doppelt","OK"))))))))</f>
        <v>OK</v>
      </c>
      <c r="O151" s="55">
        <f t="shared" si="17"/>
        <v>1</v>
      </c>
      <c r="P151" s="55" t="str">
        <f t="shared" si="18"/>
        <v>B-10|46302</v>
      </c>
      <c r="Q151" s="55" t="str">
        <f>IF(P151="","",P151&amp;"|"&amp;COUNTIF(P$6:P151,P151))</f>
        <v>B-10|46302|1</v>
      </c>
      <c r="R151" s="55" t="str">
        <f t="shared" si="19"/>
        <v>Laura Sommer|46302</v>
      </c>
      <c r="S151" s="55" t="str">
        <f>IF(R151="","",R151&amp;"|"&amp;COUNTIF(R$6:R151,R151))</f>
        <v>Laura Sommer|46302|1</v>
      </c>
      <c r="T151" s="55" t="str">
        <f>IF(G151="","",IFERROR(INDEX(Stammdaten!$O$10:$O$69,MATCH(G151,Stammdaten!$N$10:$N$69,0)),G151)&amp;IF(H151="Vormittag"," (VM)",IF(H151="Nachmittag"," (NM)",""))&amp;IF(I151="Angefragt"," ?",""))</f>
        <v>L. Sommer</v>
      </c>
      <c r="U151" s="55" t="str">
        <f t="shared" si="20"/>
        <v>B-10</v>
      </c>
    </row>
    <row r="152" spans="2:21" ht="16.5" customHeight="1" x14ac:dyDescent="0.25">
      <c r="B152" s="47">
        <f t="shared" si="14"/>
        <v>147</v>
      </c>
      <c r="C152" s="48">
        <v>46302</v>
      </c>
      <c r="D152" s="49" t="str">
        <f t="shared" si="15"/>
        <v>Mi</v>
      </c>
      <c r="E152" s="50">
        <f t="shared" si="16"/>
        <v>41</v>
      </c>
      <c r="F152" s="51" t="s">
        <v>104</v>
      </c>
      <c r="G152" s="52" t="s">
        <v>132</v>
      </c>
      <c r="H152" s="51" t="s">
        <v>76</v>
      </c>
      <c r="I152" s="51" t="s">
        <v>77</v>
      </c>
      <c r="J152" s="52"/>
      <c r="K152" s="53" t="str">
        <f>IF(G152="","",IFERROR(INDEX(Stammdaten!$P$10:$P$69,MATCH(G152,Stammdaten!$N$10:$N$69,0)),"–"))</f>
        <v>Projektmanagement</v>
      </c>
      <c r="L152" s="53" t="str">
        <f>IF(F152="","",IFERROR(INDEX(Stammdaten!$D$10:$D$49,MATCH(F152,Stammdaten!$B$10:$B$49,0)),"–"))</f>
        <v>Projektfläche</v>
      </c>
      <c r="M152" s="54" t="str">
        <f>IF(C152="","",IF(OR(F152="",G152="",I152=""),"unvollständig",IF(I152="Storniert","storniert",IF(WEEKDAY(C152,2)&gt;5,"Wochenende",IF(COUNTIF(Stammdaten!$AD$10:$AD$30,C152)&gt;0,"Feiertag",IF(IFERROR(INDEX(Stammdaten!$I$10:$I$49,MATCH(F152,Stammdaten!$B$10:$B$49,0)),"")="Gesperrt","Platz gesperrt",IF(AND(COUNTIF($P$6:$P$605,P152)&gt;1,NOT(AND(COUNTIF($P$6:$P$605,P152)=2,COUNTIFS($P$6:$P$605,P152,$H$6:$H$605,"Vormittag")=1,COUNTIFS($P$6:$P$605,P152,$H$6:$H$605,"Nachmittag")=1))),"Doppelbuchung",IF(AND(COUNTIF($R$6:$R$605,R152)&gt;1,NOT(AND(COUNTIF($R$6:$R$605,R152)=2,COUNTIFS($R$6:$R$605,R152,$H$6:$H$605,"Vormittag")=1,COUNTIFS($R$6:$R$605,R152,$H$6:$H$605,"Nachmittag")=1))),"Person doppelt","OK"))))))))</f>
        <v>OK</v>
      </c>
      <c r="O152" s="55">
        <f t="shared" si="17"/>
        <v>1</v>
      </c>
      <c r="P152" s="55" t="str">
        <f t="shared" si="18"/>
        <v>B-11|46302</v>
      </c>
      <c r="Q152" s="55" t="str">
        <f>IF(P152="","",P152&amp;"|"&amp;COUNTIF(P$6:P152,P152))</f>
        <v>B-11|46302|1</v>
      </c>
      <c r="R152" s="55" t="str">
        <f t="shared" si="19"/>
        <v>Vanessa Kraft|46302</v>
      </c>
      <c r="S152" s="55" t="str">
        <f>IF(R152="","",R152&amp;"|"&amp;COUNTIF(R$6:R152,R152))</f>
        <v>Vanessa Kraft|46302|1</v>
      </c>
      <c r="T152" s="55" t="str">
        <f>IF(G152="","",IFERROR(INDEX(Stammdaten!$O$10:$O$69,MATCH(G152,Stammdaten!$N$10:$N$69,0)),G152)&amp;IF(H152="Vormittag"," (VM)",IF(H152="Nachmittag"," (NM)",""))&amp;IF(I152="Angefragt"," ?",""))</f>
        <v>V. Kraft</v>
      </c>
      <c r="U152" s="55" t="str">
        <f t="shared" si="20"/>
        <v>B-11</v>
      </c>
    </row>
    <row r="153" spans="2:21" ht="16.5" customHeight="1" x14ac:dyDescent="0.25">
      <c r="B153" s="47">
        <f t="shared" si="14"/>
        <v>148</v>
      </c>
      <c r="C153" s="48">
        <v>46302</v>
      </c>
      <c r="D153" s="49" t="str">
        <f t="shared" si="15"/>
        <v>Mi</v>
      </c>
      <c r="E153" s="50">
        <f t="shared" si="16"/>
        <v>41</v>
      </c>
      <c r="F153" s="51" t="s">
        <v>106</v>
      </c>
      <c r="G153" s="52" t="s">
        <v>101</v>
      </c>
      <c r="H153" s="51" t="s">
        <v>76</v>
      </c>
      <c r="I153" s="51" t="s">
        <v>77</v>
      </c>
      <c r="J153" s="52"/>
      <c r="K153" s="53" t="str">
        <f>IF(G153="","",IFERROR(INDEX(Stammdaten!$P$10:$P$69,MATCH(G153,Stammdaten!$N$10:$N$69,0)),"–"))</f>
        <v>IT</v>
      </c>
      <c r="L153" s="53" t="str">
        <f>IF(F153="","",IFERROR(INDEX(Stammdaten!$D$10:$D$49,MATCH(F153,Stammdaten!$B$10:$B$49,0)),"–"))</f>
        <v>Projektfläche</v>
      </c>
      <c r="M153" s="54" t="str">
        <f>IF(C153="","",IF(OR(F153="",G153="",I153=""),"unvollständig",IF(I153="Storniert","storniert",IF(WEEKDAY(C153,2)&gt;5,"Wochenende",IF(COUNTIF(Stammdaten!$AD$10:$AD$30,C153)&gt;0,"Feiertag",IF(IFERROR(INDEX(Stammdaten!$I$10:$I$49,MATCH(F153,Stammdaten!$B$10:$B$49,0)),"")="Gesperrt","Platz gesperrt",IF(AND(COUNTIF($P$6:$P$605,P153)&gt;1,NOT(AND(COUNTIF($P$6:$P$605,P153)=2,COUNTIFS($P$6:$P$605,P153,$H$6:$H$605,"Vormittag")=1,COUNTIFS($P$6:$P$605,P153,$H$6:$H$605,"Nachmittag")=1))),"Doppelbuchung",IF(AND(COUNTIF($R$6:$R$605,R153)&gt;1,NOT(AND(COUNTIF($R$6:$R$605,R153)=2,COUNTIFS($R$6:$R$605,R153,$H$6:$H$605,"Vormittag")=1,COUNTIFS($R$6:$R$605,R153,$H$6:$H$605,"Nachmittag")=1))),"Person doppelt","OK"))))))))</f>
        <v>OK</v>
      </c>
      <c r="O153" s="55">
        <f t="shared" si="17"/>
        <v>1</v>
      </c>
      <c r="P153" s="55" t="str">
        <f t="shared" si="18"/>
        <v>B-12|46302</v>
      </c>
      <c r="Q153" s="55" t="str">
        <f>IF(P153="","",P153&amp;"|"&amp;COUNTIF(P$6:P153,P153))</f>
        <v>B-12|46302|1</v>
      </c>
      <c r="R153" s="55" t="str">
        <f t="shared" si="19"/>
        <v>Daniel Ritter|46302</v>
      </c>
      <c r="S153" s="55" t="str">
        <f>IF(R153="","",R153&amp;"|"&amp;COUNTIF(R$6:R153,R153))</f>
        <v>Daniel Ritter|46302|1</v>
      </c>
      <c r="T153" s="55" t="str">
        <f>IF(G153="","",IFERROR(INDEX(Stammdaten!$O$10:$O$69,MATCH(G153,Stammdaten!$N$10:$N$69,0)),G153)&amp;IF(H153="Vormittag"," (VM)",IF(H153="Nachmittag"," (NM)",""))&amp;IF(I153="Angefragt"," ?",""))</f>
        <v>D. Ritter</v>
      </c>
      <c r="U153" s="55" t="str">
        <f t="shared" si="20"/>
        <v>B-12</v>
      </c>
    </row>
    <row r="154" spans="2:21" ht="16.5" customHeight="1" x14ac:dyDescent="0.25">
      <c r="B154" s="47">
        <f t="shared" si="14"/>
        <v>149</v>
      </c>
      <c r="C154" s="48">
        <v>46303</v>
      </c>
      <c r="D154" s="49" t="str">
        <f t="shared" si="15"/>
        <v>Do</v>
      </c>
      <c r="E154" s="50">
        <f t="shared" si="16"/>
        <v>41</v>
      </c>
      <c r="F154" s="51" t="s">
        <v>74</v>
      </c>
      <c r="G154" s="52" t="s">
        <v>75</v>
      </c>
      <c r="H154" s="51" t="s">
        <v>76</v>
      </c>
      <c r="I154" s="51" t="s">
        <v>77</v>
      </c>
      <c r="J154" s="52"/>
      <c r="K154" s="53" t="str">
        <f>IF(G154="","",IFERROR(INDEX(Stammdaten!$P$10:$P$69,MATCH(G154,Stammdaten!$N$10:$N$69,0)),"–"))</f>
        <v>Marketing</v>
      </c>
      <c r="L154" s="53" t="str">
        <f>IF(F154="","",IFERROR(INDEX(Stammdaten!$D$10:$D$49,MATCH(F154,Stammdaten!$B$10:$B$49,0)),"–"))</f>
        <v>Teamzone Nord</v>
      </c>
      <c r="M154" s="54" t="str">
        <f>IF(C154="","",IF(OR(F154="",G154="",I154=""),"unvollständig",IF(I154="Storniert","storniert",IF(WEEKDAY(C154,2)&gt;5,"Wochenende",IF(COUNTIF(Stammdaten!$AD$10:$AD$30,C154)&gt;0,"Feiertag",IF(IFERROR(INDEX(Stammdaten!$I$10:$I$49,MATCH(F154,Stammdaten!$B$10:$B$49,0)),"")="Gesperrt","Platz gesperrt",IF(AND(COUNTIF($P$6:$P$605,P154)&gt;1,NOT(AND(COUNTIF($P$6:$P$605,P154)=2,COUNTIFS($P$6:$P$605,P154,$H$6:$H$605,"Vormittag")=1,COUNTIFS($P$6:$P$605,P154,$H$6:$H$605,"Nachmittag")=1))),"Doppelbuchung",IF(AND(COUNTIF($R$6:$R$605,R154)&gt;1,NOT(AND(COUNTIF($R$6:$R$605,R154)=2,COUNTIFS($R$6:$R$605,R154,$H$6:$H$605,"Vormittag")=1,COUNTIFS($R$6:$R$605,R154,$H$6:$H$605,"Nachmittag")=1))),"Person doppelt","OK"))))))))</f>
        <v>OK</v>
      </c>
      <c r="O154" s="55">
        <f t="shared" si="17"/>
        <v>1</v>
      </c>
      <c r="P154" s="55" t="str">
        <f t="shared" si="18"/>
        <v>A-01|46303</v>
      </c>
      <c r="Q154" s="55" t="str">
        <f>IF(P154="","",P154&amp;"|"&amp;COUNTIF(P$6:P154,P154))</f>
        <v>A-01|46303|1</v>
      </c>
      <c r="R154" s="55" t="str">
        <f t="shared" si="19"/>
        <v>Marco Seidel|46303</v>
      </c>
      <c r="S154" s="55" t="str">
        <f>IF(R154="","",R154&amp;"|"&amp;COUNTIF(R$6:R154,R154))</f>
        <v>Marco Seidel|46303|1</v>
      </c>
      <c r="T154" s="55" t="str">
        <f>IF(G154="","",IFERROR(INDEX(Stammdaten!$O$10:$O$69,MATCH(G154,Stammdaten!$N$10:$N$69,0)),G154)&amp;IF(H154="Vormittag"," (VM)",IF(H154="Nachmittag"," (NM)",""))&amp;IF(I154="Angefragt"," ?",""))</f>
        <v>M. Seidel</v>
      </c>
      <c r="U154" s="55" t="str">
        <f t="shared" si="20"/>
        <v>A-01</v>
      </c>
    </row>
    <row r="155" spans="2:21" ht="16.5" customHeight="1" x14ac:dyDescent="0.25">
      <c r="B155" s="47">
        <f t="shared" si="14"/>
        <v>150</v>
      </c>
      <c r="C155" s="48">
        <v>46303</v>
      </c>
      <c r="D155" s="49" t="str">
        <f t="shared" si="15"/>
        <v>Do</v>
      </c>
      <c r="E155" s="50">
        <f t="shared" si="16"/>
        <v>41</v>
      </c>
      <c r="F155" s="51" t="s">
        <v>78</v>
      </c>
      <c r="G155" s="52" t="s">
        <v>127</v>
      </c>
      <c r="H155" s="51" t="s">
        <v>76</v>
      </c>
      <c r="I155" s="51" t="s">
        <v>77</v>
      </c>
      <c r="J155" s="52"/>
      <c r="K155" s="53" t="str">
        <f>IF(G155="","",IFERROR(INDEX(Stammdaten!$P$10:$P$69,MATCH(G155,Stammdaten!$N$10:$N$69,0)),"–"))</f>
        <v>Vertrieb</v>
      </c>
      <c r="L155" s="53" t="str">
        <f>IF(F155="","",IFERROR(INDEX(Stammdaten!$D$10:$D$49,MATCH(F155,Stammdaten!$B$10:$B$49,0)),"–"))</f>
        <v>Teamzone Nord</v>
      </c>
      <c r="M155" s="54" t="str">
        <f>IF(C155="","",IF(OR(F155="",G155="",I155=""),"unvollständig",IF(I155="Storniert","storniert",IF(WEEKDAY(C155,2)&gt;5,"Wochenende",IF(COUNTIF(Stammdaten!$AD$10:$AD$30,C155)&gt;0,"Feiertag",IF(IFERROR(INDEX(Stammdaten!$I$10:$I$49,MATCH(F155,Stammdaten!$B$10:$B$49,0)),"")="Gesperrt","Platz gesperrt",IF(AND(COUNTIF($P$6:$P$605,P155)&gt;1,NOT(AND(COUNTIF($P$6:$P$605,P155)=2,COUNTIFS($P$6:$P$605,P155,$H$6:$H$605,"Vormittag")=1,COUNTIFS($P$6:$P$605,P155,$H$6:$H$605,"Nachmittag")=1))),"Doppelbuchung",IF(AND(COUNTIF($R$6:$R$605,R155)&gt;1,NOT(AND(COUNTIF($R$6:$R$605,R155)=2,COUNTIFS($R$6:$R$605,R155,$H$6:$H$605,"Vormittag")=1,COUNTIFS($R$6:$R$605,R155,$H$6:$H$605,"Nachmittag")=1))),"Person doppelt","OK"))))))))</f>
        <v>OK</v>
      </c>
      <c r="O155" s="55">
        <f t="shared" si="17"/>
        <v>1</v>
      </c>
      <c r="P155" s="55" t="str">
        <f t="shared" si="18"/>
        <v>A-02|46303</v>
      </c>
      <c r="Q155" s="55" t="str">
        <f>IF(P155="","",P155&amp;"|"&amp;COUNTIF(P$6:P155,P155))</f>
        <v>A-02|46303|1</v>
      </c>
      <c r="R155" s="55" t="str">
        <f t="shared" si="19"/>
        <v>Tobias Lindner|46303</v>
      </c>
      <c r="S155" s="55" t="str">
        <f>IF(R155="","",R155&amp;"|"&amp;COUNTIF(R$6:R155,R155))</f>
        <v>Tobias Lindner|46303|1</v>
      </c>
      <c r="T155" s="55" t="str">
        <f>IF(G155="","",IFERROR(INDEX(Stammdaten!$O$10:$O$69,MATCH(G155,Stammdaten!$N$10:$N$69,0)),G155)&amp;IF(H155="Vormittag"," (VM)",IF(H155="Nachmittag"," (NM)",""))&amp;IF(I155="Angefragt"," ?",""))</f>
        <v>T. Lindner</v>
      </c>
      <c r="U155" s="55" t="str">
        <f t="shared" si="20"/>
        <v>A-02</v>
      </c>
    </row>
    <row r="156" spans="2:21" ht="16.5" customHeight="1" x14ac:dyDescent="0.25">
      <c r="B156" s="47">
        <f t="shared" si="14"/>
        <v>151</v>
      </c>
      <c r="C156" s="48">
        <v>46303</v>
      </c>
      <c r="D156" s="49" t="str">
        <f t="shared" si="15"/>
        <v>Do</v>
      </c>
      <c r="E156" s="50">
        <f t="shared" si="16"/>
        <v>41</v>
      </c>
      <c r="F156" s="51" t="s">
        <v>109</v>
      </c>
      <c r="G156" s="52" t="s">
        <v>83</v>
      </c>
      <c r="H156" s="51" t="s">
        <v>76</v>
      </c>
      <c r="I156" s="51" t="s">
        <v>77</v>
      </c>
      <c r="J156" s="52"/>
      <c r="K156" s="53" t="str">
        <f>IF(G156="","",IFERROR(INDEX(Stammdaten!$P$10:$P$69,MATCH(G156,Stammdaten!$N$10:$N$69,0)),"–"))</f>
        <v>Marketing</v>
      </c>
      <c r="L156" s="53" t="str">
        <f>IF(F156="","",IFERROR(INDEX(Stammdaten!$D$10:$D$49,MATCH(F156,Stammdaten!$B$10:$B$49,0)),"–"))</f>
        <v>Teamzone Nord</v>
      </c>
      <c r="M156" s="54" t="str">
        <f>IF(C156="","",IF(OR(F156="",G156="",I156=""),"unvollständig",IF(I156="Storniert","storniert",IF(WEEKDAY(C156,2)&gt;5,"Wochenende",IF(COUNTIF(Stammdaten!$AD$10:$AD$30,C156)&gt;0,"Feiertag",IF(IFERROR(INDEX(Stammdaten!$I$10:$I$49,MATCH(F156,Stammdaten!$B$10:$B$49,0)),"")="Gesperrt","Platz gesperrt",IF(AND(COUNTIF($P$6:$P$605,P156)&gt;1,NOT(AND(COUNTIF($P$6:$P$605,P156)=2,COUNTIFS($P$6:$P$605,P156,$H$6:$H$605,"Vormittag")=1,COUNTIFS($P$6:$P$605,P156,$H$6:$H$605,"Nachmittag")=1))),"Doppelbuchung",IF(AND(COUNTIF($R$6:$R$605,R156)&gt;1,NOT(AND(COUNTIF($R$6:$R$605,R156)=2,COUNTIFS($R$6:$R$605,R156,$H$6:$H$605,"Vormittag")=1,COUNTIFS($R$6:$R$605,R156,$H$6:$H$605,"Nachmittag")=1))),"Person doppelt","OK"))))))))</f>
        <v>OK</v>
      </c>
      <c r="O156" s="55">
        <f t="shared" si="17"/>
        <v>1</v>
      </c>
      <c r="P156" s="55" t="str">
        <f t="shared" si="18"/>
        <v>A-03|46303</v>
      </c>
      <c r="Q156" s="55" t="str">
        <f>IF(P156="","",P156&amp;"|"&amp;COUNTIF(P$6:P156,P156))</f>
        <v>A-03|46303|1</v>
      </c>
      <c r="R156" s="55" t="str">
        <f t="shared" si="19"/>
        <v>Felix Engel|46303</v>
      </c>
      <c r="S156" s="55" t="str">
        <f>IF(R156="","",R156&amp;"|"&amp;COUNTIF(R$6:R156,R156))</f>
        <v>Felix Engel|46303|1</v>
      </c>
      <c r="T156" s="55" t="str">
        <f>IF(G156="","",IFERROR(INDEX(Stammdaten!$O$10:$O$69,MATCH(G156,Stammdaten!$N$10:$N$69,0)),G156)&amp;IF(H156="Vormittag"," (VM)",IF(H156="Nachmittag"," (NM)",""))&amp;IF(I156="Angefragt"," ?",""))</f>
        <v>F. Engel</v>
      </c>
      <c r="U156" s="55" t="str">
        <f t="shared" si="20"/>
        <v>A-03</v>
      </c>
    </row>
    <row r="157" spans="2:21" ht="16.5" customHeight="1" x14ac:dyDescent="0.25">
      <c r="B157" s="47">
        <f t="shared" si="14"/>
        <v>152</v>
      </c>
      <c r="C157" s="48">
        <v>46303</v>
      </c>
      <c r="D157" s="49" t="str">
        <f t="shared" si="15"/>
        <v>Do</v>
      </c>
      <c r="E157" s="50">
        <f t="shared" si="16"/>
        <v>41</v>
      </c>
      <c r="F157" s="51" t="s">
        <v>110</v>
      </c>
      <c r="G157" s="52" t="s">
        <v>81</v>
      </c>
      <c r="H157" s="51" t="s">
        <v>76</v>
      </c>
      <c r="I157" s="51" t="s">
        <v>77</v>
      </c>
      <c r="J157" s="52" t="s">
        <v>128</v>
      </c>
      <c r="K157" s="53" t="str">
        <f>IF(G157="","",IFERROR(INDEX(Stammdaten!$P$10:$P$69,MATCH(G157,Stammdaten!$N$10:$N$69,0)),"–"))</f>
        <v>Vertrieb</v>
      </c>
      <c r="L157" s="53" t="str">
        <f>IF(F157="","",IFERROR(INDEX(Stammdaten!$D$10:$D$49,MATCH(F157,Stammdaten!$B$10:$B$49,0)),"–"))</f>
        <v>Teamzone Nord</v>
      </c>
      <c r="M157" s="54" t="str">
        <f>IF(C157="","",IF(OR(F157="",G157="",I157=""),"unvollständig",IF(I157="Storniert","storniert",IF(WEEKDAY(C157,2)&gt;5,"Wochenende",IF(COUNTIF(Stammdaten!$AD$10:$AD$30,C157)&gt;0,"Feiertag",IF(IFERROR(INDEX(Stammdaten!$I$10:$I$49,MATCH(F157,Stammdaten!$B$10:$B$49,0)),"")="Gesperrt","Platz gesperrt",IF(AND(COUNTIF($P$6:$P$605,P157)&gt;1,NOT(AND(COUNTIF($P$6:$P$605,P157)=2,COUNTIFS($P$6:$P$605,P157,$H$6:$H$605,"Vormittag")=1,COUNTIFS($P$6:$P$605,P157,$H$6:$H$605,"Nachmittag")=1))),"Doppelbuchung",IF(AND(COUNTIF($R$6:$R$605,R157)&gt;1,NOT(AND(COUNTIF($R$6:$R$605,R157)=2,COUNTIFS($R$6:$R$605,R157,$H$6:$H$605,"Vormittag")=1,COUNTIFS($R$6:$R$605,R157,$H$6:$H$605,"Nachmittag")=1))),"Person doppelt","OK"))))))))</f>
        <v>OK</v>
      </c>
      <c r="O157" s="55">
        <f t="shared" si="17"/>
        <v>1</v>
      </c>
      <c r="P157" s="55" t="str">
        <f t="shared" si="18"/>
        <v>A-04|46303</v>
      </c>
      <c r="Q157" s="55" t="str">
        <f>IF(P157="","",P157&amp;"|"&amp;COUNTIF(P$6:P157,P157))</f>
        <v>A-04|46303|1</v>
      </c>
      <c r="R157" s="55" t="str">
        <f t="shared" si="19"/>
        <v>Nina Albrecht|46303</v>
      </c>
      <c r="S157" s="55" t="str">
        <f>IF(R157="","",R157&amp;"|"&amp;COUNTIF(R$6:R157,R157))</f>
        <v>Nina Albrecht|46303|1</v>
      </c>
      <c r="T157" s="55" t="str">
        <f>IF(G157="","",IFERROR(INDEX(Stammdaten!$O$10:$O$69,MATCH(G157,Stammdaten!$N$10:$N$69,0)),G157)&amp;IF(H157="Vormittag"," (VM)",IF(H157="Nachmittag"," (NM)",""))&amp;IF(I157="Angefragt"," ?",""))</f>
        <v>N. Albrecht</v>
      </c>
      <c r="U157" s="55" t="str">
        <f t="shared" si="20"/>
        <v>A-04</v>
      </c>
    </row>
    <row r="158" spans="2:21" ht="16.5" customHeight="1" x14ac:dyDescent="0.25">
      <c r="B158" s="47">
        <f t="shared" si="14"/>
        <v>153</v>
      </c>
      <c r="C158" s="48">
        <v>46303</v>
      </c>
      <c r="D158" s="49" t="str">
        <f t="shared" si="15"/>
        <v>Do</v>
      </c>
      <c r="E158" s="50">
        <f t="shared" si="16"/>
        <v>41</v>
      </c>
      <c r="F158" s="51" t="s">
        <v>80</v>
      </c>
      <c r="G158" s="52" t="s">
        <v>85</v>
      </c>
      <c r="H158" s="51" t="s">
        <v>76</v>
      </c>
      <c r="I158" s="51" t="s">
        <v>77</v>
      </c>
      <c r="J158" s="52"/>
      <c r="K158" s="53" t="str">
        <f>IF(G158="","",IFERROR(INDEX(Stammdaten!$P$10:$P$69,MATCH(G158,Stammdaten!$N$10:$N$69,0)),"–"))</f>
        <v>Vertrieb</v>
      </c>
      <c r="L158" s="53" t="str">
        <f>IF(F158="","",IFERROR(INDEX(Stammdaten!$D$10:$D$49,MATCH(F158,Stammdaten!$B$10:$B$49,0)),"–"))</f>
        <v>Teamzone Nord</v>
      </c>
      <c r="M158" s="54" t="str">
        <f>IF(C158="","",IF(OR(F158="",G158="",I158=""),"unvollständig",IF(I158="Storniert","storniert",IF(WEEKDAY(C158,2)&gt;5,"Wochenende",IF(COUNTIF(Stammdaten!$AD$10:$AD$30,C158)&gt;0,"Feiertag",IF(IFERROR(INDEX(Stammdaten!$I$10:$I$49,MATCH(F158,Stammdaten!$B$10:$B$49,0)),"")="Gesperrt","Platz gesperrt",IF(AND(COUNTIF($P$6:$P$605,P158)&gt;1,NOT(AND(COUNTIF($P$6:$P$605,P158)=2,COUNTIFS($P$6:$P$605,P158,$H$6:$H$605,"Vormittag")=1,COUNTIFS($P$6:$P$605,P158,$H$6:$H$605,"Nachmittag")=1))),"Doppelbuchung",IF(AND(COUNTIF($R$6:$R$605,R158)&gt;1,NOT(AND(COUNTIF($R$6:$R$605,R158)=2,COUNTIFS($R$6:$R$605,R158,$H$6:$H$605,"Vormittag")=1,COUNTIFS($R$6:$R$605,R158,$H$6:$H$605,"Nachmittag")=1))),"Person doppelt","OK"))))))))</f>
        <v>OK</v>
      </c>
      <c r="O158" s="55">
        <f t="shared" si="17"/>
        <v>1</v>
      </c>
      <c r="P158" s="55" t="str">
        <f t="shared" si="18"/>
        <v>A-05|46303</v>
      </c>
      <c r="Q158" s="55" t="str">
        <f>IF(P158="","",P158&amp;"|"&amp;COUNTIF(P$6:P158,P158))</f>
        <v>A-05|46303|1</v>
      </c>
      <c r="R158" s="55" t="str">
        <f t="shared" si="19"/>
        <v>Miriam Krause|46303</v>
      </c>
      <c r="S158" s="55" t="str">
        <f>IF(R158="","",R158&amp;"|"&amp;COUNTIF(R$6:R158,R158))</f>
        <v>Miriam Krause|46303|1</v>
      </c>
      <c r="T158" s="55" t="str">
        <f>IF(G158="","",IFERROR(INDEX(Stammdaten!$O$10:$O$69,MATCH(G158,Stammdaten!$N$10:$N$69,0)),G158)&amp;IF(H158="Vormittag"," (VM)",IF(H158="Nachmittag"," (NM)",""))&amp;IF(I158="Angefragt"," ?",""))</f>
        <v>M. Krause</v>
      </c>
      <c r="U158" s="55" t="str">
        <f t="shared" si="20"/>
        <v>A-05</v>
      </c>
    </row>
    <row r="159" spans="2:21" ht="16.5" customHeight="1" x14ac:dyDescent="0.25">
      <c r="B159" s="47">
        <f t="shared" si="14"/>
        <v>154</v>
      </c>
      <c r="C159" s="48">
        <v>46303</v>
      </c>
      <c r="D159" s="49" t="str">
        <f t="shared" si="15"/>
        <v>Do</v>
      </c>
      <c r="E159" s="50">
        <f t="shared" si="16"/>
        <v>41</v>
      </c>
      <c r="F159" s="51" t="s">
        <v>82</v>
      </c>
      <c r="G159" s="52" t="s">
        <v>79</v>
      </c>
      <c r="H159" s="51" t="s">
        <v>76</v>
      </c>
      <c r="I159" s="51" t="s">
        <v>77</v>
      </c>
      <c r="J159" s="52"/>
      <c r="K159" s="53" t="str">
        <f>IF(G159="","",IFERROR(INDEX(Stammdaten!$P$10:$P$69,MATCH(G159,Stammdaten!$N$10:$N$69,0)),"–"))</f>
        <v>Vertrieb</v>
      </c>
      <c r="L159" s="53" t="str">
        <f>IF(F159="","",IFERROR(INDEX(Stammdaten!$D$10:$D$49,MATCH(F159,Stammdaten!$B$10:$B$49,0)),"–"))</f>
        <v>Teamzone Nord</v>
      </c>
      <c r="M159" s="54" t="str">
        <f>IF(C159="","",IF(OR(F159="",G159="",I159=""),"unvollständig",IF(I159="Storniert","storniert",IF(WEEKDAY(C159,2)&gt;5,"Wochenende",IF(COUNTIF(Stammdaten!$AD$10:$AD$30,C159)&gt;0,"Feiertag",IF(IFERROR(INDEX(Stammdaten!$I$10:$I$49,MATCH(F159,Stammdaten!$B$10:$B$49,0)),"")="Gesperrt","Platz gesperrt",IF(AND(COUNTIF($P$6:$P$605,P159)&gt;1,NOT(AND(COUNTIF($P$6:$P$605,P159)=2,COUNTIFS($P$6:$P$605,P159,$H$6:$H$605,"Vormittag")=1,COUNTIFS($P$6:$P$605,P159,$H$6:$H$605,"Nachmittag")=1))),"Doppelbuchung",IF(AND(COUNTIF($R$6:$R$605,R159)&gt;1,NOT(AND(COUNTIF($R$6:$R$605,R159)=2,COUNTIFS($R$6:$R$605,R159,$H$6:$H$605,"Vormittag")=1,COUNTIFS($R$6:$R$605,R159,$H$6:$H$605,"Nachmittag")=1))),"Person doppelt","OK"))))))))</f>
        <v>OK</v>
      </c>
      <c r="O159" s="55">
        <f t="shared" si="17"/>
        <v>1</v>
      </c>
      <c r="P159" s="55" t="str">
        <f t="shared" si="18"/>
        <v>A-06|46303</v>
      </c>
      <c r="Q159" s="55" t="str">
        <f>IF(P159="","",P159&amp;"|"&amp;COUNTIF(P$6:P159,P159))</f>
        <v>A-06|46303|1</v>
      </c>
      <c r="R159" s="55" t="str">
        <f t="shared" si="19"/>
        <v>Lena Hartmann|46303</v>
      </c>
      <c r="S159" s="55" t="str">
        <f>IF(R159="","",R159&amp;"|"&amp;COUNTIF(R$6:R159,R159))</f>
        <v>Lena Hartmann|46303|1</v>
      </c>
      <c r="T159" s="55" t="str">
        <f>IF(G159="","",IFERROR(INDEX(Stammdaten!$O$10:$O$69,MATCH(G159,Stammdaten!$N$10:$N$69,0)),G159)&amp;IF(H159="Vormittag"," (VM)",IF(H159="Nachmittag"," (NM)",""))&amp;IF(I159="Angefragt"," ?",""))</f>
        <v>L. Hartmann</v>
      </c>
      <c r="U159" s="55" t="str">
        <f t="shared" si="20"/>
        <v>A-06</v>
      </c>
    </row>
    <row r="160" spans="2:21" ht="16.5" customHeight="1" x14ac:dyDescent="0.25">
      <c r="B160" s="47">
        <f t="shared" si="14"/>
        <v>155</v>
      </c>
      <c r="C160" s="48">
        <v>46303</v>
      </c>
      <c r="D160" s="49" t="str">
        <f t="shared" si="15"/>
        <v>Do</v>
      </c>
      <c r="E160" s="50">
        <f t="shared" si="16"/>
        <v>41</v>
      </c>
      <c r="F160" s="51" t="s">
        <v>86</v>
      </c>
      <c r="G160" s="52" t="s">
        <v>126</v>
      </c>
      <c r="H160" s="51" t="s">
        <v>76</v>
      </c>
      <c r="I160" s="51" t="s">
        <v>77</v>
      </c>
      <c r="J160" s="52"/>
      <c r="K160" s="53" t="str">
        <f>IF(G160="","",IFERROR(INDEX(Stammdaten!$P$10:$P$69,MATCH(G160,Stammdaten!$N$10:$N$69,0)),"–"))</f>
        <v>Vertrieb</v>
      </c>
      <c r="L160" s="53" t="str">
        <f>IF(F160="","",IFERROR(INDEX(Stammdaten!$D$10:$D$49,MATCH(F160,Stammdaten!$B$10:$B$49,0)),"–"))</f>
        <v>Teamzone Nord</v>
      </c>
      <c r="M160" s="54" t="str">
        <f>IF(C160="","",IF(OR(F160="",G160="",I160=""),"unvollständig",IF(I160="Storniert","storniert",IF(WEEKDAY(C160,2)&gt;5,"Wochenende",IF(COUNTIF(Stammdaten!$AD$10:$AD$30,C160)&gt;0,"Feiertag",IF(IFERROR(INDEX(Stammdaten!$I$10:$I$49,MATCH(F160,Stammdaten!$B$10:$B$49,0)),"")="Gesperrt","Platz gesperrt",IF(AND(COUNTIF($P$6:$P$605,P160)&gt;1,NOT(AND(COUNTIF($P$6:$P$605,P160)=2,COUNTIFS($P$6:$P$605,P160,$H$6:$H$605,"Vormittag")=1,COUNTIFS($P$6:$P$605,P160,$H$6:$H$605,"Nachmittag")=1))),"Doppelbuchung",IF(AND(COUNTIF($R$6:$R$605,R160)&gt;1,NOT(AND(COUNTIF($R$6:$R$605,R160)=2,COUNTIFS($R$6:$R$605,R160,$H$6:$H$605,"Vormittag")=1,COUNTIFS($R$6:$R$605,R160,$H$6:$H$605,"Nachmittag")=1))),"Person doppelt","OK"))))))))</f>
        <v>OK</v>
      </c>
      <c r="O160" s="55">
        <f t="shared" si="17"/>
        <v>1</v>
      </c>
      <c r="P160" s="55" t="str">
        <f t="shared" si="18"/>
        <v>A-08|46303</v>
      </c>
      <c r="Q160" s="55" t="str">
        <f>IF(P160="","",P160&amp;"|"&amp;COUNTIF(P$6:P160,P160))</f>
        <v>A-08|46303|1</v>
      </c>
      <c r="R160" s="55" t="str">
        <f t="shared" si="19"/>
        <v>Jonas Weber|46303</v>
      </c>
      <c r="S160" s="55" t="str">
        <f>IF(R160="","",R160&amp;"|"&amp;COUNTIF(R$6:R160,R160))</f>
        <v>Jonas Weber|46303|1</v>
      </c>
      <c r="T160" s="55" t="str">
        <f>IF(G160="","",IFERROR(INDEX(Stammdaten!$O$10:$O$69,MATCH(G160,Stammdaten!$N$10:$N$69,0)),G160)&amp;IF(H160="Vormittag"," (VM)",IF(H160="Nachmittag"," (NM)",""))&amp;IF(I160="Angefragt"," ?",""))</f>
        <v>J. Weber</v>
      </c>
      <c r="U160" s="55" t="str">
        <f t="shared" si="20"/>
        <v>A-08</v>
      </c>
    </row>
    <row r="161" spans="2:21" ht="16.5" customHeight="1" x14ac:dyDescent="0.25">
      <c r="B161" s="47">
        <f t="shared" si="14"/>
        <v>156</v>
      </c>
      <c r="C161" s="48">
        <v>46303</v>
      </c>
      <c r="D161" s="49" t="str">
        <f t="shared" si="15"/>
        <v>Do</v>
      </c>
      <c r="E161" s="50">
        <f t="shared" si="16"/>
        <v>41</v>
      </c>
      <c r="F161" s="51" t="s">
        <v>129</v>
      </c>
      <c r="G161" s="52" t="s">
        <v>115</v>
      </c>
      <c r="H161" s="51" t="s">
        <v>76</v>
      </c>
      <c r="I161" s="51" t="s">
        <v>77</v>
      </c>
      <c r="J161" s="52"/>
      <c r="K161" s="53" t="str">
        <f>IF(G161="","",IFERROR(INDEX(Stammdaten!$P$10:$P$69,MATCH(G161,Stammdaten!$N$10:$N$69,0)),"–"))</f>
        <v>Projektmanagement</v>
      </c>
      <c r="L161" s="53" t="str">
        <f>IF(F161="","",IFERROR(INDEX(Stammdaten!$D$10:$D$49,MATCH(F161,Stammdaten!$B$10:$B$49,0)),"–"))</f>
        <v>Fokuszone</v>
      </c>
      <c r="M161" s="54" t="str">
        <f>IF(C161="","",IF(OR(F161="",G161="",I161=""),"unvollständig",IF(I161="Storniert","storniert",IF(WEEKDAY(C161,2)&gt;5,"Wochenende",IF(COUNTIF(Stammdaten!$AD$10:$AD$30,C161)&gt;0,"Feiertag",IF(IFERROR(INDEX(Stammdaten!$I$10:$I$49,MATCH(F161,Stammdaten!$B$10:$B$49,0)),"")="Gesperrt","Platz gesperrt",IF(AND(COUNTIF($P$6:$P$605,P161)&gt;1,NOT(AND(COUNTIF($P$6:$P$605,P161)=2,COUNTIFS($P$6:$P$605,P161,$H$6:$H$605,"Vormittag")=1,COUNTIFS($P$6:$P$605,P161,$H$6:$H$605,"Nachmittag")=1))),"Doppelbuchung",IF(AND(COUNTIF($R$6:$R$605,R161)&gt;1,NOT(AND(COUNTIF($R$6:$R$605,R161)=2,COUNTIFS($R$6:$R$605,R161,$H$6:$H$605,"Vormittag")=1,COUNTIFS($R$6:$R$605,R161,$H$6:$H$605,"Nachmittag")=1))),"Person doppelt","OK"))))))))</f>
        <v>OK</v>
      </c>
      <c r="O161" s="55">
        <f t="shared" si="17"/>
        <v>1</v>
      </c>
      <c r="P161" s="55" t="str">
        <f t="shared" si="18"/>
        <v>A-09|46303</v>
      </c>
      <c r="Q161" s="55" t="str">
        <f>IF(P161="","",P161&amp;"|"&amp;COUNTIF(P$6:P161,P161))</f>
        <v>A-09|46303|1</v>
      </c>
      <c r="R161" s="55" t="str">
        <f t="shared" si="19"/>
        <v>Jan Peters|46303</v>
      </c>
      <c r="S161" s="55" t="str">
        <f>IF(R161="","",R161&amp;"|"&amp;COUNTIF(R$6:R161,R161))</f>
        <v>Jan Peters|46303|1</v>
      </c>
      <c r="T161" s="55" t="str">
        <f>IF(G161="","",IFERROR(INDEX(Stammdaten!$O$10:$O$69,MATCH(G161,Stammdaten!$N$10:$N$69,0)),G161)&amp;IF(H161="Vormittag"," (VM)",IF(H161="Nachmittag"," (NM)",""))&amp;IF(I161="Angefragt"," ?",""))</f>
        <v>J. Peters</v>
      </c>
      <c r="U161" s="55" t="str">
        <f t="shared" si="20"/>
        <v>A-09</v>
      </c>
    </row>
    <row r="162" spans="2:21" ht="16.5" customHeight="1" x14ac:dyDescent="0.25">
      <c r="B162" s="47">
        <f t="shared" si="14"/>
        <v>157</v>
      </c>
      <c r="C162" s="48">
        <v>46303</v>
      </c>
      <c r="D162" s="49" t="str">
        <f t="shared" si="15"/>
        <v>Do</v>
      </c>
      <c r="E162" s="50">
        <f t="shared" si="16"/>
        <v>41</v>
      </c>
      <c r="F162" s="51" t="s">
        <v>88</v>
      </c>
      <c r="G162" s="52" t="s">
        <v>103</v>
      </c>
      <c r="H162" s="51" t="s">
        <v>76</v>
      </c>
      <c r="I162" s="51" t="s">
        <v>77</v>
      </c>
      <c r="J162" s="52" t="s">
        <v>128</v>
      </c>
      <c r="K162" s="53" t="str">
        <f>IF(G162="","",IFERROR(INDEX(Stammdaten!$P$10:$P$69,MATCH(G162,Stammdaten!$N$10:$N$69,0)),"–"))</f>
        <v>Projektmanagement</v>
      </c>
      <c r="L162" s="53" t="str">
        <f>IF(F162="","",IFERROR(INDEX(Stammdaten!$D$10:$D$49,MATCH(F162,Stammdaten!$B$10:$B$49,0)),"–"))</f>
        <v>Fokuszone</v>
      </c>
      <c r="M162" s="54" t="str">
        <f>IF(C162="","",IF(OR(F162="",G162="",I162=""),"unvollständig",IF(I162="Storniert","storniert",IF(WEEKDAY(C162,2)&gt;5,"Wochenende",IF(COUNTIF(Stammdaten!$AD$10:$AD$30,C162)&gt;0,"Feiertag",IF(IFERROR(INDEX(Stammdaten!$I$10:$I$49,MATCH(F162,Stammdaten!$B$10:$B$49,0)),"")="Gesperrt","Platz gesperrt",IF(AND(COUNTIF($P$6:$P$605,P162)&gt;1,NOT(AND(COUNTIF($P$6:$P$605,P162)=2,COUNTIFS($P$6:$P$605,P162,$H$6:$H$605,"Vormittag")=1,COUNTIFS($P$6:$P$605,P162,$H$6:$H$605,"Nachmittag")=1))),"Doppelbuchung",IF(AND(COUNTIF($R$6:$R$605,R162)&gt;1,NOT(AND(COUNTIF($R$6:$R$605,R162)=2,COUNTIFS($R$6:$R$605,R162,$H$6:$H$605,"Vormittag")=1,COUNTIFS($R$6:$R$605,R162,$H$6:$H$605,"Nachmittag")=1))),"Person doppelt","OK"))))))))</f>
        <v>OK</v>
      </c>
      <c r="O162" s="55">
        <f t="shared" si="17"/>
        <v>1</v>
      </c>
      <c r="P162" s="55" t="str">
        <f t="shared" si="18"/>
        <v>A-11|46303</v>
      </c>
      <c r="Q162" s="55" t="str">
        <f>IF(P162="","",P162&amp;"|"&amp;COUNTIF(P$6:P162,P162))</f>
        <v>A-11|46303|1</v>
      </c>
      <c r="R162" s="55" t="str">
        <f t="shared" si="19"/>
        <v>Kevin Brandl|46303</v>
      </c>
      <c r="S162" s="55" t="str">
        <f>IF(R162="","",R162&amp;"|"&amp;COUNTIF(R$6:R162,R162))</f>
        <v>Kevin Brandl|46303|1</v>
      </c>
      <c r="T162" s="55" t="str">
        <f>IF(G162="","",IFERROR(INDEX(Stammdaten!$O$10:$O$69,MATCH(G162,Stammdaten!$N$10:$N$69,0)),G162)&amp;IF(H162="Vormittag"," (VM)",IF(H162="Nachmittag"," (NM)",""))&amp;IF(I162="Angefragt"," ?",""))</f>
        <v>K. Brandl</v>
      </c>
      <c r="U162" s="55" t="str">
        <f t="shared" si="20"/>
        <v>A-11</v>
      </c>
    </row>
    <row r="163" spans="2:21" ht="16.5" customHeight="1" x14ac:dyDescent="0.25">
      <c r="B163" s="47">
        <f t="shared" si="14"/>
        <v>158</v>
      </c>
      <c r="C163" s="48">
        <v>46303</v>
      </c>
      <c r="D163" s="49" t="str">
        <f t="shared" si="15"/>
        <v>Do</v>
      </c>
      <c r="E163" s="50">
        <f t="shared" si="16"/>
        <v>41</v>
      </c>
      <c r="F163" s="51" t="s">
        <v>92</v>
      </c>
      <c r="G163" s="52" t="s">
        <v>93</v>
      </c>
      <c r="H163" s="51" t="s">
        <v>76</v>
      </c>
      <c r="I163" s="51" t="s">
        <v>77</v>
      </c>
      <c r="J163" s="52"/>
      <c r="K163" s="53" t="str">
        <f>IF(G163="","",IFERROR(INDEX(Stammdaten!$P$10:$P$69,MATCH(G163,Stammdaten!$N$10:$N$69,0)),"–"))</f>
        <v>Finanzen</v>
      </c>
      <c r="L163" s="53" t="str">
        <f>IF(F163="","",IFERROR(INDEX(Stammdaten!$D$10:$D$49,MATCH(F163,Stammdaten!$B$10:$B$49,0)),"–"))</f>
        <v>Teamzone Süd</v>
      </c>
      <c r="M163" s="54" t="str">
        <f>IF(C163="","",IF(OR(F163="",G163="",I163=""),"unvollständig",IF(I163="Storniert","storniert",IF(WEEKDAY(C163,2)&gt;5,"Wochenende",IF(COUNTIF(Stammdaten!$AD$10:$AD$30,C163)&gt;0,"Feiertag",IF(IFERROR(INDEX(Stammdaten!$I$10:$I$49,MATCH(F163,Stammdaten!$B$10:$B$49,0)),"")="Gesperrt","Platz gesperrt",IF(AND(COUNTIF($P$6:$P$605,P163)&gt;1,NOT(AND(COUNTIF($P$6:$P$605,P163)=2,COUNTIFS($P$6:$P$605,P163,$H$6:$H$605,"Vormittag")=1,COUNTIFS($P$6:$P$605,P163,$H$6:$H$605,"Nachmittag")=1))),"Doppelbuchung",IF(AND(COUNTIF($R$6:$R$605,R163)&gt;1,NOT(AND(COUNTIF($R$6:$R$605,R163)=2,COUNTIFS($R$6:$R$605,R163,$H$6:$H$605,"Vormittag")=1,COUNTIFS($R$6:$R$605,R163,$H$6:$H$605,"Nachmittag")=1))),"Person doppelt","OK"))))))))</f>
        <v>OK</v>
      </c>
      <c r="O163" s="55">
        <f t="shared" si="17"/>
        <v>1</v>
      </c>
      <c r="P163" s="55" t="str">
        <f t="shared" si="18"/>
        <v>B-01|46303</v>
      </c>
      <c r="Q163" s="55" t="str">
        <f>IF(P163="","",P163&amp;"|"&amp;COUNTIF(P$6:P163,P163))</f>
        <v>B-01|46303|1</v>
      </c>
      <c r="R163" s="55" t="str">
        <f t="shared" si="19"/>
        <v>Sarah Böhm|46303</v>
      </c>
      <c r="S163" s="55" t="str">
        <f>IF(R163="","",R163&amp;"|"&amp;COUNTIF(R$6:R163,R163))</f>
        <v>Sarah Böhm|46303|1</v>
      </c>
      <c r="T163" s="55" t="str">
        <f>IF(G163="","",IFERROR(INDEX(Stammdaten!$O$10:$O$69,MATCH(G163,Stammdaten!$N$10:$N$69,0)),G163)&amp;IF(H163="Vormittag"," (VM)",IF(H163="Nachmittag"," (NM)",""))&amp;IF(I163="Angefragt"," ?",""))</f>
        <v>S. Böhm</v>
      </c>
      <c r="U163" s="55" t="str">
        <f t="shared" si="20"/>
        <v>B-01</v>
      </c>
    </row>
    <row r="164" spans="2:21" ht="16.5" customHeight="1" x14ac:dyDescent="0.25">
      <c r="B164" s="47">
        <f t="shared" si="14"/>
        <v>159</v>
      </c>
      <c r="C164" s="48">
        <v>46303</v>
      </c>
      <c r="D164" s="49" t="str">
        <f t="shared" si="15"/>
        <v>Do</v>
      </c>
      <c r="E164" s="50">
        <f t="shared" si="16"/>
        <v>41</v>
      </c>
      <c r="F164" s="51" t="s">
        <v>94</v>
      </c>
      <c r="G164" s="52" t="s">
        <v>95</v>
      </c>
      <c r="H164" s="51" t="s">
        <v>76</v>
      </c>
      <c r="I164" s="51" t="s">
        <v>77</v>
      </c>
      <c r="J164" s="52"/>
      <c r="K164" s="53" t="str">
        <f>IF(G164="","",IFERROR(INDEX(Stammdaten!$P$10:$P$69,MATCH(G164,Stammdaten!$N$10:$N$69,0)),"–"))</f>
        <v>Finanzen</v>
      </c>
      <c r="L164" s="53" t="str">
        <f>IF(F164="","",IFERROR(INDEX(Stammdaten!$D$10:$D$49,MATCH(F164,Stammdaten!$B$10:$B$49,0)),"–"))</f>
        <v>Teamzone Süd</v>
      </c>
      <c r="M164" s="54" t="str">
        <f>IF(C164="","",IF(OR(F164="",G164="",I164=""),"unvollständig",IF(I164="Storniert","storniert",IF(WEEKDAY(C164,2)&gt;5,"Wochenende",IF(COUNTIF(Stammdaten!$AD$10:$AD$30,C164)&gt;0,"Feiertag",IF(IFERROR(INDEX(Stammdaten!$I$10:$I$49,MATCH(F164,Stammdaten!$B$10:$B$49,0)),"")="Gesperrt","Platz gesperrt",IF(AND(COUNTIF($P$6:$P$605,P164)&gt;1,NOT(AND(COUNTIF($P$6:$P$605,P164)=2,COUNTIFS($P$6:$P$605,P164,$H$6:$H$605,"Vormittag")=1,COUNTIFS($P$6:$P$605,P164,$H$6:$H$605,"Nachmittag")=1))),"Doppelbuchung",IF(AND(COUNTIF($R$6:$R$605,R164)&gt;1,NOT(AND(COUNTIF($R$6:$R$605,R164)=2,COUNTIFS($R$6:$R$605,R164,$H$6:$H$605,"Vormittag")=1,COUNTIFS($R$6:$R$605,R164,$H$6:$H$605,"Nachmittag")=1))),"Person doppelt","OK"))))))))</f>
        <v>OK</v>
      </c>
      <c r="O164" s="55">
        <f t="shared" si="17"/>
        <v>1</v>
      </c>
      <c r="P164" s="55" t="str">
        <f t="shared" si="18"/>
        <v>B-02|46303</v>
      </c>
      <c r="Q164" s="55" t="str">
        <f>IF(P164="","",P164&amp;"|"&amp;COUNTIF(P$6:P164,P164))</f>
        <v>B-02|46303|1</v>
      </c>
      <c r="R164" s="55" t="str">
        <f t="shared" si="19"/>
        <v>Hanna Roth|46303</v>
      </c>
      <c r="S164" s="55" t="str">
        <f>IF(R164="","",R164&amp;"|"&amp;COUNTIF(R$6:R164,R164))</f>
        <v>Hanna Roth|46303|1</v>
      </c>
      <c r="T164" s="55" t="str">
        <f>IF(G164="","",IFERROR(INDEX(Stammdaten!$O$10:$O$69,MATCH(G164,Stammdaten!$N$10:$N$69,0)),G164)&amp;IF(H164="Vormittag"," (VM)",IF(H164="Nachmittag"," (NM)",""))&amp;IF(I164="Angefragt"," ?",""))</f>
        <v>H. Roth</v>
      </c>
      <c r="U164" s="55" t="str">
        <f t="shared" si="20"/>
        <v>B-02</v>
      </c>
    </row>
    <row r="165" spans="2:21" ht="16.5" customHeight="1" x14ac:dyDescent="0.25">
      <c r="B165" s="47">
        <f t="shared" si="14"/>
        <v>160</v>
      </c>
      <c r="C165" s="48">
        <v>46303</v>
      </c>
      <c r="D165" s="49" t="str">
        <f t="shared" si="15"/>
        <v>Do</v>
      </c>
      <c r="E165" s="50">
        <f t="shared" si="16"/>
        <v>41</v>
      </c>
      <c r="F165" s="51" t="s">
        <v>119</v>
      </c>
      <c r="G165" s="52" t="s">
        <v>97</v>
      </c>
      <c r="H165" s="51" t="s">
        <v>76</v>
      </c>
      <c r="I165" s="51" t="s">
        <v>77</v>
      </c>
      <c r="J165" s="52"/>
      <c r="K165" s="53" t="str">
        <f>IF(G165="","",IFERROR(INDEX(Stammdaten!$P$10:$P$69,MATCH(G165,Stammdaten!$N$10:$N$69,0)),"–"))</f>
        <v>Personal</v>
      </c>
      <c r="L165" s="53" t="str">
        <f>IF(F165="","",IFERROR(INDEX(Stammdaten!$D$10:$D$49,MATCH(F165,Stammdaten!$B$10:$B$49,0)),"–"))</f>
        <v>Teamzone Süd</v>
      </c>
      <c r="M165" s="54" t="str">
        <f>IF(C165="","",IF(OR(F165="",G165="",I165=""),"unvollständig",IF(I165="Storniert","storniert",IF(WEEKDAY(C165,2)&gt;5,"Wochenende",IF(COUNTIF(Stammdaten!$AD$10:$AD$30,C165)&gt;0,"Feiertag",IF(IFERROR(INDEX(Stammdaten!$I$10:$I$49,MATCH(F165,Stammdaten!$B$10:$B$49,0)),"")="Gesperrt","Platz gesperrt",IF(AND(COUNTIF($P$6:$P$605,P165)&gt;1,NOT(AND(COUNTIF($P$6:$P$605,P165)=2,COUNTIFS($P$6:$P$605,P165,$H$6:$H$605,"Vormittag")=1,COUNTIFS($P$6:$P$605,P165,$H$6:$H$605,"Nachmittag")=1))),"Doppelbuchung",IF(AND(COUNTIF($R$6:$R$605,R165)&gt;1,NOT(AND(COUNTIF($R$6:$R$605,R165)=2,COUNTIFS($R$6:$R$605,R165,$H$6:$H$605,"Vormittag")=1,COUNTIFS($R$6:$R$605,R165,$H$6:$H$605,"Nachmittag")=1))),"Person doppelt","OK"))))))))</f>
        <v>OK</v>
      </c>
      <c r="O165" s="55">
        <f t="shared" si="17"/>
        <v>1</v>
      </c>
      <c r="P165" s="55" t="str">
        <f t="shared" si="18"/>
        <v>B-04|46303</v>
      </c>
      <c r="Q165" s="55" t="str">
        <f>IF(P165="","",P165&amp;"|"&amp;COUNTIF(P$6:P165,P165))</f>
        <v>B-04|46303|1</v>
      </c>
      <c r="R165" s="55" t="str">
        <f t="shared" si="19"/>
        <v>Moritz Keller|46303</v>
      </c>
      <c r="S165" s="55" t="str">
        <f>IF(R165="","",R165&amp;"|"&amp;COUNTIF(R$6:R165,R165))</f>
        <v>Moritz Keller|46303|1</v>
      </c>
      <c r="T165" s="55" t="str">
        <f>IF(G165="","",IFERROR(INDEX(Stammdaten!$O$10:$O$69,MATCH(G165,Stammdaten!$N$10:$N$69,0)),G165)&amp;IF(H165="Vormittag"," (VM)",IF(H165="Nachmittag"," (NM)",""))&amp;IF(I165="Angefragt"," ?",""))</f>
        <v>M. Keller</v>
      </c>
      <c r="U165" s="55" t="str">
        <f t="shared" si="20"/>
        <v>B-04</v>
      </c>
    </row>
    <row r="166" spans="2:21" ht="16.5" customHeight="1" x14ac:dyDescent="0.25">
      <c r="B166" s="47">
        <f t="shared" si="14"/>
        <v>161</v>
      </c>
      <c r="C166" s="48">
        <v>46303</v>
      </c>
      <c r="D166" s="49" t="str">
        <f t="shared" si="15"/>
        <v>Do</v>
      </c>
      <c r="E166" s="50">
        <f t="shared" si="16"/>
        <v>41</v>
      </c>
      <c r="F166" s="51" t="s">
        <v>96</v>
      </c>
      <c r="G166" s="52" t="s">
        <v>118</v>
      </c>
      <c r="H166" s="51" t="s">
        <v>76</v>
      </c>
      <c r="I166" s="51" t="s">
        <v>77</v>
      </c>
      <c r="J166" s="52"/>
      <c r="K166" s="53" t="str">
        <f>IF(G166="","",IFERROR(INDEX(Stammdaten!$P$10:$P$69,MATCH(G166,Stammdaten!$N$10:$N$69,0)),"–"))</f>
        <v>Personal</v>
      </c>
      <c r="L166" s="53" t="str">
        <f>IF(F166="","",IFERROR(INDEX(Stammdaten!$D$10:$D$49,MATCH(F166,Stammdaten!$B$10:$B$49,0)),"–"))</f>
        <v>Teamzone Süd</v>
      </c>
      <c r="M166" s="54" t="str">
        <f>IF(C166="","",IF(OR(F166="",G166="",I166=""),"unvollständig",IF(I166="Storniert","storniert",IF(WEEKDAY(C166,2)&gt;5,"Wochenende",IF(COUNTIF(Stammdaten!$AD$10:$AD$30,C166)&gt;0,"Feiertag",IF(IFERROR(INDEX(Stammdaten!$I$10:$I$49,MATCH(F166,Stammdaten!$B$10:$B$49,0)),"")="Gesperrt","Platz gesperrt",IF(AND(COUNTIF($P$6:$P$605,P166)&gt;1,NOT(AND(COUNTIF($P$6:$P$605,P166)=2,COUNTIFS($P$6:$P$605,P166,$H$6:$H$605,"Vormittag")=1,COUNTIFS($P$6:$P$605,P166,$H$6:$H$605,"Nachmittag")=1))),"Doppelbuchung",IF(AND(COUNTIF($R$6:$R$605,R166)&gt;1,NOT(AND(COUNTIF($R$6:$R$605,R166)=2,COUNTIFS($R$6:$R$605,R166,$H$6:$H$605,"Vormittag")=1,COUNTIFS($R$6:$R$605,R166,$H$6:$H$605,"Nachmittag")=1))),"Person doppelt","OK"))))))))</f>
        <v>OK</v>
      </c>
      <c r="O166" s="55">
        <f t="shared" si="17"/>
        <v>1</v>
      </c>
      <c r="P166" s="55" t="str">
        <f t="shared" si="18"/>
        <v>B-06|46303</v>
      </c>
      <c r="Q166" s="55" t="str">
        <f>IF(P166="","",P166&amp;"|"&amp;COUNTIF(P$6:P166,P166))</f>
        <v>B-06|46303|1</v>
      </c>
      <c r="R166" s="55" t="str">
        <f t="shared" si="19"/>
        <v>Anna Lorenz|46303</v>
      </c>
      <c r="S166" s="55" t="str">
        <f>IF(R166="","",R166&amp;"|"&amp;COUNTIF(R$6:R166,R166))</f>
        <v>Anna Lorenz|46303|1</v>
      </c>
      <c r="T166" s="55" t="str">
        <f>IF(G166="","",IFERROR(INDEX(Stammdaten!$O$10:$O$69,MATCH(G166,Stammdaten!$N$10:$N$69,0)),G166)&amp;IF(H166="Vormittag"," (VM)",IF(H166="Nachmittag"," (NM)",""))&amp;IF(I166="Angefragt"," ?",""))</f>
        <v>A. Lorenz</v>
      </c>
      <c r="U166" s="55" t="str">
        <f t="shared" si="20"/>
        <v>B-06</v>
      </c>
    </row>
    <row r="167" spans="2:21" ht="16.5" customHeight="1" x14ac:dyDescent="0.25">
      <c r="B167" s="47">
        <f t="shared" si="14"/>
        <v>162</v>
      </c>
      <c r="C167" s="48">
        <v>46303</v>
      </c>
      <c r="D167" s="49" t="str">
        <f t="shared" si="15"/>
        <v>Do</v>
      </c>
      <c r="E167" s="50">
        <f t="shared" si="16"/>
        <v>41</v>
      </c>
      <c r="F167" s="51" t="s">
        <v>100</v>
      </c>
      <c r="G167" s="52" t="s">
        <v>91</v>
      </c>
      <c r="H167" s="51" t="s">
        <v>76</v>
      </c>
      <c r="I167" s="51" t="s">
        <v>77</v>
      </c>
      <c r="J167" s="52"/>
      <c r="K167" s="53" t="str">
        <f>IF(G167="","",IFERROR(INDEX(Stammdaten!$P$10:$P$69,MATCH(G167,Stammdaten!$N$10:$N$69,0)),"–"))</f>
        <v>IT</v>
      </c>
      <c r="L167" s="53" t="str">
        <f>IF(F167="","",IFERROR(INDEX(Stammdaten!$D$10:$D$49,MATCH(F167,Stammdaten!$B$10:$B$49,0)),"–"))</f>
        <v>Projektfläche</v>
      </c>
      <c r="M167" s="54" t="str">
        <f>IF(C167="","",IF(OR(F167="",G167="",I167=""),"unvollständig",IF(I167="Storniert","storniert",IF(WEEKDAY(C167,2)&gt;5,"Wochenende",IF(COUNTIF(Stammdaten!$AD$10:$AD$30,C167)&gt;0,"Feiertag",IF(IFERROR(INDEX(Stammdaten!$I$10:$I$49,MATCH(F167,Stammdaten!$B$10:$B$49,0)),"")="Gesperrt","Platz gesperrt",IF(AND(COUNTIF($P$6:$P$605,P167)&gt;1,NOT(AND(COUNTIF($P$6:$P$605,P167)=2,COUNTIFS($P$6:$P$605,P167,$H$6:$H$605,"Vormittag")=1,COUNTIFS($P$6:$P$605,P167,$H$6:$H$605,"Nachmittag")=1))),"Doppelbuchung",IF(AND(COUNTIF($R$6:$R$605,R167)&gt;1,NOT(AND(COUNTIF($R$6:$R$605,R167)=2,COUNTIFS($R$6:$R$605,R167,$H$6:$H$605,"Vormittag")=1,COUNTIFS($R$6:$R$605,R167,$H$6:$H$605,"Nachmittag")=1))),"Person doppelt","OK"))))))))</f>
        <v>OK</v>
      </c>
      <c r="O167" s="55">
        <f t="shared" si="17"/>
        <v>1</v>
      </c>
      <c r="P167" s="55" t="str">
        <f t="shared" si="18"/>
        <v>B-09|46303</v>
      </c>
      <c r="Q167" s="55" t="str">
        <f>IF(P167="","",P167&amp;"|"&amp;COUNTIF(P$6:P167,P167))</f>
        <v>B-09|46303|1</v>
      </c>
      <c r="R167" s="55" t="str">
        <f t="shared" si="19"/>
        <v>Mara Winter|46303</v>
      </c>
      <c r="S167" s="55" t="str">
        <f>IF(R167="","",R167&amp;"|"&amp;COUNTIF(R$6:R167,R167))</f>
        <v>Mara Winter|46303|1</v>
      </c>
      <c r="T167" s="55" t="str">
        <f>IF(G167="","",IFERROR(INDEX(Stammdaten!$O$10:$O$69,MATCH(G167,Stammdaten!$N$10:$N$69,0)),G167)&amp;IF(H167="Vormittag"," (VM)",IF(H167="Nachmittag"," (NM)",""))&amp;IF(I167="Angefragt"," ?",""))</f>
        <v>M. Winter</v>
      </c>
      <c r="U167" s="55" t="str">
        <f t="shared" si="20"/>
        <v>B-09</v>
      </c>
    </row>
    <row r="168" spans="2:21" ht="16.5" customHeight="1" x14ac:dyDescent="0.25">
      <c r="B168" s="47">
        <f t="shared" si="14"/>
        <v>163</v>
      </c>
      <c r="C168" s="48">
        <v>46303</v>
      </c>
      <c r="D168" s="49" t="str">
        <f t="shared" si="15"/>
        <v>Do</v>
      </c>
      <c r="E168" s="50">
        <f t="shared" si="16"/>
        <v>41</v>
      </c>
      <c r="F168" s="51" t="s">
        <v>102</v>
      </c>
      <c r="G168" s="52" t="s">
        <v>124</v>
      </c>
      <c r="H168" s="51" t="s">
        <v>76</v>
      </c>
      <c r="I168" s="51" t="s">
        <v>77</v>
      </c>
      <c r="J168" s="52"/>
      <c r="K168" s="53" t="str">
        <f>IF(G168="","",IFERROR(INDEX(Stammdaten!$P$10:$P$69,MATCH(G168,Stammdaten!$N$10:$N$69,0)),"–"))</f>
        <v>IT</v>
      </c>
      <c r="L168" s="53" t="str">
        <f>IF(F168="","",IFERROR(INDEX(Stammdaten!$D$10:$D$49,MATCH(F168,Stammdaten!$B$10:$B$49,0)),"–"))</f>
        <v>Projektfläche</v>
      </c>
      <c r="M168" s="54" t="str">
        <f>IF(C168="","",IF(OR(F168="",G168="",I168=""),"unvollständig",IF(I168="Storniert","storniert",IF(WEEKDAY(C168,2)&gt;5,"Wochenende",IF(COUNTIF(Stammdaten!$AD$10:$AD$30,C168)&gt;0,"Feiertag",IF(IFERROR(INDEX(Stammdaten!$I$10:$I$49,MATCH(F168,Stammdaten!$B$10:$B$49,0)),"")="Gesperrt","Platz gesperrt",IF(AND(COUNTIF($P$6:$P$605,P168)&gt;1,NOT(AND(COUNTIF($P$6:$P$605,P168)=2,COUNTIFS($P$6:$P$605,P168,$H$6:$H$605,"Vormittag")=1,COUNTIFS($P$6:$P$605,P168,$H$6:$H$605,"Nachmittag")=1))),"Doppelbuchung",IF(AND(COUNTIF($R$6:$R$605,R168)&gt;1,NOT(AND(COUNTIF($R$6:$R$605,R168)=2,COUNTIFS($R$6:$R$605,R168,$H$6:$H$605,"Vormittag")=1,COUNTIFS($R$6:$R$605,R168,$H$6:$H$605,"Nachmittag")=1))),"Person doppelt","OK"))))))))</f>
        <v>OK</v>
      </c>
      <c r="O168" s="55">
        <f t="shared" si="17"/>
        <v>1</v>
      </c>
      <c r="P168" s="55" t="str">
        <f t="shared" si="18"/>
        <v>B-10|46303</v>
      </c>
      <c r="Q168" s="55" t="str">
        <f>IF(P168="","",P168&amp;"|"&amp;COUNTIF(P$6:P168,P168))</f>
        <v>B-10|46303|1</v>
      </c>
      <c r="R168" s="55" t="str">
        <f t="shared" si="19"/>
        <v>Laura Sommer|46303</v>
      </c>
      <c r="S168" s="55" t="str">
        <f>IF(R168="","",R168&amp;"|"&amp;COUNTIF(R$6:R168,R168))</f>
        <v>Laura Sommer|46303|1</v>
      </c>
      <c r="T168" s="55" t="str">
        <f>IF(G168="","",IFERROR(INDEX(Stammdaten!$O$10:$O$69,MATCH(G168,Stammdaten!$N$10:$N$69,0)),G168)&amp;IF(H168="Vormittag"," (VM)",IF(H168="Nachmittag"," (NM)",""))&amp;IF(I168="Angefragt"," ?",""))</f>
        <v>L. Sommer</v>
      </c>
      <c r="U168" s="55" t="str">
        <f t="shared" si="20"/>
        <v>B-10</v>
      </c>
    </row>
    <row r="169" spans="2:21" ht="16.5" customHeight="1" x14ac:dyDescent="0.25">
      <c r="B169" s="47">
        <f t="shared" si="14"/>
        <v>164</v>
      </c>
      <c r="C169" s="48">
        <v>46303</v>
      </c>
      <c r="D169" s="49" t="str">
        <f t="shared" si="15"/>
        <v>Do</v>
      </c>
      <c r="E169" s="50">
        <f t="shared" si="16"/>
        <v>41</v>
      </c>
      <c r="F169" s="51" t="s">
        <v>104</v>
      </c>
      <c r="G169" s="52" t="s">
        <v>132</v>
      </c>
      <c r="H169" s="51" t="s">
        <v>76</v>
      </c>
      <c r="I169" s="51" t="s">
        <v>77</v>
      </c>
      <c r="J169" s="52" t="s">
        <v>139</v>
      </c>
      <c r="K169" s="53" t="str">
        <f>IF(G169="","",IFERROR(INDEX(Stammdaten!$P$10:$P$69,MATCH(G169,Stammdaten!$N$10:$N$69,0)),"–"))</f>
        <v>Projektmanagement</v>
      </c>
      <c r="L169" s="53" t="str">
        <f>IF(F169="","",IFERROR(INDEX(Stammdaten!$D$10:$D$49,MATCH(F169,Stammdaten!$B$10:$B$49,0)),"–"))</f>
        <v>Projektfläche</v>
      </c>
      <c r="M169" s="54" t="str">
        <f>IF(C169="","",IF(OR(F169="",G169="",I169=""),"unvollständig",IF(I169="Storniert","storniert",IF(WEEKDAY(C169,2)&gt;5,"Wochenende",IF(COUNTIF(Stammdaten!$AD$10:$AD$30,C169)&gt;0,"Feiertag",IF(IFERROR(INDEX(Stammdaten!$I$10:$I$49,MATCH(F169,Stammdaten!$B$10:$B$49,0)),"")="Gesperrt","Platz gesperrt",IF(AND(COUNTIF($P$6:$P$605,P169)&gt;1,NOT(AND(COUNTIF($P$6:$P$605,P169)=2,COUNTIFS($P$6:$P$605,P169,$H$6:$H$605,"Vormittag")=1,COUNTIFS($P$6:$P$605,P169,$H$6:$H$605,"Nachmittag")=1))),"Doppelbuchung",IF(AND(COUNTIF($R$6:$R$605,R169)&gt;1,NOT(AND(COUNTIF($R$6:$R$605,R169)=2,COUNTIFS($R$6:$R$605,R169,$H$6:$H$605,"Vormittag")=1,COUNTIFS($R$6:$R$605,R169,$H$6:$H$605,"Nachmittag")=1))),"Person doppelt","OK"))))))))</f>
        <v>OK</v>
      </c>
      <c r="O169" s="55">
        <f t="shared" si="17"/>
        <v>1</v>
      </c>
      <c r="P169" s="55" t="str">
        <f t="shared" si="18"/>
        <v>B-11|46303</v>
      </c>
      <c r="Q169" s="55" t="str">
        <f>IF(P169="","",P169&amp;"|"&amp;COUNTIF(P$6:P169,P169))</f>
        <v>B-11|46303|1</v>
      </c>
      <c r="R169" s="55" t="str">
        <f t="shared" si="19"/>
        <v>Vanessa Kraft|46303</v>
      </c>
      <c r="S169" s="55" t="str">
        <f>IF(R169="","",R169&amp;"|"&amp;COUNTIF(R$6:R169,R169))</f>
        <v>Vanessa Kraft|46303|1</v>
      </c>
      <c r="T169" s="55" t="str">
        <f>IF(G169="","",IFERROR(INDEX(Stammdaten!$O$10:$O$69,MATCH(G169,Stammdaten!$N$10:$N$69,0)),G169)&amp;IF(H169="Vormittag"," (VM)",IF(H169="Nachmittag"," (NM)",""))&amp;IF(I169="Angefragt"," ?",""))</f>
        <v>V. Kraft</v>
      </c>
      <c r="U169" s="55" t="str">
        <f t="shared" si="20"/>
        <v>B-11</v>
      </c>
    </row>
    <row r="170" spans="2:21" ht="16.5" customHeight="1" x14ac:dyDescent="0.25">
      <c r="B170" s="47">
        <f t="shared" si="14"/>
        <v>165</v>
      </c>
      <c r="C170" s="48">
        <v>46303</v>
      </c>
      <c r="D170" s="49" t="str">
        <f t="shared" si="15"/>
        <v>Do</v>
      </c>
      <c r="E170" s="50">
        <f t="shared" si="16"/>
        <v>41</v>
      </c>
      <c r="F170" s="51" t="s">
        <v>106</v>
      </c>
      <c r="G170" s="52" t="s">
        <v>140</v>
      </c>
      <c r="H170" s="51" t="s">
        <v>76</v>
      </c>
      <c r="I170" s="51" t="s">
        <v>77</v>
      </c>
      <c r="J170" s="52"/>
      <c r="K170" s="53" t="str">
        <f>IF(G170="","",IFERROR(INDEX(Stammdaten!$P$10:$P$69,MATCH(G170,Stammdaten!$N$10:$N$69,0)),"–"))</f>
        <v>IT</v>
      </c>
      <c r="L170" s="53" t="str">
        <f>IF(F170="","",IFERROR(INDEX(Stammdaten!$D$10:$D$49,MATCH(F170,Stammdaten!$B$10:$B$49,0)),"–"))</f>
        <v>Projektfläche</v>
      </c>
      <c r="M170" s="54" t="str">
        <f>IF(C170="","",IF(OR(F170="",G170="",I170=""),"unvollständig",IF(I170="Storniert","storniert",IF(WEEKDAY(C170,2)&gt;5,"Wochenende",IF(COUNTIF(Stammdaten!$AD$10:$AD$30,C170)&gt;0,"Feiertag",IF(IFERROR(INDEX(Stammdaten!$I$10:$I$49,MATCH(F170,Stammdaten!$B$10:$B$49,0)),"")="Gesperrt","Platz gesperrt",IF(AND(COUNTIF($P$6:$P$605,P170)&gt;1,NOT(AND(COUNTIF($P$6:$P$605,P170)=2,COUNTIFS($P$6:$P$605,P170,$H$6:$H$605,"Vormittag")=1,COUNTIFS($P$6:$P$605,P170,$H$6:$H$605,"Nachmittag")=1))),"Doppelbuchung",IF(AND(COUNTIF($R$6:$R$605,R170)&gt;1,NOT(AND(COUNTIF($R$6:$R$605,R170)=2,COUNTIFS($R$6:$R$605,R170,$H$6:$H$605,"Vormittag")=1,COUNTIFS($R$6:$R$605,R170,$H$6:$H$605,"Nachmittag")=1))),"Person doppelt","OK"))))))))</f>
        <v>OK</v>
      </c>
      <c r="O170" s="55">
        <f t="shared" si="17"/>
        <v>1</v>
      </c>
      <c r="P170" s="55" t="str">
        <f t="shared" si="18"/>
        <v>B-12|46303</v>
      </c>
      <c r="Q170" s="55" t="str">
        <f>IF(P170="","",P170&amp;"|"&amp;COUNTIF(P$6:P170,P170))</f>
        <v>B-12|46303|1</v>
      </c>
      <c r="R170" s="55" t="str">
        <f t="shared" si="19"/>
        <v>Lukas Pohl|46303</v>
      </c>
      <c r="S170" s="55" t="str">
        <f>IF(R170="","",R170&amp;"|"&amp;COUNTIF(R$6:R170,R170))</f>
        <v>Lukas Pohl|46303|1</v>
      </c>
      <c r="T170" s="55" t="str">
        <f>IF(G170="","",IFERROR(INDEX(Stammdaten!$O$10:$O$69,MATCH(G170,Stammdaten!$N$10:$N$69,0)),G170)&amp;IF(H170="Vormittag"," (VM)",IF(H170="Nachmittag"," (NM)",""))&amp;IF(I170="Angefragt"," ?",""))</f>
        <v>L. Pohl</v>
      </c>
      <c r="U170" s="55" t="str">
        <f t="shared" si="20"/>
        <v>B-12</v>
      </c>
    </row>
    <row r="171" spans="2:21" ht="16.5" customHeight="1" x14ac:dyDescent="0.25">
      <c r="B171" s="47">
        <f t="shared" si="14"/>
        <v>166</v>
      </c>
      <c r="C171" s="48">
        <v>46304</v>
      </c>
      <c r="D171" s="49" t="str">
        <f t="shared" si="15"/>
        <v>Fr</v>
      </c>
      <c r="E171" s="50">
        <f t="shared" si="16"/>
        <v>41</v>
      </c>
      <c r="F171" s="51" t="s">
        <v>78</v>
      </c>
      <c r="G171" s="52" t="s">
        <v>87</v>
      </c>
      <c r="H171" s="51" t="s">
        <v>76</v>
      </c>
      <c r="I171" s="51" t="s">
        <v>77</v>
      </c>
      <c r="J171" s="52"/>
      <c r="K171" s="53" t="str">
        <f>IF(G171="","",IFERROR(INDEX(Stammdaten!$P$10:$P$69,MATCH(G171,Stammdaten!$N$10:$N$69,0)),"–"))</f>
        <v>Marketing</v>
      </c>
      <c r="L171" s="53" t="str">
        <f>IF(F171="","",IFERROR(INDEX(Stammdaten!$D$10:$D$49,MATCH(F171,Stammdaten!$B$10:$B$49,0)),"–"))</f>
        <v>Teamzone Nord</v>
      </c>
      <c r="M171" s="54" t="str">
        <f>IF(C171="","",IF(OR(F171="",G171="",I171=""),"unvollständig",IF(I171="Storniert","storniert",IF(WEEKDAY(C171,2)&gt;5,"Wochenende",IF(COUNTIF(Stammdaten!$AD$10:$AD$30,C171)&gt;0,"Feiertag",IF(IFERROR(INDEX(Stammdaten!$I$10:$I$49,MATCH(F171,Stammdaten!$B$10:$B$49,0)),"")="Gesperrt","Platz gesperrt",IF(AND(COUNTIF($P$6:$P$605,P171)&gt;1,NOT(AND(COUNTIF($P$6:$P$605,P171)=2,COUNTIFS($P$6:$P$605,P171,$H$6:$H$605,"Vormittag")=1,COUNTIFS($P$6:$P$605,P171,$H$6:$H$605,"Nachmittag")=1))),"Doppelbuchung",IF(AND(COUNTIF($R$6:$R$605,R171)&gt;1,NOT(AND(COUNTIF($R$6:$R$605,R171)=2,COUNTIFS($R$6:$R$605,R171,$H$6:$H$605,"Vormittag")=1,COUNTIFS($R$6:$R$605,R171,$H$6:$H$605,"Nachmittag")=1))),"Person doppelt","OK"))))))))</f>
        <v>OK</v>
      </c>
      <c r="O171" s="55">
        <f t="shared" si="17"/>
        <v>1</v>
      </c>
      <c r="P171" s="55" t="str">
        <f t="shared" si="18"/>
        <v>A-02|46304</v>
      </c>
      <c r="Q171" s="55" t="str">
        <f>IF(P171="","",P171&amp;"|"&amp;COUNTIF(P$6:P171,P171))</f>
        <v>A-02|46304|1</v>
      </c>
      <c r="R171" s="55" t="str">
        <f t="shared" si="19"/>
        <v>Paul Schreiber|46304</v>
      </c>
      <c r="S171" s="55" t="str">
        <f>IF(R171="","",R171&amp;"|"&amp;COUNTIF(R$6:R171,R171))</f>
        <v>Paul Schreiber|46304|1</v>
      </c>
      <c r="T171" s="55" t="str">
        <f>IF(G171="","",IFERROR(INDEX(Stammdaten!$O$10:$O$69,MATCH(G171,Stammdaten!$N$10:$N$69,0)),G171)&amp;IF(H171="Vormittag"," (VM)",IF(H171="Nachmittag"," (NM)",""))&amp;IF(I171="Angefragt"," ?",""))</f>
        <v>P. Schreiber</v>
      </c>
      <c r="U171" s="55" t="str">
        <f t="shared" si="20"/>
        <v>A-02</v>
      </c>
    </row>
    <row r="172" spans="2:21" ht="16.5" customHeight="1" x14ac:dyDescent="0.25">
      <c r="B172" s="47">
        <f t="shared" si="14"/>
        <v>167</v>
      </c>
      <c r="C172" s="48">
        <v>46304</v>
      </c>
      <c r="D172" s="49" t="str">
        <f t="shared" si="15"/>
        <v>Fr</v>
      </c>
      <c r="E172" s="50">
        <f t="shared" si="16"/>
        <v>41</v>
      </c>
      <c r="F172" s="51" t="s">
        <v>109</v>
      </c>
      <c r="G172" s="52" t="s">
        <v>136</v>
      </c>
      <c r="H172" s="51" t="s">
        <v>76</v>
      </c>
      <c r="I172" s="51" t="s">
        <v>77</v>
      </c>
      <c r="J172" s="52"/>
      <c r="K172" s="53" t="str">
        <f>IF(G172="","",IFERROR(INDEX(Stammdaten!$P$10:$P$69,MATCH(G172,Stammdaten!$N$10:$N$69,0)),"–"))</f>
        <v>Vertrieb</v>
      </c>
      <c r="L172" s="53" t="str">
        <f>IF(F172="","",IFERROR(INDEX(Stammdaten!$D$10:$D$49,MATCH(F172,Stammdaten!$B$10:$B$49,0)),"–"))</f>
        <v>Teamzone Nord</v>
      </c>
      <c r="M172" s="54" t="str">
        <f>IF(C172="","",IF(OR(F172="",G172="",I172=""),"unvollständig",IF(I172="Storniert","storniert",IF(WEEKDAY(C172,2)&gt;5,"Wochenende",IF(COUNTIF(Stammdaten!$AD$10:$AD$30,C172)&gt;0,"Feiertag",IF(IFERROR(INDEX(Stammdaten!$I$10:$I$49,MATCH(F172,Stammdaten!$B$10:$B$49,0)),"")="Gesperrt","Platz gesperrt",IF(AND(COUNTIF($P$6:$P$605,P172)&gt;1,NOT(AND(COUNTIF($P$6:$P$605,P172)=2,COUNTIFS($P$6:$P$605,P172,$H$6:$H$605,"Vormittag")=1,COUNTIFS($P$6:$P$605,P172,$H$6:$H$605,"Nachmittag")=1))),"Doppelbuchung",IF(AND(COUNTIF($R$6:$R$605,R172)&gt;1,NOT(AND(COUNTIF($R$6:$R$605,R172)=2,COUNTIFS($R$6:$R$605,R172,$H$6:$H$605,"Vormittag")=1,COUNTIFS($R$6:$R$605,R172,$H$6:$H$605,"Nachmittag")=1))),"Person doppelt","OK"))))))))</f>
        <v>OK</v>
      </c>
      <c r="O172" s="55">
        <f t="shared" si="17"/>
        <v>1</v>
      </c>
      <c r="P172" s="55" t="str">
        <f t="shared" si="18"/>
        <v>A-03|46304</v>
      </c>
      <c r="Q172" s="55" t="str">
        <f>IF(P172="","",P172&amp;"|"&amp;COUNTIF(P$6:P172,P172))</f>
        <v>A-03|46304|1</v>
      </c>
      <c r="R172" s="55" t="str">
        <f t="shared" si="19"/>
        <v>David Kühn|46304</v>
      </c>
      <c r="S172" s="55" t="str">
        <f>IF(R172="","",R172&amp;"|"&amp;COUNTIF(R$6:R172,R172))</f>
        <v>David Kühn|46304|1</v>
      </c>
      <c r="T172" s="55" t="str">
        <f>IF(G172="","",IFERROR(INDEX(Stammdaten!$O$10:$O$69,MATCH(G172,Stammdaten!$N$10:$N$69,0)),G172)&amp;IF(H172="Vormittag"," (VM)",IF(H172="Nachmittag"," (NM)",""))&amp;IF(I172="Angefragt"," ?",""))</f>
        <v>D. Kühn</v>
      </c>
      <c r="U172" s="55" t="str">
        <f t="shared" si="20"/>
        <v>A-03</v>
      </c>
    </row>
    <row r="173" spans="2:21" ht="16.5" customHeight="1" x14ac:dyDescent="0.25">
      <c r="B173" s="47">
        <f t="shared" si="14"/>
        <v>168</v>
      </c>
      <c r="C173" s="48">
        <v>46304</v>
      </c>
      <c r="D173" s="49" t="str">
        <f t="shared" si="15"/>
        <v>Fr</v>
      </c>
      <c r="E173" s="50">
        <f t="shared" si="16"/>
        <v>41</v>
      </c>
      <c r="F173" s="51" t="s">
        <v>80</v>
      </c>
      <c r="G173" s="52" t="s">
        <v>83</v>
      </c>
      <c r="H173" s="51" t="s">
        <v>76</v>
      </c>
      <c r="I173" s="51" t="s">
        <v>77</v>
      </c>
      <c r="J173" s="52"/>
      <c r="K173" s="53" t="str">
        <f>IF(G173="","",IFERROR(INDEX(Stammdaten!$P$10:$P$69,MATCH(G173,Stammdaten!$N$10:$N$69,0)),"–"))</f>
        <v>Marketing</v>
      </c>
      <c r="L173" s="53" t="str">
        <f>IF(F173="","",IFERROR(INDEX(Stammdaten!$D$10:$D$49,MATCH(F173,Stammdaten!$B$10:$B$49,0)),"–"))</f>
        <v>Teamzone Nord</v>
      </c>
      <c r="M173" s="54" t="str">
        <f>IF(C173="","",IF(OR(F173="",G173="",I173=""),"unvollständig",IF(I173="Storniert","storniert",IF(WEEKDAY(C173,2)&gt;5,"Wochenende",IF(COUNTIF(Stammdaten!$AD$10:$AD$30,C173)&gt;0,"Feiertag",IF(IFERROR(INDEX(Stammdaten!$I$10:$I$49,MATCH(F173,Stammdaten!$B$10:$B$49,0)),"")="Gesperrt","Platz gesperrt",IF(AND(COUNTIF($P$6:$P$605,P173)&gt;1,NOT(AND(COUNTIF($P$6:$P$605,P173)=2,COUNTIFS($P$6:$P$605,P173,$H$6:$H$605,"Vormittag")=1,COUNTIFS($P$6:$P$605,P173,$H$6:$H$605,"Nachmittag")=1))),"Doppelbuchung",IF(AND(COUNTIF($R$6:$R$605,R173)&gt;1,NOT(AND(COUNTIF($R$6:$R$605,R173)=2,COUNTIFS($R$6:$R$605,R173,$H$6:$H$605,"Vormittag")=1,COUNTIFS($R$6:$R$605,R173,$H$6:$H$605,"Nachmittag")=1))),"Person doppelt","OK"))))))))</f>
        <v>OK</v>
      </c>
      <c r="O173" s="55">
        <f t="shared" si="17"/>
        <v>1</v>
      </c>
      <c r="P173" s="55" t="str">
        <f t="shared" si="18"/>
        <v>A-05|46304</v>
      </c>
      <c r="Q173" s="55" t="str">
        <f>IF(P173="","",P173&amp;"|"&amp;COUNTIF(P$6:P173,P173))</f>
        <v>A-05|46304|1</v>
      </c>
      <c r="R173" s="55" t="str">
        <f t="shared" si="19"/>
        <v>Felix Engel|46304</v>
      </c>
      <c r="S173" s="55" t="str">
        <f>IF(R173="","",R173&amp;"|"&amp;COUNTIF(R$6:R173,R173))</f>
        <v>Felix Engel|46304|1</v>
      </c>
      <c r="T173" s="55" t="str">
        <f>IF(G173="","",IFERROR(INDEX(Stammdaten!$O$10:$O$69,MATCH(G173,Stammdaten!$N$10:$N$69,0)),G173)&amp;IF(H173="Vormittag"," (VM)",IF(H173="Nachmittag"," (NM)",""))&amp;IF(I173="Angefragt"," ?",""))</f>
        <v>F. Engel</v>
      </c>
      <c r="U173" s="55" t="str">
        <f t="shared" si="20"/>
        <v>A-05</v>
      </c>
    </row>
    <row r="174" spans="2:21" ht="16.5" customHeight="1" x14ac:dyDescent="0.25">
      <c r="B174" s="47">
        <f t="shared" si="14"/>
        <v>169</v>
      </c>
      <c r="C174" s="48">
        <v>46304</v>
      </c>
      <c r="D174" s="49" t="str">
        <f t="shared" si="15"/>
        <v>Fr</v>
      </c>
      <c r="E174" s="50">
        <f t="shared" si="16"/>
        <v>41</v>
      </c>
      <c r="F174" s="51" t="s">
        <v>84</v>
      </c>
      <c r="G174" s="52" t="s">
        <v>79</v>
      </c>
      <c r="H174" s="51" t="s">
        <v>76</v>
      </c>
      <c r="I174" s="51" t="s">
        <v>77</v>
      </c>
      <c r="J174" s="52"/>
      <c r="K174" s="53" t="str">
        <f>IF(G174="","",IFERROR(INDEX(Stammdaten!$P$10:$P$69,MATCH(G174,Stammdaten!$N$10:$N$69,0)),"–"))</f>
        <v>Vertrieb</v>
      </c>
      <c r="L174" s="53" t="str">
        <f>IF(F174="","",IFERROR(INDEX(Stammdaten!$D$10:$D$49,MATCH(F174,Stammdaten!$B$10:$B$49,0)),"–"))</f>
        <v>Teamzone Nord</v>
      </c>
      <c r="M174" s="54" t="str">
        <f>IF(C174="","",IF(OR(F174="",G174="",I174=""),"unvollständig",IF(I174="Storniert","storniert",IF(WEEKDAY(C174,2)&gt;5,"Wochenende",IF(COUNTIF(Stammdaten!$AD$10:$AD$30,C174)&gt;0,"Feiertag",IF(IFERROR(INDEX(Stammdaten!$I$10:$I$49,MATCH(F174,Stammdaten!$B$10:$B$49,0)),"")="Gesperrt","Platz gesperrt",IF(AND(COUNTIF($P$6:$P$605,P174)&gt;1,NOT(AND(COUNTIF($P$6:$P$605,P174)=2,COUNTIFS($P$6:$P$605,P174,$H$6:$H$605,"Vormittag")=1,COUNTIFS($P$6:$P$605,P174,$H$6:$H$605,"Nachmittag")=1))),"Doppelbuchung",IF(AND(COUNTIF($R$6:$R$605,R174)&gt;1,NOT(AND(COUNTIF($R$6:$R$605,R174)=2,COUNTIFS($R$6:$R$605,R174,$H$6:$H$605,"Vormittag")=1,COUNTIFS($R$6:$R$605,R174,$H$6:$H$605,"Nachmittag")=1))),"Person doppelt","OK"))))))))</f>
        <v>OK</v>
      </c>
      <c r="O174" s="55">
        <f t="shared" si="17"/>
        <v>1</v>
      </c>
      <c r="P174" s="55" t="str">
        <f t="shared" si="18"/>
        <v>A-07|46304</v>
      </c>
      <c r="Q174" s="55" t="str">
        <f>IF(P174="","",P174&amp;"|"&amp;COUNTIF(P$6:P174,P174))</f>
        <v>A-07|46304|1</v>
      </c>
      <c r="R174" s="55" t="str">
        <f t="shared" si="19"/>
        <v>Lena Hartmann|46304</v>
      </c>
      <c r="S174" s="55" t="str">
        <f>IF(R174="","",R174&amp;"|"&amp;COUNTIF(R$6:R174,R174))</f>
        <v>Lena Hartmann|46304|1</v>
      </c>
      <c r="T174" s="55" t="str">
        <f>IF(G174="","",IFERROR(INDEX(Stammdaten!$O$10:$O$69,MATCH(G174,Stammdaten!$N$10:$N$69,0)),G174)&amp;IF(H174="Vormittag"," (VM)",IF(H174="Nachmittag"," (NM)",""))&amp;IF(I174="Angefragt"," ?",""))</f>
        <v>L. Hartmann</v>
      </c>
      <c r="U174" s="55" t="str">
        <f t="shared" si="20"/>
        <v>A-07</v>
      </c>
    </row>
    <row r="175" spans="2:21" ht="16.5" customHeight="1" x14ac:dyDescent="0.25">
      <c r="B175" s="47">
        <f t="shared" si="14"/>
        <v>170</v>
      </c>
      <c r="C175" s="48">
        <v>46304</v>
      </c>
      <c r="D175" s="49" t="str">
        <f t="shared" si="15"/>
        <v>Fr</v>
      </c>
      <c r="E175" s="50">
        <f t="shared" si="16"/>
        <v>41</v>
      </c>
      <c r="F175" s="51" t="s">
        <v>129</v>
      </c>
      <c r="G175" s="52" t="s">
        <v>115</v>
      </c>
      <c r="H175" s="51" t="s">
        <v>76</v>
      </c>
      <c r="I175" s="51" t="s">
        <v>77</v>
      </c>
      <c r="J175" s="52"/>
      <c r="K175" s="53" t="str">
        <f>IF(G175="","",IFERROR(INDEX(Stammdaten!$P$10:$P$69,MATCH(G175,Stammdaten!$N$10:$N$69,0)),"–"))</f>
        <v>Projektmanagement</v>
      </c>
      <c r="L175" s="53" t="str">
        <f>IF(F175="","",IFERROR(INDEX(Stammdaten!$D$10:$D$49,MATCH(F175,Stammdaten!$B$10:$B$49,0)),"–"))</f>
        <v>Fokuszone</v>
      </c>
      <c r="M175" s="54" t="str">
        <f>IF(C175="","",IF(OR(F175="",G175="",I175=""),"unvollständig",IF(I175="Storniert","storniert",IF(WEEKDAY(C175,2)&gt;5,"Wochenende",IF(COUNTIF(Stammdaten!$AD$10:$AD$30,C175)&gt;0,"Feiertag",IF(IFERROR(INDEX(Stammdaten!$I$10:$I$49,MATCH(F175,Stammdaten!$B$10:$B$49,0)),"")="Gesperrt","Platz gesperrt",IF(AND(COUNTIF($P$6:$P$605,P175)&gt;1,NOT(AND(COUNTIF($P$6:$P$605,P175)=2,COUNTIFS($P$6:$P$605,P175,$H$6:$H$605,"Vormittag")=1,COUNTIFS($P$6:$P$605,P175,$H$6:$H$605,"Nachmittag")=1))),"Doppelbuchung",IF(AND(COUNTIF($R$6:$R$605,R175)&gt;1,NOT(AND(COUNTIF($R$6:$R$605,R175)=2,COUNTIFS($R$6:$R$605,R175,$H$6:$H$605,"Vormittag")=1,COUNTIFS($R$6:$R$605,R175,$H$6:$H$605,"Nachmittag")=1))),"Person doppelt","OK"))))))))</f>
        <v>OK</v>
      </c>
      <c r="O175" s="55">
        <f t="shared" si="17"/>
        <v>1</v>
      </c>
      <c r="P175" s="55" t="str">
        <f t="shared" si="18"/>
        <v>A-09|46304</v>
      </c>
      <c r="Q175" s="55" t="str">
        <f>IF(P175="","",P175&amp;"|"&amp;COUNTIF(P$6:P175,P175))</f>
        <v>A-09|46304|1</v>
      </c>
      <c r="R175" s="55" t="str">
        <f t="shared" si="19"/>
        <v>Jan Peters|46304</v>
      </c>
      <c r="S175" s="55" t="str">
        <f>IF(R175="","",R175&amp;"|"&amp;COUNTIF(R$6:R175,R175))</f>
        <v>Jan Peters|46304|1</v>
      </c>
      <c r="T175" s="55" t="str">
        <f>IF(G175="","",IFERROR(INDEX(Stammdaten!$O$10:$O$69,MATCH(G175,Stammdaten!$N$10:$N$69,0)),G175)&amp;IF(H175="Vormittag"," (VM)",IF(H175="Nachmittag"," (NM)",""))&amp;IF(I175="Angefragt"," ?",""))</f>
        <v>J. Peters</v>
      </c>
      <c r="U175" s="55" t="str">
        <f t="shared" si="20"/>
        <v>A-09</v>
      </c>
    </row>
    <row r="176" spans="2:21" ht="16.5" customHeight="1" x14ac:dyDescent="0.25">
      <c r="B176" s="47">
        <f t="shared" si="14"/>
        <v>171</v>
      </c>
      <c r="C176" s="48">
        <v>46304</v>
      </c>
      <c r="D176" s="49" t="str">
        <f t="shared" si="15"/>
        <v>Fr</v>
      </c>
      <c r="E176" s="50">
        <f t="shared" si="16"/>
        <v>41</v>
      </c>
      <c r="F176" s="51" t="s">
        <v>88</v>
      </c>
      <c r="G176" s="52" t="s">
        <v>89</v>
      </c>
      <c r="H176" s="51" t="s">
        <v>76</v>
      </c>
      <c r="I176" s="51" t="s">
        <v>77</v>
      </c>
      <c r="J176" s="52"/>
      <c r="K176" s="53" t="str">
        <f>IF(G176="","",IFERROR(INDEX(Stammdaten!$P$10:$P$69,MATCH(G176,Stammdaten!$N$10:$N$69,0)),"–"))</f>
        <v>Projektmanagement</v>
      </c>
      <c r="L176" s="53" t="str">
        <f>IF(F176="","",IFERROR(INDEX(Stammdaten!$D$10:$D$49,MATCH(F176,Stammdaten!$B$10:$B$49,0)),"–"))</f>
        <v>Fokuszone</v>
      </c>
      <c r="M176" s="54" t="str">
        <f>IF(C176="","",IF(OR(F176="",G176="",I176=""),"unvollständig",IF(I176="Storniert","storniert",IF(WEEKDAY(C176,2)&gt;5,"Wochenende",IF(COUNTIF(Stammdaten!$AD$10:$AD$30,C176)&gt;0,"Feiertag",IF(IFERROR(INDEX(Stammdaten!$I$10:$I$49,MATCH(F176,Stammdaten!$B$10:$B$49,0)),"")="Gesperrt","Platz gesperrt",IF(AND(COUNTIF($P$6:$P$605,P176)&gt;1,NOT(AND(COUNTIF($P$6:$P$605,P176)=2,COUNTIFS($P$6:$P$605,P176,$H$6:$H$605,"Vormittag")=1,COUNTIFS($P$6:$P$605,P176,$H$6:$H$605,"Nachmittag")=1))),"Doppelbuchung",IF(AND(COUNTIF($R$6:$R$605,R176)&gt;1,NOT(AND(COUNTIF($R$6:$R$605,R176)=2,COUNTIFS($R$6:$R$605,R176,$H$6:$H$605,"Vormittag")=1,COUNTIFS($R$6:$R$605,R176,$H$6:$H$605,"Nachmittag")=1))),"Person doppelt","OK"))))))))</f>
        <v>OK</v>
      </c>
      <c r="O176" s="55">
        <f t="shared" si="17"/>
        <v>1</v>
      </c>
      <c r="P176" s="55" t="str">
        <f t="shared" si="18"/>
        <v>A-11|46304</v>
      </c>
      <c r="Q176" s="55" t="str">
        <f>IF(P176="","",P176&amp;"|"&amp;COUNTIF(P$6:P176,P176))</f>
        <v>A-11|46304|1</v>
      </c>
      <c r="R176" s="55" t="str">
        <f t="shared" si="19"/>
        <v>Theresa Jung|46304</v>
      </c>
      <c r="S176" s="55" t="str">
        <f>IF(R176="","",R176&amp;"|"&amp;COUNTIF(R$6:R176,R176))</f>
        <v>Theresa Jung|46304|1</v>
      </c>
      <c r="T176" s="55" t="str">
        <f>IF(G176="","",IFERROR(INDEX(Stammdaten!$O$10:$O$69,MATCH(G176,Stammdaten!$N$10:$N$69,0)),G176)&amp;IF(H176="Vormittag"," (VM)",IF(H176="Nachmittag"," (NM)",""))&amp;IF(I176="Angefragt"," ?",""))</f>
        <v>T. Jung</v>
      </c>
      <c r="U176" s="55" t="str">
        <f t="shared" si="20"/>
        <v>A-11</v>
      </c>
    </row>
    <row r="177" spans="2:21" ht="16.5" customHeight="1" x14ac:dyDescent="0.25">
      <c r="B177" s="47">
        <f t="shared" si="14"/>
        <v>172</v>
      </c>
      <c r="C177" s="48">
        <v>46304</v>
      </c>
      <c r="D177" s="49" t="str">
        <f t="shared" si="15"/>
        <v>Fr</v>
      </c>
      <c r="E177" s="50">
        <f t="shared" si="16"/>
        <v>41</v>
      </c>
      <c r="F177" s="51" t="s">
        <v>121</v>
      </c>
      <c r="G177" s="52" t="s">
        <v>116</v>
      </c>
      <c r="H177" s="51" t="s">
        <v>76</v>
      </c>
      <c r="I177" s="51" t="s">
        <v>77</v>
      </c>
      <c r="J177" s="52"/>
      <c r="K177" s="53" t="str">
        <f>IF(G177="","",IFERROR(INDEX(Stammdaten!$P$10:$P$69,MATCH(G177,Stammdaten!$N$10:$N$69,0)),"–"))</f>
        <v>Finanzen</v>
      </c>
      <c r="L177" s="53" t="str">
        <f>IF(F177="","",IFERROR(INDEX(Stammdaten!$D$10:$D$49,MATCH(F177,Stammdaten!$B$10:$B$49,0)),"–"))</f>
        <v>Teamzone Süd</v>
      </c>
      <c r="M177" s="54" t="str">
        <f>IF(C177="","",IF(OR(F177="",G177="",I177=""),"unvollständig",IF(I177="Storniert","storniert",IF(WEEKDAY(C177,2)&gt;5,"Wochenende",IF(COUNTIF(Stammdaten!$AD$10:$AD$30,C177)&gt;0,"Feiertag",IF(IFERROR(INDEX(Stammdaten!$I$10:$I$49,MATCH(F177,Stammdaten!$B$10:$B$49,0)),"")="Gesperrt","Platz gesperrt",IF(AND(COUNTIF($P$6:$P$605,P177)&gt;1,NOT(AND(COUNTIF($P$6:$P$605,P177)=2,COUNTIFS($P$6:$P$605,P177,$H$6:$H$605,"Vormittag")=1,COUNTIFS($P$6:$P$605,P177,$H$6:$H$605,"Nachmittag")=1))),"Doppelbuchung",IF(AND(COUNTIF($R$6:$R$605,R177)&gt;1,NOT(AND(COUNTIF($R$6:$R$605,R177)=2,COUNTIFS($R$6:$R$605,R177,$H$6:$H$605,"Vormittag")=1,COUNTIFS($R$6:$R$605,R177,$H$6:$H$605,"Nachmittag")=1))),"Person doppelt","OK"))))))))</f>
        <v>OK</v>
      </c>
      <c r="O177" s="55">
        <f t="shared" si="17"/>
        <v>1</v>
      </c>
      <c r="P177" s="55" t="str">
        <f t="shared" si="18"/>
        <v>B-05|46304</v>
      </c>
      <c r="Q177" s="55" t="str">
        <f>IF(P177="","",P177&amp;"|"&amp;COUNTIF(P$6:P177,P177))</f>
        <v>B-05|46304|1</v>
      </c>
      <c r="R177" s="55" t="str">
        <f t="shared" si="19"/>
        <v>Julia Herrmann|46304</v>
      </c>
      <c r="S177" s="55" t="str">
        <f>IF(R177="","",R177&amp;"|"&amp;COUNTIF(R$6:R177,R177))</f>
        <v>Julia Herrmann|46304|1</v>
      </c>
      <c r="T177" s="55" t="str">
        <f>IF(G177="","",IFERROR(INDEX(Stammdaten!$O$10:$O$69,MATCH(G177,Stammdaten!$N$10:$N$69,0)),G177)&amp;IF(H177="Vormittag"," (VM)",IF(H177="Nachmittag"," (NM)",""))&amp;IF(I177="Angefragt"," ?",""))</f>
        <v>J. Herrmann</v>
      </c>
      <c r="U177" s="55" t="str">
        <f t="shared" si="20"/>
        <v>B-05</v>
      </c>
    </row>
    <row r="178" spans="2:21" ht="16.5" customHeight="1" x14ac:dyDescent="0.25">
      <c r="B178" s="47">
        <f t="shared" si="14"/>
        <v>173</v>
      </c>
      <c r="C178" s="48">
        <v>46304</v>
      </c>
      <c r="D178" s="49" t="str">
        <f t="shared" si="15"/>
        <v>Fr</v>
      </c>
      <c r="E178" s="50">
        <f t="shared" si="16"/>
        <v>41</v>
      </c>
      <c r="F178" s="51" t="s">
        <v>98</v>
      </c>
      <c r="G178" s="52" t="s">
        <v>97</v>
      </c>
      <c r="H178" s="51" t="s">
        <v>76</v>
      </c>
      <c r="I178" s="51" t="s">
        <v>77</v>
      </c>
      <c r="J178" s="52"/>
      <c r="K178" s="53" t="str">
        <f>IF(G178="","",IFERROR(INDEX(Stammdaten!$P$10:$P$69,MATCH(G178,Stammdaten!$N$10:$N$69,0)),"–"))</f>
        <v>Personal</v>
      </c>
      <c r="L178" s="53" t="str">
        <f>IF(F178="","",IFERROR(INDEX(Stammdaten!$D$10:$D$49,MATCH(F178,Stammdaten!$B$10:$B$49,0)),"–"))</f>
        <v>Teamzone Süd</v>
      </c>
      <c r="M178" s="54" t="str">
        <f>IF(C178="","",IF(OR(F178="",G178="",I178=""),"unvollständig",IF(I178="Storniert","storniert",IF(WEEKDAY(C178,2)&gt;5,"Wochenende",IF(COUNTIF(Stammdaten!$AD$10:$AD$30,C178)&gt;0,"Feiertag",IF(IFERROR(INDEX(Stammdaten!$I$10:$I$49,MATCH(F178,Stammdaten!$B$10:$B$49,0)),"")="Gesperrt","Platz gesperrt",IF(AND(COUNTIF($P$6:$P$605,P178)&gt;1,NOT(AND(COUNTIF($P$6:$P$605,P178)=2,COUNTIFS($P$6:$P$605,P178,$H$6:$H$605,"Vormittag")=1,COUNTIFS($P$6:$P$605,P178,$H$6:$H$605,"Nachmittag")=1))),"Doppelbuchung",IF(AND(COUNTIF($R$6:$R$605,R178)&gt;1,NOT(AND(COUNTIF($R$6:$R$605,R178)=2,COUNTIFS($R$6:$R$605,R178,$H$6:$H$605,"Vormittag")=1,COUNTIFS($R$6:$R$605,R178,$H$6:$H$605,"Nachmittag")=1))),"Person doppelt","OK"))))))))</f>
        <v>OK</v>
      </c>
      <c r="O178" s="55">
        <f t="shared" si="17"/>
        <v>1</v>
      </c>
      <c r="P178" s="55" t="str">
        <f t="shared" si="18"/>
        <v>B-08|46304</v>
      </c>
      <c r="Q178" s="55" t="str">
        <f>IF(P178="","",P178&amp;"|"&amp;COUNTIF(P$6:P178,P178))</f>
        <v>B-08|46304|1</v>
      </c>
      <c r="R178" s="55" t="str">
        <f t="shared" si="19"/>
        <v>Moritz Keller|46304</v>
      </c>
      <c r="S178" s="55" t="str">
        <f>IF(R178="","",R178&amp;"|"&amp;COUNTIF(R$6:R178,R178))</f>
        <v>Moritz Keller|46304|1</v>
      </c>
      <c r="T178" s="55" t="str">
        <f>IF(G178="","",IFERROR(INDEX(Stammdaten!$O$10:$O$69,MATCH(G178,Stammdaten!$N$10:$N$69,0)),G178)&amp;IF(H178="Vormittag"," (VM)",IF(H178="Nachmittag"," (NM)",""))&amp;IF(I178="Angefragt"," ?",""))</f>
        <v>M. Keller</v>
      </c>
      <c r="U178" s="55" t="str">
        <f t="shared" si="20"/>
        <v>B-08</v>
      </c>
    </row>
    <row r="179" spans="2:21" ht="16.5" customHeight="1" x14ac:dyDescent="0.25">
      <c r="B179" s="47">
        <f t="shared" si="14"/>
        <v>174</v>
      </c>
      <c r="C179" s="48">
        <v>46304</v>
      </c>
      <c r="D179" s="49" t="str">
        <f t="shared" si="15"/>
        <v>Fr</v>
      </c>
      <c r="E179" s="50">
        <f t="shared" si="16"/>
        <v>41</v>
      </c>
      <c r="F179" s="51" t="s">
        <v>100</v>
      </c>
      <c r="G179" s="52" t="s">
        <v>103</v>
      </c>
      <c r="H179" s="51" t="s">
        <v>76</v>
      </c>
      <c r="I179" s="51" t="s">
        <v>77</v>
      </c>
      <c r="J179" s="52"/>
      <c r="K179" s="53" t="str">
        <f>IF(G179="","",IFERROR(INDEX(Stammdaten!$P$10:$P$69,MATCH(G179,Stammdaten!$N$10:$N$69,0)),"–"))</f>
        <v>Projektmanagement</v>
      </c>
      <c r="L179" s="53" t="str">
        <f>IF(F179="","",IFERROR(INDEX(Stammdaten!$D$10:$D$49,MATCH(F179,Stammdaten!$B$10:$B$49,0)),"–"))</f>
        <v>Projektfläche</v>
      </c>
      <c r="M179" s="54" t="str">
        <f>IF(C179="","",IF(OR(F179="",G179="",I179=""),"unvollständig",IF(I179="Storniert","storniert",IF(WEEKDAY(C179,2)&gt;5,"Wochenende",IF(COUNTIF(Stammdaten!$AD$10:$AD$30,C179)&gt;0,"Feiertag",IF(IFERROR(INDEX(Stammdaten!$I$10:$I$49,MATCH(F179,Stammdaten!$B$10:$B$49,0)),"")="Gesperrt","Platz gesperrt",IF(AND(COUNTIF($P$6:$P$605,P179)&gt;1,NOT(AND(COUNTIF($P$6:$P$605,P179)=2,COUNTIFS($P$6:$P$605,P179,$H$6:$H$605,"Vormittag")=1,COUNTIFS($P$6:$P$605,P179,$H$6:$H$605,"Nachmittag")=1))),"Doppelbuchung",IF(AND(COUNTIF($R$6:$R$605,R179)&gt;1,NOT(AND(COUNTIF($R$6:$R$605,R179)=2,COUNTIFS($R$6:$R$605,R179,$H$6:$H$605,"Vormittag")=1,COUNTIFS($R$6:$R$605,R179,$H$6:$H$605,"Nachmittag")=1))),"Person doppelt","OK"))))))))</f>
        <v>OK</v>
      </c>
      <c r="O179" s="55">
        <f t="shared" si="17"/>
        <v>1</v>
      </c>
      <c r="P179" s="55" t="str">
        <f t="shared" si="18"/>
        <v>B-09|46304</v>
      </c>
      <c r="Q179" s="55" t="str">
        <f>IF(P179="","",P179&amp;"|"&amp;COUNTIF(P$6:P179,P179))</f>
        <v>B-09|46304|1</v>
      </c>
      <c r="R179" s="55" t="str">
        <f t="shared" si="19"/>
        <v>Kevin Brandl|46304</v>
      </c>
      <c r="S179" s="55" t="str">
        <f>IF(R179="","",R179&amp;"|"&amp;COUNTIF(R$6:R179,R179))</f>
        <v>Kevin Brandl|46304|1</v>
      </c>
      <c r="T179" s="55" t="str">
        <f>IF(G179="","",IFERROR(INDEX(Stammdaten!$O$10:$O$69,MATCH(G179,Stammdaten!$N$10:$N$69,0)),G179)&amp;IF(H179="Vormittag"," (VM)",IF(H179="Nachmittag"," (NM)",""))&amp;IF(I179="Angefragt"," ?",""))</f>
        <v>K. Brandl</v>
      </c>
      <c r="U179" s="55" t="str">
        <f t="shared" si="20"/>
        <v>B-09</v>
      </c>
    </row>
    <row r="180" spans="2:21" ht="16.5" customHeight="1" x14ac:dyDescent="0.25">
      <c r="B180" s="47">
        <f t="shared" si="14"/>
        <v>175</v>
      </c>
      <c r="C180" s="48">
        <v>46304</v>
      </c>
      <c r="D180" s="49" t="str">
        <f t="shared" si="15"/>
        <v>Fr</v>
      </c>
      <c r="E180" s="50">
        <f t="shared" si="16"/>
        <v>41</v>
      </c>
      <c r="F180" s="51" t="s">
        <v>102</v>
      </c>
      <c r="G180" s="52" t="s">
        <v>105</v>
      </c>
      <c r="H180" s="51" t="s">
        <v>76</v>
      </c>
      <c r="I180" s="51" t="s">
        <v>77</v>
      </c>
      <c r="J180" s="52" t="s">
        <v>143</v>
      </c>
      <c r="K180" s="53" t="str">
        <f>IF(G180="","",IFERROR(INDEX(Stammdaten!$P$10:$P$69,MATCH(G180,Stammdaten!$N$10:$N$69,0)),"–"))</f>
        <v>Projektmanagement</v>
      </c>
      <c r="L180" s="53" t="str">
        <f>IF(F180="","",IFERROR(INDEX(Stammdaten!$D$10:$D$49,MATCH(F180,Stammdaten!$B$10:$B$49,0)),"–"))</f>
        <v>Projektfläche</v>
      </c>
      <c r="M180" s="54" t="str">
        <f>IF(C180="","",IF(OR(F180="",G180="",I180=""),"unvollständig",IF(I180="Storniert","storniert",IF(WEEKDAY(C180,2)&gt;5,"Wochenende",IF(COUNTIF(Stammdaten!$AD$10:$AD$30,C180)&gt;0,"Feiertag",IF(IFERROR(INDEX(Stammdaten!$I$10:$I$49,MATCH(F180,Stammdaten!$B$10:$B$49,0)),"")="Gesperrt","Platz gesperrt",IF(AND(COUNTIF($P$6:$P$605,P180)&gt;1,NOT(AND(COUNTIF($P$6:$P$605,P180)=2,COUNTIFS($P$6:$P$605,P180,$H$6:$H$605,"Vormittag")=1,COUNTIFS($P$6:$P$605,P180,$H$6:$H$605,"Nachmittag")=1))),"Doppelbuchung",IF(AND(COUNTIF($R$6:$R$605,R180)&gt;1,NOT(AND(COUNTIF($R$6:$R$605,R180)=2,COUNTIFS($R$6:$R$605,R180,$H$6:$H$605,"Vormittag")=1,COUNTIFS($R$6:$R$605,R180,$H$6:$H$605,"Nachmittag")=1))),"Person doppelt","OK"))))))))</f>
        <v>OK</v>
      </c>
      <c r="O180" s="55">
        <f t="shared" si="17"/>
        <v>1</v>
      </c>
      <c r="P180" s="55" t="str">
        <f t="shared" si="18"/>
        <v>B-10|46304</v>
      </c>
      <c r="Q180" s="55" t="str">
        <f>IF(P180="","",P180&amp;"|"&amp;COUNTIF(P$6:P180,P180))</f>
        <v>B-10|46304|1</v>
      </c>
      <c r="R180" s="55" t="str">
        <f t="shared" si="19"/>
        <v>Philipp Haas|46304</v>
      </c>
      <c r="S180" s="55" t="str">
        <f>IF(R180="","",R180&amp;"|"&amp;COUNTIF(R$6:R180,R180))</f>
        <v>Philipp Haas|46304|1</v>
      </c>
      <c r="T180" s="55" t="str">
        <f>IF(G180="","",IFERROR(INDEX(Stammdaten!$O$10:$O$69,MATCH(G180,Stammdaten!$N$10:$N$69,0)),G180)&amp;IF(H180="Vormittag"," (VM)",IF(H180="Nachmittag"," (NM)",""))&amp;IF(I180="Angefragt"," ?",""))</f>
        <v>P. Haas</v>
      </c>
      <c r="U180" s="55" t="str">
        <f t="shared" si="20"/>
        <v>B-10</v>
      </c>
    </row>
    <row r="181" spans="2:21" ht="16.5" customHeight="1" x14ac:dyDescent="0.25">
      <c r="B181" s="47">
        <f t="shared" si="14"/>
        <v>176</v>
      </c>
      <c r="C181" s="48">
        <v>46304</v>
      </c>
      <c r="D181" s="49" t="str">
        <f t="shared" si="15"/>
        <v>Fr</v>
      </c>
      <c r="E181" s="50">
        <f t="shared" si="16"/>
        <v>41</v>
      </c>
      <c r="F181" s="51" t="s">
        <v>104</v>
      </c>
      <c r="G181" s="52" t="s">
        <v>107</v>
      </c>
      <c r="H181" s="51" t="s">
        <v>76</v>
      </c>
      <c r="I181" s="51" t="s">
        <v>77</v>
      </c>
      <c r="J181" s="52"/>
      <c r="K181" s="53" t="str">
        <f>IF(G181="","",IFERROR(INDEX(Stammdaten!$P$10:$P$69,MATCH(G181,Stammdaten!$N$10:$N$69,0)),"–"))</f>
        <v>IT</v>
      </c>
      <c r="L181" s="53" t="str">
        <f>IF(F181="","",IFERROR(INDEX(Stammdaten!$D$10:$D$49,MATCH(F181,Stammdaten!$B$10:$B$49,0)),"–"))</f>
        <v>Projektfläche</v>
      </c>
      <c r="M181" s="54" t="str">
        <f>IF(C181="","",IF(OR(F181="",G181="",I181=""),"unvollständig",IF(I181="Storniert","storniert",IF(WEEKDAY(C181,2)&gt;5,"Wochenende",IF(COUNTIF(Stammdaten!$AD$10:$AD$30,C181)&gt;0,"Feiertag",IF(IFERROR(INDEX(Stammdaten!$I$10:$I$49,MATCH(F181,Stammdaten!$B$10:$B$49,0)),"")="Gesperrt","Platz gesperrt",IF(AND(COUNTIF($P$6:$P$605,P181)&gt;1,NOT(AND(COUNTIF($P$6:$P$605,P181)=2,COUNTIFS($P$6:$P$605,P181,$H$6:$H$605,"Vormittag")=1,COUNTIFS($P$6:$P$605,P181,$H$6:$H$605,"Nachmittag")=1))),"Doppelbuchung",IF(AND(COUNTIF($R$6:$R$605,R181)&gt;1,NOT(AND(COUNTIF($R$6:$R$605,R181)=2,COUNTIFS($R$6:$R$605,R181,$H$6:$H$605,"Vormittag")=1,COUNTIFS($R$6:$R$605,R181,$H$6:$H$605,"Nachmittag")=1))),"Person doppelt","OK"))))))))</f>
        <v>OK</v>
      </c>
      <c r="O181" s="55">
        <f t="shared" si="17"/>
        <v>1</v>
      </c>
      <c r="P181" s="55" t="str">
        <f t="shared" si="18"/>
        <v>B-11|46304</v>
      </c>
      <c r="Q181" s="55" t="str">
        <f>IF(P181="","",P181&amp;"|"&amp;COUNTIF(P$6:P181,P181))</f>
        <v>B-11|46304|1</v>
      </c>
      <c r="R181" s="55" t="str">
        <f t="shared" si="19"/>
        <v>Katharina Busch|46304</v>
      </c>
      <c r="S181" s="55" t="str">
        <f>IF(R181="","",R181&amp;"|"&amp;COUNTIF(R$6:R181,R181))</f>
        <v>Katharina Busch|46304|1</v>
      </c>
      <c r="T181" s="55" t="str">
        <f>IF(G181="","",IFERROR(INDEX(Stammdaten!$O$10:$O$69,MATCH(G181,Stammdaten!$N$10:$N$69,0)),G181)&amp;IF(H181="Vormittag"," (VM)",IF(H181="Nachmittag"," (NM)",""))&amp;IF(I181="Angefragt"," ?",""))</f>
        <v>K. Busch</v>
      </c>
      <c r="U181" s="55" t="str">
        <f t="shared" si="20"/>
        <v>B-11</v>
      </c>
    </row>
    <row r="182" spans="2:21" ht="16.5" customHeight="1" x14ac:dyDescent="0.25">
      <c r="B182" s="47">
        <f t="shared" si="14"/>
        <v>177</v>
      </c>
      <c r="C182" s="48">
        <v>46307</v>
      </c>
      <c r="D182" s="49" t="str">
        <f t="shared" si="15"/>
        <v>Mo</v>
      </c>
      <c r="E182" s="50">
        <f t="shared" si="16"/>
        <v>42</v>
      </c>
      <c r="F182" s="51" t="s">
        <v>74</v>
      </c>
      <c r="G182" s="52" t="s">
        <v>126</v>
      </c>
      <c r="H182" s="51" t="s">
        <v>76</v>
      </c>
      <c r="I182" s="51" t="s">
        <v>77</v>
      </c>
      <c r="J182" s="52"/>
      <c r="K182" s="53" t="str">
        <f>IF(G182="","",IFERROR(INDEX(Stammdaten!$P$10:$P$69,MATCH(G182,Stammdaten!$N$10:$N$69,0)),"–"))</f>
        <v>Vertrieb</v>
      </c>
      <c r="L182" s="53" t="str">
        <f>IF(F182="","",IFERROR(INDEX(Stammdaten!$D$10:$D$49,MATCH(F182,Stammdaten!$B$10:$B$49,0)),"–"))</f>
        <v>Teamzone Nord</v>
      </c>
      <c r="M182" s="54" t="str">
        <f>IF(C182="","",IF(OR(F182="",G182="",I182=""),"unvollständig",IF(I182="Storniert","storniert",IF(WEEKDAY(C182,2)&gt;5,"Wochenende",IF(COUNTIF(Stammdaten!$AD$10:$AD$30,C182)&gt;0,"Feiertag",IF(IFERROR(INDEX(Stammdaten!$I$10:$I$49,MATCH(F182,Stammdaten!$B$10:$B$49,0)),"")="Gesperrt","Platz gesperrt",IF(AND(COUNTIF($P$6:$P$605,P182)&gt;1,NOT(AND(COUNTIF($P$6:$P$605,P182)=2,COUNTIFS($P$6:$P$605,P182,$H$6:$H$605,"Vormittag")=1,COUNTIFS($P$6:$P$605,P182,$H$6:$H$605,"Nachmittag")=1))),"Doppelbuchung",IF(AND(COUNTIF($R$6:$R$605,R182)&gt;1,NOT(AND(COUNTIF($R$6:$R$605,R182)=2,COUNTIFS($R$6:$R$605,R182,$H$6:$H$605,"Vormittag")=1,COUNTIFS($R$6:$R$605,R182,$H$6:$H$605,"Nachmittag")=1))),"Person doppelt","OK"))))))))</f>
        <v>OK</v>
      </c>
      <c r="O182" s="55">
        <f t="shared" si="17"/>
        <v>1</v>
      </c>
      <c r="P182" s="55" t="str">
        <f t="shared" si="18"/>
        <v>A-01|46307</v>
      </c>
      <c r="Q182" s="55" t="str">
        <f>IF(P182="","",P182&amp;"|"&amp;COUNTIF(P$6:P182,P182))</f>
        <v>A-01|46307|1</v>
      </c>
      <c r="R182" s="55" t="str">
        <f t="shared" si="19"/>
        <v>Jonas Weber|46307</v>
      </c>
      <c r="S182" s="55" t="str">
        <f>IF(R182="","",R182&amp;"|"&amp;COUNTIF(R$6:R182,R182))</f>
        <v>Jonas Weber|46307|1</v>
      </c>
      <c r="T182" s="55" t="str">
        <f>IF(G182="","",IFERROR(INDEX(Stammdaten!$O$10:$O$69,MATCH(G182,Stammdaten!$N$10:$N$69,0)),G182)&amp;IF(H182="Vormittag"," (VM)",IF(H182="Nachmittag"," (NM)",""))&amp;IF(I182="Angefragt"," ?",""))</f>
        <v>J. Weber</v>
      </c>
      <c r="U182" s="55" t="str">
        <f t="shared" si="20"/>
        <v>A-01</v>
      </c>
    </row>
    <row r="183" spans="2:21" ht="16.5" customHeight="1" x14ac:dyDescent="0.25">
      <c r="B183" s="47">
        <f t="shared" si="14"/>
        <v>178</v>
      </c>
      <c r="C183" s="48">
        <v>46307</v>
      </c>
      <c r="D183" s="49" t="str">
        <f t="shared" si="15"/>
        <v>Mo</v>
      </c>
      <c r="E183" s="50">
        <f t="shared" si="16"/>
        <v>42</v>
      </c>
      <c r="F183" s="51" t="s">
        <v>78</v>
      </c>
      <c r="G183" s="52" t="s">
        <v>87</v>
      </c>
      <c r="H183" s="51" t="s">
        <v>76</v>
      </c>
      <c r="I183" s="51" t="s">
        <v>77</v>
      </c>
      <c r="J183" s="52"/>
      <c r="K183" s="53" t="str">
        <f>IF(G183="","",IFERROR(INDEX(Stammdaten!$P$10:$P$69,MATCH(G183,Stammdaten!$N$10:$N$69,0)),"–"))</f>
        <v>Marketing</v>
      </c>
      <c r="L183" s="53" t="str">
        <f>IF(F183="","",IFERROR(INDEX(Stammdaten!$D$10:$D$49,MATCH(F183,Stammdaten!$B$10:$B$49,0)),"–"))</f>
        <v>Teamzone Nord</v>
      </c>
      <c r="M183" s="54" t="str">
        <f>IF(C183="","",IF(OR(F183="",G183="",I183=""),"unvollständig",IF(I183="Storniert","storniert",IF(WEEKDAY(C183,2)&gt;5,"Wochenende",IF(COUNTIF(Stammdaten!$AD$10:$AD$30,C183)&gt;0,"Feiertag",IF(IFERROR(INDEX(Stammdaten!$I$10:$I$49,MATCH(F183,Stammdaten!$B$10:$B$49,0)),"")="Gesperrt","Platz gesperrt",IF(AND(COUNTIF($P$6:$P$605,P183)&gt;1,NOT(AND(COUNTIF($P$6:$P$605,P183)=2,COUNTIFS($P$6:$P$605,P183,$H$6:$H$605,"Vormittag")=1,COUNTIFS($P$6:$P$605,P183,$H$6:$H$605,"Nachmittag")=1))),"Doppelbuchung",IF(AND(COUNTIF($R$6:$R$605,R183)&gt;1,NOT(AND(COUNTIF($R$6:$R$605,R183)=2,COUNTIFS($R$6:$R$605,R183,$H$6:$H$605,"Vormittag")=1,COUNTIFS($R$6:$R$605,R183,$H$6:$H$605,"Nachmittag")=1))),"Person doppelt","OK"))))))))</f>
        <v>OK</v>
      </c>
      <c r="O183" s="55">
        <f t="shared" si="17"/>
        <v>1</v>
      </c>
      <c r="P183" s="55" t="str">
        <f t="shared" si="18"/>
        <v>A-02|46307</v>
      </c>
      <c r="Q183" s="55" t="str">
        <f>IF(P183="","",P183&amp;"|"&amp;COUNTIF(P$6:P183,P183))</f>
        <v>A-02|46307|1</v>
      </c>
      <c r="R183" s="55" t="str">
        <f t="shared" si="19"/>
        <v>Paul Schreiber|46307</v>
      </c>
      <c r="S183" s="55" t="str">
        <f>IF(R183="","",R183&amp;"|"&amp;COUNTIF(R$6:R183,R183))</f>
        <v>Paul Schreiber|46307|1</v>
      </c>
      <c r="T183" s="55" t="str">
        <f>IF(G183="","",IFERROR(INDEX(Stammdaten!$O$10:$O$69,MATCH(G183,Stammdaten!$N$10:$N$69,0)),G183)&amp;IF(H183="Vormittag"," (VM)",IF(H183="Nachmittag"," (NM)",""))&amp;IF(I183="Angefragt"," ?",""))</f>
        <v>P. Schreiber</v>
      </c>
      <c r="U183" s="55" t="str">
        <f t="shared" si="20"/>
        <v>A-02</v>
      </c>
    </row>
    <row r="184" spans="2:21" ht="16.5" customHeight="1" x14ac:dyDescent="0.25">
      <c r="B184" s="47">
        <f t="shared" si="14"/>
        <v>179</v>
      </c>
      <c r="C184" s="48">
        <v>46307</v>
      </c>
      <c r="D184" s="49" t="str">
        <f t="shared" si="15"/>
        <v>Mo</v>
      </c>
      <c r="E184" s="50">
        <f t="shared" si="16"/>
        <v>42</v>
      </c>
      <c r="F184" s="51" t="s">
        <v>110</v>
      </c>
      <c r="G184" s="52" t="s">
        <v>85</v>
      </c>
      <c r="H184" s="51" t="s">
        <v>76</v>
      </c>
      <c r="I184" s="51" t="s">
        <v>77</v>
      </c>
      <c r="J184" s="52"/>
      <c r="K184" s="53" t="str">
        <f>IF(G184="","",IFERROR(INDEX(Stammdaten!$P$10:$P$69,MATCH(G184,Stammdaten!$N$10:$N$69,0)),"–"))</f>
        <v>Vertrieb</v>
      </c>
      <c r="L184" s="53" t="str">
        <f>IF(F184="","",IFERROR(INDEX(Stammdaten!$D$10:$D$49,MATCH(F184,Stammdaten!$B$10:$B$49,0)),"–"))</f>
        <v>Teamzone Nord</v>
      </c>
      <c r="M184" s="54" t="str">
        <f>IF(C184="","",IF(OR(F184="",G184="",I184=""),"unvollständig",IF(I184="Storniert","storniert",IF(WEEKDAY(C184,2)&gt;5,"Wochenende",IF(COUNTIF(Stammdaten!$AD$10:$AD$30,C184)&gt;0,"Feiertag",IF(IFERROR(INDEX(Stammdaten!$I$10:$I$49,MATCH(F184,Stammdaten!$B$10:$B$49,0)),"")="Gesperrt","Platz gesperrt",IF(AND(COUNTIF($P$6:$P$605,P184)&gt;1,NOT(AND(COUNTIF($P$6:$P$605,P184)=2,COUNTIFS($P$6:$P$605,P184,$H$6:$H$605,"Vormittag")=1,COUNTIFS($P$6:$P$605,P184,$H$6:$H$605,"Nachmittag")=1))),"Doppelbuchung",IF(AND(COUNTIF($R$6:$R$605,R184)&gt;1,NOT(AND(COUNTIF($R$6:$R$605,R184)=2,COUNTIFS($R$6:$R$605,R184,$H$6:$H$605,"Vormittag")=1,COUNTIFS($R$6:$R$605,R184,$H$6:$H$605,"Nachmittag")=1))),"Person doppelt","OK"))))))))</f>
        <v>OK</v>
      </c>
      <c r="O184" s="55">
        <f t="shared" si="17"/>
        <v>1</v>
      </c>
      <c r="P184" s="55" t="str">
        <f t="shared" si="18"/>
        <v>A-04|46307</v>
      </c>
      <c r="Q184" s="55" t="str">
        <f>IF(P184="","",P184&amp;"|"&amp;COUNTIF(P$6:P184,P184))</f>
        <v>A-04|46307|1</v>
      </c>
      <c r="R184" s="55" t="str">
        <f t="shared" si="19"/>
        <v>Miriam Krause|46307</v>
      </c>
      <c r="S184" s="55" t="str">
        <f>IF(R184="","",R184&amp;"|"&amp;COUNTIF(R$6:R184,R184))</f>
        <v>Miriam Krause|46307|1</v>
      </c>
      <c r="T184" s="55" t="str">
        <f>IF(G184="","",IFERROR(INDEX(Stammdaten!$O$10:$O$69,MATCH(G184,Stammdaten!$N$10:$N$69,0)),G184)&amp;IF(H184="Vormittag"," (VM)",IF(H184="Nachmittag"," (NM)",""))&amp;IF(I184="Angefragt"," ?",""))</f>
        <v>M. Krause</v>
      </c>
      <c r="U184" s="55" t="str">
        <f t="shared" si="20"/>
        <v>A-04</v>
      </c>
    </row>
    <row r="185" spans="2:21" ht="16.5" customHeight="1" x14ac:dyDescent="0.25">
      <c r="B185" s="47">
        <f t="shared" si="14"/>
        <v>180</v>
      </c>
      <c r="C185" s="48">
        <v>46307</v>
      </c>
      <c r="D185" s="49" t="str">
        <f t="shared" si="15"/>
        <v>Mo</v>
      </c>
      <c r="E185" s="50">
        <f t="shared" si="16"/>
        <v>42</v>
      </c>
      <c r="F185" s="51" t="s">
        <v>80</v>
      </c>
      <c r="G185" s="52" t="s">
        <v>83</v>
      </c>
      <c r="H185" s="51" t="s">
        <v>76</v>
      </c>
      <c r="I185" s="51" t="s">
        <v>77</v>
      </c>
      <c r="J185" s="52"/>
      <c r="K185" s="53" t="str">
        <f>IF(G185="","",IFERROR(INDEX(Stammdaten!$P$10:$P$69,MATCH(G185,Stammdaten!$N$10:$N$69,0)),"–"))</f>
        <v>Marketing</v>
      </c>
      <c r="L185" s="53" t="str">
        <f>IF(F185="","",IFERROR(INDEX(Stammdaten!$D$10:$D$49,MATCH(F185,Stammdaten!$B$10:$B$49,0)),"–"))</f>
        <v>Teamzone Nord</v>
      </c>
      <c r="M185" s="54" t="str">
        <f>IF(C185="","",IF(OR(F185="",G185="",I185=""),"unvollständig",IF(I185="Storniert","storniert",IF(WEEKDAY(C185,2)&gt;5,"Wochenende",IF(COUNTIF(Stammdaten!$AD$10:$AD$30,C185)&gt;0,"Feiertag",IF(IFERROR(INDEX(Stammdaten!$I$10:$I$49,MATCH(F185,Stammdaten!$B$10:$B$49,0)),"")="Gesperrt","Platz gesperrt",IF(AND(COUNTIF($P$6:$P$605,P185)&gt;1,NOT(AND(COUNTIF($P$6:$P$605,P185)=2,COUNTIFS($P$6:$P$605,P185,$H$6:$H$605,"Vormittag")=1,COUNTIFS($P$6:$P$605,P185,$H$6:$H$605,"Nachmittag")=1))),"Doppelbuchung",IF(AND(COUNTIF($R$6:$R$605,R185)&gt;1,NOT(AND(COUNTIF($R$6:$R$605,R185)=2,COUNTIFS($R$6:$R$605,R185,$H$6:$H$605,"Vormittag")=1,COUNTIFS($R$6:$R$605,R185,$H$6:$H$605,"Nachmittag")=1))),"Person doppelt","OK"))))))))</f>
        <v>OK</v>
      </c>
      <c r="O185" s="55">
        <f t="shared" si="17"/>
        <v>1</v>
      </c>
      <c r="P185" s="55" t="str">
        <f t="shared" si="18"/>
        <v>A-05|46307</v>
      </c>
      <c r="Q185" s="55" t="str">
        <f>IF(P185="","",P185&amp;"|"&amp;COUNTIF(P$6:P185,P185))</f>
        <v>A-05|46307|1</v>
      </c>
      <c r="R185" s="55" t="str">
        <f t="shared" si="19"/>
        <v>Felix Engel|46307</v>
      </c>
      <c r="S185" s="55" t="str">
        <f>IF(R185="","",R185&amp;"|"&amp;COUNTIF(R$6:R185,R185))</f>
        <v>Felix Engel|46307|1</v>
      </c>
      <c r="T185" s="55" t="str">
        <f>IF(G185="","",IFERROR(INDEX(Stammdaten!$O$10:$O$69,MATCH(G185,Stammdaten!$N$10:$N$69,0)),G185)&amp;IF(H185="Vormittag"," (VM)",IF(H185="Nachmittag"," (NM)",""))&amp;IF(I185="Angefragt"," ?",""))</f>
        <v>F. Engel</v>
      </c>
      <c r="U185" s="55" t="str">
        <f t="shared" si="20"/>
        <v>A-05</v>
      </c>
    </row>
    <row r="186" spans="2:21" ht="16.5" customHeight="1" x14ac:dyDescent="0.25">
      <c r="B186" s="47">
        <f t="shared" si="14"/>
        <v>181</v>
      </c>
      <c r="C186" s="48">
        <v>46307</v>
      </c>
      <c r="D186" s="49" t="str">
        <f t="shared" si="15"/>
        <v>Mo</v>
      </c>
      <c r="E186" s="50">
        <f t="shared" si="16"/>
        <v>42</v>
      </c>
      <c r="F186" s="51" t="s">
        <v>84</v>
      </c>
      <c r="G186" s="52" t="s">
        <v>75</v>
      </c>
      <c r="H186" s="51" t="s">
        <v>76</v>
      </c>
      <c r="I186" s="51" t="s">
        <v>77</v>
      </c>
      <c r="J186" s="52"/>
      <c r="K186" s="53" t="str">
        <f>IF(G186="","",IFERROR(INDEX(Stammdaten!$P$10:$P$69,MATCH(G186,Stammdaten!$N$10:$N$69,0)),"–"))</f>
        <v>Marketing</v>
      </c>
      <c r="L186" s="53" t="str">
        <f>IF(F186="","",IFERROR(INDEX(Stammdaten!$D$10:$D$49,MATCH(F186,Stammdaten!$B$10:$B$49,0)),"–"))</f>
        <v>Teamzone Nord</v>
      </c>
      <c r="M186" s="54" t="str">
        <f>IF(C186="","",IF(OR(F186="",G186="",I186=""),"unvollständig",IF(I186="Storniert","storniert",IF(WEEKDAY(C186,2)&gt;5,"Wochenende",IF(COUNTIF(Stammdaten!$AD$10:$AD$30,C186)&gt;0,"Feiertag",IF(IFERROR(INDEX(Stammdaten!$I$10:$I$49,MATCH(F186,Stammdaten!$B$10:$B$49,0)),"")="Gesperrt","Platz gesperrt",IF(AND(COUNTIF($P$6:$P$605,P186)&gt;1,NOT(AND(COUNTIF($P$6:$P$605,P186)=2,COUNTIFS($P$6:$P$605,P186,$H$6:$H$605,"Vormittag")=1,COUNTIFS($P$6:$P$605,P186,$H$6:$H$605,"Nachmittag")=1))),"Doppelbuchung",IF(AND(COUNTIF($R$6:$R$605,R186)&gt;1,NOT(AND(COUNTIF($R$6:$R$605,R186)=2,COUNTIFS($R$6:$R$605,R186,$H$6:$H$605,"Vormittag")=1,COUNTIFS($R$6:$R$605,R186,$H$6:$H$605,"Nachmittag")=1))),"Person doppelt","OK"))))))))</f>
        <v>OK</v>
      </c>
      <c r="O186" s="55">
        <f t="shared" si="17"/>
        <v>1</v>
      </c>
      <c r="P186" s="55" t="str">
        <f t="shared" si="18"/>
        <v>A-07|46307</v>
      </c>
      <c r="Q186" s="55" t="str">
        <f>IF(P186="","",P186&amp;"|"&amp;COUNTIF(P$6:P186,P186))</f>
        <v>A-07|46307|1</v>
      </c>
      <c r="R186" s="55" t="str">
        <f t="shared" si="19"/>
        <v>Marco Seidel|46307</v>
      </c>
      <c r="S186" s="55" t="str">
        <f>IF(R186="","",R186&amp;"|"&amp;COUNTIF(R$6:R186,R186))</f>
        <v>Marco Seidel|46307|1</v>
      </c>
      <c r="T186" s="55" t="str">
        <f>IF(G186="","",IFERROR(INDEX(Stammdaten!$O$10:$O$69,MATCH(G186,Stammdaten!$N$10:$N$69,0)),G186)&amp;IF(H186="Vormittag"," (VM)",IF(H186="Nachmittag"," (NM)",""))&amp;IF(I186="Angefragt"," ?",""))</f>
        <v>M. Seidel</v>
      </c>
      <c r="U186" s="55" t="str">
        <f t="shared" si="20"/>
        <v>A-07</v>
      </c>
    </row>
    <row r="187" spans="2:21" ht="16.5" customHeight="1" x14ac:dyDescent="0.25">
      <c r="B187" s="47">
        <f t="shared" si="14"/>
        <v>182</v>
      </c>
      <c r="C187" s="48">
        <v>46307</v>
      </c>
      <c r="D187" s="49" t="str">
        <f t="shared" si="15"/>
        <v>Mo</v>
      </c>
      <c r="E187" s="50">
        <f t="shared" si="16"/>
        <v>42</v>
      </c>
      <c r="F187" s="51" t="s">
        <v>113</v>
      </c>
      <c r="G187" s="52" t="s">
        <v>105</v>
      </c>
      <c r="H187" s="51" t="s">
        <v>76</v>
      </c>
      <c r="I187" s="51" t="s">
        <v>77</v>
      </c>
      <c r="J187" s="52"/>
      <c r="K187" s="53" t="str">
        <f>IF(G187="","",IFERROR(INDEX(Stammdaten!$P$10:$P$69,MATCH(G187,Stammdaten!$N$10:$N$69,0)),"–"))</f>
        <v>Projektmanagement</v>
      </c>
      <c r="L187" s="53" t="str">
        <f>IF(F187="","",IFERROR(INDEX(Stammdaten!$D$10:$D$49,MATCH(F187,Stammdaten!$B$10:$B$49,0)),"–"))</f>
        <v>Fokuszone</v>
      </c>
      <c r="M187" s="54" t="str">
        <f>IF(C187="","",IF(OR(F187="",G187="",I187=""),"unvollständig",IF(I187="Storniert","storniert",IF(WEEKDAY(C187,2)&gt;5,"Wochenende",IF(COUNTIF(Stammdaten!$AD$10:$AD$30,C187)&gt;0,"Feiertag",IF(IFERROR(INDEX(Stammdaten!$I$10:$I$49,MATCH(F187,Stammdaten!$B$10:$B$49,0)),"")="Gesperrt","Platz gesperrt",IF(AND(COUNTIF($P$6:$P$605,P187)&gt;1,NOT(AND(COUNTIF($P$6:$P$605,P187)=2,COUNTIFS($P$6:$P$605,P187,$H$6:$H$605,"Vormittag")=1,COUNTIFS($P$6:$P$605,P187,$H$6:$H$605,"Nachmittag")=1))),"Doppelbuchung",IF(AND(COUNTIF($R$6:$R$605,R187)&gt;1,NOT(AND(COUNTIF($R$6:$R$605,R187)=2,COUNTIFS($R$6:$R$605,R187,$H$6:$H$605,"Vormittag")=1,COUNTIFS($R$6:$R$605,R187,$H$6:$H$605,"Nachmittag")=1))),"Person doppelt","OK"))))))))</f>
        <v>OK</v>
      </c>
      <c r="O187" s="55">
        <f t="shared" si="17"/>
        <v>1</v>
      </c>
      <c r="P187" s="55" t="str">
        <f t="shared" si="18"/>
        <v>A-10|46307</v>
      </c>
      <c r="Q187" s="55" t="str">
        <f>IF(P187="","",P187&amp;"|"&amp;COUNTIF(P$6:P187,P187))</f>
        <v>A-10|46307|1</v>
      </c>
      <c r="R187" s="55" t="str">
        <f t="shared" si="19"/>
        <v>Philipp Haas|46307</v>
      </c>
      <c r="S187" s="55" t="str">
        <f>IF(R187="","",R187&amp;"|"&amp;COUNTIF(R$6:R187,R187))</f>
        <v>Philipp Haas|46307|1</v>
      </c>
      <c r="T187" s="55" t="str">
        <f>IF(G187="","",IFERROR(INDEX(Stammdaten!$O$10:$O$69,MATCH(G187,Stammdaten!$N$10:$N$69,0)),G187)&amp;IF(H187="Vormittag"," (VM)",IF(H187="Nachmittag"," (NM)",""))&amp;IF(I187="Angefragt"," ?",""))</f>
        <v>P. Haas</v>
      </c>
      <c r="U187" s="55" t="str">
        <f t="shared" si="20"/>
        <v>A-10</v>
      </c>
    </row>
    <row r="188" spans="2:21" ht="16.5" customHeight="1" x14ac:dyDescent="0.25">
      <c r="B188" s="47">
        <f t="shared" si="14"/>
        <v>183</v>
      </c>
      <c r="C188" s="48">
        <v>46307</v>
      </c>
      <c r="D188" s="49" t="str">
        <f t="shared" si="15"/>
        <v>Mo</v>
      </c>
      <c r="E188" s="50">
        <f t="shared" si="16"/>
        <v>42</v>
      </c>
      <c r="F188" s="51" t="s">
        <v>88</v>
      </c>
      <c r="G188" s="52" t="s">
        <v>89</v>
      </c>
      <c r="H188" s="51" t="s">
        <v>76</v>
      </c>
      <c r="I188" s="51" t="s">
        <v>77</v>
      </c>
      <c r="J188" s="52"/>
      <c r="K188" s="53" t="str">
        <f>IF(G188="","",IFERROR(INDEX(Stammdaten!$P$10:$P$69,MATCH(G188,Stammdaten!$N$10:$N$69,0)),"–"))</f>
        <v>Projektmanagement</v>
      </c>
      <c r="L188" s="53" t="str">
        <f>IF(F188="","",IFERROR(INDEX(Stammdaten!$D$10:$D$49,MATCH(F188,Stammdaten!$B$10:$B$49,0)),"–"))</f>
        <v>Fokuszone</v>
      </c>
      <c r="M188" s="54" t="str">
        <f>IF(C188="","",IF(OR(F188="",G188="",I188=""),"unvollständig",IF(I188="Storniert","storniert",IF(WEEKDAY(C188,2)&gt;5,"Wochenende",IF(COUNTIF(Stammdaten!$AD$10:$AD$30,C188)&gt;0,"Feiertag",IF(IFERROR(INDEX(Stammdaten!$I$10:$I$49,MATCH(F188,Stammdaten!$B$10:$B$49,0)),"")="Gesperrt","Platz gesperrt",IF(AND(COUNTIF($P$6:$P$605,P188)&gt;1,NOT(AND(COUNTIF($P$6:$P$605,P188)=2,COUNTIFS($P$6:$P$605,P188,$H$6:$H$605,"Vormittag")=1,COUNTIFS($P$6:$P$605,P188,$H$6:$H$605,"Nachmittag")=1))),"Doppelbuchung",IF(AND(COUNTIF($R$6:$R$605,R188)&gt;1,NOT(AND(COUNTIF($R$6:$R$605,R188)=2,COUNTIFS($R$6:$R$605,R188,$H$6:$H$605,"Vormittag")=1,COUNTIFS($R$6:$R$605,R188,$H$6:$H$605,"Nachmittag")=1))),"Person doppelt","OK"))))))))</f>
        <v>OK</v>
      </c>
      <c r="O188" s="55">
        <f t="shared" si="17"/>
        <v>1</v>
      </c>
      <c r="P188" s="55" t="str">
        <f t="shared" si="18"/>
        <v>A-11|46307</v>
      </c>
      <c r="Q188" s="55" t="str">
        <f>IF(P188="","",P188&amp;"|"&amp;COUNTIF(P$6:P188,P188))</f>
        <v>A-11|46307|1</v>
      </c>
      <c r="R188" s="55" t="str">
        <f t="shared" si="19"/>
        <v>Theresa Jung|46307</v>
      </c>
      <c r="S188" s="55" t="str">
        <f>IF(R188="","",R188&amp;"|"&amp;COUNTIF(R$6:R188,R188))</f>
        <v>Theresa Jung|46307|1</v>
      </c>
      <c r="T188" s="55" t="str">
        <f>IF(G188="","",IFERROR(INDEX(Stammdaten!$O$10:$O$69,MATCH(G188,Stammdaten!$N$10:$N$69,0)),G188)&amp;IF(H188="Vormittag"," (VM)",IF(H188="Nachmittag"," (NM)",""))&amp;IF(I188="Angefragt"," ?",""))</f>
        <v>T. Jung</v>
      </c>
      <c r="U188" s="55" t="str">
        <f t="shared" si="20"/>
        <v>A-11</v>
      </c>
    </row>
    <row r="189" spans="2:21" ht="16.5" customHeight="1" x14ac:dyDescent="0.25">
      <c r="B189" s="47">
        <f t="shared" si="14"/>
        <v>184</v>
      </c>
      <c r="C189" s="48">
        <v>46307</v>
      </c>
      <c r="D189" s="49" t="str">
        <f t="shared" si="15"/>
        <v>Mo</v>
      </c>
      <c r="E189" s="50">
        <f t="shared" si="16"/>
        <v>42</v>
      </c>
      <c r="F189" s="51" t="s">
        <v>117</v>
      </c>
      <c r="G189" s="52" t="s">
        <v>93</v>
      </c>
      <c r="H189" s="51" t="s">
        <v>76</v>
      </c>
      <c r="I189" s="51" t="s">
        <v>77</v>
      </c>
      <c r="J189" s="52"/>
      <c r="K189" s="53" t="str">
        <f>IF(G189="","",IFERROR(INDEX(Stammdaten!$P$10:$P$69,MATCH(G189,Stammdaten!$N$10:$N$69,0)),"–"))</f>
        <v>Finanzen</v>
      </c>
      <c r="L189" s="53" t="str">
        <f>IF(F189="","",IFERROR(INDEX(Stammdaten!$D$10:$D$49,MATCH(F189,Stammdaten!$B$10:$B$49,0)),"–"))</f>
        <v>Teamzone Süd</v>
      </c>
      <c r="M189" s="54" t="str">
        <f>IF(C189="","",IF(OR(F189="",G189="",I189=""),"unvollständig",IF(I189="Storniert","storniert",IF(WEEKDAY(C189,2)&gt;5,"Wochenende",IF(COUNTIF(Stammdaten!$AD$10:$AD$30,C189)&gt;0,"Feiertag",IF(IFERROR(INDEX(Stammdaten!$I$10:$I$49,MATCH(F189,Stammdaten!$B$10:$B$49,0)),"")="Gesperrt","Platz gesperrt",IF(AND(COUNTIF($P$6:$P$605,P189)&gt;1,NOT(AND(COUNTIF($P$6:$P$605,P189)=2,COUNTIFS($P$6:$P$605,P189,$H$6:$H$605,"Vormittag")=1,COUNTIFS($P$6:$P$605,P189,$H$6:$H$605,"Nachmittag")=1))),"Doppelbuchung",IF(AND(COUNTIF($R$6:$R$605,R189)&gt;1,NOT(AND(COUNTIF($R$6:$R$605,R189)=2,COUNTIFS($R$6:$R$605,R189,$H$6:$H$605,"Vormittag")=1,COUNTIFS($R$6:$R$605,R189,$H$6:$H$605,"Nachmittag")=1))),"Person doppelt","OK"))))))))</f>
        <v>OK</v>
      </c>
      <c r="O189" s="55">
        <f t="shared" si="17"/>
        <v>1</v>
      </c>
      <c r="P189" s="55" t="str">
        <f t="shared" si="18"/>
        <v>B-03|46307</v>
      </c>
      <c r="Q189" s="55" t="str">
        <f>IF(P189="","",P189&amp;"|"&amp;COUNTIF(P$6:P189,P189))</f>
        <v>B-03|46307|1</v>
      </c>
      <c r="R189" s="55" t="str">
        <f t="shared" si="19"/>
        <v>Sarah Böhm|46307</v>
      </c>
      <c r="S189" s="55" t="str">
        <f>IF(R189="","",R189&amp;"|"&amp;COUNTIF(R$6:R189,R189))</f>
        <v>Sarah Böhm|46307|1</v>
      </c>
      <c r="T189" s="55" t="str">
        <f>IF(G189="","",IFERROR(INDEX(Stammdaten!$O$10:$O$69,MATCH(G189,Stammdaten!$N$10:$N$69,0)),G189)&amp;IF(H189="Vormittag"," (VM)",IF(H189="Nachmittag"," (NM)",""))&amp;IF(I189="Angefragt"," ?",""))</f>
        <v>S. Böhm</v>
      </c>
      <c r="U189" s="55" t="str">
        <f t="shared" si="20"/>
        <v>B-03</v>
      </c>
    </row>
    <row r="190" spans="2:21" ht="16.5" customHeight="1" x14ac:dyDescent="0.25">
      <c r="B190" s="47">
        <f t="shared" si="14"/>
        <v>185</v>
      </c>
      <c r="C190" s="48">
        <v>46307</v>
      </c>
      <c r="D190" s="49" t="str">
        <f t="shared" si="15"/>
        <v>Mo</v>
      </c>
      <c r="E190" s="50">
        <f t="shared" si="16"/>
        <v>42</v>
      </c>
      <c r="F190" s="51" t="s">
        <v>119</v>
      </c>
      <c r="G190" s="52" t="s">
        <v>95</v>
      </c>
      <c r="H190" s="51" t="s">
        <v>76</v>
      </c>
      <c r="I190" s="51" t="s">
        <v>77</v>
      </c>
      <c r="J190" s="52"/>
      <c r="K190" s="53" t="str">
        <f>IF(G190="","",IFERROR(INDEX(Stammdaten!$P$10:$P$69,MATCH(G190,Stammdaten!$N$10:$N$69,0)),"–"))</f>
        <v>Finanzen</v>
      </c>
      <c r="L190" s="53" t="str">
        <f>IF(F190="","",IFERROR(INDEX(Stammdaten!$D$10:$D$49,MATCH(F190,Stammdaten!$B$10:$B$49,0)),"–"))</f>
        <v>Teamzone Süd</v>
      </c>
      <c r="M190" s="54" t="str">
        <f>IF(C190="","",IF(OR(F190="",G190="",I190=""),"unvollständig",IF(I190="Storniert","storniert",IF(WEEKDAY(C190,2)&gt;5,"Wochenende",IF(COUNTIF(Stammdaten!$AD$10:$AD$30,C190)&gt;0,"Feiertag",IF(IFERROR(INDEX(Stammdaten!$I$10:$I$49,MATCH(F190,Stammdaten!$B$10:$B$49,0)),"")="Gesperrt","Platz gesperrt",IF(AND(COUNTIF($P$6:$P$605,P190)&gt;1,NOT(AND(COUNTIF($P$6:$P$605,P190)=2,COUNTIFS($P$6:$P$605,P190,$H$6:$H$605,"Vormittag")=1,COUNTIFS($P$6:$P$605,P190,$H$6:$H$605,"Nachmittag")=1))),"Doppelbuchung",IF(AND(COUNTIF($R$6:$R$605,R190)&gt;1,NOT(AND(COUNTIF($R$6:$R$605,R190)=2,COUNTIFS($R$6:$R$605,R190,$H$6:$H$605,"Vormittag")=1,COUNTIFS($R$6:$R$605,R190,$H$6:$H$605,"Nachmittag")=1))),"Person doppelt","OK"))))))))</f>
        <v>OK</v>
      </c>
      <c r="O190" s="55">
        <f t="shared" si="17"/>
        <v>1</v>
      </c>
      <c r="P190" s="55" t="str">
        <f t="shared" si="18"/>
        <v>B-04|46307</v>
      </c>
      <c r="Q190" s="55" t="str">
        <f>IF(P190="","",P190&amp;"|"&amp;COUNTIF(P$6:P190,P190))</f>
        <v>B-04|46307|1</v>
      </c>
      <c r="R190" s="55" t="str">
        <f t="shared" si="19"/>
        <v>Hanna Roth|46307</v>
      </c>
      <c r="S190" s="55" t="str">
        <f>IF(R190="","",R190&amp;"|"&amp;COUNTIF(R$6:R190,R190))</f>
        <v>Hanna Roth|46307|1</v>
      </c>
      <c r="T190" s="55" t="str">
        <f>IF(G190="","",IFERROR(INDEX(Stammdaten!$O$10:$O$69,MATCH(G190,Stammdaten!$N$10:$N$69,0)),G190)&amp;IF(H190="Vormittag"," (VM)",IF(H190="Nachmittag"," (NM)",""))&amp;IF(I190="Angefragt"," ?",""))</f>
        <v>H. Roth</v>
      </c>
      <c r="U190" s="55" t="str">
        <f t="shared" si="20"/>
        <v>B-04</v>
      </c>
    </row>
    <row r="191" spans="2:21" ht="16.5" customHeight="1" x14ac:dyDescent="0.25">
      <c r="B191" s="47">
        <f t="shared" si="14"/>
        <v>186</v>
      </c>
      <c r="C191" s="48">
        <v>46307</v>
      </c>
      <c r="D191" s="49" t="str">
        <f t="shared" si="15"/>
        <v>Mo</v>
      </c>
      <c r="E191" s="50">
        <f t="shared" si="16"/>
        <v>42</v>
      </c>
      <c r="F191" s="51" t="s">
        <v>121</v>
      </c>
      <c r="G191" s="52" t="s">
        <v>131</v>
      </c>
      <c r="H191" s="51" t="s">
        <v>76</v>
      </c>
      <c r="I191" s="51" t="s">
        <v>77</v>
      </c>
      <c r="J191" s="52"/>
      <c r="K191" s="53" t="str">
        <f>IF(G191="","",IFERROR(INDEX(Stammdaten!$P$10:$P$69,MATCH(G191,Stammdaten!$N$10:$N$69,0)),"–"))</f>
        <v>Finanzen</v>
      </c>
      <c r="L191" s="53" t="str">
        <f>IF(F191="","",IFERROR(INDEX(Stammdaten!$D$10:$D$49,MATCH(F191,Stammdaten!$B$10:$B$49,0)),"–"))</f>
        <v>Teamzone Süd</v>
      </c>
      <c r="M191" s="54" t="str">
        <f>IF(C191="","",IF(OR(F191="",G191="",I191=""),"unvollständig",IF(I191="Storniert","storniert",IF(WEEKDAY(C191,2)&gt;5,"Wochenende",IF(COUNTIF(Stammdaten!$AD$10:$AD$30,C191)&gt;0,"Feiertag",IF(IFERROR(INDEX(Stammdaten!$I$10:$I$49,MATCH(F191,Stammdaten!$B$10:$B$49,0)),"")="Gesperrt","Platz gesperrt",IF(AND(COUNTIF($P$6:$P$605,P191)&gt;1,NOT(AND(COUNTIF($P$6:$P$605,P191)=2,COUNTIFS($P$6:$P$605,P191,$H$6:$H$605,"Vormittag")=1,COUNTIFS($P$6:$P$605,P191,$H$6:$H$605,"Nachmittag")=1))),"Doppelbuchung",IF(AND(COUNTIF($R$6:$R$605,R191)&gt;1,NOT(AND(COUNTIF($R$6:$R$605,R191)=2,COUNTIFS($R$6:$R$605,R191,$H$6:$H$605,"Vormittag")=1,COUNTIFS($R$6:$R$605,R191,$H$6:$H$605,"Nachmittag")=1))),"Person doppelt","OK"))))))))</f>
        <v>OK</v>
      </c>
      <c r="O191" s="55">
        <f t="shared" si="17"/>
        <v>1</v>
      </c>
      <c r="P191" s="55" t="str">
        <f t="shared" si="18"/>
        <v>B-05|46307</v>
      </c>
      <c r="Q191" s="55" t="str">
        <f>IF(P191="","",P191&amp;"|"&amp;COUNTIF(P$6:P191,P191))</f>
        <v>B-05|46307|1</v>
      </c>
      <c r="R191" s="55" t="str">
        <f t="shared" si="19"/>
        <v>Leon Fuchs|46307</v>
      </c>
      <c r="S191" s="55" t="str">
        <f>IF(R191="","",R191&amp;"|"&amp;COUNTIF(R$6:R191,R191))</f>
        <v>Leon Fuchs|46307|1</v>
      </c>
      <c r="T191" s="55" t="str">
        <f>IF(G191="","",IFERROR(INDEX(Stammdaten!$O$10:$O$69,MATCH(G191,Stammdaten!$N$10:$N$69,0)),G191)&amp;IF(H191="Vormittag"," (VM)",IF(H191="Nachmittag"," (NM)",""))&amp;IF(I191="Angefragt"," ?",""))</f>
        <v>L. Fuchs</v>
      </c>
      <c r="U191" s="55" t="str">
        <f t="shared" si="20"/>
        <v>B-05</v>
      </c>
    </row>
    <row r="192" spans="2:21" ht="16.5" customHeight="1" x14ac:dyDescent="0.25">
      <c r="B192" s="47">
        <f t="shared" si="14"/>
        <v>187</v>
      </c>
      <c r="C192" s="48">
        <v>46307</v>
      </c>
      <c r="D192" s="49" t="str">
        <f t="shared" si="15"/>
        <v>Mo</v>
      </c>
      <c r="E192" s="50">
        <f t="shared" si="16"/>
        <v>42</v>
      </c>
      <c r="F192" s="51" t="s">
        <v>96</v>
      </c>
      <c r="G192" s="52" t="s">
        <v>97</v>
      </c>
      <c r="H192" s="51" t="s">
        <v>76</v>
      </c>
      <c r="I192" s="51" t="s">
        <v>77</v>
      </c>
      <c r="J192" s="52"/>
      <c r="K192" s="53" t="str">
        <f>IF(G192="","",IFERROR(INDEX(Stammdaten!$P$10:$P$69,MATCH(G192,Stammdaten!$N$10:$N$69,0)),"–"))</f>
        <v>Personal</v>
      </c>
      <c r="L192" s="53" t="str">
        <f>IF(F192="","",IFERROR(INDEX(Stammdaten!$D$10:$D$49,MATCH(F192,Stammdaten!$B$10:$B$49,0)),"–"))</f>
        <v>Teamzone Süd</v>
      </c>
      <c r="M192" s="54" t="str">
        <f>IF(C192="","",IF(OR(F192="",G192="",I192=""),"unvollständig",IF(I192="Storniert","storniert",IF(WEEKDAY(C192,2)&gt;5,"Wochenende",IF(COUNTIF(Stammdaten!$AD$10:$AD$30,C192)&gt;0,"Feiertag",IF(IFERROR(INDEX(Stammdaten!$I$10:$I$49,MATCH(F192,Stammdaten!$B$10:$B$49,0)),"")="Gesperrt","Platz gesperrt",IF(AND(COUNTIF($P$6:$P$605,P192)&gt;1,NOT(AND(COUNTIF($P$6:$P$605,P192)=2,COUNTIFS($P$6:$P$605,P192,$H$6:$H$605,"Vormittag")=1,COUNTIFS($P$6:$P$605,P192,$H$6:$H$605,"Nachmittag")=1))),"Doppelbuchung",IF(AND(COUNTIF($R$6:$R$605,R192)&gt;1,NOT(AND(COUNTIF($R$6:$R$605,R192)=2,COUNTIFS($R$6:$R$605,R192,$H$6:$H$605,"Vormittag")=1,COUNTIFS($R$6:$R$605,R192,$H$6:$H$605,"Nachmittag")=1))),"Person doppelt","OK"))))))))</f>
        <v>OK</v>
      </c>
      <c r="O192" s="55">
        <f t="shared" si="17"/>
        <v>1</v>
      </c>
      <c r="P192" s="55" t="str">
        <f t="shared" si="18"/>
        <v>B-06|46307</v>
      </c>
      <c r="Q192" s="55" t="str">
        <f>IF(P192="","",P192&amp;"|"&amp;COUNTIF(P$6:P192,P192))</f>
        <v>B-06|46307|1</v>
      </c>
      <c r="R192" s="55" t="str">
        <f t="shared" si="19"/>
        <v>Moritz Keller|46307</v>
      </c>
      <c r="S192" s="55" t="str">
        <f>IF(R192="","",R192&amp;"|"&amp;COUNTIF(R$6:R192,R192))</f>
        <v>Moritz Keller|46307|1</v>
      </c>
      <c r="T192" s="55" t="str">
        <f>IF(G192="","",IFERROR(INDEX(Stammdaten!$O$10:$O$69,MATCH(G192,Stammdaten!$N$10:$N$69,0)),G192)&amp;IF(H192="Vormittag"," (VM)",IF(H192="Nachmittag"," (NM)",""))&amp;IF(I192="Angefragt"," ?",""))</f>
        <v>M. Keller</v>
      </c>
      <c r="U192" s="55" t="str">
        <f t="shared" si="20"/>
        <v>B-06</v>
      </c>
    </row>
    <row r="193" spans="2:21" ht="16.5" customHeight="1" x14ac:dyDescent="0.25">
      <c r="B193" s="47">
        <f t="shared" si="14"/>
        <v>188</v>
      </c>
      <c r="C193" s="48">
        <v>46307</v>
      </c>
      <c r="D193" s="49" t="str">
        <f t="shared" si="15"/>
        <v>Mo</v>
      </c>
      <c r="E193" s="50">
        <f t="shared" si="16"/>
        <v>42</v>
      </c>
      <c r="F193" s="51" t="s">
        <v>100</v>
      </c>
      <c r="G193" s="52" t="s">
        <v>130</v>
      </c>
      <c r="H193" s="51" t="s">
        <v>76</v>
      </c>
      <c r="I193" s="51" t="s">
        <v>77</v>
      </c>
      <c r="J193" s="52"/>
      <c r="K193" s="53" t="str">
        <f>IF(G193="","",IFERROR(INDEX(Stammdaten!$P$10:$P$69,MATCH(G193,Stammdaten!$N$10:$N$69,0)),"–"))</f>
        <v>Projektmanagement</v>
      </c>
      <c r="L193" s="53" t="str">
        <f>IF(F193="","",IFERROR(INDEX(Stammdaten!$D$10:$D$49,MATCH(F193,Stammdaten!$B$10:$B$49,0)),"–"))</f>
        <v>Projektfläche</v>
      </c>
      <c r="M193" s="54" t="str">
        <f>IF(C193="","",IF(OR(F193="",G193="",I193=""),"unvollständig",IF(I193="Storniert","storniert",IF(WEEKDAY(C193,2)&gt;5,"Wochenende",IF(COUNTIF(Stammdaten!$AD$10:$AD$30,C193)&gt;0,"Feiertag",IF(IFERROR(INDEX(Stammdaten!$I$10:$I$49,MATCH(F193,Stammdaten!$B$10:$B$49,0)),"")="Gesperrt","Platz gesperrt",IF(AND(COUNTIF($P$6:$P$605,P193)&gt;1,NOT(AND(COUNTIF($P$6:$P$605,P193)=2,COUNTIFS($P$6:$P$605,P193,$H$6:$H$605,"Vormittag")=1,COUNTIFS($P$6:$P$605,P193,$H$6:$H$605,"Nachmittag")=1))),"Doppelbuchung",IF(AND(COUNTIF($R$6:$R$605,R193)&gt;1,NOT(AND(COUNTIF($R$6:$R$605,R193)=2,COUNTIFS($R$6:$R$605,R193,$H$6:$H$605,"Vormittag")=1,COUNTIFS($R$6:$R$605,R193,$H$6:$H$605,"Nachmittag")=1))),"Person doppelt","OK"))))))))</f>
        <v>OK</v>
      </c>
      <c r="O193" s="55">
        <f t="shared" si="17"/>
        <v>1</v>
      </c>
      <c r="P193" s="55" t="str">
        <f t="shared" si="18"/>
        <v>B-09|46307</v>
      </c>
      <c r="Q193" s="55" t="str">
        <f>IF(P193="","",P193&amp;"|"&amp;COUNTIF(P$6:P193,P193))</f>
        <v>B-09|46307|1</v>
      </c>
      <c r="R193" s="55" t="str">
        <f t="shared" si="19"/>
        <v>Fabian Ott|46307</v>
      </c>
      <c r="S193" s="55" t="str">
        <f>IF(R193="","",R193&amp;"|"&amp;COUNTIF(R$6:R193,R193))</f>
        <v>Fabian Ott|46307|1</v>
      </c>
      <c r="T193" s="55" t="str">
        <f>IF(G193="","",IFERROR(INDEX(Stammdaten!$O$10:$O$69,MATCH(G193,Stammdaten!$N$10:$N$69,0)),G193)&amp;IF(H193="Vormittag"," (VM)",IF(H193="Nachmittag"," (NM)",""))&amp;IF(I193="Angefragt"," ?",""))</f>
        <v>F. Ott</v>
      </c>
      <c r="U193" s="55" t="str">
        <f t="shared" si="20"/>
        <v>B-09</v>
      </c>
    </row>
    <row r="194" spans="2:21" ht="16.5" customHeight="1" x14ac:dyDescent="0.25">
      <c r="B194" s="47">
        <f t="shared" si="14"/>
        <v>189</v>
      </c>
      <c r="C194" s="48">
        <v>46307</v>
      </c>
      <c r="D194" s="49" t="str">
        <f t="shared" si="15"/>
        <v>Mo</v>
      </c>
      <c r="E194" s="50">
        <f t="shared" si="16"/>
        <v>42</v>
      </c>
      <c r="F194" s="51" t="s">
        <v>102</v>
      </c>
      <c r="G194" s="52" t="s">
        <v>125</v>
      </c>
      <c r="H194" s="51" t="s">
        <v>76</v>
      </c>
      <c r="I194" s="51" t="s">
        <v>77</v>
      </c>
      <c r="J194" s="52"/>
      <c r="K194" s="53" t="str">
        <f>IF(G194="","",IFERROR(INDEX(Stammdaten!$P$10:$P$69,MATCH(G194,Stammdaten!$N$10:$N$69,0)),"–"))</f>
        <v>IT</v>
      </c>
      <c r="L194" s="53" t="str">
        <f>IF(F194="","",IFERROR(INDEX(Stammdaten!$D$10:$D$49,MATCH(F194,Stammdaten!$B$10:$B$49,0)),"–"))</f>
        <v>Projektfläche</v>
      </c>
      <c r="M194" s="54" t="str">
        <f>IF(C194="","",IF(OR(F194="",G194="",I194=""),"unvollständig",IF(I194="Storniert","storniert",IF(WEEKDAY(C194,2)&gt;5,"Wochenende",IF(COUNTIF(Stammdaten!$AD$10:$AD$30,C194)&gt;0,"Feiertag",IF(IFERROR(INDEX(Stammdaten!$I$10:$I$49,MATCH(F194,Stammdaten!$B$10:$B$49,0)),"")="Gesperrt","Platz gesperrt",IF(AND(COUNTIF($P$6:$P$605,P194)&gt;1,NOT(AND(COUNTIF($P$6:$P$605,P194)=2,COUNTIFS($P$6:$P$605,P194,$H$6:$H$605,"Vormittag")=1,COUNTIFS($P$6:$P$605,P194,$H$6:$H$605,"Nachmittag")=1))),"Doppelbuchung",IF(AND(COUNTIF($R$6:$R$605,R194)&gt;1,NOT(AND(COUNTIF($R$6:$R$605,R194)=2,COUNTIFS($R$6:$R$605,R194,$H$6:$H$605,"Vormittag")=1,COUNTIFS($R$6:$R$605,R194,$H$6:$H$605,"Nachmittag")=1))),"Person doppelt","OK"))))))))</f>
        <v>OK</v>
      </c>
      <c r="O194" s="55">
        <f t="shared" si="17"/>
        <v>1</v>
      </c>
      <c r="P194" s="55" t="str">
        <f t="shared" si="18"/>
        <v>B-10|46307</v>
      </c>
      <c r="Q194" s="55" t="str">
        <f>IF(P194="","",P194&amp;"|"&amp;COUNTIF(P$6:P194,P194))</f>
        <v>B-10|46307|1</v>
      </c>
      <c r="R194" s="55" t="str">
        <f t="shared" si="19"/>
        <v>Simon Graf|46307</v>
      </c>
      <c r="S194" s="55" t="str">
        <f>IF(R194="","",R194&amp;"|"&amp;COUNTIF(R$6:R194,R194))</f>
        <v>Simon Graf|46307|1</v>
      </c>
      <c r="T194" s="55" t="str">
        <f>IF(G194="","",IFERROR(INDEX(Stammdaten!$O$10:$O$69,MATCH(G194,Stammdaten!$N$10:$N$69,0)),G194)&amp;IF(H194="Vormittag"," (VM)",IF(H194="Nachmittag"," (NM)",""))&amp;IF(I194="Angefragt"," ?",""))</f>
        <v>S. Graf</v>
      </c>
      <c r="U194" s="55" t="str">
        <f t="shared" si="20"/>
        <v>B-10</v>
      </c>
    </row>
    <row r="195" spans="2:21" ht="16.5" customHeight="1" x14ac:dyDescent="0.25">
      <c r="B195" s="47">
        <f t="shared" si="14"/>
        <v>190</v>
      </c>
      <c r="C195" s="48">
        <v>46307</v>
      </c>
      <c r="D195" s="49" t="str">
        <f t="shared" si="15"/>
        <v>Mo</v>
      </c>
      <c r="E195" s="50">
        <f t="shared" si="16"/>
        <v>42</v>
      </c>
      <c r="F195" s="51" t="s">
        <v>104</v>
      </c>
      <c r="G195" s="52" t="s">
        <v>91</v>
      </c>
      <c r="H195" s="51" t="s">
        <v>76</v>
      </c>
      <c r="I195" s="51" t="s">
        <v>77</v>
      </c>
      <c r="J195" s="52"/>
      <c r="K195" s="53" t="str">
        <f>IF(G195="","",IFERROR(INDEX(Stammdaten!$P$10:$P$69,MATCH(G195,Stammdaten!$N$10:$N$69,0)),"–"))</f>
        <v>IT</v>
      </c>
      <c r="L195" s="53" t="str">
        <f>IF(F195="","",IFERROR(INDEX(Stammdaten!$D$10:$D$49,MATCH(F195,Stammdaten!$B$10:$B$49,0)),"–"))</f>
        <v>Projektfläche</v>
      </c>
      <c r="M195" s="54" t="str">
        <f>IF(C195="","",IF(OR(F195="",G195="",I195=""),"unvollständig",IF(I195="Storniert","storniert",IF(WEEKDAY(C195,2)&gt;5,"Wochenende",IF(COUNTIF(Stammdaten!$AD$10:$AD$30,C195)&gt;0,"Feiertag",IF(IFERROR(INDEX(Stammdaten!$I$10:$I$49,MATCH(F195,Stammdaten!$B$10:$B$49,0)),"")="Gesperrt","Platz gesperrt",IF(AND(COUNTIF($P$6:$P$605,P195)&gt;1,NOT(AND(COUNTIF($P$6:$P$605,P195)=2,COUNTIFS($P$6:$P$605,P195,$H$6:$H$605,"Vormittag")=1,COUNTIFS($P$6:$P$605,P195,$H$6:$H$605,"Nachmittag")=1))),"Doppelbuchung",IF(AND(COUNTIF($R$6:$R$605,R195)&gt;1,NOT(AND(COUNTIF($R$6:$R$605,R195)=2,COUNTIFS($R$6:$R$605,R195,$H$6:$H$605,"Vormittag")=1,COUNTIFS($R$6:$R$605,R195,$H$6:$H$605,"Nachmittag")=1))),"Person doppelt","OK"))))))))</f>
        <v>OK</v>
      </c>
      <c r="O195" s="55">
        <f t="shared" si="17"/>
        <v>1</v>
      </c>
      <c r="P195" s="55" t="str">
        <f t="shared" si="18"/>
        <v>B-11|46307</v>
      </c>
      <c r="Q195" s="55" t="str">
        <f>IF(P195="","",P195&amp;"|"&amp;COUNTIF(P$6:P195,P195))</f>
        <v>B-11|46307|1</v>
      </c>
      <c r="R195" s="55" t="str">
        <f t="shared" si="19"/>
        <v>Mara Winter|46307</v>
      </c>
      <c r="S195" s="55" t="str">
        <f>IF(R195="","",R195&amp;"|"&amp;COUNTIF(R$6:R195,R195))</f>
        <v>Mara Winter|46307|1</v>
      </c>
      <c r="T195" s="55" t="str">
        <f>IF(G195="","",IFERROR(INDEX(Stammdaten!$O$10:$O$69,MATCH(G195,Stammdaten!$N$10:$N$69,0)),G195)&amp;IF(H195="Vormittag"," (VM)",IF(H195="Nachmittag"," (NM)",""))&amp;IF(I195="Angefragt"," ?",""))</f>
        <v>M. Winter</v>
      </c>
      <c r="U195" s="55" t="str">
        <f t="shared" si="20"/>
        <v>B-11</v>
      </c>
    </row>
    <row r="196" spans="2:21" ht="16.5" customHeight="1" x14ac:dyDescent="0.25">
      <c r="B196" s="47">
        <f t="shared" si="14"/>
        <v>191</v>
      </c>
      <c r="C196" s="48">
        <v>46307</v>
      </c>
      <c r="D196" s="49" t="str">
        <f t="shared" si="15"/>
        <v>Mo</v>
      </c>
      <c r="E196" s="50">
        <f t="shared" si="16"/>
        <v>42</v>
      </c>
      <c r="F196" s="51" t="s">
        <v>106</v>
      </c>
      <c r="G196" s="52" t="s">
        <v>103</v>
      </c>
      <c r="H196" s="51" t="s">
        <v>76</v>
      </c>
      <c r="I196" s="51" t="s">
        <v>77</v>
      </c>
      <c r="J196" s="52"/>
      <c r="K196" s="53" t="str">
        <f>IF(G196="","",IFERROR(INDEX(Stammdaten!$P$10:$P$69,MATCH(G196,Stammdaten!$N$10:$N$69,0)),"–"))</f>
        <v>Projektmanagement</v>
      </c>
      <c r="L196" s="53" t="str">
        <f>IF(F196="","",IFERROR(INDEX(Stammdaten!$D$10:$D$49,MATCH(F196,Stammdaten!$B$10:$B$49,0)),"–"))</f>
        <v>Projektfläche</v>
      </c>
      <c r="M196" s="54" t="str">
        <f>IF(C196="","",IF(OR(F196="",G196="",I196=""),"unvollständig",IF(I196="Storniert","storniert",IF(WEEKDAY(C196,2)&gt;5,"Wochenende",IF(COUNTIF(Stammdaten!$AD$10:$AD$30,C196)&gt;0,"Feiertag",IF(IFERROR(INDEX(Stammdaten!$I$10:$I$49,MATCH(F196,Stammdaten!$B$10:$B$49,0)),"")="Gesperrt","Platz gesperrt",IF(AND(COUNTIF($P$6:$P$605,P196)&gt;1,NOT(AND(COUNTIF($P$6:$P$605,P196)=2,COUNTIFS($P$6:$P$605,P196,$H$6:$H$605,"Vormittag")=1,COUNTIFS($P$6:$P$605,P196,$H$6:$H$605,"Nachmittag")=1))),"Doppelbuchung",IF(AND(COUNTIF($R$6:$R$605,R196)&gt;1,NOT(AND(COUNTIF($R$6:$R$605,R196)=2,COUNTIFS($R$6:$R$605,R196,$H$6:$H$605,"Vormittag")=1,COUNTIFS($R$6:$R$605,R196,$H$6:$H$605,"Nachmittag")=1))),"Person doppelt","OK"))))))))</f>
        <v>OK</v>
      </c>
      <c r="O196" s="55">
        <f t="shared" si="17"/>
        <v>1</v>
      </c>
      <c r="P196" s="55" t="str">
        <f t="shared" si="18"/>
        <v>B-12|46307</v>
      </c>
      <c r="Q196" s="55" t="str">
        <f>IF(P196="","",P196&amp;"|"&amp;COUNTIF(P$6:P196,P196))</f>
        <v>B-12|46307|1</v>
      </c>
      <c r="R196" s="55" t="str">
        <f t="shared" si="19"/>
        <v>Kevin Brandl|46307</v>
      </c>
      <c r="S196" s="55" t="str">
        <f>IF(R196="","",R196&amp;"|"&amp;COUNTIF(R$6:R196,R196))</f>
        <v>Kevin Brandl|46307|1</v>
      </c>
      <c r="T196" s="55" t="str">
        <f>IF(G196="","",IFERROR(INDEX(Stammdaten!$O$10:$O$69,MATCH(G196,Stammdaten!$N$10:$N$69,0)),G196)&amp;IF(H196="Vormittag"," (VM)",IF(H196="Nachmittag"," (NM)",""))&amp;IF(I196="Angefragt"," ?",""))</f>
        <v>K. Brandl</v>
      </c>
      <c r="U196" s="55" t="str">
        <f t="shared" si="20"/>
        <v>B-12</v>
      </c>
    </row>
    <row r="197" spans="2:21" ht="16.5" customHeight="1" x14ac:dyDescent="0.25">
      <c r="B197" s="47">
        <f t="shared" si="14"/>
        <v>192</v>
      </c>
      <c r="C197" s="48">
        <v>46308</v>
      </c>
      <c r="D197" s="49" t="str">
        <f t="shared" si="15"/>
        <v>Di</v>
      </c>
      <c r="E197" s="50">
        <f t="shared" si="16"/>
        <v>42</v>
      </c>
      <c r="F197" s="51" t="s">
        <v>78</v>
      </c>
      <c r="G197" s="52" t="s">
        <v>83</v>
      </c>
      <c r="H197" s="51" t="s">
        <v>76</v>
      </c>
      <c r="I197" s="51" t="s">
        <v>77</v>
      </c>
      <c r="J197" s="52"/>
      <c r="K197" s="53" t="str">
        <f>IF(G197="","",IFERROR(INDEX(Stammdaten!$P$10:$P$69,MATCH(G197,Stammdaten!$N$10:$N$69,0)),"–"))</f>
        <v>Marketing</v>
      </c>
      <c r="L197" s="53" t="str">
        <f>IF(F197="","",IFERROR(INDEX(Stammdaten!$D$10:$D$49,MATCH(F197,Stammdaten!$B$10:$B$49,0)),"–"))</f>
        <v>Teamzone Nord</v>
      </c>
      <c r="M197" s="54" t="str">
        <f>IF(C197="","",IF(OR(F197="",G197="",I197=""),"unvollständig",IF(I197="Storniert","storniert",IF(WEEKDAY(C197,2)&gt;5,"Wochenende",IF(COUNTIF(Stammdaten!$AD$10:$AD$30,C197)&gt;0,"Feiertag",IF(IFERROR(INDEX(Stammdaten!$I$10:$I$49,MATCH(F197,Stammdaten!$B$10:$B$49,0)),"")="Gesperrt","Platz gesperrt",IF(AND(COUNTIF($P$6:$P$605,P197)&gt;1,NOT(AND(COUNTIF($P$6:$P$605,P197)=2,COUNTIFS($P$6:$P$605,P197,$H$6:$H$605,"Vormittag")=1,COUNTIFS($P$6:$P$605,P197,$H$6:$H$605,"Nachmittag")=1))),"Doppelbuchung",IF(AND(COUNTIF($R$6:$R$605,R197)&gt;1,NOT(AND(COUNTIF($R$6:$R$605,R197)=2,COUNTIFS($R$6:$R$605,R197,$H$6:$H$605,"Vormittag")=1,COUNTIFS($R$6:$R$605,R197,$H$6:$H$605,"Nachmittag")=1))),"Person doppelt","OK"))))))))</f>
        <v>OK</v>
      </c>
      <c r="O197" s="55">
        <f t="shared" si="17"/>
        <v>1</v>
      </c>
      <c r="P197" s="55" t="str">
        <f t="shared" si="18"/>
        <v>A-02|46308</v>
      </c>
      <c r="Q197" s="55" t="str">
        <f>IF(P197="","",P197&amp;"|"&amp;COUNTIF(P$6:P197,P197))</f>
        <v>A-02|46308|1</v>
      </c>
      <c r="R197" s="55" t="str">
        <f t="shared" si="19"/>
        <v>Felix Engel|46308</v>
      </c>
      <c r="S197" s="55" t="str">
        <f>IF(R197="","",R197&amp;"|"&amp;COUNTIF(R$6:R197,R197))</f>
        <v>Felix Engel|46308|1</v>
      </c>
      <c r="T197" s="55" t="str">
        <f>IF(G197="","",IFERROR(INDEX(Stammdaten!$O$10:$O$69,MATCH(G197,Stammdaten!$N$10:$N$69,0)),G197)&amp;IF(H197="Vormittag"," (VM)",IF(H197="Nachmittag"," (NM)",""))&amp;IF(I197="Angefragt"," ?",""))</f>
        <v>F. Engel</v>
      </c>
      <c r="U197" s="55" t="str">
        <f t="shared" si="20"/>
        <v>A-02</v>
      </c>
    </row>
    <row r="198" spans="2:21" ht="16.5" customHeight="1" x14ac:dyDescent="0.25">
      <c r="B198" s="47">
        <f t="shared" ref="B198:B261" si="21">IF(C198="","",ROW()-5)</f>
        <v>193</v>
      </c>
      <c r="C198" s="48">
        <v>46308</v>
      </c>
      <c r="D198" s="49" t="str">
        <f t="shared" ref="D198:D261" si="22">IF(C198="","",CHOOSE(WEEKDAY(C198,2),"Mo","Di","Mi","Do","Fr","Sa","So"))</f>
        <v>Di</v>
      </c>
      <c r="E198" s="50">
        <f t="shared" ref="E198:E261" si="23">IF(C198="","",_xlfn.ISOWEEKNUM(C198))</f>
        <v>42</v>
      </c>
      <c r="F198" s="51" t="s">
        <v>110</v>
      </c>
      <c r="G198" s="52" t="s">
        <v>127</v>
      </c>
      <c r="H198" s="51" t="s">
        <v>76</v>
      </c>
      <c r="I198" s="51" t="s">
        <v>77</v>
      </c>
      <c r="J198" s="52"/>
      <c r="K198" s="53" t="str">
        <f>IF(G198="","",IFERROR(INDEX(Stammdaten!$P$10:$P$69,MATCH(G198,Stammdaten!$N$10:$N$69,0)),"–"))</f>
        <v>Vertrieb</v>
      </c>
      <c r="L198" s="53" t="str">
        <f>IF(F198="","",IFERROR(INDEX(Stammdaten!$D$10:$D$49,MATCH(F198,Stammdaten!$B$10:$B$49,0)),"–"))</f>
        <v>Teamzone Nord</v>
      </c>
      <c r="M198" s="54" t="str">
        <f>IF(C198="","",IF(OR(F198="",G198="",I198=""),"unvollständig",IF(I198="Storniert","storniert",IF(WEEKDAY(C198,2)&gt;5,"Wochenende",IF(COUNTIF(Stammdaten!$AD$10:$AD$30,C198)&gt;0,"Feiertag",IF(IFERROR(INDEX(Stammdaten!$I$10:$I$49,MATCH(F198,Stammdaten!$B$10:$B$49,0)),"")="Gesperrt","Platz gesperrt",IF(AND(COUNTIF($P$6:$P$605,P198)&gt;1,NOT(AND(COUNTIF($P$6:$P$605,P198)=2,COUNTIFS($P$6:$P$605,P198,$H$6:$H$605,"Vormittag")=1,COUNTIFS($P$6:$P$605,P198,$H$6:$H$605,"Nachmittag")=1))),"Doppelbuchung",IF(AND(COUNTIF($R$6:$R$605,R198)&gt;1,NOT(AND(COUNTIF($R$6:$R$605,R198)=2,COUNTIFS($R$6:$R$605,R198,$H$6:$H$605,"Vormittag")=1,COUNTIFS($R$6:$R$605,R198,$H$6:$H$605,"Nachmittag")=1))),"Person doppelt","OK"))))))))</f>
        <v>OK</v>
      </c>
      <c r="O198" s="55">
        <f t="shared" ref="O198:O261" si="24">IF(OR(C198="",I198&lt;&gt;"Bestätigt",M198="Platz gesperrt"),0,IF(H198="Ganztägig",1,0.5))</f>
        <v>1</v>
      </c>
      <c r="P198" s="55" t="str">
        <f t="shared" ref="P198:P261" si="25">IF(OR(C198="",F198="",I198="Storniert"),"",F198&amp;"|"&amp;C198)</f>
        <v>A-04|46308</v>
      </c>
      <c r="Q198" s="55" t="str">
        <f>IF(P198="","",P198&amp;"|"&amp;COUNTIF(P$6:P198,P198))</f>
        <v>A-04|46308|1</v>
      </c>
      <c r="R198" s="55" t="str">
        <f t="shared" ref="R198:R261" si="26">IF(OR(C198="",G198="",I198="Storniert"),"",G198&amp;"|"&amp;C198)</f>
        <v>Tobias Lindner|46308</v>
      </c>
      <c r="S198" s="55" t="str">
        <f>IF(R198="","",R198&amp;"|"&amp;COUNTIF(R$6:R198,R198))</f>
        <v>Tobias Lindner|46308|1</v>
      </c>
      <c r="T198" s="55" t="str">
        <f>IF(G198="","",IFERROR(INDEX(Stammdaten!$O$10:$O$69,MATCH(G198,Stammdaten!$N$10:$N$69,0)),G198)&amp;IF(H198="Vormittag"," (VM)",IF(H198="Nachmittag"," (NM)",""))&amp;IF(I198="Angefragt"," ?",""))</f>
        <v>T. Lindner</v>
      </c>
      <c r="U198" s="55" t="str">
        <f t="shared" ref="U198:U261" si="27">IF(F198="","",F198&amp;IF(H198="Vormittag"," (VM)",IF(H198="Nachmittag"," (NM)",""))&amp;IF(I198="Angefragt"," ?",""))</f>
        <v>A-04</v>
      </c>
    </row>
    <row r="199" spans="2:21" ht="16.5" customHeight="1" x14ac:dyDescent="0.25">
      <c r="B199" s="47">
        <f t="shared" si="21"/>
        <v>194</v>
      </c>
      <c r="C199" s="48">
        <v>46308</v>
      </c>
      <c r="D199" s="49" t="str">
        <f t="shared" si="22"/>
        <v>Di</v>
      </c>
      <c r="E199" s="50">
        <f t="shared" si="23"/>
        <v>42</v>
      </c>
      <c r="F199" s="51" t="s">
        <v>80</v>
      </c>
      <c r="G199" s="52" t="s">
        <v>85</v>
      </c>
      <c r="H199" s="51" t="s">
        <v>76</v>
      </c>
      <c r="I199" s="51" t="s">
        <v>77</v>
      </c>
      <c r="J199" s="52"/>
      <c r="K199" s="53" t="str">
        <f>IF(G199="","",IFERROR(INDEX(Stammdaten!$P$10:$P$69,MATCH(G199,Stammdaten!$N$10:$N$69,0)),"–"))</f>
        <v>Vertrieb</v>
      </c>
      <c r="L199" s="53" t="str">
        <f>IF(F199="","",IFERROR(INDEX(Stammdaten!$D$10:$D$49,MATCH(F199,Stammdaten!$B$10:$B$49,0)),"–"))</f>
        <v>Teamzone Nord</v>
      </c>
      <c r="M199" s="54" t="str">
        <f>IF(C199="","",IF(OR(F199="",G199="",I199=""),"unvollständig",IF(I199="Storniert","storniert",IF(WEEKDAY(C199,2)&gt;5,"Wochenende",IF(COUNTIF(Stammdaten!$AD$10:$AD$30,C199)&gt;0,"Feiertag",IF(IFERROR(INDEX(Stammdaten!$I$10:$I$49,MATCH(F199,Stammdaten!$B$10:$B$49,0)),"")="Gesperrt","Platz gesperrt",IF(AND(COUNTIF($P$6:$P$605,P199)&gt;1,NOT(AND(COUNTIF($P$6:$P$605,P199)=2,COUNTIFS($P$6:$P$605,P199,$H$6:$H$605,"Vormittag")=1,COUNTIFS($P$6:$P$605,P199,$H$6:$H$605,"Nachmittag")=1))),"Doppelbuchung",IF(AND(COUNTIF($R$6:$R$605,R199)&gt;1,NOT(AND(COUNTIF($R$6:$R$605,R199)=2,COUNTIFS($R$6:$R$605,R199,$H$6:$H$605,"Vormittag")=1,COUNTIFS($R$6:$R$605,R199,$H$6:$H$605,"Nachmittag")=1))),"Person doppelt","OK"))))))))</f>
        <v>OK</v>
      </c>
      <c r="O199" s="55">
        <f t="shared" si="24"/>
        <v>1</v>
      </c>
      <c r="P199" s="55" t="str">
        <f t="shared" si="25"/>
        <v>A-05|46308</v>
      </c>
      <c r="Q199" s="55" t="str">
        <f>IF(P199="","",P199&amp;"|"&amp;COUNTIF(P$6:P199,P199))</f>
        <v>A-05|46308|1</v>
      </c>
      <c r="R199" s="55" t="str">
        <f t="shared" si="26"/>
        <v>Miriam Krause|46308</v>
      </c>
      <c r="S199" s="55" t="str">
        <f>IF(R199="","",R199&amp;"|"&amp;COUNTIF(R$6:R199,R199))</f>
        <v>Miriam Krause|46308|1</v>
      </c>
      <c r="T199" s="55" t="str">
        <f>IF(G199="","",IFERROR(INDEX(Stammdaten!$O$10:$O$69,MATCH(G199,Stammdaten!$N$10:$N$69,0)),G199)&amp;IF(H199="Vormittag"," (VM)",IF(H199="Nachmittag"," (NM)",""))&amp;IF(I199="Angefragt"," ?",""))</f>
        <v>M. Krause</v>
      </c>
      <c r="U199" s="55" t="str">
        <f t="shared" si="27"/>
        <v>A-05</v>
      </c>
    </row>
    <row r="200" spans="2:21" ht="16.5" customHeight="1" x14ac:dyDescent="0.25">
      <c r="B200" s="47">
        <f t="shared" si="21"/>
        <v>195</v>
      </c>
      <c r="C200" s="48">
        <v>46308</v>
      </c>
      <c r="D200" s="49" t="str">
        <f t="shared" si="22"/>
        <v>Di</v>
      </c>
      <c r="E200" s="50">
        <f t="shared" si="23"/>
        <v>42</v>
      </c>
      <c r="F200" s="51" t="s">
        <v>82</v>
      </c>
      <c r="G200" s="52" t="s">
        <v>87</v>
      </c>
      <c r="H200" s="51" t="s">
        <v>76</v>
      </c>
      <c r="I200" s="51" t="s">
        <v>77</v>
      </c>
      <c r="J200" s="52"/>
      <c r="K200" s="53" t="str">
        <f>IF(G200="","",IFERROR(INDEX(Stammdaten!$P$10:$P$69,MATCH(G200,Stammdaten!$N$10:$N$69,0)),"–"))</f>
        <v>Marketing</v>
      </c>
      <c r="L200" s="53" t="str">
        <f>IF(F200="","",IFERROR(INDEX(Stammdaten!$D$10:$D$49,MATCH(F200,Stammdaten!$B$10:$B$49,0)),"–"))</f>
        <v>Teamzone Nord</v>
      </c>
      <c r="M200" s="54" t="str">
        <f>IF(C200="","",IF(OR(F200="",G200="",I200=""),"unvollständig",IF(I200="Storniert","storniert",IF(WEEKDAY(C200,2)&gt;5,"Wochenende",IF(COUNTIF(Stammdaten!$AD$10:$AD$30,C200)&gt;0,"Feiertag",IF(IFERROR(INDEX(Stammdaten!$I$10:$I$49,MATCH(F200,Stammdaten!$B$10:$B$49,0)),"")="Gesperrt","Platz gesperrt",IF(AND(COUNTIF($P$6:$P$605,P200)&gt;1,NOT(AND(COUNTIF($P$6:$P$605,P200)=2,COUNTIFS($P$6:$P$605,P200,$H$6:$H$605,"Vormittag")=1,COUNTIFS($P$6:$P$605,P200,$H$6:$H$605,"Nachmittag")=1))),"Doppelbuchung",IF(AND(COUNTIF($R$6:$R$605,R200)&gt;1,NOT(AND(COUNTIF($R$6:$R$605,R200)=2,COUNTIFS($R$6:$R$605,R200,$H$6:$H$605,"Vormittag")=1,COUNTIFS($R$6:$R$605,R200,$H$6:$H$605,"Nachmittag")=1))),"Person doppelt","OK"))))))))</f>
        <v>OK</v>
      </c>
      <c r="O200" s="55">
        <f t="shared" si="24"/>
        <v>1</v>
      </c>
      <c r="P200" s="55" t="str">
        <f t="shared" si="25"/>
        <v>A-06|46308</v>
      </c>
      <c r="Q200" s="55" t="str">
        <f>IF(P200="","",P200&amp;"|"&amp;COUNTIF(P$6:P200,P200))</f>
        <v>A-06|46308|1</v>
      </c>
      <c r="R200" s="55" t="str">
        <f t="shared" si="26"/>
        <v>Paul Schreiber|46308</v>
      </c>
      <c r="S200" s="55" t="str">
        <f>IF(R200="","",R200&amp;"|"&amp;COUNTIF(R$6:R200,R200))</f>
        <v>Paul Schreiber|46308|1</v>
      </c>
      <c r="T200" s="55" t="str">
        <f>IF(G200="","",IFERROR(INDEX(Stammdaten!$O$10:$O$69,MATCH(G200,Stammdaten!$N$10:$N$69,0)),G200)&amp;IF(H200="Vormittag"," (VM)",IF(H200="Nachmittag"," (NM)",""))&amp;IF(I200="Angefragt"," ?",""))</f>
        <v>P. Schreiber</v>
      </c>
      <c r="U200" s="55" t="str">
        <f t="shared" si="27"/>
        <v>A-06</v>
      </c>
    </row>
    <row r="201" spans="2:21" ht="16.5" customHeight="1" x14ac:dyDescent="0.25">
      <c r="B201" s="47">
        <f t="shared" si="21"/>
        <v>196</v>
      </c>
      <c r="C201" s="48">
        <v>46308</v>
      </c>
      <c r="D201" s="49" t="str">
        <f t="shared" si="22"/>
        <v>Di</v>
      </c>
      <c r="E201" s="50">
        <f t="shared" si="23"/>
        <v>42</v>
      </c>
      <c r="F201" s="51" t="s">
        <v>84</v>
      </c>
      <c r="G201" s="52" t="s">
        <v>112</v>
      </c>
      <c r="H201" s="51" t="s">
        <v>133</v>
      </c>
      <c r="I201" s="51" t="s">
        <v>77</v>
      </c>
      <c r="J201" s="52"/>
      <c r="K201" s="53" t="str">
        <f>IF(G201="","",IFERROR(INDEX(Stammdaten!$P$10:$P$69,MATCH(G201,Stammdaten!$N$10:$N$69,0)),"–"))</f>
        <v>Marketing</v>
      </c>
      <c r="L201" s="53" t="str">
        <f>IF(F201="","",IFERROR(INDEX(Stammdaten!$D$10:$D$49,MATCH(F201,Stammdaten!$B$10:$B$49,0)),"–"))</f>
        <v>Teamzone Nord</v>
      </c>
      <c r="M201" s="54" t="str">
        <f>IF(C201="","",IF(OR(F201="",G201="",I201=""),"unvollständig",IF(I201="Storniert","storniert",IF(WEEKDAY(C201,2)&gt;5,"Wochenende",IF(COUNTIF(Stammdaten!$AD$10:$AD$30,C201)&gt;0,"Feiertag",IF(IFERROR(INDEX(Stammdaten!$I$10:$I$49,MATCH(F201,Stammdaten!$B$10:$B$49,0)),"")="Gesperrt","Platz gesperrt",IF(AND(COUNTIF($P$6:$P$605,P201)&gt;1,NOT(AND(COUNTIF($P$6:$P$605,P201)=2,COUNTIFS($P$6:$P$605,P201,$H$6:$H$605,"Vormittag")=1,COUNTIFS($P$6:$P$605,P201,$H$6:$H$605,"Nachmittag")=1))),"Doppelbuchung",IF(AND(COUNTIF($R$6:$R$605,R201)&gt;1,NOT(AND(COUNTIF($R$6:$R$605,R201)=2,COUNTIFS($R$6:$R$605,R201,$H$6:$H$605,"Vormittag")=1,COUNTIFS($R$6:$R$605,R201,$H$6:$H$605,"Nachmittag")=1))),"Person doppelt","OK"))))))))</f>
        <v>OK</v>
      </c>
      <c r="O201" s="55">
        <f t="shared" si="24"/>
        <v>0.5</v>
      </c>
      <c r="P201" s="55" t="str">
        <f t="shared" si="25"/>
        <v>A-07|46308</v>
      </c>
      <c r="Q201" s="55" t="str">
        <f>IF(P201="","",P201&amp;"|"&amp;COUNTIF(P$6:P201,P201))</f>
        <v>A-07|46308|1</v>
      </c>
      <c r="R201" s="55" t="str">
        <f t="shared" si="26"/>
        <v>Clara Vogt|46308</v>
      </c>
      <c r="S201" s="55" t="str">
        <f>IF(R201="","",R201&amp;"|"&amp;COUNTIF(R$6:R201,R201))</f>
        <v>Clara Vogt|46308|1</v>
      </c>
      <c r="T201" s="55" t="str">
        <f>IF(G201="","",IFERROR(INDEX(Stammdaten!$O$10:$O$69,MATCH(G201,Stammdaten!$N$10:$N$69,0)),G201)&amp;IF(H201="Vormittag"," (VM)",IF(H201="Nachmittag"," (NM)",""))&amp;IF(I201="Angefragt"," ?",""))</f>
        <v>C. Vogt (VM)</v>
      </c>
      <c r="U201" s="55" t="str">
        <f t="shared" si="27"/>
        <v>A-07 (VM)</v>
      </c>
    </row>
    <row r="202" spans="2:21" ht="16.5" customHeight="1" x14ac:dyDescent="0.25">
      <c r="B202" s="47">
        <f t="shared" si="21"/>
        <v>197</v>
      </c>
      <c r="C202" s="48">
        <v>46308</v>
      </c>
      <c r="D202" s="49" t="str">
        <f t="shared" si="22"/>
        <v>Di</v>
      </c>
      <c r="E202" s="50">
        <f t="shared" si="23"/>
        <v>42</v>
      </c>
      <c r="F202" s="51" t="s">
        <v>84</v>
      </c>
      <c r="G202" s="52" t="s">
        <v>105</v>
      </c>
      <c r="H202" s="51" t="s">
        <v>134</v>
      </c>
      <c r="I202" s="51" t="s">
        <v>77</v>
      </c>
      <c r="J202" s="52" t="s">
        <v>135</v>
      </c>
      <c r="K202" s="53" t="str">
        <f>IF(G202="","",IFERROR(INDEX(Stammdaten!$P$10:$P$69,MATCH(G202,Stammdaten!$N$10:$N$69,0)),"–"))</f>
        <v>Projektmanagement</v>
      </c>
      <c r="L202" s="53" t="str">
        <f>IF(F202="","",IFERROR(INDEX(Stammdaten!$D$10:$D$49,MATCH(F202,Stammdaten!$B$10:$B$49,0)),"–"))</f>
        <v>Teamzone Nord</v>
      </c>
      <c r="M202" s="54" t="str">
        <f>IF(C202="","",IF(OR(F202="",G202="",I202=""),"unvollständig",IF(I202="Storniert","storniert",IF(WEEKDAY(C202,2)&gt;5,"Wochenende",IF(COUNTIF(Stammdaten!$AD$10:$AD$30,C202)&gt;0,"Feiertag",IF(IFERROR(INDEX(Stammdaten!$I$10:$I$49,MATCH(F202,Stammdaten!$B$10:$B$49,0)),"")="Gesperrt","Platz gesperrt",IF(AND(COUNTIF($P$6:$P$605,P202)&gt;1,NOT(AND(COUNTIF($P$6:$P$605,P202)=2,COUNTIFS($P$6:$P$605,P202,$H$6:$H$605,"Vormittag")=1,COUNTIFS($P$6:$P$605,P202,$H$6:$H$605,"Nachmittag")=1))),"Doppelbuchung",IF(AND(COUNTIF($R$6:$R$605,R202)&gt;1,NOT(AND(COUNTIF($R$6:$R$605,R202)=2,COUNTIFS($R$6:$R$605,R202,$H$6:$H$605,"Vormittag")=1,COUNTIFS($R$6:$R$605,R202,$H$6:$H$605,"Nachmittag")=1))),"Person doppelt","OK"))))))))</f>
        <v>OK</v>
      </c>
      <c r="O202" s="55">
        <f t="shared" si="24"/>
        <v>0.5</v>
      </c>
      <c r="P202" s="55" t="str">
        <f t="shared" si="25"/>
        <v>A-07|46308</v>
      </c>
      <c r="Q202" s="55" t="str">
        <f>IF(P202="","",P202&amp;"|"&amp;COUNTIF(P$6:P202,P202))</f>
        <v>A-07|46308|2</v>
      </c>
      <c r="R202" s="55" t="str">
        <f t="shared" si="26"/>
        <v>Philipp Haas|46308</v>
      </c>
      <c r="S202" s="55" t="str">
        <f>IF(R202="","",R202&amp;"|"&amp;COUNTIF(R$6:R202,R202))</f>
        <v>Philipp Haas|46308|1</v>
      </c>
      <c r="T202" s="55" t="str">
        <f>IF(G202="","",IFERROR(INDEX(Stammdaten!$O$10:$O$69,MATCH(G202,Stammdaten!$N$10:$N$69,0)),G202)&amp;IF(H202="Vormittag"," (VM)",IF(H202="Nachmittag"," (NM)",""))&amp;IF(I202="Angefragt"," ?",""))</f>
        <v>P. Haas (NM)</v>
      </c>
      <c r="U202" s="55" t="str">
        <f t="shared" si="27"/>
        <v>A-07 (NM)</v>
      </c>
    </row>
    <row r="203" spans="2:21" ht="16.5" customHeight="1" x14ac:dyDescent="0.25">
      <c r="B203" s="47">
        <f t="shared" si="21"/>
        <v>198</v>
      </c>
      <c r="C203" s="48">
        <v>46308</v>
      </c>
      <c r="D203" s="49" t="str">
        <f t="shared" si="22"/>
        <v>Di</v>
      </c>
      <c r="E203" s="50">
        <f t="shared" si="23"/>
        <v>42</v>
      </c>
      <c r="F203" s="51" t="s">
        <v>86</v>
      </c>
      <c r="G203" s="52" t="s">
        <v>111</v>
      </c>
      <c r="H203" s="51" t="s">
        <v>76</v>
      </c>
      <c r="I203" s="51" t="s">
        <v>77</v>
      </c>
      <c r="J203" s="52"/>
      <c r="K203" s="53" t="str">
        <f>IF(G203="","",IFERROR(INDEX(Stammdaten!$P$10:$P$69,MATCH(G203,Stammdaten!$N$10:$N$69,0)),"–"))</f>
        <v>Vertrieb</v>
      </c>
      <c r="L203" s="53" t="str">
        <f>IF(F203="","",IFERROR(INDEX(Stammdaten!$D$10:$D$49,MATCH(F203,Stammdaten!$B$10:$B$49,0)),"–"))</f>
        <v>Teamzone Nord</v>
      </c>
      <c r="M203" s="54" t="str">
        <f>IF(C203="","",IF(OR(F203="",G203="",I203=""),"unvollständig",IF(I203="Storniert","storniert",IF(WEEKDAY(C203,2)&gt;5,"Wochenende",IF(COUNTIF(Stammdaten!$AD$10:$AD$30,C203)&gt;0,"Feiertag",IF(IFERROR(INDEX(Stammdaten!$I$10:$I$49,MATCH(F203,Stammdaten!$B$10:$B$49,0)),"")="Gesperrt","Platz gesperrt",IF(AND(COUNTIF($P$6:$P$605,P203)&gt;1,NOT(AND(COUNTIF($P$6:$P$605,P203)=2,COUNTIFS($P$6:$P$605,P203,$H$6:$H$605,"Vormittag")=1,COUNTIFS($P$6:$P$605,P203,$H$6:$H$605,"Nachmittag")=1))),"Doppelbuchung",IF(AND(COUNTIF($R$6:$R$605,R203)&gt;1,NOT(AND(COUNTIF($R$6:$R$605,R203)=2,COUNTIFS($R$6:$R$605,R203,$H$6:$H$605,"Vormittag")=1,COUNTIFS($R$6:$R$605,R203,$H$6:$H$605,"Nachmittag")=1))),"Person doppelt","OK"))))))))</f>
        <v>OK</v>
      </c>
      <c r="O203" s="55">
        <f t="shared" si="24"/>
        <v>1</v>
      </c>
      <c r="P203" s="55" t="str">
        <f t="shared" si="25"/>
        <v>A-08|46308</v>
      </c>
      <c r="Q203" s="55" t="str">
        <f>IF(P203="","",P203&amp;"|"&amp;COUNTIF(P$6:P203,P203))</f>
        <v>A-08|46308|1</v>
      </c>
      <c r="R203" s="55" t="str">
        <f t="shared" si="26"/>
        <v>Sophie Brandt|46308</v>
      </c>
      <c r="S203" s="55" t="str">
        <f>IF(R203="","",R203&amp;"|"&amp;COUNTIF(R$6:R203,R203))</f>
        <v>Sophie Brandt|46308|1</v>
      </c>
      <c r="T203" s="55" t="str">
        <f>IF(G203="","",IFERROR(INDEX(Stammdaten!$O$10:$O$69,MATCH(G203,Stammdaten!$N$10:$N$69,0)),G203)&amp;IF(H203="Vormittag"," (VM)",IF(H203="Nachmittag"," (NM)",""))&amp;IF(I203="Angefragt"," ?",""))</f>
        <v>S. Brandt</v>
      </c>
      <c r="U203" s="55" t="str">
        <f t="shared" si="27"/>
        <v>A-08</v>
      </c>
    </row>
    <row r="204" spans="2:21" ht="16.5" customHeight="1" x14ac:dyDescent="0.25">
      <c r="B204" s="47">
        <f t="shared" si="21"/>
        <v>199</v>
      </c>
      <c r="C204" s="48">
        <v>46308</v>
      </c>
      <c r="D204" s="49" t="str">
        <f t="shared" si="22"/>
        <v>Di</v>
      </c>
      <c r="E204" s="50">
        <f t="shared" si="23"/>
        <v>42</v>
      </c>
      <c r="F204" s="51" t="s">
        <v>129</v>
      </c>
      <c r="G204" s="52" t="s">
        <v>114</v>
      </c>
      <c r="H204" s="51" t="s">
        <v>76</v>
      </c>
      <c r="I204" s="51" t="s">
        <v>77</v>
      </c>
      <c r="J204" s="52"/>
      <c r="K204" s="53" t="str">
        <f>IF(G204="","",IFERROR(INDEX(Stammdaten!$P$10:$P$69,MATCH(G204,Stammdaten!$N$10:$N$69,0)),"–"))</f>
        <v>Projektmanagement</v>
      </c>
      <c r="L204" s="53" t="str">
        <f>IF(F204="","",IFERROR(INDEX(Stammdaten!$D$10:$D$49,MATCH(F204,Stammdaten!$B$10:$B$49,0)),"–"))</f>
        <v>Fokuszone</v>
      </c>
      <c r="M204" s="54" t="str">
        <f>IF(C204="","",IF(OR(F204="",G204="",I204=""),"unvollständig",IF(I204="Storniert","storniert",IF(WEEKDAY(C204,2)&gt;5,"Wochenende",IF(COUNTIF(Stammdaten!$AD$10:$AD$30,C204)&gt;0,"Feiertag",IF(IFERROR(INDEX(Stammdaten!$I$10:$I$49,MATCH(F204,Stammdaten!$B$10:$B$49,0)),"")="Gesperrt","Platz gesperrt",IF(AND(COUNTIF($P$6:$P$605,P204)&gt;1,NOT(AND(COUNTIF($P$6:$P$605,P204)=2,COUNTIFS($P$6:$P$605,P204,$H$6:$H$605,"Vormittag")=1,COUNTIFS($P$6:$P$605,P204,$H$6:$H$605,"Nachmittag")=1))),"Doppelbuchung",IF(AND(COUNTIF($R$6:$R$605,R204)&gt;1,NOT(AND(COUNTIF($R$6:$R$605,R204)=2,COUNTIFS($R$6:$R$605,R204,$H$6:$H$605,"Vormittag")=1,COUNTIFS($R$6:$R$605,R204,$H$6:$H$605,"Nachmittag")=1))),"Person doppelt","OK"))))))))</f>
        <v>OK</v>
      </c>
      <c r="O204" s="55">
        <f t="shared" si="24"/>
        <v>1</v>
      </c>
      <c r="P204" s="55" t="str">
        <f t="shared" si="25"/>
        <v>A-09|46308</v>
      </c>
      <c r="Q204" s="55" t="str">
        <f>IF(P204="","",P204&amp;"|"&amp;COUNTIF(P$6:P204,P204))</f>
        <v>A-09|46308|1</v>
      </c>
      <c r="R204" s="55" t="str">
        <f t="shared" si="26"/>
        <v>Isabel Marx|46308</v>
      </c>
      <c r="S204" s="55" t="str">
        <f>IF(R204="","",R204&amp;"|"&amp;COUNTIF(R$6:R204,R204))</f>
        <v>Isabel Marx|46308|1</v>
      </c>
      <c r="T204" s="55" t="str">
        <f>IF(G204="","",IFERROR(INDEX(Stammdaten!$O$10:$O$69,MATCH(G204,Stammdaten!$N$10:$N$69,0)),G204)&amp;IF(H204="Vormittag"," (VM)",IF(H204="Nachmittag"," (NM)",""))&amp;IF(I204="Angefragt"," ?",""))</f>
        <v>I. Marx</v>
      </c>
      <c r="U204" s="55" t="str">
        <f t="shared" si="27"/>
        <v>A-09</v>
      </c>
    </row>
    <row r="205" spans="2:21" ht="16.5" customHeight="1" x14ac:dyDescent="0.25">
      <c r="B205" s="47">
        <f t="shared" si="21"/>
        <v>200</v>
      </c>
      <c r="C205" s="48">
        <v>46308</v>
      </c>
      <c r="D205" s="49" t="str">
        <f t="shared" si="22"/>
        <v>Di</v>
      </c>
      <c r="E205" s="50">
        <f t="shared" si="23"/>
        <v>42</v>
      </c>
      <c r="F205" s="51" t="s">
        <v>88</v>
      </c>
      <c r="G205" s="52" t="s">
        <v>89</v>
      </c>
      <c r="H205" s="51" t="s">
        <v>76</v>
      </c>
      <c r="I205" s="51" t="s">
        <v>77</v>
      </c>
      <c r="J205" s="52"/>
      <c r="K205" s="53" t="str">
        <f>IF(G205="","",IFERROR(INDEX(Stammdaten!$P$10:$P$69,MATCH(G205,Stammdaten!$N$10:$N$69,0)),"–"))</f>
        <v>Projektmanagement</v>
      </c>
      <c r="L205" s="53" t="str">
        <f>IF(F205="","",IFERROR(INDEX(Stammdaten!$D$10:$D$49,MATCH(F205,Stammdaten!$B$10:$B$49,0)),"–"))</f>
        <v>Fokuszone</v>
      </c>
      <c r="M205" s="54" t="str">
        <f>IF(C205="","",IF(OR(F205="",G205="",I205=""),"unvollständig",IF(I205="Storniert","storniert",IF(WEEKDAY(C205,2)&gt;5,"Wochenende",IF(COUNTIF(Stammdaten!$AD$10:$AD$30,C205)&gt;0,"Feiertag",IF(IFERROR(INDEX(Stammdaten!$I$10:$I$49,MATCH(F205,Stammdaten!$B$10:$B$49,0)),"")="Gesperrt","Platz gesperrt",IF(AND(COUNTIF($P$6:$P$605,P205)&gt;1,NOT(AND(COUNTIF($P$6:$P$605,P205)=2,COUNTIFS($P$6:$P$605,P205,$H$6:$H$605,"Vormittag")=1,COUNTIFS($P$6:$P$605,P205,$H$6:$H$605,"Nachmittag")=1))),"Doppelbuchung",IF(AND(COUNTIF($R$6:$R$605,R205)&gt;1,NOT(AND(COUNTIF($R$6:$R$605,R205)=2,COUNTIFS($R$6:$R$605,R205,$H$6:$H$605,"Vormittag")=1,COUNTIFS($R$6:$R$605,R205,$H$6:$H$605,"Nachmittag")=1))),"Person doppelt","OK"))))))))</f>
        <v>OK</v>
      </c>
      <c r="O205" s="55">
        <f t="shared" si="24"/>
        <v>1</v>
      </c>
      <c r="P205" s="55" t="str">
        <f t="shared" si="25"/>
        <v>A-11|46308</v>
      </c>
      <c r="Q205" s="55" t="str">
        <f>IF(P205="","",P205&amp;"|"&amp;COUNTIF(P$6:P205,P205))</f>
        <v>A-11|46308|1</v>
      </c>
      <c r="R205" s="55" t="str">
        <f t="shared" si="26"/>
        <v>Theresa Jung|46308</v>
      </c>
      <c r="S205" s="55" t="str">
        <f>IF(R205="","",R205&amp;"|"&amp;COUNTIF(R$6:R205,R205))</f>
        <v>Theresa Jung|46308|1</v>
      </c>
      <c r="T205" s="55" t="str">
        <f>IF(G205="","",IFERROR(INDEX(Stammdaten!$O$10:$O$69,MATCH(G205,Stammdaten!$N$10:$N$69,0)),G205)&amp;IF(H205="Vormittag"," (VM)",IF(H205="Nachmittag"," (NM)",""))&amp;IF(I205="Angefragt"," ?",""))</f>
        <v>T. Jung</v>
      </c>
      <c r="U205" s="55" t="str">
        <f t="shared" si="27"/>
        <v>A-11</v>
      </c>
    </row>
    <row r="206" spans="2:21" ht="16.5" customHeight="1" x14ac:dyDescent="0.25">
      <c r="B206" s="47">
        <f t="shared" si="21"/>
        <v>201</v>
      </c>
      <c r="C206" s="48">
        <v>46308</v>
      </c>
      <c r="D206" s="49" t="str">
        <f t="shared" si="22"/>
        <v>Di</v>
      </c>
      <c r="E206" s="50">
        <f t="shared" si="23"/>
        <v>42</v>
      </c>
      <c r="F206" s="51" t="s">
        <v>92</v>
      </c>
      <c r="G206" s="52" t="s">
        <v>97</v>
      </c>
      <c r="H206" s="51" t="s">
        <v>76</v>
      </c>
      <c r="I206" s="51" t="s">
        <v>77</v>
      </c>
      <c r="J206" s="52"/>
      <c r="K206" s="53" t="str">
        <f>IF(G206="","",IFERROR(INDEX(Stammdaten!$P$10:$P$69,MATCH(G206,Stammdaten!$N$10:$N$69,0)),"–"))</f>
        <v>Personal</v>
      </c>
      <c r="L206" s="53" t="str">
        <f>IF(F206="","",IFERROR(INDEX(Stammdaten!$D$10:$D$49,MATCH(F206,Stammdaten!$B$10:$B$49,0)),"–"))</f>
        <v>Teamzone Süd</v>
      </c>
      <c r="M206" s="54" t="str">
        <f>IF(C206="","",IF(OR(F206="",G206="",I206=""),"unvollständig",IF(I206="Storniert","storniert",IF(WEEKDAY(C206,2)&gt;5,"Wochenende",IF(COUNTIF(Stammdaten!$AD$10:$AD$30,C206)&gt;0,"Feiertag",IF(IFERROR(INDEX(Stammdaten!$I$10:$I$49,MATCH(F206,Stammdaten!$B$10:$B$49,0)),"")="Gesperrt","Platz gesperrt",IF(AND(COUNTIF($P$6:$P$605,P206)&gt;1,NOT(AND(COUNTIF($P$6:$P$605,P206)=2,COUNTIFS($P$6:$P$605,P206,$H$6:$H$605,"Vormittag")=1,COUNTIFS($P$6:$P$605,P206,$H$6:$H$605,"Nachmittag")=1))),"Doppelbuchung",IF(AND(COUNTIF($R$6:$R$605,R206)&gt;1,NOT(AND(COUNTIF($R$6:$R$605,R206)=2,COUNTIFS($R$6:$R$605,R206,$H$6:$H$605,"Vormittag")=1,COUNTIFS($R$6:$R$605,R206,$H$6:$H$605,"Nachmittag")=1))),"Person doppelt","OK"))))))))</f>
        <v>OK</v>
      </c>
      <c r="O206" s="55">
        <f t="shared" si="24"/>
        <v>1</v>
      </c>
      <c r="P206" s="55" t="str">
        <f t="shared" si="25"/>
        <v>B-01|46308</v>
      </c>
      <c r="Q206" s="55" t="str">
        <f>IF(P206="","",P206&amp;"|"&amp;COUNTIF(P$6:P206,P206))</f>
        <v>B-01|46308|1</v>
      </c>
      <c r="R206" s="55" t="str">
        <f t="shared" si="26"/>
        <v>Moritz Keller|46308</v>
      </c>
      <c r="S206" s="55" t="str">
        <f>IF(R206="","",R206&amp;"|"&amp;COUNTIF(R$6:R206,R206))</f>
        <v>Moritz Keller|46308|1</v>
      </c>
      <c r="T206" s="55" t="str">
        <f>IF(G206="","",IFERROR(INDEX(Stammdaten!$O$10:$O$69,MATCH(G206,Stammdaten!$N$10:$N$69,0)),G206)&amp;IF(H206="Vormittag"," (VM)",IF(H206="Nachmittag"," (NM)",""))&amp;IF(I206="Angefragt"," ?",""))</f>
        <v>M. Keller</v>
      </c>
      <c r="U206" s="55" t="str">
        <f t="shared" si="27"/>
        <v>B-01</v>
      </c>
    </row>
    <row r="207" spans="2:21" ht="16.5" customHeight="1" x14ac:dyDescent="0.25">
      <c r="B207" s="47">
        <f t="shared" si="21"/>
        <v>202</v>
      </c>
      <c r="C207" s="48">
        <v>46308</v>
      </c>
      <c r="D207" s="49" t="str">
        <f t="shared" si="22"/>
        <v>Di</v>
      </c>
      <c r="E207" s="50">
        <f t="shared" si="23"/>
        <v>42</v>
      </c>
      <c r="F207" s="51" t="s">
        <v>94</v>
      </c>
      <c r="G207" s="52" t="s">
        <v>120</v>
      </c>
      <c r="H207" s="51" t="s">
        <v>76</v>
      </c>
      <c r="I207" s="51" t="s">
        <v>77</v>
      </c>
      <c r="J207" s="52"/>
      <c r="K207" s="53" t="str">
        <f>IF(G207="","",IFERROR(INDEX(Stammdaten!$P$10:$P$69,MATCH(G207,Stammdaten!$N$10:$N$69,0)),"–"))</f>
        <v>Personal</v>
      </c>
      <c r="L207" s="53" t="str">
        <f>IF(F207="","",IFERROR(INDEX(Stammdaten!$D$10:$D$49,MATCH(F207,Stammdaten!$B$10:$B$49,0)),"–"))</f>
        <v>Teamzone Süd</v>
      </c>
      <c r="M207" s="54" t="str">
        <f>IF(C207="","",IF(OR(F207="",G207="",I207=""),"unvollständig",IF(I207="Storniert","storniert",IF(WEEKDAY(C207,2)&gt;5,"Wochenende",IF(COUNTIF(Stammdaten!$AD$10:$AD$30,C207)&gt;0,"Feiertag",IF(IFERROR(INDEX(Stammdaten!$I$10:$I$49,MATCH(F207,Stammdaten!$B$10:$B$49,0)),"")="Gesperrt","Platz gesperrt",IF(AND(COUNTIF($P$6:$P$605,P207)&gt;1,NOT(AND(COUNTIF($P$6:$P$605,P207)=2,COUNTIFS($P$6:$P$605,P207,$H$6:$H$605,"Vormittag")=1,COUNTIFS($P$6:$P$605,P207,$H$6:$H$605,"Nachmittag")=1))),"Doppelbuchung",IF(AND(COUNTIF($R$6:$R$605,R207)&gt;1,NOT(AND(COUNTIF($R$6:$R$605,R207)=2,COUNTIFS($R$6:$R$605,R207,$H$6:$H$605,"Vormittag")=1,COUNTIFS($R$6:$R$605,R207,$H$6:$H$605,"Nachmittag")=1))),"Person doppelt","OK"))))))))</f>
        <v>OK</v>
      </c>
      <c r="O207" s="55">
        <f t="shared" si="24"/>
        <v>1</v>
      </c>
      <c r="P207" s="55" t="str">
        <f t="shared" si="25"/>
        <v>B-02|46308</v>
      </c>
      <c r="Q207" s="55" t="str">
        <f>IF(P207="","",P207&amp;"|"&amp;COUNTIF(P$6:P207,P207))</f>
        <v>B-02|46308|1</v>
      </c>
      <c r="R207" s="55" t="str">
        <f t="shared" si="26"/>
        <v>Elif Yilmaz|46308</v>
      </c>
      <c r="S207" s="55" t="str">
        <f>IF(R207="","",R207&amp;"|"&amp;COUNTIF(R$6:R207,R207))</f>
        <v>Elif Yilmaz|46308|1</v>
      </c>
      <c r="T207" s="55" t="str">
        <f>IF(G207="","",IFERROR(INDEX(Stammdaten!$O$10:$O$69,MATCH(G207,Stammdaten!$N$10:$N$69,0)),G207)&amp;IF(H207="Vormittag"," (VM)",IF(H207="Nachmittag"," (NM)",""))&amp;IF(I207="Angefragt"," ?",""))</f>
        <v>E. Yilmaz</v>
      </c>
      <c r="U207" s="55" t="str">
        <f t="shared" si="27"/>
        <v>B-02</v>
      </c>
    </row>
    <row r="208" spans="2:21" ht="16.5" customHeight="1" x14ac:dyDescent="0.25">
      <c r="B208" s="47">
        <f t="shared" si="21"/>
        <v>203</v>
      </c>
      <c r="C208" s="48">
        <v>46308</v>
      </c>
      <c r="D208" s="49" t="str">
        <f t="shared" si="22"/>
        <v>Di</v>
      </c>
      <c r="E208" s="50">
        <f t="shared" si="23"/>
        <v>42</v>
      </c>
      <c r="F208" s="51" t="s">
        <v>117</v>
      </c>
      <c r="G208" s="52" t="s">
        <v>122</v>
      </c>
      <c r="H208" s="51" t="s">
        <v>76</v>
      </c>
      <c r="I208" s="51" t="s">
        <v>77</v>
      </c>
      <c r="J208" s="52"/>
      <c r="K208" s="53" t="str">
        <f>IF(G208="","",IFERROR(INDEX(Stammdaten!$P$10:$P$69,MATCH(G208,Stammdaten!$N$10:$N$69,0)),"–"))</f>
        <v>Personal</v>
      </c>
      <c r="L208" s="53" t="str">
        <f>IF(F208="","",IFERROR(INDEX(Stammdaten!$D$10:$D$49,MATCH(F208,Stammdaten!$B$10:$B$49,0)),"–"))</f>
        <v>Teamzone Süd</v>
      </c>
      <c r="M208" s="54" t="str">
        <f>IF(C208="","",IF(OR(F208="",G208="",I208=""),"unvollständig",IF(I208="Storniert","storniert",IF(WEEKDAY(C208,2)&gt;5,"Wochenende",IF(COUNTIF(Stammdaten!$AD$10:$AD$30,C208)&gt;0,"Feiertag",IF(IFERROR(INDEX(Stammdaten!$I$10:$I$49,MATCH(F208,Stammdaten!$B$10:$B$49,0)),"")="Gesperrt","Platz gesperrt",IF(AND(COUNTIF($P$6:$P$605,P208)&gt;1,NOT(AND(COUNTIF($P$6:$P$605,P208)=2,COUNTIFS($P$6:$P$605,P208,$H$6:$H$605,"Vormittag")=1,COUNTIFS($P$6:$P$605,P208,$H$6:$H$605,"Nachmittag")=1))),"Doppelbuchung",IF(AND(COUNTIF($R$6:$R$605,R208)&gt;1,NOT(AND(COUNTIF($R$6:$R$605,R208)=2,COUNTIFS($R$6:$R$605,R208,$H$6:$H$605,"Vormittag")=1,COUNTIFS($R$6:$R$605,R208,$H$6:$H$605,"Nachmittag")=1))),"Person doppelt","OK"))))))))</f>
        <v>OK</v>
      </c>
      <c r="O208" s="55">
        <f t="shared" si="24"/>
        <v>1</v>
      </c>
      <c r="P208" s="55" t="str">
        <f t="shared" si="25"/>
        <v>B-03|46308</v>
      </c>
      <c r="Q208" s="55" t="str">
        <f>IF(P208="","",P208&amp;"|"&amp;COUNTIF(P$6:P208,P208))</f>
        <v>B-03|46308|1</v>
      </c>
      <c r="R208" s="55" t="str">
        <f t="shared" si="26"/>
        <v>Niklas Wolf|46308</v>
      </c>
      <c r="S208" s="55" t="str">
        <f>IF(R208="","",R208&amp;"|"&amp;COUNTIF(R$6:R208,R208))</f>
        <v>Niklas Wolf|46308|1</v>
      </c>
      <c r="T208" s="55" t="str">
        <f>IF(G208="","",IFERROR(INDEX(Stammdaten!$O$10:$O$69,MATCH(G208,Stammdaten!$N$10:$N$69,0)),G208)&amp;IF(H208="Vormittag"," (VM)",IF(H208="Nachmittag"," (NM)",""))&amp;IF(I208="Angefragt"," ?",""))</f>
        <v>N. Wolf</v>
      </c>
      <c r="U208" s="55" t="str">
        <f t="shared" si="27"/>
        <v>B-03</v>
      </c>
    </row>
    <row r="209" spans="2:21" ht="16.5" customHeight="1" x14ac:dyDescent="0.25">
      <c r="B209" s="47">
        <f t="shared" si="21"/>
        <v>204</v>
      </c>
      <c r="C209" s="48">
        <v>46308</v>
      </c>
      <c r="D209" s="49" t="str">
        <f t="shared" si="22"/>
        <v>Di</v>
      </c>
      <c r="E209" s="50">
        <f t="shared" si="23"/>
        <v>42</v>
      </c>
      <c r="F209" s="51" t="s">
        <v>121</v>
      </c>
      <c r="G209" s="52" t="s">
        <v>99</v>
      </c>
      <c r="H209" s="51" t="s">
        <v>76</v>
      </c>
      <c r="I209" s="51" t="s">
        <v>77</v>
      </c>
      <c r="J209" s="52"/>
      <c r="K209" s="53" t="str">
        <f>IF(G209="","",IFERROR(INDEX(Stammdaten!$P$10:$P$69,MATCH(G209,Stammdaten!$N$10:$N$69,0)),"–"))</f>
        <v>Finanzen</v>
      </c>
      <c r="L209" s="53" t="str">
        <f>IF(F209="","",IFERROR(INDEX(Stammdaten!$D$10:$D$49,MATCH(F209,Stammdaten!$B$10:$B$49,0)),"–"))</f>
        <v>Teamzone Süd</v>
      </c>
      <c r="M209" s="54" t="str">
        <f>IF(C209="","",IF(OR(F209="",G209="",I209=""),"unvollständig",IF(I209="Storniert","storniert",IF(WEEKDAY(C209,2)&gt;5,"Wochenende",IF(COUNTIF(Stammdaten!$AD$10:$AD$30,C209)&gt;0,"Feiertag",IF(IFERROR(INDEX(Stammdaten!$I$10:$I$49,MATCH(F209,Stammdaten!$B$10:$B$49,0)),"")="Gesperrt","Platz gesperrt",IF(AND(COUNTIF($P$6:$P$605,P209)&gt;1,NOT(AND(COUNTIF($P$6:$P$605,P209)=2,COUNTIFS($P$6:$P$605,P209,$H$6:$H$605,"Vormittag")=1,COUNTIFS($P$6:$P$605,P209,$H$6:$H$605,"Nachmittag")=1))),"Doppelbuchung",IF(AND(COUNTIF($R$6:$R$605,R209)&gt;1,NOT(AND(COUNTIF($R$6:$R$605,R209)=2,COUNTIFS($R$6:$R$605,R209,$H$6:$H$605,"Vormittag")=1,COUNTIFS($R$6:$R$605,R209,$H$6:$H$605,"Nachmittag")=1))),"Person doppelt","OK"))))))))</f>
        <v>OK</v>
      </c>
      <c r="O209" s="55">
        <f t="shared" si="24"/>
        <v>1</v>
      </c>
      <c r="P209" s="55" t="str">
        <f t="shared" si="25"/>
        <v>B-05|46308</v>
      </c>
      <c r="Q209" s="55" t="str">
        <f>IF(P209="","",P209&amp;"|"&amp;COUNTIF(P$6:P209,P209))</f>
        <v>B-05|46308|1</v>
      </c>
      <c r="R209" s="55" t="str">
        <f t="shared" si="26"/>
        <v>Erik Neumann|46308</v>
      </c>
      <c r="S209" s="55" t="str">
        <f>IF(R209="","",R209&amp;"|"&amp;COUNTIF(R$6:R209,R209))</f>
        <v>Erik Neumann|46308|1</v>
      </c>
      <c r="T209" s="55" t="str">
        <f>IF(G209="","",IFERROR(INDEX(Stammdaten!$O$10:$O$69,MATCH(G209,Stammdaten!$N$10:$N$69,0)),G209)&amp;IF(H209="Vormittag"," (VM)",IF(H209="Nachmittag"," (NM)",""))&amp;IF(I209="Angefragt"," ?",""))</f>
        <v>E. Neumann</v>
      </c>
      <c r="U209" s="55" t="str">
        <f t="shared" si="27"/>
        <v>B-05</v>
      </c>
    </row>
    <row r="210" spans="2:21" ht="16.5" customHeight="1" x14ac:dyDescent="0.25">
      <c r="B210" s="47">
        <f t="shared" si="21"/>
        <v>205</v>
      </c>
      <c r="C210" s="48">
        <v>46308</v>
      </c>
      <c r="D210" s="49" t="str">
        <f t="shared" si="22"/>
        <v>Di</v>
      </c>
      <c r="E210" s="50">
        <f t="shared" si="23"/>
        <v>42</v>
      </c>
      <c r="F210" s="51" t="s">
        <v>96</v>
      </c>
      <c r="G210" s="52" t="s">
        <v>116</v>
      </c>
      <c r="H210" s="51" t="s">
        <v>76</v>
      </c>
      <c r="I210" s="51" t="s">
        <v>77</v>
      </c>
      <c r="J210" s="52"/>
      <c r="K210" s="53" t="str">
        <f>IF(G210="","",IFERROR(INDEX(Stammdaten!$P$10:$P$69,MATCH(G210,Stammdaten!$N$10:$N$69,0)),"–"))</f>
        <v>Finanzen</v>
      </c>
      <c r="L210" s="53" t="str">
        <f>IF(F210="","",IFERROR(INDEX(Stammdaten!$D$10:$D$49,MATCH(F210,Stammdaten!$B$10:$B$49,0)),"–"))</f>
        <v>Teamzone Süd</v>
      </c>
      <c r="M210" s="54" t="str">
        <f>IF(C210="","",IF(OR(F210="",G210="",I210=""),"unvollständig",IF(I210="Storniert","storniert",IF(WEEKDAY(C210,2)&gt;5,"Wochenende",IF(COUNTIF(Stammdaten!$AD$10:$AD$30,C210)&gt;0,"Feiertag",IF(IFERROR(INDEX(Stammdaten!$I$10:$I$49,MATCH(F210,Stammdaten!$B$10:$B$49,0)),"")="Gesperrt","Platz gesperrt",IF(AND(COUNTIF($P$6:$P$605,P210)&gt;1,NOT(AND(COUNTIF($P$6:$P$605,P210)=2,COUNTIFS($P$6:$P$605,P210,$H$6:$H$605,"Vormittag")=1,COUNTIFS($P$6:$P$605,P210,$H$6:$H$605,"Nachmittag")=1))),"Doppelbuchung",IF(AND(COUNTIF($R$6:$R$605,R210)&gt;1,NOT(AND(COUNTIF($R$6:$R$605,R210)=2,COUNTIFS($R$6:$R$605,R210,$H$6:$H$605,"Vormittag")=1,COUNTIFS($R$6:$R$605,R210,$H$6:$H$605,"Nachmittag")=1))),"Person doppelt","OK"))))))))</f>
        <v>OK</v>
      </c>
      <c r="O210" s="55">
        <f t="shared" si="24"/>
        <v>1</v>
      </c>
      <c r="P210" s="55" t="str">
        <f t="shared" si="25"/>
        <v>B-06|46308</v>
      </c>
      <c r="Q210" s="55" t="str">
        <f>IF(P210="","",P210&amp;"|"&amp;COUNTIF(P$6:P210,P210))</f>
        <v>B-06|46308|1</v>
      </c>
      <c r="R210" s="55" t="str">
        <f t="shared" si="26"/>
        <v>Julia Herrmann|46308</v>
      </c>
      <c r="S210" s="55" t="str">
        <f>IF(R210="","",R210&amp;"|"&amp;COUNTIF(R$6:R210,R210))</f>
        <v>Julia Herrmann|46308|1</v>
      </c>
      <c r="T210" s="55" t="str">
        <f>IF(G210="","",IFERROR(INDEX(Stammdaten!$O$10:$O$69,MATCH(G210,Stammdaten!$N$10:$N$69,0)),G210)&amp;IF(H210="Vormittag"," (VM)",IF(H210="Nachmittag"," (NM)",""))&amp;IF(I210="Angefragt"," ?",""))</f>
        <v>J. Herrmann</v>
      </c>
      <c r="U210" s="55" t="str">
        <f t="shared" si="27"/>
        <v>B-06</v>
      </c>
    </row>
    <row r="211" spans="2:21" ht="16.5" customHeight="1" x14ac:dyDescent="0.25">
      <c r="B211" s="47">
        <f t="shared" si="21"/>
        <v>206</v>
      </c>
      <c r="C211" s="48">
        <v>46308</v>
      </c>
      <c r="D211" s="49" t="str">
        <f t="shared" si="22"/>
        <v>Di</v>
      </c>
      <c r="E211" s="50">
        <f t="shared" si="23"/>
        <v>42</v>
      </c>
      <c r="F211" s="51" t="s">
        <v>100</v>
      </c>
      <c r="G211" s="52" t="s">
        <v>91</v>
      </c>
      <c r="H211" s="51" t="s">
        <v>76</v>
      </c>
      <c r="I211" s="51" t="s">
        <v>77</v>
      </c>
      <c r="J211" s="52"/>
      <c r="K211" s="53" t="str">
        <f>IF(G211="","",IFERROR(INDEX(Stammdaten!$P$10:$P$69,MATCH(G211,Stammdaten!$N$10:$N$69,0)),"–"))</f>
        <v>IT</v>
      </c>
      <c r="L211" s="53" t="str">
        <f>IF(F211="","",IFERROR(INDEX(Stammdaten!$D$10:$D$49,MATCH(F211,Stammdaten!$B$10:$B$49,0)),"–"))</f>
        <v>Projektfläche</v>
      </c>
      <c r="M211" s="54" t="str">
        <f>IF(C211="","",IF(OR(F211="",G211="",I211=""),"unvollständig",IF(I211="Storniert","storniert",IF(WEEKDAY(C211,2)&gt;5,"Wochenende",IF(COUNTIF(Stammdaten!$AD$10:$AD$30,C211)&gt;0,"Feiertag",IF(IFERROR(INDEX(Stammdaten!$I$10:$I$49,MATCH(F211,Stammdaten!$B$10:$B$49,0)),"")="Gesperrt","Platz gesperrt",IF(AND(COUNTIF($P$6:$P$605,P211)&gt;1,NOT(AND(COUNTIF($P$6:$P$605,P211)=2,COUNTIFS($P$6:$P$605,P211,$H$6:$H$605,"Vormittag")=1,COUNTIFS($P$6:$P$605,P211,$H$6:$H$605,"Nachmittag")=1))),"Doppelbuchung",IF(AND(COUNTIF($R$6:$R$605,R211)&gt;1,NOT(AND(COUNTIF($R$6:$R$605,R211)=2,COUNTIFS($R$6:$R$605,R211,$H$6:$H$605,"Vormittag")=1,COUNTIFS($R$6:$R$605,R211,$H$6:$H$605,"Nachmittag")=1))),"Person doppelt","OK"))))))))</f>
        <v>OK</v>
      </c>
      <c r="O211" s="55">
        <f t="shared" si="24"/>
        <v>1</v>
      </c>
      <c r="P211" s="55" t="str">
        <f t="shared" si="25"/>
        <v>B-09|46308</v>
      </c>
      <c r="Q211" s="55" t="str">
        <f>IF(P211="","",P211&amp;"|"&amp;COUNTIF(P$6:P211,P211))</f>
        <v>B-09|46308|1</v>
      </c>
      <c r="R211" s="55" t="str">
        <f t="shared" si="26"/>
        <v>Mara Winter|46308</v>
      </c>
      <c r="S211" s="55" t="str">
        <f>IF(R211="","",R211&amp;"|"&amp;COUNTIF(R$6:R211,R211))</f>
        <v>Mara Winter|46308|1</v>
      </c>
      <c r="T211" s="55" t="str">
        <f>IF(G211="","",IFERROR(INDEX(Stammdaten!$O$10:$O$69,MATCH(G211,Stammdaten!$N$10:$N$69,0)),G211)&amp;IF(H211="Vormittag"," (VM)",IF(H211="Nachmittag"," (NM)",""))&amp;IF(I211="Angefragt"," ?",""))</f>
        <v>M. Winter</v>
      </c>
      <c r="U211" s="55" t="str">
        <f t="shared" si="27"/>
        <v>B-09</v>
      </c>
    </row>
    <row r="212" spans="2:21" ht="16.5" customHeight="1" x14ac:dyDescent="0.25">
      <c r="B212" s="47">
        <f t="shared" si="21"/>
        <v>207</v>
      </c>
      <c r="C212" s="48">
        <v>46308</v>
      </c>
      <c r="D212" s="49" t="str">
        <f t="shared" si="22"/>
        <v>Di</v>
      </c>
      <c r="E212" s="50">
        <f t="shared" si="23"/>
        <v>42</v>
      </c>
      <c r="F212" s="51" t="s">
        <v>102</v>
      </c>
      <c r="G212" s="52" t="s">
        <v>107</v>
      </c>
      <c r="H212" s="51" t="s">
        <v>76</v>
      </c>
      <c r="I212" s="51" t="s">
        <v>77</v>
      </c>
      <c r="J212" s="52"/>
      <c r="K212" s="53" t="str">
        <f>IF(G212="","",IFERROR(INDEX(Stammdaten!$P$10:$P$69,MATCH(G212,Stammdaten!$N$10:$N$69,0)),"–"))</f>
        <v>IT</v>
      </c>
      <c r="L212" s="53" t="str">
        <f>IF(F212="","",IFERROR(INDEX(Stammdaten!$D$10:$D$49,MATCH(F212,Stammdaten!$B$10:$B$49,0)),"–"))</f>
        <v>Projektfläche</v>
      </c>
      <c r="M212" s="54" t="str">
        <f>IF(C212="","",IF(OR(F212="",G212="",I212=""),"unvollständig",IF(I212="Storniert","storniert",IF(WEEKDAY(C212,2)&gt;5,"Wochenende",IF(COUNTIF(Stammdaten!$AD$10:$AD$30,C212)&gt;0,"Feiertag",IF(IFERROR(INDEX(Stammdaten!$I$10:$I$49,MATCH(F212,Stammdaten!$B$10:$B$49,0)),"")="Gesperrt","Platz gesperrt",IF(AND(COUNTIF($P$6:$P$605,P212)&gt;1,NOT(AND(COUNTIF($P$6:$P$605,P212)=2,COUNTIFS($P$6:$P$605,P212,$H$6:$H$605,"Vormittag")=1,COUNTIFS($P$6:$P$605,P212,$H$6:$H$605,"Nachmittag")=1))),"Doppelbuchung",IF(AND(COUNTIF($R$6:$R$605,R212)&gt;1,NOT(AND(COUNTIF($R$6:$R$605,R212)=2,COUNTIFS($R$6:$R$605,R212,$H$6:$H$605,"Vormittag")=1,COUNTIFS($R$6:$R$605,R212,$H$6:$H$605,"Nachmittag")=1))),"Person doppelt","OK"))))))))</f>
        <v>OK</v>
      </c>
      <c r="O212" s="55">
        <f t="shared" si="24"/>
        <v>1</v>
      </c>
      <c r="P212" s="55" t="str">
        <f t="shared" si="25"/>
        <v>B-10|46308</v>
      </c>
      <c r="Q212" s="55" t="str">
        <f>IF(P212="","",P212&amp;"|"&amp;COUNTIF(P$6:P212,P212))</f>
        <v>B-10|46308|1</v>
      </c>
      <c r="R212" s="55" t="str">
        <f t="shared" si="26"/>
        <v>Katharina Busch|46308</v>
      </c>
      <c r="S212" s="55" t="str">
        <f>IF(R212="","",R212&amp;"|"&amp;COUNTIF(R$6:R212,R212))</f>
        <v>Katharina Busch|46308|1</v>
      </c>
      <c r="T212" s="55" t="str">
        <f>IF(G212="","",IFERROR(INDEX(Stammdaten!$O$10:$O$69,MATCH(G212,Stammdaten!$N$10:$N$69,0)),G212)&amp;IF(H212="Vormittag"," (VM)",IF(H212="Nachmittag"," (NM)",""))&amp;IF(I212="Angefragt"," ?",""))</f>
        <v>K. Busch</v>
      </c>
      <c r="U212" s="55" t="str">
        <f t="shared" si="27"/>
        <v>B-10</v>
      </c>
    </row>
    <row r="213" spans="2:21" ht="16.5" customHeight="1" x14ac:dyDescent="0.25">
      <c r="B213" s="47">
        <f t="shared" si="21"/>
        <v>208</v>
      </c>
      <c r="C213" s="48">
        <v>46308</v>
      </c>
      <c r="D213" s="49" t="str">
        <f t="shared" si="22"/>
        <v>Di</v>
      </c>
      <c r="E213" s="50">
        <f t="shared" si="23"/>
        <v>42</v>
      </c>
      <c r="F213" s="51" t="s">
        <v>104</v>
      </c>
      <c r="G213" s="52" t="s">
        <v>130</v>
      </c>
      <c r="H213" s="51" t="s">
        <v>76</v>
      </c>
      <c r="I213" s="51" t="s">
        <v>77</v>
      </c>
      <c r="J213" s="52"/>
      <c r="K213" s="53" t="str">
        <f>IF(G213="","",IFERROR(INDEX(Stammdaten!$P$10:$P$69,MATCH(G213,Stammdaten!$N$10:$N$69,0)),"–"))</f>
        <v>Projektmanagement</v>
      </c>
      <c r="L213" s="53" t="str">
        <f>IF(F213="","",IFERROR(INDEX(Stammdaten!$D$10:$D$49,MATCH(F213,Stammdaten!$B$10:$B$49,0)),"–"))</f>
        <v>Projektfläche</v>
      </c>
      <c r="M213" s="54" t="str">
        <f>IF(C213="","",IF(OR(F213="",G213="",I213=""),"unvollständig",IF(I213="Storniert","storniert",IF(WEEKDAY(C213,2)&gt;5,"Wochenende",IF(COUNTIF(Stammdaten!$AD$10:$AD$30,C213)&gt;0,"Feiertag",IF(IFERROR(INDEX(Stammdaten!$I$10:$I$49,MATCH(F213,Stammdaten!$B$10:$B$49,0)),"")="Gesperrt","Platz gesperrt",IF(AND(COUNTIF($P$6:$P$605,P213)&gt;1,NOT(AND(COUNTIF($P$6:$P$605,P213)=2,COUNTIFS($P$6:$P$605,P213,$H$6:$H$605,"Vormittag")=1,COUNTIFS($P$6:$P$605,P213,$H$6:$H$605,"Nachmittag")=1))),"Doppelbuchung",IF(AND(COUNTIF($R$6:$R$605,R213)&gt;1,NOT(AND(COUNTIF($R$6:$R$605,R213)=2,COUNTIFS($R$6:$R$605,R213,$H$6:$H$605,"Vormittag")=1,COUNTIFS($R$6:$R$605,R213,$H$6:$H$605,"Nachmittag")=1))),"Person doppelt","OK"))))))))</f>
        <v>OK</v>
      </c>
      <c r="O213" s="55">
        <f t="shared" si="24"/>
        <v>1</v>
      </c>
      <c r="P213" s="55" t="str">
        <f t="shared" si="25"/>
        <v>B-11|46308</v>
      </c>
      <c r="Q213" s="55" t="str">
        <f>IF(P213="","",P213&amp;"|"&amp;COUNTIF(P$6:P213,P213))</f>
        <v>B-11|46308|1</v>
      </c>
      <c r="R213" s="55" t="str">
        <f t="shared" si="26"/>
        <v>Fabian Ott|46308</v>
      </c>
      <c r="S213" s="55" t="str">
        <f>IF(R213="","",R213&amp;"|"&amp;COUNTIF(R$6:R213,R213))</f>
        <v>Fabian Ott|46308|1</v>
      </c>
      <c r="T213" s="55" t="str">
        <f>IF(G213="","",IFERROR(INDEX(Stammdaten!$O$10:$O$69,MATCH(G213,Stammdaten!$N$10:$N$69,0)),G213)&amp;IF(H213="Vormittag"," (VM)",IF(H213="Nachmittag"," (NM)",""))&amp;IF(I213="Angefragt"," ?",""))</f>
        <v>F. Ott</v>
      </c>
      <c r="U213" s="55" t="str">
        <f t="shared" si="27"/>
        <v>B-11</v>
      </c>
    </row>
    <row r="214" spans="2:21" ht="16.5" customHeight="1" x14ac:dyDescent="0.25">
      <c r="B214" s="47">
        <f t="shared" si="21"/>
        <v>209</v>
      </c>
      <c r="C214" s="48">
        <v>46308</v>
      </c>
      <c r="D214" s="49" t="str">
        <f t="shared" si="22"/>
        <v>Di</v>
      </c>
      <c r="E214" s="50">
        <f t="shared" si="23"/>
        <v>42</v>
      </c>
      <c r="F214" s="51" t="s">
        <v>106</v>
      </c>
      <c r="G214" s="52" t="s">
        <v>132</v>
      </c>
      <c r="H214" s="51" t="s">
        <v>76</v>
      </c>
      <c r="I214" s="51" t="s">
        <v>77</v>
      </c>
      <c r="J214" s="52" t="s">
        <v>141</v>
      </c>
      <c r="K214" s="53" t="str">
        <f>IF(G214="","",IFERROR(INDEX(Stammdaten!$P$10:$P$69,MATCH(G214,Stammdaten!$N$10:$N$69,0)),"–"))</f>
        <v>Projektmanagement</v>
      </c>
      <c r="L214" s="53" t="str">
        <f>IF(F214="","",IFERROR(INDEX(Stammdaten!$D$10:$D$49,MATCH(F214,Stammdaten!$B$10:$B$49,0)),"–"))</f>
        <v>Projektfläche</v>
      </c>
      <c r="M214" s="54" t="str">
        <f>IF(C214="","",IF(OR(F214="",G214="",I214=""),"unvollständig",IF(I214="Storniert","storniert",IF(WEEKDAY(C214,2)&gt;5,"Wochenende",IF(COUNTIF(Stammdaten!$AD$10:$AD$30,C214)&gt;0,"Feiertag",IF(IFERROR(INDEX(Stammdaten!$I$10:$I$49,MATCH(F214,Stammdaten!$B$10:$B$49,0)),"")="Gesperrt","Platz gesperrt",IF(AND(COUNTIF($P$6:$P$605,P214)&gt;1,NOT(AND(COUNTIF($P$6:$P$605,P214)=2,COUNTIFS($P$6:$P$605,P214,$H$6:$H$605,"Vormittag")=1,COUNTIFS($P$6:$P$605,P214,$H$6:$H$605,"Nachmittag")=1))),"Doppelbuchung",IF(AND(COUNTIF($R$6:$R$605,R214)&gt;1,NOT(AND(COUNTIF($R$6:$R$605,R214)=2,COUNTIFS($R$6:$R$605,R214,$H$6:$H$605,"Vormittag")=1,COUNTIFS($R$6:$R$605,R214,$H$6:$H$605,"Nachmittag")=1))),"Person doppelt","OK"))))))))</f>
        <v>OK</v>
      </c>
      <c r="O214" s="55">
        <f t="shared" si="24"/>
        <v>1</v>
      </c>
      <c r="P214" s="55" t="str">
        <f t="shared" si="25"/>
        <v>B-12|46308</v>
      </c>
      <c r="Q214" s="55" t="str">
        <f>IF(P214="","",P214&amp;"|"&amp;COUNTIF(P$6:P214,P214))</f>
        <v>B-12|46308|1</v>
      </c>
      <c r="R214" s="55" t="str">
        <f t="shared" si="26"/>
        <v>Vanessa Kraft|46308</v>
      </c>
      <c r="S214" s="55" t="str">
        <f>IF(R214="","",R214&amp;"|"&amp;COUNTIF(R$6:R214,R214))</f>
        <v>Vanessa Kraft|46308|1</v>
      </c>
      <c r="T214" s="55" t="str">
        <f>IF(G214="","",IFERROR(INDEX(Stammdaten!$O$10:$O$69,MATCH(G214,Stammdaten!$N$10:$N$69,0)),G214)&amp;IF(H214="Vormittag"," (VM)",IF(H214="Nachmittag"," (NM)",""))&amp;IF(I214="Angefragt"," ?",""))</f>
        <v>V. Kraft</v>
      </c>
      <c r="U214" s="55" t="str">
        <f t="shared" si="27"/>
        <v>B-12</v>
      </c>
    </row>
    <row r="215" spans="2:21" ht="16.5" customHeight="1" x14ac:dyDescent="0.25">
      <c r="B215" s="47">
        <f t="shared" si="21"/>
        <v>210</v>
      </c>
      <c r="C215" s="48">
        <v>46309</v>
      </c>
      <c r="D215" s="49" t="str">
        <f t="shared" si="22"/>
        <v>Mi</v>
      </c>
      <c r="E215" s="50">
        <f t="shared" si="23"/>
        <v>42</v>
      </c>
      <c r="F215" s="51" t="s">
        <v>74</v>
      </c>
      <c r="G215" s="52" t="s">
        <v>126</v>
      </c>
      <c r="H215" s="51" t="s">
        <v>76</v>
      </c>
      <c r="I215" s="51" t="s">
        <v>77</v>
      </c>
      <c r="J215" s="52"/>
      <c r="K215" s="53" t="str">
        <f>IF(G215="","",IFERROR(INDEX(Stammdaten!$P$10:$P$69,MATCH(G215,Stammdaten!$N$10:$N$69,0)),"–"))</f>
        <v>Vertrieb</v>
      </c>
      <c r="L215" s="53" t="str">
        <f>IF(F215="","",IFERROR(INDEX(Stammdaten!$D$10:$D$49,MATCH(F215,Stammdaten!$B$10:$B$49,0)),"–"))</f>
        <v>Teamzone Nord</v>
      </c>
      <c r="M215" s="54" t="str">
        <f>IF(C215="","",IF(OR(F215="",G215="",I215=""),"unvollständig",IF(I215="Storniert","storniert",IF(WEEKDAY(C215,2)&gt;5,"Wochenende",IF(COUNTIF(Stammdaten!$AD$10:$AD$30,C215)&gt;0,"Feiertag",IF(IFERROR(INDEX(Stammdaten!$I$10:$I$49,MATCH(F215,Stammdaten!$B$10:$B$49,0)),"")="Gesperrt","Platz gesperrt",IF(AND(COUNTIF($P$6:$P$605,P215)&gt;1,NOT(AND(COUNTIF($P$6:$P$605,P215)=2,COUNTIFS($P$6:$P$605,P215,$H$6:$H$605,"Vormittag")=1,COUNTIFS($P$6:$P$605,P215,$H$6:$H$605,"Nachmittag")=1))),"Doppelbuchung",IF(AND(COUNTIF($R$6:$R$605,R215)&gt;1,NOT(AND(COUNTIF($R$6:$R$605,R215)=2,COUNTIFS($R$6:$R$605,R215,$H$6:$H$605,"Vormittag")=1,COUNTIFS($R$6:$R$605,R215,$H$6:$H$605,"Nachmittag")=1))),"Person doppelt","OK"))))))))</f>
        <v>OK</v>
      </c>
      <c r="O215" s="55">
        <f t="shared" si="24"/>
        <v>1</v>
      </c>
      <c r="P215" s="55" t="str">
        <f t="shared" si="25"/>
        <v>A-01|46309</v>
      </c>
      <c r="Q215" s="55" t="str">
        <f>IF(P215="","",P215&amp;"|"&amp;COUNTIF(P$6:P215,P215))</f>
        <v>A-01|46309|1</v>
      </c>
      <c r="R215" s="55" t="str">
        <f t="shared" si="26"/>
        <v>Jonas Weber|46309</v>
      </c>
      <c r="S215" s="55" t="str">
        <f>IF(R215="","",R215&amp;"|"&amp;COUNTIF(R$6:R215,R215))</f>
        <v>Jonas Weber|46309|1</v>
      </c>
      <c r="T215" s="55" t="str">
        <f>IF(G215="","",IFERROR(INDEX(Stammdaten!$O$10:$O$69,MATCH(G215,Stammdaten!$N$10:$N$69,0)),G215)&amp;IF(H215="Vormittag"," (VM)",IF(H215="Nachmittag"," (NM)",""))&amp;IF(I215="Angefragt"," ?",""))</f>
        <v>J. Weber</v>
      </c>
      <c r="U215" s="55" t="str">
        <f t="shared" si="27"/>
        <v>A-01</v>
      </c>
    </row>
    <row r="216" spans="2:21" ht="16.5" customHeight="1" x14ac:dyDescent="0.25">
      <c r="B216" s="47">
        <f t="shared" si="21"/>
        <v>211</v>
      </c>
      <c r="C216" s="48">
        <v>46309</v>
      </c>
      <c r="D216" s="49" t="str">
        <f t="shared" si="22"/>
        <v>Mi</v>
      </c>
      <c r="E216" s="50">
        <f t="shared" si="23"/>
        <v>42</v>
      </c>
      <c r="F216" s="51" t="s">
        <v>78</v>
      </c>
      <c r="G216" s="52" t="s">
        <v>81</v>
      </c>
      <c r="H216" s="51" t="s">
        <v>76</v>
      </c>
      <c r="I216" s="51" t="s">
        <v>77</v>
      </c>
      <c r="J216" s="52"/>
      <c r="K216" s="53" t="str">
        <f>IF(G216="","",IFERROR(INDEX(Stammdaten!$P$10:$P$69,MATCH(G216,Stammdaten!$N$10:$N$69,0)),"–"))</f>
        <v>Vertrieb</v>
      </c>
      <c r="L216" s="53" t="str">
        <f>IF(F216="","",IFERROR(INDEX(Stammdaten!$D$10:$D$49,MATCH(F216,Stammdaten!$B$10:$B$49,0)),"–"))</f>
        <v>Teamzone Nord</v>
      </c>
      <c r="M216" s="54" t="str">
        <f>IF(C216="","",IF(OR(F216="",G216="",I216=""),"unvollständig",IF(I216="Storniert","storniert",IF(WEEKDAY(C216,2)&gt;5,"Wochenende",IF(COUNTIF(Stammdaten!$AD$10:$AD$30,C216)&gt;0,"Feiertag",IF(IFERROR(INDEX(Stammdaten!$I$10:$I$49,MATCH(F216,Stammdaten!$B$10:$B$49,0)),"")="Gesperrt","Platz gesperrt",IF(AND(COUNTIF($P$6:$P$605,P216)&gt;1,NOT(AND(COUNTIF($P$6:$P$605,P216)=2,COUNTIFS($P$6:$P$605,P216,$H$6:$H$605,"Vormittag")=1,COUNTIFS($P$6:$P$605,P216,$H$6:$H$605,"Nachmittag")=1))),"Doppelbuchung",IF(AND(COUNTIF($R$6:$R$605,R216)&gt;1,NOT(AND(COUNTIF($R$6:$R$605,R216)=2,COUNTIFS($R$6:$R$605,R216,$H$6:$H$605,"Vormittag")=1,COUNTIFS($R$6:$R$605,R216,$H$6:$H$605,"Nachmittag")=1))),"Person doppelt","OK"))))))))</f>
        <v>OK</v>
      </c>
      <c r="O216" s="55">
        <f t="shared" si="24"/>
        <v>1</v>
      </c>
      <c r="P216" s="55" t="str">
        <f t="shared" si="25"/>
        <v>A-02|46309</v>
      </c>
      <c r="Q216" s="55" t="str">
        <f>IF(P216="","",P216&amp;"|"&amp;COUNTIF(P$6:P216,P216))</f>
        <v>A-02|46309|1</v>
      </c>
      <c r="R216" s="55" t="str">
        <f t="shared" si="26"/>
        <v>Nina Albrecht|46309</v>
      </c>
      <c r="S216" s="55" t="str">
        <f>IF(R216="","",R216&amp;"|"&amp;COUNTIF(R$6:R216,R216))</f>
        <v>Nina Albrecht|46309|1</v>
      </c>
      <c r="T216" s="55" t="str">
        <f>IF(G216="","",IFERROR(INDEX(Stammdaten!$O$10:$O$69,MATCH(G216,Stammdaten!$N$10:$N$69,0)),G216)&amp;IF(H216="Vormittag"," (VM)",IF(H216="Nachmittag"," (NM)",""))&amp;IF(I216="Angefragt"," ?",""))</f>
        <v>N. Albrecht</v>
      </c>
      <c r="U216" s="55" t="str">
        <f t="shared" si="27"/>
        <v>A-02</v>
      </c>
    </row>
    <row r="217" spans="2:21" ht="16.5" customHeight="1" x14ac:dyDescent="0.25">
      <c r="B217" s="47">
        <f t="shared" si="21"/>
        <v>212</v>
      </c>
      <c r="C217" s="48">
        <v>46309</v>
      </c>
      <c r="D217" s="49" t="str">
        <f t="shared" si="22"/>
        <v>Mi</v>
      </c>
      <c r="E217" s="50">
        <f t="shared" si="23"/>
        <v>42</v>
      </c>
      <c r="F217" s="51" t="s">
        <v>109</v>
      </c>
      <c r="G217" s="52" t="s">
        <v>85</v>
      </c>
      <c r="H217" s="51" t="s">
        <v>76</v>
      </c>
      <c r="I217" s="51" t="s">
        <v>77</v>
      </c>
      <c r="J217" s="52"/>
      <c r="K217" s="53" t="str">
        <f>IF(G217="","",IFERROR(INDEX(Stammdaten!$P$10:$P$69,MATCH(G217,Stammdaten!$N$10:$N$69,0)),"–"))</f>
        <v>Vertrieb</v>
      </c>
      <c r="L217" s="53" t="str">
        <f>IF(F217="","",IFERROR(INDEX(Stammdaten!$D$10:$D$49,MATCH(F217,Stammdaten!$B$10:$B$49,0)),"–"))</f>
        <v>Teamzone Nord</v>
      </c>
      <c r="M217" s="54" t="str">
        <f>IF(C217="","",IF(OR(F217="",G217="",I217=""),"unvollständig",IF(I217="Storniert","storniert",IF(WEEKDAY(C217,2)&gt;5,"Wochenende",IF(COUNTIF(Stammdaten!$AD$10:$AD$30,C217)&gt;0,"Feiertag",IF(IFERROR(INDEX(Stammdaten!$I$10:$I$49,MATCH(F217,Stammdaten!$B$10:$B$49,0)),"")="Gesperrt","Platz gesperrt",IF(AND(COUNTIF($P$6:$P$605,P217)&gt;1,NOT(AND(COUNTIF($P$6:$P$605,P217)=2,COUNTIFS($P$6:$P$605,P217,$H$6:$H$605,"Vormittag")=1,COUNTIFS($P$6:$P$605,P217,$H$6:$H$605,"Nachmittag")=1))),"Doppelbuchung",IF(AND(COUNTIF($R$6:$R$605,R217)&gt;1,NOT(AND(COUNTIF($R$6:$R$605,R217)=2,COUNTIFS($R$6:$R$605,R217,$H$6:$H$605,"Vormittag")=1,COUNTIFS($R$6:$R$605,R217,$H$6:$H$605,"Nachmittag")=1))),"Person doppelt","OK"))))))))</f>
        <v>OK</v>
      </c>
      <c r="O217" s="55">
        <f t="shared" si="24"/>
        <v>1</v>
      </c>
      <c r="P217" s="55" t="str">
        <f t="shared" si="25"/>
        <v>A-03|46309</v>
      </c>
      <c r="Q217" s="55" t="str">
        <f>IF(P217="","",P217&amp;"|"&amp;COUNTIF(P$6:P217,P217))</f>
        <v>A-03|46309|1</v>
      </c>
      <c r="R217" s="55" t="str">
        <f t="shared" si="26"/>
        <v>Miriam Krause|46309</v>
      </c>
      <c r="S217" s="55" t="str">
        <f>IF(R217="","",R217&amp;"|"&amp;COUNTIF(R$6:R217,R217))</f>
        <v>Miriam Krause|46309|1</v>
      </c>
      <c r="T217" s="55" t="str">
        <f>IF(G217="","",IFERROR(INDEX(Stammdaten!$O$10:$O$69,MATCH(G217,Stammdaten!$N$10:$N$69,0)),G217)&amp;IF(H217="Vormittag"," (VM)",IF(H217="Nachmittag"," (NM)",""))&amp;IF(I217="Angefragt"," ?",""))</f>
        <v>M. Krause</v>
      </c>
      <c r="U217" s="55" t="str">
        <f t="shared" si="27"/>
        <v>A-03</v>
      </c>
    </row>
    <row r="218" spans="2:21" ht="16.5" customHeight="1" x14ac:dyDescent="0.25">
      <c r="B218" s="47">
        <f t="shared" si="21"/>
        <v>213</v>
      </c>
      <c r="C218" s="48">
        <v>46309</v>
      </c>
      <c r="D218" s="49" t="str">
        <f t="shared" si="22"/>
        <v>Mi</v>
      </c>
      <c r="E218" s="50">
        <f t="shared" si="23"/>
        <v>42</v>
      </c>
      <c r="F218" s="51" t="s">
        <v>110</v>
      </c>
      <c r="G218" s="52" t="s">
        <v>112</v>
      </c>
      <c r="H218" s="51" t="s">
        <v>76</v>
      </c>
      <c r="I218" s="51" t="s">
        <v>77</v>
      </c>
      <c r="J218" s="52"/>
      <c r="K218" s="53" t="str">
        <f>IF(G218="","",IFERROR(INDEX(Stammdaten!$P$10:$P$69,MATCH(G218,Stammdaten!$N$10:$N$69,0)),"–"))</f>
        <v>Marketing</v>
      </c>
      <c r="L218" s="53" t="str">
        <f>IF(F218="","",IFERROR(INDEX(Stammdaten!$D$10:$D$49,MATCH(F218,Stammdaten!$B$10:$B$49,0)),"–"))</f>
        <v>Teamzone Nord</v>
      </c>
      <c r="M218" s="54" t="str">
        <f>IF(C218="","",IF(OR(F218="",G218="",I218=""),"unvollständig",IF(I218="Storniert","storniert",IF(WEEKDAY(C218,2)&gt;5,"Wochenende",IF(COUNTIF(Stammdaten!$AD$10:$AD$30,C218)&gt;0,"Feiertag",IF(IFERROR(INDEX(Stammdaten!$I$10:$I$49,MATCH(F218,Stammdaten!$B$10:$B$49,0)),"")="Gesperrt","Platz gesperrt",IF(AND(COUNTIF($P$6:$P$605,P218)&gt;1,NOT(AND(COUNTIF($P$6:$P$605,P218)=2,COUNTIFS($P$6:$P$605,P218,$H$6:$H$605,"Vormittag")=1,COUNTIFS($P$6:$P$605,P218,$H$6:$H$605,"Nachmittag")=1))),"Doppelbuchung",IF(AND(COUNTIF($R$6:$R$605,R218)&gt;1,NOT(AND(COUNTIF($R$6:$R$605,R218)=2,COUNTIFS($R$6:$R$605,R218,$H$6:$H$605,"Vormittag")=1,COUNTIFS($R$6:$R$605,R218,$H$6:$H$605,"Nachmittag")=1))),"Person doppelt","OK"))))))))</f>
        <v>OK</v>
      </c>
      <c r="O218" s="55">
        <f t="shared" si="24"/>
        <v>1</v>
      </c>
      <c r="P218" s="55" t="str">
        <f t="shared" si="25"/>
        <v>A-04|46309</v>
      </c>
      <c r="Q218" s="55" t="str">
        <f>IF(P218="","",P218&amp;"|"&amp;COUNTIF(P$6:P218,P218))</f>
        <v>A-04|46309|1</v>
      </c>
      <c r="R218" s="55" t="str">
        <f t="shared" si="26"/>
        <v>Clara Vogt|46309</v>
      </c>
      <c r="S218" s="55" t="str">
        <f>IF(R218="","",R218&amp;"|"&amp;COUNTIF(R$6:R218,R218))</f>
        <v>Clara Vogt|46309|1</v>
      </c>
      <c r="T218" s="55" t="str">
        <f>IF(G218="","",IFERROR(INDEX(Stammdaten!$O$10:$O$69,MATCH(G218,Stammdaten!$N$10:$N$69,0)),G218)&amp;IF(H218="Vormittag"," (VM)",IF(H218="Nachmittag"," (NM)",""))&amp;IF(I218="Angefragt"," ?",""))</f>
        <v>C. Vogt</v>
      </c>
      <c r="U218" s="55" t="str">
        <f t="shared" si="27"/>
        <v>A-04</v>
      </c>
    </row>
    <row r="219" spans="2:21" ht="16.5" customHeight="1" x14ac:dyDescent="0.25">
      <c r="B219" s="47">
        <f t="shared" si="21"/>
        <v>214</v>
      </c>
      <c r="C219" s="48">
        <v>46309</v>
      </c>
      <c r="D219" s="49" t="str">
        <f t="shared" si="22"/>
        <v>Mi</v>
      </c>
      <c r="E219" s="50">
        <f t="shared" si="23"/>
        <v>42</v>
      </c>
      <c r="F219" s="51" t="s">
        <v>80</v>
      </c>
      <c r="G219" s="52" t="s">
        <v>79</v>
      </c>
      <c r="H219" s="51" t="s">
        <v>76</v>
      </c>
      <c r="I219" s="51" t="s">
        <v>77</v>
      </c>
      <c r="J219" s="52"/>
      <c r="K219" s="53" t="str">
        <f>IF(G219="","",IFERROR(INDEX(Stammdaten!$P$10:$P$69,MATCH(G219,Stammdaten!$N$10:$N$69,0)),"–"))</f>
        <v>Vertrieb</v>
      </c>
      <c r="L219" s="53" t="str">
        <f>IF(F219="","",IFERROR(INDEX(Stammdaten!$D$10:$D$49,MATCH(F219,Stammdaten!$B$10:$B$49,0)),"–"))</f>
        <v>Teamzone Nord</v>
      </c>
      <c r="M219" s="54" t="str">
        <f>IF(C219="","",IF(OR(F219="",G219="",I219=""),"unvollständig",IF(I219="Storniert","storniert",IF(WEEKDAY(C219,2)&gt;5,"Wochenende",IF(COUNTIF(Stammdaten!$AD$10:$AD$30,C219)&gt;0,"Feiertag",IF(IFERROR(INDEX(Stammdaten!$I$10:$I$49,MATCH(F219,Stammdaten!$B$10:$B$49,0)),"")="Gesperrt","Platz gesperrt",IF(AND(COUNTIF($P$6:$P$605,P219)&gt;1,NOT(AND(COUNTIF($P$6:$P$605,P219)=2,COUNTIFS($P$6:$P$605,P219,$H$6:$H$605,"Vormittag")=1,COUNTIFS($P$6:$P$605,P219,$H$6:$H$605,"Nachmittag")=1))),"Doppelbuchung",IF(AND(COUNTIF($R$6:$R$605,R219)&gt;1,NOT(AND(COUNTIF($R$6:$R$605,R219)=2,COUNTIFS($R$6:$R$605,R219,$H$6:$H$605,"Vormittag")=1,COUNTIFS($R$6:$R$605,R219,$H$6:$H$605,"Nachmittag")=1))),"Person doppelt","OK"))))))))</f>
        <v>OK</v>
      </c>
      <c r="O219" s="55">
        <f t="shared" si="24"/>
        <v>1</v>
      </c>
      <c r="P219" s="55" t="str">
        <f t="shared" si="25"/>
        <v>A-05|46309</v>
      </c>
      <c r="Q219" s="55" t="str">
        <f>IF(P219="","",P219&amp;"|"&amp;COUNTIF(P$6:P219,P219))</f>
        <v>A-05|46309|1</v>
      </c>
      <c r="R219" s="55" t="str">
        <f t="shared" si="26"/>
        <v>Lena Hartmann|46309</v>
      </c>
      <c r="S219" s="55" t="str">
        <f>IF(R219="","",R219&amp;"|"&amp;COUNTIF(R$6:R219,R219))</f>
        <v>Lena Hartmann|46309|1</v>
      </c>
      <c r="T219" s="55" t="str">
        <f>IF(G219="","",IFERROR(INDEX(Stammdaten!$O$10:$O$69,MATCH(G219,Stammdaten!$N$10:$N$69,0)),G219)&amp;IF(H219="Vormittag"," (VM)",IF(H219="Nachmittag"," (NM)",""))&amp;IF(I219="Angefragt"," ?",""))</f>
        <v>L. Hartmann</v>
      </c>
      <c r="U219" s="55" t="str">
        <f t="shared" si="27"/>
        <v>A-05</v>
      </c>
    </row>
    <row r="220" spans="2:21" ht="16.5" customHeight="1" x14ac:dyDescent="0.25">
      <c r="B220" s="47">
        <f t="shared" si="21"/>
        <v>215</v>
      </c>
      <c r="C220" s="48">
        <v>46309</v>
      </c>
      <c r="D220" s="49" t="str">
        <f t="shared" si="22"/>
        <v>Mi</v>
      </c>
      <c r="E220" s="50">
        <f t="shared" si="23"/>
        <v>42</v>
      </c>
      <c r="F220" s="51" t="s">
        <v>82</v>
      </c>
      <c r="G220" s="52" t="s">
        <v>75</v>
      </c>
      <c r="H220" s="51" t="s">
        <v>76</v>
      </c>
      <c r="I220" s="51" t="s">
        <v>77</v>
      </c>
      <c r="J220" s="52"/>
      <c r="K220" s="53" t="str">
        <f>IF(G220="","",IFERROR(INDEX(Stammdaten!$P$10:$P$69,MATCH(G220,Stammdaten!$N$10:$N$69,0)),"–"))</f>
        <v>Marketing</v>
      </c>
      <c r="L220" s="53" t="str">
        <f>IF(F220="","",IFERROR(INDEX(Stammdaten!$D$10:$D$49,MATCH(F220,Stammdaten!$B$10:$B$49,0)),"–"))</f>
        <v>Teamzone Nord</v>
      </c>
      <c r="M220" s="54" t="str">
        <f>IF(C220="","",IF(OR(F220="",G220="",I220=""),"unvollständig",IF(I220="Storniert","storniert",IF(WEEKDAY(C220,2)&gt;5,"Wochenende",IF(COUNTIF(Stammdaten!$AD$10:$AD$30,C220)&gt;0,"Feiertag",IF(IFERROR(INDEX(Stammdaten!$I$10:$I$49,MATCH(F220,Stammdaten!$B$10:$B$49,0)),"")="Gesperrt","Platz gesperrt",IF(AND(COUNTIF($P$6:$P$605,P220)&gt;1,NOT(AND(COUNTIF($P$6:$P$605,P220)=2,COUNTIFS($P$6:$P$605,P220,$H$6:$H$605,"Vormittag")=1,COUNTIFS($P$6:$P$605,P220,$H$6:$H$605,"Nachmittag")=1))),"Doppelbuchung",IF(AND(COUNTIF($R$6:$R$605,R220)&gt;1,NOT(AND(COUNTIF($R$6:$R$605,R220)=2,COUNTIFS($R$6:$R$605,R220,$H$6:$H$605,"Vormittag")=1,COUNTIFS($R$6:$R$605,R220,$H$6:$H$605,"Nachmittag")=1))),"Person doppelt","OK"))))))))</f>
        <v>OK</v>
      </c>
      <c r="O220" s="55">
        <f t="shared" si="24"/>
        <v>1</v>
      </c>
      <c r="P220" s="55" t="str">
        <f t="shared" si="25"/>
        <v>A-06|46309</v>
      </c>
      <c r="Q220" s="55" t="str">
        <f>IF(P220="","",P220&amp;"|"&amp;COUNTIF(P$6:P220,P220))</f>
        <v>A-06|46309|1</v>
      </c>
      <c r="R220" s="55" t="str">
        <f t="shared" si="26"/>
        <v>Marco Seidel|46309</v>
      </c>
      <c r="S220" s="55" t="str">
        <f>IF(R220="","",R220&amp;"|"&amp;COUNTIF(R$6:R220,R220))</f>
        <v>Marco Seidel|46309|1</v>
      </c>
      <c r="T220" s="55" t="str">
        <f>IF(G220="","",IFERROR(INDEX(Stammdaten!$O$10:$O$69,MATCH(G220,Stammdaten!$N$10:$N$69,0)),G220)&amp;IF(H220="Vormittag"," (VM)",IF(H220="Nachmittag"," (NM)",""))&amp;IF(I220="Angefragt"," ?",""))</f>
        <v>M. Seidel</v>
      </c>
      <c r="U220" s="55" t="str">
        <f t="shared" si="27"/>
        <v>A-06</v>
      </c>
    </row>
    <row r="221" spans="2:21" ht="16.5" customHeight="1" x14ac:dyDescent="0.25">
      <c r="B221" s="47">
        <f t="shared" si="21"/>
        <v>216</v>
      </c>
      <c r="C221" s="48">
        <v>46309</v>
      </c>
      <c r="D221" s="49" t="str">
        <f t="shared" si="22"/>
        <v>Mi</v>
      </c>
      <c r="E221" s="50">
        <f t="shared" si="23"/>
        <v>42</v>
      </c>
      <c r="F221" s="51" t="s">
        <v>84</v>
      </c>
      <c r="G221" s="52" t="s">
        <v>87</v>
      </c>
      <c r="H221" s="51" t="s">
        <v>76</v>
      </c>
      <c r="I221" s="51" t="s">
        <v>77</v>
      </c>
      <c r="J221" s="52"/>
      <c r="K221" s="53" t="str">
        <f>IF(G221="","",IFERROR(INDEX(Stammdaten!$P$10:$P$69,MATCH(G221,Stammdaten!$N$10:$N$69,0)),"–"))</f>
        <v>Marketing</v>
      </c>
      <c r="L221" s="53" t="str">
        <f>IF(F221="","",IFERROR(INDEX(Stammdaten!$D$10:$D$49,MATCH(F221,Stammdaten!$B$10:$B$49,0)),"–"))</f>
        <v>Teamzone Nord</v>
      </c>
      <c r="M221" s="54" t="str">
        <f>IF(C221="","",IF(OR(F221="",G221="",I221=""),"unvollständig",IF(I221="Storniert","storniert",IF(WEEKDAY(C221,2)&gt;5,"Wochenende",IF(COUNTIF(Stammdaten!$AD$10:$AD$30,C221)&gt;0,"Feiertag",IF(IFERROR(INDEX(Stammdaten!$I$10:$I$49,MATCH(F221,Stammdaten!$B$10:$B$49,0)),"")="Gesperrt","Platz gesperrt",IF(AND(COUNTIF($P$6:$P$605,P221)&gt;1,NOT(AND(COUNTIF($P$6:$P$605,P221)=2,COUNTIFS($P$6:$P$605,P221,$H$6:$H$605,"Vormittag")=1,COUNTIFS($P$6:$P$605,P221,$H$6:$H$605,"Nachmittag")=1))),"Doppelbuchung",IF(AND(COUNTIF($R$6:$R$605,R221)&gt;1,NOT(AND(COUNTIF($R$6:$R$605,R221)=2,COUNTIFS($R$6:$R$605,R221,$H$6:$H$605,"Vormittag")=1,COUNTIFS($R$6:$R$605,R221,$H$6:$H$605,"Nachmittag")=1))),"Person doppelt","OK"))))))))</f>
        <v>OK</v>
      </c>
      <c r="O221" s="55">
        <f t="shared" si="24"/>
        <v>1</v>
      </c>
      <c r="P221" s="55" t="str">
        <f t="shared" si="25"/>
        <v>A-07|46309</v>
      </c>
      <c r="Q221" s="55" t="str">
        <f>IF(P221="","",P221&amp;"|"&amp;COUNTIF(P$6:P221,P221))</f>
        <v>A-07|46309|1</v>
      </c>
      <c r="R221" s="55" t="str">
        <f t="shared" si="26"/>
        <v>Paul Schreiber|46309</v>
      </c>
      <c r="S221" s="55" t="str">
        <f>IF(R221="","",R221&amp;"|"&amp;COUNTIF(R$6:R221,R221))</f>
        <v>Paul Schreiber|46309|1</v>
      </c>
      <c r="T221" s="55" t="str">
        <f>IF(G221="","",IFERROR(INDEX(Stammdaten!$O$10:$O$69,MATCH(G221,Stammdaten!$N$10:$N$69,0)),G221)&amp;IF(H221="Vormittag"," (VM)",IF(H221="Nachmittag"," (NM)",""))&amp;IF(I221="Angefragt"," ?",""))</f>
        <v>P. Schreiber</v>
      </c>
      <c r="U221" s="55" t="str">
        <f t="shared" si="27"/>
        <v>A-07</v>
      </c>
    </row>
    <row r="222" spans="2:21" ht="16.5" customHeight="1" x14ac:dyDescent="0.25">
      <c r="B222" s="47">
        <f t="shared" si="21"/>
        <v>217</v>
      </c>
      <c r="C222" s="48">
        <v>46309</v>
      </c>
      <c r="D222" s="49" t="str">
        <f t="shared" si="22"/>
        <v>Mi</v>
      </c>
      <c r="E222" s="50">
        <f t="shared" si="23"/>
        <v>42</v>
      </c>
      <c r="F222" s="51" t="s">
        <v>86</v>
      </c>
      <c r="G222" s="52" t="s">
        <v>108</v>
      </c>
      <c r="H222" s="51" t="s">
        <v>76</v>
      </c>
      <c r="I222" s="51" t="s">
        <v>77</v>
      </c>
      <c r="J222" s="52"/>
      <c r="K222" s="53" t="str">
        <f>IF(G222="","",IFERROR(INDEX(Stammdaten!$P$10:$P$69,MATCH(G222,Stammdaten!$N$10:$N$69,0)),"–"))</f>
        <v>Marketing</v>
      </c>
      <c r="L222" s="53" t="str">
        <f>IF(F222="","",IFERROR(INDEX(Stammdaten!$D$10:$D$49,MATCH(F222,Stammdaten!$B$10:$B$49,0)),"–"))</f>
        <v>Teamzone Nord</v>
      </c>
      <c r="M222" s="54" t="str">
        <f>IF(C222="","",IF(OR(F222="",G222="",I222=""),"unvollständig",IF(I222="Storniert","storniert",IF(WEEKDAY(C222,2)&gt;5,"Wochenende",IF(COUNTIF(Stammdaten!$AD$10:$AD$30,C222)&gt;0,"Feiertag",IF(IFERROR(INDEX(Stammdaten!$I$10:$I$49,MATCH(F222,Stammdaten!$B$10:$B$49,0)),"")="Gesperrt","Platz gesperrt",IF(AND(COUNTIF($P$6:$P$605,P222)&gt;1,NOT(AND(COUNTIF($P$6:$P$605,P222)=2,COUNTIFS($P$6:$P$605,P222,$H$6:$H$605,"Vormittag")=1,COUNTIFS($P$6:$P$605,P222,$H$6:$H$605,"Nachmittag")=1))),"Doppelbuchung",IF(AND(COUNTIF($R$6:$R$605,R222)&gt;1,NOT(AND(COUNTIF($R$6:$R$605,R222)=2,COUNTIFS($R$6:$R$605,R222,$H$6:$H$605,"Vormittag")=1,COUNTIFS($R$6:$R$605,R222,$H$6:$H$605,"Nachmittag")=1))),"Person doppelt","OK"))))))))</f>
        <v>OK</v>
      </c>
      <c r="O222" s="55">
        <f t="shared" si="24"/>
        <v>1</v>
      </c>
      <c r="P222" s="55" t="str">
        <f t="shared" si="25"/>
        <v>A-08|46309</v>
      </c>
      <c r="Q222" s="55" t="str">
        <f>IF(P222="","",P222&amp;"|"&amp;COUNTIF(P$6:P222,P222))</f>
        <v>A-08|46309|1</v>
      </c>
      <c r="R222" s="55" t="str">
        <f t="shared" si="26"/>
        <v>Aylin Demir|46309</v>
      </c>
      <c r="S222" s="55" t="str">
        <f>IF(R222="","",R222&amp;"|"&amp;COUNTIF(R$6:R222,R222))</f>
        <v>Aylin Demir|46309|1</v>
      </c>
      <c r="T222" s="55" t="str">
        <f>IF(G222="","",IFERROR(INDEX(Stammdaten!$O$10:$O$69,MATCH(G222,Stammdaten!$N$10:$N$69,0)),G222)&amp;IF(H222="Vormittag"," (VM)",IF(H222="Nachmittag"," (NM)",""))&amp;IF(I222="Angefragt"," ?",""))</f>
        <v>A. Demir</v>
      </c>
      <c r="U222" s="55" t="str">
        <f t="shared" si="27"/>
        <v>A-08</v>
      </c>
    </row>
    <row r="223" spans="2:21" ht="16.5" customHeight="1" x14ac:dyDescent="0.25">
      <c r="B223" s="47">
        <f t="shared" si="21"/>
        <v>218</v>
      </c>
      <c r="C223" s="48">
        <v>46309</v>
      </c>
      <c r="D223" s="49" t="str">
        <f t="shared" si="22"/>
        <v>Mi</v>
      </c>
      <c r="E223" s="50">
        <f t="shared" si="23"/>
        <v>42</v>
      </c>
      <c r="F223" s="51" t="s">
        <v>129</v>
      </c>
      <c r="G223" s="52" t="s">
        <v>111</v>
      </c>
      <c r="H223" s="51" t="s">
        <v>76</v>
      </c>
      <c r="I223" s="51" t="s">
        <v>77</v>
      </c>
      <c r="J223" s="52"/>
      <c r="K223" s="53" t="str">
        <f>IF(G223="","",IFERROR(INDEX(Stammdaten!$P$10:$P$69,MATCH(G223,Stammdaten!$N$10:$N$69,0)),"–"))</f>
        <v>Vertrieb</v>
      </c>
      <c r="L223" s="53" t="str">
        <f>IF(F223="","",IFERROR(INDEX(Stammdaten!$D$10:$D$49,MATCH(F223,Stammdaten!$B$10:$B$49,0)),"–"))</f>
        <v>Fokuszone</v>
      </c>
      <c r="M223" s="54" t="str">
        <f>IF(C223="","",IF(OR(F223="",G223="",I223=""),"unvollständig",IF(I223="Storniert","storniert",IF(WEEKDAY(C223,2)&gt;5,"Wochenende",IF(COUNTIF(Stammdaten!$AD$10:$AD$30,C223)&gt;0,"Feiertag",IF(IFERROR(INDEX(Stammdaten!$I$10:$I$49,MATCH(F223,Stammdaten!$B$10:$B$49,0)),"")="Gesperrt","Platz gesperrt",IF(AND(COUNTIF($P$6:$P$605,P223)&gt;1,NOT(AND(COUNTIF($P$6:$P$605,P223)=2,COUNTIFS($P$6:$P$605,P223,$H$6:$H$605,"Vormittag")=1,COUNTIFS($P$6:$P$605,P223,$H$6:$H$605,"Nachmittag")=1))),"Doppelbuchung",IF(AND(COUNTIF($R$6:$R$605,R223)&gt;1,NOT(AND(COUNTIF($R$6:$R$605,R223)=2,COUNTIFS($R$6:$R$605,R223,$H$6:$H$605,"Vormittag")=1,COUNTIFS($R$6:$R$605,R223,$H$6:$H$605,"Nachmittag")=1))),"Person doppelt","OK"))))))))</f>
        <v>OK</v>
      </c>
      <c r="O223" s="55">
        <f t="shared" si="24"/>
        <v>1</v>
      </c>
      <c r="P223" s="55" t="str">
        <f t="shared" si="25"/>
        <v>A-09|46309</v>
      </c>
      <c r="Q223" s="55" t="str">
        <f>IF(P223="","",P223&amp;"|"&amp;COUNTIF(P$6:P223,P223))</f>
        <v>A-09|46309|1</v>
      </c>
      <c r="R223" s="55" t="str">
        <f t="shared" si="26"/>
        <v>Sophie Brandt|46309</v>
      </c>
      <c r="S223" s="55" t="str">
        <f>IF(R223="","",R223&amp;"|"&amp;COUNTIF(R$6:R223,R223))</f>
        <v>Sophie Brandt|46309|1</v>
      </c>
      <c r="T223" s="55" t="str">
        <f>IF(G223="","",IFERROR(INDEX(Stammdaten!$O$10:$O$69,MATCH(G223,Stammdaten!$N$10:$N$69,0)),G223)&amp;IF(H223="Vormittag"," (VM)",IF(H223="Nachmittag"," (NM)",""))&amp;IF(I223="Angefragt"," ?",""))</f>
        <v>S. Brandt</v>
      </c>
      <c r="U223" s="55" t="str">
        <f t="shared" si="27"/>
        <v>A-09</v>
      </c>
    </row>
    <row r="224" spans="2:21" ht="16.5" customHeight="1" x14ac:dyDescent="0.25">
      <c r="B224" s="47">
        <f t="shared" si="21"/>
        <v>219</v>
      </c>
      <c r="C224" s="48">
        <v>46309</v>
      </c>
      <c r="D224" s="49" t="str">
        <f t="shared" si="22"/>
        <v>Mi</v>
      </c>
      <c r="E224" s="50">
        <f t="shared" si="23"/>
        <v>42</v>
      </c>
      <c r="F224" s="51" t="s">
        <v>113</v>
      </c>
      <c r="G224" s="52" t="s">
        <v>114</v>
      </c>
      <c r="H224" s="51" t="s">
        <v>76</v>
      </c>
      <c r="I224" s="51" t="s">
        <v>77</v>
      </c>
      <c r="J224" s="52"/>
      <c r="K224" s="53" t="str">
        <f>IF(G224="","",IFERROR(INDEX(Stammdaten!$P$10:$P$69,MATCH(G224,Stammdaten!$N$10:$N$69,0)),"–"))</f>
        <v>Projektmanagement</v>
      </c>
      <c r="L224" s="53" t="str">
        <f>IF(F224="","",IFERROR(INDEX(Stammdaten!$D$10:$D$49,MATCH(F224,Stammdaten!$B$10:$B$49,0)),"–"))</f>
        <v>Fokuszone</v>
      </c>
      <c r="M224" s="54" t="str">
        <f>IF(C224="","",IF(OR(F224="",G224="",I224=""),"unvollständig",IF(I224="Storniert","storniert",IF(WEEKDAY(C224,2)&gt;5,"Wochenende",IF(COUNTIF(Stammdaten!$AD$10:$AD$30,C224)&gt;0,"Feiertag",IF(IFERROR(INDEX(Stammdaten!$I$10:$I$49,MATCH(F224,Stammdaten!$B$10:$B$49,0)),"")="Gesperrt","Platz gesperrt",IF(AND(COUNTIF($P$6:$P$605,P224)&gt;1,NOT(AND(COUNTIF($P$6:$P$605,P224)=2,COUNTIFS($P$6:$P$605,P224,$H$6:$H$605,"Vormittag")=1,COUNTIFS($P$6:$P$605,P224,$H$6:$H$605,"Nachmittag")=1))),"Doppelbuchung",IF(AND(COUNTIF($R$6:$R$605,R224)&gt;1,NOT(AND(COUNTIF($R$6:$R$605,R224)=2,COUNTIFS($R$6:$R$605,R224,$H$6:$H$605,"Vormittag")=1,COUNTIFS($R$6:$R$605,R224,$H$6:$H$605,"Nachmittag")=1))),"Person doppelt","OK"))))))))</f>
        <v>OK</v>
      </c>
      <c r="O224" s="55">
        <f t="shared" si="24"/>
        <v>1</v>
      </c>
      <c r="P224" s="55" t="str">
        <f t="shared" si="25"/>
        <v>A-10|46309</v>
      </c>
      <c r="Q224" s="55" t="str">
        <f>IF(P224="","",P224&amp;"|"&amp;COUNTIF(P$6:P224,P224))</f>
        <v>A-10|46309|1</v>
      </c>
      <c r="R224" s="55" t="str">
        <f t="shared" si="26"/>
        <v>Isabel Marx|46309</v>
      </c>
      <c r="S224" s="55" t="str">
        <f>IF(R224="","",R224&amp;"|"&amp;COUNTIF(R$6:R224,R224))</f>
        <v>Isabel Marx|46309|1</v>
      </c>
      <c r="T224" s="55" t="str">
        <f>IF(G224="","",IFERROR(INDEX(Stammdaten!$O$10:$O$69,MATCH(G224,Stammdaten!$N$10:$N$69,0)),G224)&amp;IF(H224="Vormittag"," (VM)",IF(H224="Nachmittag"," (NM)",""))&amp;IF(I224="Angefragt"," ?",""))</f>
        <v>I. Marx</v>
      </c>
      <c r="U224" s="55" t="str">
        <f t="shared" si="27"/>
        <v>A-10</v>
      </c>
    </row>
    <row r="225" spans="2:21" ht="16.5" customHeight="1" x14ac:dyDescent="0.25">
      <c r="B225" s="47">
        <f t="shared" si="21"/>
        <v>220</v>
      </c>
      <c r="C225" s="48">
        <v>46309</v>
      </c>
      <c r="D225" s="49" t="str">
        <f t="shared" si="22"/>
        <v>Mi</v>
      </c>
      <c r="E225" s="50">
        <f t="shared" si="23"/>
        <v>42</v>
      </c>
      <c r="F225" s="51" t="s">
        <v>88</v>
      </c>
      <c r="G225" s="52" t="s">
        <v>124</v>
      </c>
      <c r="H225" s="51" t="s">
        <v>76</v>
      </c>
      <c r="I225" s="51" t="s">
        <v>77</v>
      </c>
      <c r="J225" s="52"/>
      <c r="K225" s="53" t="str">
        <f>IF(G225="","",IFERROR(INDEX(Stammdaten!$P$10:$P$69,MATCH(G225,Stammdaten!$N$10:$N$69,0)),"–"))</f>
        <v>IT</v>
      </c>
      <c r="L225" s="53" t="str">
        <f>IF(F225="","",IFERROR(INDEX(Stammdaten!$D$10:$D$49,MATCH(F225,Stammdaten!$B$10:$B$49,0)),"–"))</f>
        <v>Fokuszone</v>
      </c>
      <c r="M225" s="54" t="str">
        <f>IF(C225="","",IF(OR(F225="",G225="",I225=""),"unvollständig",IF(I225="Storniert","storniert",IF(WEEKDAY(C225,2)&gt;5,"Wochenende",IF(COUNTIF(Stammdaten!$AD$10:$AD$30,C225)&gt;0,"Feiertag",IF(IFERROR(INDEX(Stammdaten!$I$10:$I$49,MATCH(F225,Stammdaten!$B$10:$B$49,0)),"")="Gesperrt","Platz gesperrt",IF(AND(COUNTIF($P$6:$P$605,P225)&gt;1,NOT(AND(COUNTIF($P$6:$P$605,P225)=2,COUNTIFS($P$6:$P$605,P225,$H$6:$H$605,"Vormittag")=1,COUNTIFS($P$6:$P$605,P225,$H$6:$H$605,"Nachmittag")=1))),"Doppelbuchung",IF(AND(COUNTIF($R$6:$R$605,R225)&gt;1,NOT(AND(COUNTIF($R$6:$R$605,R225)=2,COUNTIFS($R$6:$R$605,R225,$H$6:$H$605,"Vormittag")=1,COUNTIFS($R$6:$R$605,R225,$H$6:$H$605,"Nachmittag")=1))),"Person doppelt","OK"))))))))</f>
        <v>OK</v>
      </c>
      <c r="O225" s="55">
        <f t="shared" si="24"/>
        <v>1</v>
      </c>
      <c r="P225" s="55" t="str">
        <f t="shared" si="25"/>
        <v>A-11|46309</v>
      </c>
      <c r="Q225" s="55" t="str">
        <f>IF(P225="","",P225&amp;"|"&amp;COUNTIF(P$6:P225,P225))</f>
        <v>A-11|46309|1</v>
      </c>
      <c r="R225" s="55" t="str">
        <f t="shared" si="26"/>
        <v>Laura Sommer|46309</v>
      </c>
      <c r="S225" s="55" t="str">
        <f>IF(R225="","",R225&amp;"|"&amp;COUNTIF(R$6:R225,R225))</f>
        <v>Laura Sommer|46309|1</v>
      </c>
      <c r="T225" s="55" t="str">
        <f>IF(G225="","",IFERROR(INDEX(Stammdaten!$O$10:$O$69,MATCH(G225,Stammdaten!$N$10:$N$69,0)),G225)&amp;IF(H225="Vormittag"," (VM)",IF(H225="Nachmittag"," (NM)",""))&amp;IF(I225="Angefragt"," ?",""))</f>
        <v>L. Sommer</v>
      </c>
      <c r="U225" s="55" t="str">
        <f t="shared" si="27"/>
        <v>A-11</v>
      </c>
    </row>
    <row r="226" spans="2:21" ht="16.5" customHeight="1" x14ac:dyDescent="0.25">
      <c r="B226" s="47">
        <f t="shared" si="21"/>
        <v>221</v>
      </c>
      <c r="C226" s="48">
        <v>46309</v>
      </c>
      <c r="D226" s="49" t="str">
        <f t="shared" si="22"/>
        <v>Mi</v>
      </c>
      <c r="E226" s="50">
        <f t="shared" si="23"/>
        <v>42</v>
      </c>
      <c r="F226" s="51" t="s">
        <v>92</v>
      </c>
      <c r="G226" s="52" t="s">
        <v>93</v>
      </c>
      <c r="H226" s="51" t="s">
        <v>76</v>
      </c>
      <c r="I226" s="51" t="s">
        <v>77</v>
      </c>
      <c r="J226" s="52"/>
      <c r="K226" s="53" t="str">
        <f>IF(G226="","",IFERROR(INDEX(Stammdaten!$P$10:$P$69,MATCH(G226,Stammdaten!$N$10:$N$69,0)),"–"))</f>
        <v>Finanzen</v>
      </c>
      <c r="L226" s="53" t="str">
        <f>IF(F226="","",IFERROR(INDEX(Stammdaten!$D$10:$D$49,MATCH(F226,Stammdaten!$B$10:$B$49,0)),"–"))</f>
        <v>Teamzone Süd</v>
      </c>
      <c r="M226" s="54" t="str">
        <f>IF(C226="","",IF(OR(F226="",G226="",I226=""),"unvollständig",IF(I226="Storniert","storniert",IF(WEEKDAY(C226,2)&gt;5,"Wochenende",IF(COUNTIF(Stammdaten!$AD$10:$AD$30,C226)&gt;0,"Feiertag",IF(IFERROR(INDEX(Stammdaten!$I$10:$I$49,MATCH(F226,Stammdaten!$B$10:$B$49,0)),"")="Gesperrt","Platz gesperrt",IF(AND(COUNTIF($P$6:$P$605,P226)&gt;1,NOT(AND(COUNTIF($P$6:$P$605,P226)=2,COUNTIFS($P$6:$P$605,P226,$H$6:$H$605,"Vormittag")=1,COUNTIFS($P$6:$P$605,P226,$H$6:$H$605,"Nachmittag")=1))),"Doppelbuchung",IF(AND(COUNTIF($R$6:$R$605,R226)&gt;1,NOT(AND(COUNTIF($R$6:$R$605,R226)=2,COUNTIFS($R$6:$R$605,R226,$H$6:$H$605,"Vormittag")=1,COUNTIFS($R$6:$R$605,R226,$H$6:$H$605,"Nachmittag")=1))),"Person doppelt","OK"))))))))</f>
        <v>OK</v>
      </c>
      <c r="O226" s="55">
        <f t="shared" si="24"/>
        <v>1</v>
      </c>
      <c r="P226" s="55" t="str">
        <f t="shared" si="25"/>
        <v>B-01|46309</v>
      </c>
      <c r="Q226" s="55" t="str">
        <f>IF(P226="","",P226&amp;"|"&amp;COUNTIF(P$6:P226,P226))</f>
        <v>B-01|46309|1</v>
      </c>
      <c r="R226" s="55" t="str">
        <f t="shared" si="26"/>
        <v>Sarah Böhm|46309</v>
      </c>
      <c r="S226" s="55" t="str">
        <f>IF(R226="","",R226&amp;"|"&amp;COUNTIF(R$6:R226,R226))</f>
        <v>Sarah Böhm|46309|1</v>
      </c>
      <c r="T226" s="55" t="str">
        <f>IF(G226="","",IFERROR(INDEX(Stammdaten!$O$10:$O$69,MATCH(G226,Stammdaten!$N$10:$N$69,0)),G226)&amp;IF(H226="Vormittag"," (VM)",IF(H226="Nachmittag"," (NM)",""))&amp;IF(I226="Angefragt"," ?",""))</f>
        <v>S. Böhm</v>
      </c>
      <c r="U226" s="55" t="str">
        <f t="shared" si="27"/>
        <v>B-01</v>
      </c>
    </row>
    <row r="227" spans="2:21" ht="16.5" customHeight="1" x14ac:dyDescent="0.25">
      <c r="B227" s="47">
        <f t="shared" si="21"/>
        <v>222</v>
      </c>
      <c r="C227" s="48">
        <v>46309</v>
      </c>
      <c r="D227" s="49" t="str">
        <f t="shared" si="22"/>
        <v>Mi</v>
      </c>
      <c r="E227" s="50">
        <f t="shared" si="23"/>
        <v>42</v>
      </c>
      <c r="F227" s="51" t="s">
        <v>94</v>
      </c>
      <c r="G227" s="52" t="s">
        <v>122</v>
      </c>
      <c r="H227" s="51" t="s">
        <v>76</v>
      </c>
      <c r="I227" s="51" t="s">
        <v>77</v>
      </c>
      <c r="J227" s="52"/>
      <c r="K227" s="53" t="str">
        <f>IF(G227="","",IFERROR(INDEX(Stammdaten!$P$10:$P$69,MATCH(G227,Stammdaten!$N$10:$N$69,0)),"–"))</f>
        <v>Personal</v>
      </c>
      <c r="L227" s="53" t="str">
        <f>IF(F227="","",IFERROR(INDEX(Stammdaten!$D$10:$D$49,MATCH(F227,Stammdaten!$B$10:$B$49,0)),"–"))</f>
        <v>Teamzone Süd</v>
      </c>
      <c r="M227" s="54" t="str">
        <f>IF(C227="","",IF(OR(F227="",G227="",I227=""),"unvollständig",IF(I227="Storniert","storniert",IF(WEEKDAY(C227,2)&gt;5,"Wochenende",IF(COUNTIF(Stammdaten!$AD$10:$AD$30,C227)&gt;0,"Feiertag",IF(IFERROR(INDEX(Stammdaten!$I$10:$I$49,MATCH(F227,Stammdaten!$B$10:$B$49,0)),"")="Gesperrt","Platz gesperrt",IF(AND(COUNTIF($P$6:$P$605,P227)&gt;1,NOT(AND(COUNTIF($P$6:$P$605,P227)=2,COUNTIFS($P$6:$P$605,P227,$H$6:$H$605,"Vormittag")=1,COUNTIFS($P$6:$P$605,P227,$H$6:$H$605,"Nachmittag")=1))),"Doppelbuchung",IF(AND(COUNTIF($R$6:$R$605,R227)&gt;1,NOT(AND(COUNTIF($R$6:$R$605,R227)=2,COUNTIFS($R$6:$R$605,R227,$H$6:$H$605,"Vormittag")=1,COUNTIFS($R$6:$R$605,R227,$H$6:$H$605,"Nachmittag")=1))),"Person doppelt","OK"))))))))</f>
        <v>OK</v>
      </c>
      <c r="O227" s="55">
        <f t="shared" si="24"/>
        <v>1</v>
      </c>
      <c r="P227" s="55" t="str">
        <f t="shared" si="25"/>
        <v>B-02|46309</v>
      </c>
      <c r="Q227" s="55" t="str">
        <f>IF(P227="","",P227&amp;"|"&amp;COUNTIF(P$6:P227,P227))</f>
        <v>B-02|46309|1</v>
      </c>
      <c r="R227" s="55" t="str">
        <f t="shared" si="26"/>
        <v>Niklas Wolf|46309</v>
      </c>
      <c r="S227" s="55" t="str">
        <f>IF(R227="","",R227&amp;"|"&amp;COUNTIF(R$6:R227,R227))</f>
        <v>Niklas Wolf|46309|1</v>
      </c>
      <c r="T227" s="55" t="str">
        <f>IF(G227="","",IFERROR(INDEX(Stammdaten!$O$10:$O$69,MATCH(G227,Stammdaten!$N$10:$N$69,0)),G227)&amp;IF(H227="Vormittag"," (VM)",IF(H227="Nachmittag"," (NM)",""))&amp;IF(I227="Angefragt"," ?",""))</f>
        <v>N. Wolf</v>
      </c>
      <c r="U227" s="55" t="str">
        <f t="shared" si="27"/>
        <v>B-02</v>
      </c>
    </row>
    <row r="228" spans="2:21" ht="16.5" customHeight="1" x14ac:dyDescent="0.25">
      <c r="B228" s="47">
        <f t="shared" si="21"/>
        <v>223</v>
      </c>
      <c r="C228" s="48">
        <v>46309</v>
      </c>
      <c r="D228" s="49" t="str">
        <f t="shared" si="22"/>
        <v>Mi</v>
      </c>
      <c r="E228" s="50">
        <f t="shared" si="23"/>
        <v>42</v>
      </c>
      <c r="F228" s="51" t="s">
        <v>119</v>
      </c>
      <c r="G228" s="52" t="s">
        <v>95</v>
      </c>
      <c r="H228" s="51" t="s">
        <v>76</v>
      </c>
      <c r="I228" s="51" t="s">
        <v>77</v>
      </c>
      <c r="J228" s="52"/>
      <c r="K228" s="53" t="str">
        <f>IF(G228="","",IFERROR(INDEX(Stammdaten!$P$10:$P$69,MATCH(G228,Stammdaten!$N$10:$N$69,0)),"–"))</f>
        <v>Finanzen</v>
      </c>
      <c r="L228" s="53" t="str">
        <f>IF(F228="","",IFERROR(INDEX(Stammdaten!$D$10:$D$49,MATCH(F228,Stammdaten!$B$10:$B$49,0)),"–"))</f>
        <v>Teamzone Süd</v>
      </c>
      <c r="M228" s="54" t="str">
        <f>IF(C228="","",IF(OR(F228="",G228="",I228=""),"unvollständig",IF(I228="Storniert","storniert",IF(WEEKDAY(C228,2)&gt;5,"Wochenende",IF(COUNTIF(Stammdaten!$AD$10:$AD$30,C228)&gt;0,"Feiertag",IF(IFERROR(INDEX(Stammdaten!$I$10:$I$49,MATCH(F228,Stammdaten!$B$10:$B$49,0)),"")="Gesperrt","Platz gesperrt",IF(AND(COUNTIF($P$6:$P$605,P228)&gt;1,NOT(AND(COUNTIF($P$6:$P$605,P228)=2,COUNTIFS($P$6:$P$605,P228,$H$6:$H$605,"Vormittag")=1,COUNTIFS($P$6:$P$605,P228,$H$6:$H$605,"Nachmittag")=1))),"Doppelbuchung",IF(AND(COUNTIF($R$6:$R$605,R228)&gt;1,NOT(AND(COUNTIF($R$6:$R$605,R228)=2,COUNTIFS($R$6:$R$605,R228,$H$6:$H$605,"Vormittag")=1,COUNTIFS($R$6:$R$605,R228,$H$6:$H$605,"Nachmittag")=1))),"Person doppelt","OK"))))))))</f>
        <v>OK</v>
      </c>
      <c r="O228" s="55">
        <f t="shared" si="24"/>
        <v>1</v>
      </c>
      <c r="P228" s="55" t="str">
        <f t="shared" si="25"/>
        <v>B-04|46309</v>
      </c>
      <c r="Q228" s="55" t="str">
        <f>IF(P228="","",P228&amp;"|"&amp;COUNTIF(P$6:P228,P228))</f>
        <v>B-04|46309|1</v>
      </c>
      <c r="R228" s="55" t="str">
        <f t="shared" si="26"/>
        <v>Hanna Roth|46309</v>
      </c>
      <c r="S228" s="55" t="str">
        <f>IF(R228="","",R228&amp;"|"&amp;COUNTIF(R$6:R228,R228))</f>
        <v>Hanna Roth|46309|1</v>
      </c>
      <c r="T228" s="55" t="str">
        <f>IF(G228="","",IFERROR(INDEX(Stammdaten!$O$10:$O$69,MATCH(G228,Stammdaten!$N$10:$N$69,0)),G228)&amp;IF(H228="Vormittag"," (VM)",IF(H228="Nachmittag"," (NM)",""))&amp;IF(I228="Angefragt"," ?",""))</f>
        <v>H. Roth</v>
      </c>
      <c r="U228" s="55" t="str">
        <f t="shared" si="27"/>
        <v>B-04</v>
      </c>
    </row>
    <row r="229" spans="2:21" ht="16.5" customHeight="1" x14ac:dyDescent="0.25">
      <c r="B229" s="47">
        <f t="shared" si="21"/>
        <v>224</v>
      </c>
      <c r="C229" s="48">
        <v>46309</v>
      </c>
      <c r="D229" s="49" t="str">
        <f t="shared" si="22"/>
        <v>Mi</v>
      </c>
      <c r="E229" s="50">
        <f t="shared" si="23"/>
        <v>42</v>
      </c>
      <c r="F229" s="51" t="s">
        <v>121</v>
      </c>
      <c r="G229" s="52" t="s">
        <v>118</v>
      </c>
      <c r="H229" s="51" t="s">
        <v>76</v>
      </c>
      <c r="I229" s="51" t="s">
        <v>77</v>
      </c>
      <c r="J229" s="52"/>
      <c r="K229" s="53" t="str">
        <f>IF(G229="","",IFERROR(INDEX(Stammdaten!$P$10:$P$69,MATCH(G229,Stammdaten!$N$10:$N$69,0)),"–"))</f>
        <v>Personal</v>
      </c>
      <c r="L229" s="53" t="str">
        <f>IF(F229="","",IFERROR(INDEX(Stammdaten!$D$10:$D$49,MATCH(F229,Stammdaten!$B$10:$B$49,0)),"–"))</f>
        <v>Teamzone Süd</v>
      </c>
      <c r="M229" s="54" t="str">
        <f>IF(C229="","",IF(OR(F229="",G229="",I229=""),"unvollständig",IF(I229="Storniert","storniert",IF(WEEKDAY(C229,2)&gt;5,"Wochenende",IF(COUNTIF(Stammdaten!$AD$10:$AD$30,C229)&gt;0,"Feiertag",IF(IFERROR(INDEX(Stammdaten!$I$10:$I$49,MATCH(F229,Stammdaten!$B$10:$B$49,0)),"")="Gesperrt","Platz gesperrt",IF(AND(COUNTIF($P$6:$P$605,P229)&gt;1,NOT(AND(COUNTIF($P$6:$P$605,P229)=2,COUNTIFS($P$6:$P$605,P229,$H$6:$H$605,"Vormittag")=1,COUNTIFS($P$6:$P$605,P229,$H$6:$H$605,"Nachmittag")=1))),"Doppelbuchung",IF(AND(COUNTIF($R$6:$R$605,R229)&gt;1,NOT(AND(COUNTIF($R$6:$R$605,R229)=2,COUNTIFS($R$6:$R$605,R229,$H$6:$H$605,"Vormittag")=1,COUNTIFS($R$6:$R$605,R229,$H$6:$H$605,"Nachmittag")=1))),"Person doppelt","OK"))))))))</f>
        <v>OK</v>
      </c>
      <c r="O229" s="55">
        <f t="shared" si="24"/>
        <v>1</v>
      </c>
      <c r="P229" s="55" t="str">
        <f t="shared" si="25"/>
        <v>B-05|46309</v>
      </c>
      <c r="Q229" s="55" t="str">
        <f>IF(P229="","",P229&amp;"|"&amp;COUNTIF(P$6:P229,P229))</f>
        <v>B-05|46309|1</v>
      </c>
      <c r="R229" s="55" t="str">
        <f t="shared" si="26"/>
        <v>Anna Lorenz|46309</v>
      </c>
      <c r="S229" s="55" t="str">
        <f>IF(R229="","",R229&amp;"|"&amp;COUNTIF(R$6:R229,R229))</f>
        <v>Anna Lorenz|46309|1</v>
      </c>
      <c r="T229" s="55" t="str">
        <f>IF(G229="","",IFERROR(INDEX(Stammdaten!$O$10:$O$69,MATCH(G229,Stammdaten!$N$10:$N$69,0)),G229)&amp;IF(H229="Vormittag"," (VM)",IF(H229="Nachmittag"," (NM)",""))&amp;IF(I229="Angefragt"," ?",""))</f>
        <v>A. Lorenz</v>
      </c>
      <c r="U229" s="55" t="str">
        <f t="shared" si="27"/>
        <v>B-05</v>
      </c>
    </row>
    <row r="230" spans="2:21" ht="16.5" customHeight="1" x14ac:dyDescent="0.25">
      <c r="B230" s="47">
        <f t="shared" si="21"/>
        <v>225</v>
      </c>
      <c r="C230" s="48">
        <v>46309</v>
      </c>
      <c r="D230" s="49" t="str">
        <f t="shared" si="22"/>
        <v>Mi</v>
      </c>
      <c r="E230" s="50">
        <f t="shared" si="23"/>
        <v>42</v>
      </c>
      <c r="F230" s="51" t="s">
        <v>98</v>
      </c>
      <c r="G230" s="52" t="s">
        <v>116</v>
      </c>
      <c r="H230" s="51" t="s">
        <v>76</v>
      </c>
      <c r="I230" s="51" t="s">
        <v>77</v>
      </c>
      <c r="J230" s="52" t="s">
        <v>141</v>
      </c>
      <c r="K230" s="53" t="str">
        <f>IF(G230="","",IFERROR(INDEX(Stammdaten!$P$10:$P$69,MATCH(G230,Stammdaten!$N$10:$N$69,0)),"–"))</f>
        <v>Finanzen</v>
      </c>
      <c r="L230" s="53" t="str">
        <f>IF(F230="","",IFERROR(INDEX(Stammdaten!$D$10:$D$49,MATCH(F230,Stammdaten!$B$10:$B$49,0)),"–"))</f>
        <v>Teamzone Süd</v>
      </c>
      <c r="M230" s="54" t="str">
        <f>IF(C230="","",IF(OR(F230="",G230="",I230=""),"unvollständig",IF(I230="Storniert","storniert",IF(WEEKDAY(C230,2)&gt;5,"Wochenende",IF(COUNTIF(Stammdaten!$AD$10:$AD$30,C230)&gt;0,"Feiertag",IF(IFERROR(INDEX(Stammdaten!$I$10:$I$49,MATCH(F230,Stammdaten!$B$10:$B$49,0)),"")="Gesperrt","Platz gesperrt",IF(AND(COUNTIF($P$6:$P$605,P230)&gt;1,NOT(AND(COUNTIF($P$6:$P$605,P230)=2,COUNTIFS($P$6:$P$605,P230,$H$6:$H$605,"Vormittag")=1,COUNTIFS($P$6:$P$605,P230,$H$6:$H$605,"Nachmittag")=1))),"Doppelbuchung",IF(AND(COUNTIF($R$6:$R$605,R230)&gt;1,NOT(AND(COUNTIF($R$6:$R$605,R230)=2,COUNTIFS($R$6:$R$605,R230,$H$6:$H$605,"Vormittag")=1,COUNTIFS($R$6:$R$605,R230,$H$6:$H$605,"Nachmittag")=1))),"Person doppelt","OK"))))))))</f>
        <v>OK</v>
      </c>
      <c r="O230" s="55">
        <f t="shared" si="24"/>
        <v>1</v>
      </c>
      <c r="P230" s="55" t="str">
        <f t="shared" si="25"/>
        <v>B-08|46309</v>
      </c>
      <c r="Q230" s="55" t="str">
        <f>IF(P230="","",P230&amp;"|"&amp;COUNTIF(P$6:P230,P230))</f>
        <v>B-08|46309|1</v>
      </c>
      <c r="R230" s="55" t="str">
        <f t="shared" si="26"/>
        <v>Julia Herrmann|46309</v>
      </c>
      <c r="S230" s="55" t="str">
        <f>IF(R230="","",R230&amp;"|"&amp;COUNTIF(R$6:R230,R230))</f>
        <v>Julia Herrmann|46309|1</v>
      </c>
      <c r="T230" s="55" t="str">
        <f>IF(G230="","",IFERROR(INDEX(Stammdaten!$O$10:$O$69,MATCH(G230,Stammdaten!$N$10:$N$69,0)),G230)&amp;IF(H230="Vormittag"," (VM)",IF(H230="Nachmittag"," (NM)",""))&amp;IF(I230="Angefragt"," ?",""))</f>
        <v>J. Herrmann</v>
      </c>
      <c r="U230" s="55" t="str">
        <f t="shared" si="27"/>
        <v>B-08</v>
      </c>
    </row>
    <row r="231" spans="2:21" ht="16.5" customHeight="1" x14ac:dyDescent="0.25">
      <c r="B231" s="47">
        <f t="shared" si="21"/>
        <v>226</v>
      </c>
      <c r="C231" s="48">
        <v>46309</v>
      </c>
      <c r="D231" s="49" t="str">
        <f t="shared" si="22"/>
        <v>Mi</v>
      </c>
      <c r="E231" s="50">
        <f t="shared" si="23"/>
        <v>42</v>
      </c>
      <c r="F231" s="51" t="s">
        <v>100</v>
      </c>
      <c r="G231" s="52" t="s">
        <v>101</v>
      </c>
      <c r="H231" s="51" t="s">
        <v>76</v>
      </c>
      <c r="I231" s="51" t="s">
        <v>77</v>
      </c>
      <c r="J231" s="52"/>
      <c r="K231" s="53" t="str">
        <f>IF(G231="","",IFERROR(INDEX(Stammdaten!$P$10:$P$69,MATCH(G231,Stammdaten!$N$10:$N$69,0)),"–"))</f>
        <v>IT</v>
      </c>
      <c r="L231" s="53" t="str">
        <f>IF(F231="","",IFERROR(INDEX(Stammdaten!$D$10:$D$49,MATCH(F231,Stammdaten!$B$10:$B$49,0)),"–"))</f>
        <v>Projektfläche</v>
      </c>
      <c r="M231" s="54" t="str">
        <f>IF(C231="","",IF(OR(F231="",G231="",I231=""),"unvollständig",IF(I231="Storniert","storniert",IF(WEEKDAY(C231,2)&gt;5,"Wochenende",IF(COUNTIF(Stammdaten!$AD$10:$AD$30,C231)&gt;0,"Feiertag",IF(IFERROR(INDEX(Stammdaten!$I$10:$I$49,MATCH(F231,Stammdaten!$B$10:$B$49,0)),"")="Gesperrt","Platz gesperrt",IF(AND(COUNTIF($P$6:$P$605,P231)&gt;1,NOT(AND(COUNTIF($P$6:$P$605,P231)=2,COUNTIFS($P$6:$P$605,P231,$H$6:$H$605,"Vormittag")=1,COUNTIFS($P$6:$P$605,P231,$H$6:$H$605,"Nachmittag")=1))),"Doppelbuchung",IF(AND(COUNTIF($R$6:$R$605,R231)&gt;1,NOT(AND(COUNTIF($R$6:$R$605,R231)=2,COUNTIFS($R$6:$R$605,R231,$H$6:$H$605,"Vormittag")=1,COUNTIFS($R$6:$R$605,R231,$H$6:$H$605,"Nachmittag")=1))),"Person doppelt","OK"))))))))</f>
        <v>OK</v>
      </c>
      <c r="O231" s="55">
        <f t="shared" si="24"/>
        <v>1</v>
      </c>
      <c r="P231" s="55" t="str">
        <f t="shared" si="25"/>
        <v>B-09|46309</v>
      </c>
      <c r="Q231" s="55" t="str">
        <f>IF(P231="","",P231&amp;"|"&amp;COUNTIF(P$6:P231,P231))</f>
        <v>B-09|46309|1</v>
      </c>
      <c r="R231" s="55" t="str">
        <f t="shared" si="26"/>
        <v>Daniel Ritter|46309</v>
      </c>
      <c r="S231" s="55" t="str">
        <f>IF(R231="","",R231&amp;"|"&amp;COUNTIF(R$6:R231,R231))</f>
        <v>Daniel Ritter|46309|1</v>
      </c>
      <c r="T231" s="55" t="str">
        <f>IF(G231="","",IFERROR(INDEX(Stammdaten!$O$10:$O$69,MATCH(G231,Stammdaten!$N$10:$N$69,0)),G231)&amp;IF(H231="Vormittag"," (VM)",IF(H231="Nachmittag"," (NM)",""))&amp;IF(I231="Angefragt"," ?",""))</f>
        <v>D. Ritter</v>
      </c>
      <c r="U231" s="55" t="str">
        <f t="shared" si="27"/>
        <v>B-09</v>
      </c>
    </row>
    <row r="232" spans="2:21" ht="16.5" customHeight="1" x14ac:dyDescent="0.25">
      <c r="B232" s="47">
        <f t="shared" si="21"/>
        <v>227</v>
      </c>
      <c r="C232" s="48">
        <v>46309</v>
      </c>
      <c r="D232" s="49" t="str">
        <f t="shared" si="22"/>
        <v>Mi</v>
      </c>
      <c r="E232" s="50">
        <f t="shared" si="23"/>
        <v>42</v>
      </c>
      <c r="F232" s="51" t="s">
        <v>102</v>
      </c>
      <c r="G232" s="52" t="s">
        <v>103</v>
      </c>
      <c r="H232" s="51" t="s">
        <v>76</v>
      </c>
      <c r="I232" s="51" t="s">
        <v>77</v>
      </c>
      <c r="J232" s="52"/>
      <c r="K232" s="53" t="str">
        <f>IF(G232="","",IFERROR(INDEX(Stammdaten!$P$10:$P$69,MATCH(G232,Stammdaten!$N$10:$N$69,0)),"–"))</f>
        <v>Projektmanagement</v>
      </c>
      <c r="L232" s="53" t="str">
        <f>IF(F232="","",IFERROR(INDEX(Stammdaten!$D$10:$D$49,MATCH(F232,Stammdaten!$B$10:$B$49,0)),"–"))</f>
        <v>Projektfläche</v>
      </c>
      <c r="M232" s="54" t="str">
        <f>IF(C232="","",IF(OR(F232="",G232="",I232=""),"unvollständig",IF(I232="Storniert","storniert",IF(WEEKDAY(C232,2)&gt;5,"Wochenende",IF(COUNTIF(Stammdaten!$AD$10:$AD$30,C232)&gt;0,"Feiertag",IF(IFERROR(INDEX(Stammdaten!$I$10:$I$49,MATCH(F232,Stammdaten!$B$10:$B$49,0)),"")="Gesperrt","Platz gesperrt",IF(AND(COUNTIF($P$6:$P$605,P232)&gt;1,NOT(AND(COUNTIF($P$6:$P$605,P232)=2,COUNTIFS($P$6:$P$605,P232,$H$6:$H$605,"Vormittag")=1,COUNTIFS($P$6:$P$605,P232,$H$6:$H$605,"Nachmittag")=1))),"Doppelbuchung",IF(AND(COUNTIF($R$6:$R$605,R232)&gt;1,NOT(AND(COUNTIF($R$6:$R$605,R232)=2,COUNTIFS($R$6:$R$605,R232,$H$6:$H$605,"Vormittag")=1,COUNTIFS($R$6:$R$605,R232,$H$6:$H$605,"Nachmittag")=1))),"Person doppelt","OK"))))))))</f>
        <v>OK</v>
      </c>
      <c r="O232" s="55">
        <f t="shared" si="24"/>
        <v>1</v>
      </c>
      <c r="P232" s="55" t="str">
        <f t="shared" si="25"/>
        <v>B-10|46309</v>
      </c>
      <c r="Q232" s="55" t="str">
        <f>IF(P232="","",P232&amp;"|"&amp;COUNTIF(P$6:P232,P232))</f>
        <v>B-10|46309|1</v>
      </c>
      <c r="R232" s="55" t="str">
        <f t="shared" si="26"/>
        <v>Kevin Brandl|46309</v>
      </c>
      <c r="S232" s="55" t="str">
        <f>IF(R232="","",R232&amp;"|"&amp;COUNTIF(R$6:R232,R232))</f>
        <v>Kevin Brandl|46309|1</v>
      </c>
      <c r="T232" s="55" t="str">
        <f>IF(G232="","",IFERROR(INDEX(Stammdaten!$O$10:$O$69,MATCH(G232,Stammdaten!$N$10:$N$69,0)),G232)&amp;IF(H232="Vormittag"," (VM)",IF(H232="Nachmittag"," (NM)",""))&amp;IF(I232="Angefragt"," ?",""))</f>
        <v>K. Brandl</v>
      </c>
      <c r="U232" s="55" t="str">
        <f t="shared" si="27"/>
        <v>B-10</v>
      </c>
    </row>
    <row r="233" spans="2:21" ht="16.5" customHeight="1" x14ac:dyDescent="0.25">
      <c r="B233" s="47">
        <f t="shared" si="21"/>
        <v>228</v>
      </c>
      <c r="C233" s="48">
        <v>46309</v>
      </c>
      <c r="D233" s="49" t="str">
        <f t="shared" si="22"/>
        <v>Mi</v>
      </c>
      <c r="E233" s="50">
        <f t="shared" si="23"/>
        <v>42</v>
      </c>
      <c r="F233" s="51" t="s">
        <v>104</v>
      </c>
      <c r="G233" s="52" t="s">
        <v>132</v>
      </c>
      <c r="H233" s="51" t="s">
        <v>76</v>
      </c>
      <c r="I233" s="51" t="s">
        <v>77</v>
      </c>
      <c r="J233" s="52"/>
      <c r="K233" s="53" t="str">
        <f>IF(G233="","",IFERROR(INDEX(Stammdaten!$P$10:$P$69,MATCH(G233,Stammdaten!$N$10:$N$69,0)),"–"))</f>
        <v>Projektmanagement</v>
      </c>
      <c r="L233" s="53" t="str">
        <f>IF(F233="","",IFERROR(INDEX(Stammdaten!$D$10:$D$49,MATCH(F233,Stammdaten!$B$10:$B$49,0)),"–"))</f>
        <v>Projektfläche</v>
      </c>
      <c r="M233" s="54" t="str">
        <f>IF(C233="","",IF(OR(F233="",G233="",I233=""),"unvollständig",IF(I233="Storniert","storniert",IF(WEEKDAY(C233,2)&gt;5,"Wochenende",IF(COUNTIF(Stammdaten!$AD$10:$AD$30,C233)&gt;0,"Feiertag",IF(IFERROR(INDEX(Stammdaten!$I$10:$I$49,MATCH(F233,Stammdaten!$B$10:$B$49,0)),"")="Gesperrt","Platz gesperrt",IF(AND(COUNTIF($P$6:$P$605,P233)&gt;1,NOT(AND(COUNTIF($P$6:$P$605,P233)=2,COUNTIFS($P$6:$P$605,P233,$H$6:$H$605,"Vormittag")=1,COUNTIFS($P$6:$P$605,P233,$H$6:$H$605,"Nachmittag")=1))),"Doppelbuchung",IF(AND(COUNTIF($R$6:$R$605,R233)&gt;1,NOT(AND(COUNTIF($R$6:$R$605,R233)=2,COUNTIFS($R$6:$R$605,R233,$H$6:$H$605,"Vormittag")=1,COUNTIFS($R$6:$R$605,R233,$H$6:$H$605,"Nachmittag")=1))),"Person doppelt","OK"))))))))</f>
        <v>OK</v>
      </c>
      <c r="O233" s="55">
        <f t="shared" si="24"/>
        <v>1</v>
      </c>
      <c r="P233" s="55" t="str">
        <f t="shared" si="25"/>
        <v>B-11|46309</v>
      </c>
      <c r="Q233" s="55" t="str">
        <f>IF(P233="","",P233&amp;"|"&amp;COUNTIF(P$6:P233,P233))</f>
        <v>B-11|46309|1</v>
      </c>
      <c r="R233" s="55" t="str">
        <f t="shared" si="26"/>
        <v>Vanessa Kraft|46309</v>
      </c>
      <c r="S233" s="55" t="str">
        <f>IF(R233="","",R233&amp;"|"&amp;COUNTIF(R$6:R233,R233))</f>
        <v>Vanessa Kraft|46309|1</v>
      </c>
      <c r="T233" s="55" t="str">
        <f>IF(G233="","",IFERROR(INDEX(Stammdaten!$O$10:$O$69,MATCH(G233,Stammdaten!$N$10:$N$69,0)),G233)&amp;IF(H233="Vormittag"," (VM)",IF(H233="Nachmittag"," (NM)",""))&amp;IF(I233="Angefragt"," ?",""))</f>
        <v>V. Kraft</v>
      </c>
      <c r="U233" s="55" t="str">
        <f t="shared" si="27"/>
        <v>B-11</v>
      </c>
    </row>
    <row r="234" spans="2:21" ht="16.5" customHeight="1" x14ac:dyDescent="0.25">
      <c r="B234" s="47">
        <f t="shared" si="21"/>
        <v>229</v>
      </c>
      <c r="C234" s="48">
        <v>46309</v>
      </c>
      <c r="D234" s="49" t="str">
        <f t="shared" si="22"/>
        <v>Mi</v>
      </c>
      <c r="E234" s="50">
        <f t="shared" si="23"/>
        <v>42</v>
      </c>
      <c r="F234" s="51" t="s">
        <v>106</v>
      </c>
      <c r="G234" s="52" t="s">
        <v>107</v>
      </c>
      <c r="H234" s="51" t="s">
        <v>76</v>
      </c>
      <c r="I234" s="51" t="s">
        <v>77</v>
      </c>
      <c r="J234" s="52"/>
      <c r="K234" s="53" t="str">
        <f>IF(G234="","",IFERROR(INDEX(Stammdaten!$P$10:$P$69,MATCH(G234,Stammdaten!$N$10:$N$69,0)),"–"))</f>
        <v>IT</v>
      </c>
      <c r="L234" s="53" t="str">
        <f>IF(F234="","",IFERROR(INDEX(Stammdaten!$D$10:$D$49,MATCH(F234,Stammdaten!$B$10:$B$49,0)),"–"))</f>
        <v>Projektfläche</v>
      </c>
      <c r="M234" s="54" t="str">
        <f>IF(C234="","",IF(OR(F234="",G234="",I234=""),"unvollständig",IF(I234="Storniert","storniert",IF(WEEKDAY(C234,2)&gt;5,"Wochenende",IF(COUNTIF(Stammdaten!$AD$10:$AD$30,C234)&gt;0,"Feiertag",IF(IFERROR(INDEX(Stammdaten!$I$10:$I$49,MATCH(F234,Stammdaten!$B$10:$B$49,0)),"")="Gesperrt","Platz gesperrt",IF(AND(COUNTIF($P$6:$P$605,P234)&gt;1,NOT(AND(COUNTIF($P$6:$P$605,P234)=2,COUNTIFS($P$6:$P$605,P234,$H$6:$H$605,"Vormittag")=1,COUNTIFS($P$6:$P$605,P234,$H$6:$H$605,"Nachmittag")=1))),"Doppelbuchung",IF(AND(COUNTIF($R$6:$R$605,R234)&gt;1,NOT(AND(COUNTIF($R$6:$R$605,R234)=2,COUNTIFS($R$6:$R$605,R234,$H$6:$H$605,"Vormittag")=1,COUNTIFS($R$6:$R$605,R234,$H$6:$H$605,"Nachmittag")=1))),"Person doppelt","OK"))))))))</f>
        <v>OK</v>
      </c>
      <c r="O234" s="55">
        <f t="shared" si="24"/>
        <v>1</v>
      </c>
      <c r="P234" s="55" t="str">
        <f t="shared" si="25"/>
        <v>B-12|46309</v>
      </c>
      <c r="Q234" s="55" t="str">
        <f>IF(P234="","",P234&amp;"|"&amp;COUNTIF(P$6:P234,P234))</f>
        <v>B-12|46309|1</v>
      </c>
      <c r="R234" s="55" t="str">
        <f t="shared" si="26"/>
        <v>Katharina Busch|46309</v>
      </c>
      <c r="S234" s="55" t="str">
        <f>IF(R234="","",R234&amp;"|"&amp;COUNTIF(R$6:R234,R234))</f>
        <v>Katharina Busch|46309|1</v>
      </c>
      <c r="T234" s="55" t="str">
        <f>IF(G234="","",IFERROR(INDEX(Stammdaten!$O$10:$O$69,MATCH(G234,Stammdaten!$N$10:$N$69,0)),G234)&amp;IF(H234="Vormittag"," (VM)",IF(H234="Nachmittag"," (NM)",""))&amp;IF(I234="Angefragt"," ?",""))</f>
        <v>K. Busch</v>
      </c>
      <c r="U234" s="55" t="str">
        <f t="shared" si="27"/>
        <v>B-12</v>
      </c>
    </row>
    <row r="235" spans="2:21" ht="16.5" customHeight="1" x14ac:dyDescent="0.25">
      <c r="B235" s="47">
        <f t="shared" si="21"/>
        <v>230</v>
      </c>
      <c r="C235" s="48">
        <v>46310</v>
      </c>
      <c r="D235" s="49" t="str">
        <f t="shared" si="22"/>
        <v>Do</v>
      </c>
      <c r="E235" s="50">
        <f t="shared" si="23"/>
        <v>42</v>
      </c>
      <c r="F235" s="51" t="s">
        <v>74</v>
      </c>
      <c r="G235" s="52" t="s">
        <v>75</v>
      </c>
      <c r="H235" s="51" t="s">
        <v>76</v>
      </c>
      <c r="I235" s="51" t="s">
        <v>77</v>
      </c>
      <c r="J235" s="52"/>
      <c r="K235" s="53" t="str">
        <f>IF(G235="","",IFERROR(INDEX(Stammdaten!$P$10:$P$69,MATCH(G235,Stammdaten!$N$10:$N$69,0)),"–"))</f>
        <v>Marketing</v>
      </c>
      <c r="L235" s="53" t="str">
        <f>IF(F235="","",IFERROR(INDEX(Stammdaten!$D$10:$D$49,MATCH(F235,Stammdaten!$B$10:$B$49,0)),"–"))</f>
        <v>Teamzone Nord</v>
      </c>
      <c r="M235" s="54" t="str">
        <f>IF(C235="","",IF(OR(F235="",G235="",I235=""),"unvollständig",IF(I235="Storniert","storniert",IF(WEEKDAY(C235,2)&gt;5,"Wochenende",IF(COUNTIF(Stammdaten!$AD$10:$AD$30,C235)&gt;0,"Feiertag",IF(IFERROR(INDEX(Stammdaten!$I$10:$I$49,MATCH(F235,Stammdaten!$B$10:$B$49,0)),"")="Gesperrt","Platz gesperrt",IF(AND(COUNTIF($P$6:$P$605,P235)&gt;1,NOT(AND(COUNTIF($P$6:$P$605,P235)=2,COUNTIFS($P$6:$P$605,P235,$H$6:$H$605,"Vormittag")=1,COUNTIFS($P$6:$P$605,P235,$H$6:$H$605,"Nachmittag")=1))),"Doppelbuchung",IF(AND(COUNTIF($R$6:$R$605,R235)&gt;1,NOT(AND(COUNTIF($R$6:$R$605,R235)=2,COUNTIFS($R$6:$R$605,R235,$H$6:$H$605,"Vormittag")=1,COUNTIFS($R$6:$R$605,R235,$H$6:$H$605,"Nachmittag")=1))),"Person doppelt","OK"))))))))</f>
        <v>OK</v>
      </c>
      <c r="O235" s="55">
        <f t="shared" si="24"/>
        <v>1</v>
      </c>
      <c r="P235" s="55" t="str">
        <f t="shared" si="25"/>
        <v>A-01|46310</v>
      </c>
      <c r="Q235" s="55" t="str">
        <f>IF(P235="","",P235&amp;"|"&amp;COUNTIF(P$6:P235,P235))</f>
        <v>A-01|46310|1</v>
      </c>
      <c r="R235" s="55" t="str">
        <f t="shared" si="26"/>
        <v>Marco Seidel|46310</v>
      </c>
      <c r="S235" s="55" t="str">
        <f>IF(R235="","",R235&amp;"|"&amp;COUNTIF(R$6:R235,R235))</f>
        <v>Marco Seidel|46310|1</v>
      </c>
      <c r="T235" s="55" t="str">
        <f>IF(G235="","",IFERROR(INDEX(Stammdaten!$O$10:$O$69,MATCH(G235,Stammdaten!$N$10:$N$69,0)),G235)&amp;IF(H235="Vormittag"," (VM)",IF(H235="Nachmittag"," (NM)",""))&amp;IF(I235="Angefragt"," ?",""))</f>
        <v>M. Seidel</v>
      </c>
      <c r="U235" s="55" t="str">
        <f t="shared" si="27"/>
        <v>A-01</v>
      </c>
    </row>
    <row r="236" spans="2:21" ht="16.5" customHeight="1" x14ac:dyDescent="0.25">
      <c r="B236" s="47">
        <f t="shared" si="21"/>
        <v>231</v>
      </c>
      <c r="C236" s="48">
        <v>46310</v>
      </c>
      <c r="D236" s="49" t="str">
        <f t="shared" si="22"/>
        <v>Do</v>
      </c>
      <c r="E236" s="50">
        <f t="shared" si="23"/>
        <v>42</v>
      </c>
      <c r="F236" s="51" t="s">
        <v>78</v>
      </c>
      <c r="G236" s="52" t="s">
        <v>79</v>
      </c>
      <c r="H236" s="51" t="s">
        <v>76</v>
      </c>
      <c r="I236" s="51" t="s">
        <v>77</v>
      </c>
      <c r="J236" s="52"/>
      <c r="K236" s="53" t="str">
        <f>IF(G236="","",IFERROR(INDEX(Stammdaten!$P$10:$P$69,MATCH(G236,Stammdaten!$N$10:$N$69,0)),"–"))</f>
        <v>Vertrieb</v>
      </c>
      <c r="L236" s="53" t="str">
        <f>IF(F236="","",IFERROR(INDEX(Stammdaten!$D$10:$D$49,MATCH(F236,Stammdaten!$B$10:$B$49,0)),"–"))</f>
        <v>Teamzone Nord</v>
      </c>
      <c r="M236" s="54" t="str">
        <f>IF(C236="","",IF(OR(F236="",G236="",I236=""),"unvollständig",IF(I236="Storniert","storniert",IF(WEEKDAY(C236,2)&gt;5,"Wochenende",IF(COUNTIF(Stammdaten!$AD$10:$AD$30,C236)&gt;0,"Feiertag",IF(IFERROR(INDEX(Stammdaten!$I$10:$I$49,MATCH(F236,Stammdaten!$B$10:$B$49,0)),"")="Gesperrt","Platz gesperrt",IF(AND(COUNTIF($P$6:$P$605,P236)&gt;1,NOT(AND(COUNTIF($P$6:$P$605,P236)=2,COUNTIFS($P$6:$P$605,P236,$H$6:$H$605,"Vormittag")=1,COUNTIFS($P$6:$P$605,P236,$H$6:$H$605,"Nachmittag")=1))),"Doppelbuchung",IF(AND(COUNTIF($R$6:$R$605,R236)&gt;1,NOT(AND(COUNTIF($R$6:$R$605,R236)=2,COUNTIFS($R$6:$R$605,R236,$H$6:$H$605,"Vormittag")=1,COUNTIFS($R$6:$R$605,R236,$H$6:$H$605,"Nachmittag")=1))),"Person doppelt","OK"))))))))</f>
        <v>OK</v>
      </c>
      <c r="O236" s="55">
        <f t="shared" si="24"/>
        <v>1</v>
      </c>
      <c r="P236" s="55" t="str">
        <f t="shared" si="25"/>
        <v>A-02|46310</v>
      </c>
      <c r="Q236" s="55" t="str">
        <f>IF(P236="","",P236&amp;"|"&amp;COUNTIF(P$6:P236,P236))</f>
        <v>A-02|46310|1</v>
      </c>
      <c r="R236" s="55" t="str">
        <f t="shared" si="26"/>
        <v>Lena Hartmann|46310</v>
      </c>
      <c r="S236" s="55" t="str">
        <f>IF(R236="","",R236&amp;"|"&amp;COUNTIF(R$6:R236,R236))</f>
        <v>Lena Hartmann|46310|1</v>
      </c>
      <c r="T236" s="55" t="str">
        <f>IF(G236="","",IFERROR(INDEX(Stammdaten!$O$10:$O$69,MATCH(G236,Stammdaten!$N$10:$N$69,0)),G236)&amp;IF(H236="Vormittag"," (VM)",IF(H236="Nachmittag"," (NM)",""))&amp;IF(I236="Angefragt"," ?",""))</f>
        <v>L. Hartmann</v>
      </c>
      <c r="U236" s="55" t="str">
        <f t="shared" si="27"/>
        <v>A-02</v>
      </c>
    </row>
    <row r="237" spans="2:21" ht="16.5" customHeight="1" x14ac:dyDescent="0.25">
      <c r="B237" s="47">
        <f t="shared" si="21"/>
        <v>232</v>
      </c>
      <c r="C237" s="48">
        <v>46310</v>
      </c>
      <c r="D237" s="49" t="str">
        <f t="shared" si="22"/>
        <v>Do</v>
      </c>
      <c r="E237" s="50">
        <f t="shared" si="23"/>
        <v>42</v>
      </c>
      <c r="F237" s="51" t="s">
        <v>110</v>
      </c>
      <c r="G237" s="52" t="s">
        <v>111</v>
      </c>
      <c r="H237" s="51" t="s">
        <v>76</v>
      </c>
      <c r="I237" s="51" t="s">
        <v>137</v>
      </c>
      <c r="J237" s="52" t="s">
        <v>138</v>
      </c>
      <c r="K237" s="53" t="str">
        <f>IF(G237="","",IFERROR(INDEX(Stammdaten!$P$10:$P$69,MATCH(G237,Stammdaten!$N$10:$N$69,0)),"–"))</f>
        <v>Vertrieb</v>
      </c>
      <c r="L237" s="53" t="str">
        <f>IF(F237="","",IFERROR(INDEX(Stammdaten!$D$10:$D$49,MATCH(F237,Stammdaten!$B$10:$B$49,0)),"–"))</f>
        <v>Teamzone Nord</v>
      </c>
      <c r="M237" s="54" t="str">
        <f>IF(C237="","",IF(OR(F237="",G237="",I237=""),"unvollständig",IF(I237="Storniert","storniert",IF(WEEKDAY(C237,2)&gt;5,"Wochenende",IF(COUNTIF(Stammdaten!$AD$10:$AD$30,C237)&gt;0,"Feiertag",IF(IFERROR(INDEX(Stammdaten!$I$10:$I$49,MATCH(F237,Stammdaten!$B$10:$B$49,0)),"")="Gesperrt","Platz gesperrt",IF(AND(COUNTIF($P$6:$P$605,P237)&gt;1,NOT(AND(COUNTIF($P$6:$P$605,P237)=2,COUNTIFS($P$6:$P$605,P237,$H$6:$H$605,"Vormittag")=1,COUNTIFS($P$6:$P$605,P237,$H$6:$H$605,"Nachmittag")=1))),"Doppelbuchung",IF(AND(COUNTIF($R$6:$R$605,R237)&gt;1,NOT(AND(COUNTIF($R$6:$R$605,R237)=2,COUNTIFS($R$6:$R$605,R237,$H$6:$H$605,"Vormittag")=1,COUNTIFS($R$6:$R$605,R237,$H$6:$H$605,"Nachmittag")=1))),"Person doppelt","OK"))))))))</f>
        <v>storniert</v>
      </c>
      <c r="O237" s="55">
        <f t="shared" si="24"/>
        <v>0</v>
      </c>
      <c r="P237" s="55" t="str">
        <f t="shared" si="25"/>
        <v/>
      </c>
      <c r="Q237" s="55" t="str">
        <f>IF(P237="","",P237&amp;"|"&amp;COUNTIF(P$6:P237,P237))</f>
        <v/>
      </c>
      <c r="R237" s="55" t="str">
        <f t="shared" si="26"/>
        <v/>
      </c>
      <c r="S237" s="55" t="str">
        <f>IF(R237="","",R237&amp;"|"&amp;COUNTIF(R$6:R237,R237))</f>
        <v/>
      </c>
      <c r="T237" s="55" t="str">
        <f>IF(G237="","",IFERROR(INDEX(Stammdaten!$O$10:$O$69,MATCH(G237,Stammdaten!$N$10:$N$69,0)),G237)&amp;IF(H237="Vormittag"," (VM)",IF(H237="Nachmittag"," (NM)",""))&amp;IF(I237="Angefragt"," ?",""))</f>
        <v>S. Brandt</v>
      </c>
      <c r="U237" s="55" t="str">
        <f t="shared" si="27"/>
        <v>A-04</v>
      </c>
    </row>
    <row r="238" spans="2:21" ht="16.5" customHeight="1" x14ac:dyDescent="0.25">
      <c r="B238" s="47">
        <f t="shared" si="21"/>
        <v>233</v>
      </c>
      <c r="C238" s="48">
        <v>46310</v>
      </c>
      <c r="D238" s="49" t="str">
        <f t="shared" si="22"/>
        <v>Do</v>
      </c>
      <c r="E238" s="50">
        <f t="shared" si="23"/>
        <v>42</v>
      </c>
      <c r="F238" s="51" t="s">
        <v>80</v>
      </c>
      <c r="G238" s="52" t="s">
        <v>85</v>
      </c>
      <c r="H238" s="51" t="s">
        <v>76</v>
      </c>
      <c r="I238" s="51" t="s">
        <v>77</v>
      </c>
      <c r="J238" s="52"/>
      <c r="K238" s="53" t="str">
        <f>IF(G238="","",IFERROR(INDEX(Stammdaten!$P$10:$P$69,MATCH(G238,Stammdaten!$N$10:$N$69,0)),"–"))</f>
        <v>Vertrieb</v>
      </c>
      <c r="L238" s="53" t="str">
        <f>IF(F238="","",IFERROR(INDEX(Stammdaten!$D$10:$D$49,MATCH(F238,Stammdaten!$B$10:$B$49,0)),"–"))</f>
        <v>Teamzone Nord</v>
      </c>
      <c r="M238" s="54" t="str">
        <f>IF(C238="","",IF(OR(F238="",G238="",I238=""),"unvollständig",IF(I238="Storniert","storniert",IF(WEEKDAY(C238,2)&gt;5,"Wochenende",IF(COUNTIF(Stammdaten!$AD$10:$AD$30,C238)&gt;0,"Feiertag",IF(IFERROR(INDEX(Stammdaten!$I$10:$I$49,MATCH(F238,Stammdaten!$B$10:$B$49,0)),"")="Gesperrt","Platz gesperrt",IF(AND(COUNTIF($P$6:$P$605,P238)&gt;1,NOT(AND(COUNTIF($P$6:$P$605,P238)=2,COUNTIFS($P$6:$P$605,P238,$H$6:$H$605,"Vormittag")=1,COUNTIFS($P$6:$P$605,P238,$H$6:$H$605,"Nachmittag")=1))),"Doppelbuchung",IF(AND(COUNTIF($R$6:$R$605,R238)&gt;1,NOT(AND(COUNTIF($R$6:$R$605,R238)=2,COUNTIFS($R$6:$R$605,R238,$H$6:$H$605,"Vormittag")=1,COUNTIFS($R$6:$R$605,R238,$H$6:$H$605,"Nachmittag")=1))),"Person doppelt","OK"))))))))</f>
        <v>OK</v>
      </c>
      <c r="O238" s="55">
        <f t="shared" si="24"/>
        <v>1</v>
      </c>
      <c r="P238" s="55" t="str">
        <f t="shared" si="25"/>
        <v>A-05|46310</v>
      </c>
      <c r="Q238" s="55" t="str">
        <f>IF(P238="","",P238&amp;"|"&amp;COUNTIF(P$6:P238,P238))</f>
        <v>A-05|46310|1</v>
      </c>
      <c r="R238" s="55" t="str">
        <f t="shared" si="26"/>
        <v>Miriam Krause|46310</v>
      </c>
      <c r="S238" s="55" t="str">
        <f>IF(R238="","",R238&amp;"|"&amp;COUNTIF(R$6:R238,R238))</f>
        <v>Miriam Krause|46310|1</v>
      </c>
      <c r="T238" s="55" t="str">
        <f>IF(G238="","",IFERROR(INDEX(Stammdaten!$O$10:$O$69,MATCH(G238,Stammdaten!$N$10:$N$69,0)),G238)&amp;IF(H238="Vormittag"," (VM)",IF(H238="Nachmittag"," (NM)",""))&amp;IF(I238="Angefragt"," ?",""))</f>
        <v>M. Krause</v>
      </c>
      <c r="U238" s="55" t="str">
        <f t="shared" si="27"/>
        <v>A-05</v>
      </c>
    </row>
    <row r="239" spans="2:21" ht="16.5" customHeight="1" x14ac:dyDescent="0.25">
      <c r="B239" s="47">
        <f t="shared" si="21"/>
        <v>234</v>
      </c>
      <c r="C239" s="48">
        <v>46310</v>
      </c>
      <c r="D239" s="49" t="str">
        <f t="shared" si="22"/>
        <v>Do</v>
      </c>
      <c r="E239" s="50">
        <f t="shared" si="23"/>
        <v>42</v>
      </c>
      <c r="F239" s="51" t="s">
        <v>86</v>
      </c>
      <c r="G239" s="52" t="s">
        <v>81</v>
      </c>
      <c r="H239" s="51" t="s">
        <v>76</v>
      </c>
      <c r="I239" s="51" t="s">
        <v>77</v>
      </c>
      <c r="J239" s="52"/>
      <c r="K239" s="53" t="str">
        <f>IF(G239="","",IFERROR(INDEX(Stammdaten!$P$10:$P$69,MATCH(G239,Stammdaten!$N$10:$N$69,0)),"–"))</f>
        <v>Vertrieb</v>
      </c>
      <c r="L239" s="53" t="str">
        <f>IF(F239="","",IFERROR(INDEX(Stammdaten!$D$10:$D$49,MATCH(F239,Stammdaten!$B$10:$B$49,0)),"–"))</f>
        <v>Teamzone Nord</v>
      </c>
      <c r="M239" s="54" t="str">
        <f>IF(C239="","",IF(OR(F239="",G239="",I239=""),"unvollständig",IF(I239="Storniert","storniert",IF(WEEKDAY(C239,2)&gt;5,"Wochenende",IF(COUNTIF(Stammdaten!$AD$10:$AD$30,C239)&gt;0,"Feiertag",IF(IFERROR(INDEX(Stammdaten!$I$10:$I$49,MATCH(F239,Stammdaten!$B$10:$B$49,0)),"")="Gesperrt","Platz gesperrt",IF(AND(COUNTIF($P$6:$P$605,P239)&gt;1,NOT(AND(COUNTIF($P$6:$P$605,P239)=2,COUNTIFS($P$6:$P$605,P239,$H$6:$H$605,"Vormittag")=1,COUNTIFS($P$6:$P$605,P239,$H$6:$H$605,"Nachmittag")=1))),"Doppelbuchung",IF(AND(COUNTIF($R$6:$R$605,R239)&gt;1,NOT(AND(COUNTIF($R$6:$R$605,R239)=2,COUNTIFS($R$6:$R$605,R239,$H$6:$H$605,"Vormittag")=1,COUNTIFS($R$6:$R$605,R239,$H$6:$H$605,"Nachmittag")=1))),"Person doppelt","OK"))))))))</f>
        <v>OK</v>
      </c>
      <c r="O239" s="55">
        <f t="shared" si="24"/>
        <v>1</v>
      </c>
      <c r="P239" s="55" t="str">
        <f t="shared" si="25"/>
        <v>A-08|46310</v>
      </c>
      <c r="Q239" s="55" t="str">
        <f>IF(P239="","",P239&amp;"|"&amp;COUNTIF(P$6:P239,P239))</f>
        <v>A-08|46310|1</v>
      </c>
      <c r="R239" s="55" t="str">
        <f t="shared" si="26"/>
        <v>Nina Albrecht|46310</v>
      </c>
      <c r="S239" s="55" t="str">
        <f>IF(R239="","",R239&amp;"|"&amp;COUNTIF(R$6:R239,R239))</f>
        <v>Nina Albrecht|46310|1</v>
      </c>
      <c r="T239" s="55" t="str">
        <f>IF(G239="","",IFERROR(INDEX(Stammdaten!$O$10:$O$69,MATCH(G239,Stammdaten!$N$10:$N$69,0)),G239)&amp;IF(H239="Vormittag"," (VM)",IF(H239="Nachmittag"," (NM)",""))&amp;IF(I239="Angefragt"," ?",""))</f>
        <v>N. Albrecht</v>
      </c>
      <c r="U239" s="55" t="str">
        <f t="shared" si="27"/>
        <v>A-08</v>
      </c>
    </row>
    <row r="240" spans="2:21" ht="16.5" customHeight="1" x14ac:dyDescent="0.25">
      <c r="B240" s="47">
        <f t="shared" si="21"/>
        <v>235</v>
      </c>
      <c r="C240" s="48">
        <v>46310</v>
      </c>
      <c r="D240" s="49" t="str">
        <f t="shared" si="22"/>
        <v>Do</v>
      </c>
      <c r="E240" s="50">
        <f t="shared" si="23"/>
        <v>42</v>
      </c>
      <c r="F240" s="51" t="s">
        <v>129</v>
      </c>
      <c r="G240" s="52" t="s">
        <v>89</v>
      </c>
      <c r="H240" s="51" t="s">
        <v>76</v>
      </c>
      <c r="I240" s="51" t="s">
        <v>77</v>
      </c>
      <c r="J240" s="52"/>
      <c r="K240" s="53" t="str">
        <f>IF(G240="","",IFERROR(INDEX(Stammdaten!$P$10:$P$69,MATCH(G240,Stammdaten!$N$10:$N$69,0)),"–"))</f>
        <v>Projektmanagement</v>
      </c>
      <c r="L240" s="53" t="str">
        <f>IF(F240="","",IFERROR(INDEX(Stammdaten!$D$10:$D$49,MATCH(F240,Stammdaten!$B$10:$B$49,0)),"–"))</f>
        <v>Fokuszone</v>
      </c>
      <c r="M240" s="54" t="str">
        <f>IF(C240="","",IF(OR(F240="",G240="",I240=""),"unvollständig",IF(I240="Storniert","storniert",IF(WEEKDAY(C240,2)&gt;5,"Wochenende",IF(COUNTIF(Stammdaten!$AD$10:$AD$30,C240)&gt;0,"Feiertag",IF(IFERROR(INDEX(Stammdaten!$I$10:$I$49,MATCH(F240,Stammdaten!$B$10:$B$49,0)),"")="Gesperrt","Platz gesperrt",IF(AND(COUNTIF($P$6:$P$605,P240)&gt;1,NOT(AND(COUNTIF($P$6:$P$605,P240)=2,COUNTIFS($P$6:$P$605,P240,$H$6:$H$605,"Vormittag")=1,COUNTIFS($P$6:$P$605,P240,$H$6:$H$605,"Nachmittag")=1))),"Doppelbuchung",IF(AND(COUNTIF($R$6:$R$605,R240)&gt;1,NOT(AND(COUNTIF($R$6:$R$605,R240)=2,COUNTIFS($R$6:$R$605,R240,$H$6:$H$605,"Vormittag")=1,COUNTIFS($R$6:$R$605,R240,$H$6:$H$605,"Nachmittag")=1))),"Person doppelt","OK"))))))))</f>
        <v>OK</v>
      </c>
      <c r="O240" s="55">
        <f t="shared" si="24"/>
        <v>1</v>
      </c>
      <c r="P240" s="55" t="str">
        <f t="shared" si="25"/>
        <v>A-09|46310</v>
      </c>
      <c r="Q240" s="55" t="str">
        <f>IF(P240="","",P240&amp;"|"&amp;COUNTIF(P$6:P240,P240))</f>
        <v>A-09|46310|1</v>
      </c>
      <c r="R240" s="55" t="str">
        <f t="shared" si="26"/>
        <v>Theresa Jung|46310</v>
      </c>
      <c r="S240" s="55" t="str">
        <f>IF(R240="","",R240&amp;"|"&amp;COUNTIF(R$6:R240,R240))</f>
        <v>Theresa Jung|46310|1</v>
      </c>
      <c r="T240" s="55" t="str">
        <f>IF(G240="","",IFERROR(INDEX(Stammdaten!$O$10:$O$69,MATCH(G240,Stammdaten!$N$10:$N$69,0)),G240)&amp;IF(H240="Vormittag"," (VM)",IF(H240="Nachmittag"," (NM)",""))&amp;IF(I240="Angefragt"," ?",""))</f>
        <v>T. Jung</v>
      </c>
      <c r="U240" s="55" t="str">
        <f t="shared" si="27"/>
        <v>A-09</v>
      </c>
    </row>
    <row r="241" spans="2:21" ht="16.5" customHeight="1" x14ac:dyDescent="0.25">
      <c r="B241" s="47">
        <f t="shared" si="21"/>
        <v>236</v>
      </c>
      <c r="C241" s="48">
        <v>46310</v>
      </c>
      <c r="D241" s="49" t="str">
        <f t="shared" si="22"/>
        <v>Do</v>
      </c>
      <c r="E241" s="50">
        <f t="shared" si="23"/>
        <v>42</v>
      </c>
      <c r="F241" s="51" t="s">
        <v>88</v>
      </c>
      <c r="G241" s="52" t="s">
        <v>114</v>
      </c>
      <c r="H241" s="51" t="s">
        <v>76</v>
      </c>
      <c r="I241" s="51" t="s">
        <v>77</v>
      </c>
      <c r="J241" s="52" t="s">
        <v>139</v>
      </c>
      <c r="K241" s="53" t="str">
        <f>IF(G241="","",IFERROR(INDEX(Stammdaten!$P$10:$P$69,MATCH(G241,Stammdaten!$N$10:$N$69,0)),"–"))</f>
        <v>Projektmanagement</v>
      </c>
      <c r="L241" s="53" t="str">
        <f>IF(F241="","",IFERROR(INDEX(Stammdaten!$D$10:$D$49,MATCH(F241,Stammdaten!$B$10:$B$49,0)),"–"))</f>
        <v>Fokuszone</v>
      </c>
      <c r="M241" s="54" t="str">
        <f>IF(C241="","",IF(OR(F241="",G241="",I241=""),"unvollständig",IF(I241="Storniert","storniert",IF(WEEKDAY(C241,2)&gt;5,"Wochenende",IF(COUNTIF(Stammdaten!$AD$10:$AD$30,C241)&gt;0,"Feiertag",IF(IFERROR(INDEX(Stammdaten!$I$10:$I$49,MATCH(F241,Stammdaten!$B$10:$B$49,0)),"")="Gesperrt","Platz gesperrt",IF(AND(COUNTIF($P$6:$P$605,P241)&gt;1,NOT(AND(COUNTIF($P$6:$P$605,P241)=2,COUNTIFS($P$6:$P$605,P241,$H$6:$H$605,"Vormittag")=1,COUNTIFS($P$6:$P$605,P241,$H$6:$H$605,"Nachmittag")=1))),"Doppelbuchung",IF(AND(COUNTIF($R$6:$R$605,R241)&gt;1,NOT(AND(COUNTIF($R$6:$R$605,R241)=2,COUNTIFS($R$6:$R$605,R241,$H$6:$H$605,"Vormittag")=1,COUNTIFS($R$6:$R$605,R241,$H$6:$H$605,"Nachmittag")=1))),"Person doppelt","OK"))))))))</f>
        <v>Doppelbuchung</v>
      </c>
      <c r="O241" s="55">
        <f t="shared" si="24"/>
        <v>1</v>
      </c>
      <c r="P241" s="55" t="str">
        <f t="shared" si="25"/>
        <v>A-11|46310</v>
      </c>
      <c r="Q241" s="55" t="str">
        <f>IF(P241="","",P241&amp;"|"&amp;COUNTIF(P$6:P241,P241))</f>
        <v>A-11|46310|1</v>
      </c>
      <c r="R241" s="55" t="str">
        <f t="shared" si="26"/>
        <v>Isabel Marx|46310</v>
      </c>
      <c r="S241" s="55" t="str">
        <f>IF(R241="","",R241&amp;"|"&amp;COUNTIF(R$6:R241,R241))</f>
        <v>Isabel Marx|46310|1</v>
      </c>
      <c r="T241" s="55" t="str">
        <f>IF(G241="","",IFERROR(INDEX(Stammdaten!$O$10:$O$69,MATCH(G241,Stammdaten!$N$10:$N$69,0)),G241)&amp;IF(H241="Vormittag"," (VM)",IF(H241="Nachmittag"," (NM)",""))&amp;IF(I241="Angefragt"," ?",""))</f>
        <v>I. Marx</v>
      </c>
      <c r="U241" s="55" t="str">
        <f t="shared" si="27"/>
        <v>A-11</v>
      </c>
    </row>
    <row r="242" spans="2:21" ht="16.5" customHeight="1" x14ac:dyDescent="0.25">
      <c r="B242" s="47">
        <f t="shared" si="21"/>
        <v>237</v>
      </c>
      <c r="C242" s="48">
        <v>46310</v>
      </c>
      <c r="D242" s="49" t="str">
        <f t="shared" si="22"/>
        <v>Do</v>
      </c>
      <c r="E242" s="50">
        <f t="shared" si="23"/>
        <v>42</v>
      </c>
      <c r="F242" s="51" t="s">
        <v>88</v>
      </c>
      <c r="G242" s="52" t="s">
        <v>83</v>
      </c>
      <c r="H242" s="51" t="s">
        <v>76</v>
      </c>
      <c r="I242" s="51" t="s">
        <v>77</v>
      </c>
      <c r="J242" s="52" t="s">
        <v>144</v>
      </c>
      <c r="K242" s="53" t="str">
        <f>IF(G242="","",IFERROR(INDEX(Stammdaten!$P$10:$P$69,MATCH(G242,Stammdaten!$N$10:$N$69,0)),"–"))</f>
        <v>Marketing</v>
      </c>
      <c r="L242" s="53" t="str">
        <f>IF(F242="","",IFERROR(INDEX(Stammdaten!$D$10:$D$49,MATCH(F242,Stammdaten!$B$10:$B$49,0)),"–"))</f>
        <v>Fokuszone</v>
      </c>
      <c r="M242" s="54" t="str">
        <f>IF(C242="","",IF(OR(F242="",G242="",I242=""),"unvollständig",IF(I242="Storniert","storniert",IF(WEEKDAY(C242,2)&gt;5,"Wochenende",IF(COUNTIF(Stammdaten!$AD$10:$AD$30,C242)&gt;0,"Feiertag",IF(IFERROR(INDEX(Stammdaten!$I$10:$I$49,MATCH(F242,Stammdaten!$B$10:$B$49,0)),"")="Gesperrt","Platz gesperrt",IF(AND(COUNTIF($P$6:$P$605,P242)&gt;1,NOT(AND(COUNTIF($P$6:$P$605,P242)=2,COUNTIFS($P$6:$P$605,P242,$H$6:$H$605,"Vormittag")=1,COUNTIFS($P$6:$P$605,P242,$H$6:$H$605,"Nachmittag")=1))),"Doppelbuchung",IF(AND(COUNTIF($R$6:$R$605,R242)&gt;1,NOT(AND(COUNTIF($R$6:$R$605,R242)=2,COUNTIFS($R$6:$R$605,R242,$H$6:$H$605,"Vormittag")=1,COUNTIFS($R$6:$R$605,R242,$H$6:$H$605,"Nachmittag")=1))),"Person doppelt","OK"))))))))</f>
        <v>Doppelbuchung</v>
      </c>
      <c r="O242" s="55">
        <f t="shared" si="24"/>
        <v>1</v>
      </c>
      <c r="P242" s="55" t="str">
        <f t="shared" si="25"/>
        <v>A-11|46310</v>
      </c>
      <c r="Q242" s="55" t="str">
        <f>IF(P242="","",P242&amp;"|"&amp;COUNTIF(P$6:P242,P242))</f>
        <v>A-11|46310|2</v>
      </c>
      <c r="R242" s="55" t="str">
        <f t="shared" si="26"/>
        <v>Felix Engel|46310</v>
      </c>
      <c r="S242" s="55" t="str">
        <f>IF(R242="","",R242&amp;"|"&amp;COUNTIF(R$6:R242,R242))</f>
        <v>Felix Engel|46310|1</v>
      </c>
      <c r="T242" s="55" t="str">
        <f>IF(G242="","",IFERROR(INDEX(Stammdaten!$O$10:$O$69,MATCH(G242,Stammdaten!$N$10:$N$69,0)),G242)&amp;IF(H242="Vormittag"," (VM)",IF(H242="Nachmittag"," (NM)",""))&amp;IF(I242="Angefragt"," ?",""))</f>
        <v>F. Engel</v>
      </c>
      <c r="U242" s="55" t="str">
        <f t="shared" si="27"/>
        <v>A-11</v>
      </c>
    </row>
    <row r="243" spans="2:21" ht="16.5" customHeight="1" x14ac:dyDescent="0.25">
      <c r="B243" s="47">
        <f t="shared" si="21"/>
        <v>238</v>
      </c>
      <c r="C243" s="48">
        <v>46310</v>
      </c>
      <c r="D243" s="49" t="str">
        <f t="shared" si="22"/>
        <v>Do</v>
      </c>
      <c r="E243" s="50">
        <f t="shared" si="23"/>
        <v>42</v>
      </c>
      <c r="F243" s="51" t="s">
        <v>90</v>
      </c>
      <c r="G243" s="52" t="s">
        <v>115</v>
      </c>
      <c r="H243" s="51" t="s">
        <v>76</v>
      </c>
      <c r="I243" s="51" t="s">
        <v>77</v>
      </c>
      <c r="J243" s="52"/>
      <c r="K243" s="53" t="str">
        <f>IF(G243="","",IFERROR(INDEX(Stammdaten!$P$10:$P$69,MATCH(G243,Stammdaten!$N$10:$N$69,0)),"–"))</f>
        <v>Projektmanagement</v>
      </c>
      <c r="L243" s="53" t="str">
        <f>IF(F243="","",IFERROR(INDEX(Stammdaten!$D$10:$D$49,MATCH(F243,Stammdaten!$B$10:$B$49,0)),"–"))</f>
        <v>Fokuszone</v>
      </c>
      <c r="M243" s="54" t="str">
        <f>IF(C243="","",IF(OR(F243="",G243="",I243=""),"unvollständig",IF(I243="Storniert","storniert",IF(WEEKDAY(C243,2)&gt;5,"Wochenende",IF(COUNTIF(Stammdaten!$AD$10:$AD$30,C243)&gt;0,"Feiertag",IF(IFERROR(INDEX(Stammdaten!$I$10:$I$49,MATCH(F243,Stammdaten!$B$10:$B$49,0)),"")="Gesperrt","Platz gesperrt",IF(AND(COUNTIF($P$6:$P$605,P243)&gt;1,NOT(AND(COUNTIF($P$6:$P$605,P243)=2,COUNTIFS($P$6:$P$605,P243,$H$6:$H$605,"Vormittag")=1,COUNTIFS($P$6:$P$605,P243,$H$6:$H$605,"Nachmittag")=1))),"Doppelbuchung",IF(AND(COUNTIF($R$6:$R$605,R243)&gt;1,NOT(AND(COUNTIF($R$6:$R$605,R243)=2,COUNTIFS($R$6:$R$605,R243,$H$6:$H$605,"Vormittag")=1,COUNTIFS($R$6:$R$605,R243,$H$6:$H$605,"Nachmittag")=1))),"Person doppelt","OK"))))))))</f>
        <v>OK</v>
      </c>
      <c r="O243" s="55">
        <f t="shared" si="24"/>
        <v>1</v>
      </c>
      <c r="P243" s="55" t="str">
        <f t="shared" si="25"/>
        <v>A-12|46310</v>
      </c>
      <c r="Q243" s="55" t="str">
        <f>IF(P243="","",P243&amp;"|"&amp;COUNTIF(P$6:P243,P243))</f>
        <v>A-12|46310|1</v>
      </c>
      <c r="R243" s="55" t="str">
        <f t="shared" si="26"/>
        <v>Jan Peters|46310</v>
      </c>
      <c r="S243" s="55" t="str">
        <f>IF(R243="","",R243&amp;"|"&amp;COUNTIF(R$6:R243,R243))</f>
        <v>Jan Peters|46310|1</v>
      </c>
      <c r="T243" s="55" t="str">
        <f>IF(G243="","",IFERROR(INDEX(Stammdaten!$O$10:$O$69,MATCH(G243,Stammdaten!$N$10:$N$69,0)),G243)&amp;IF(H243="Vormittag"," (VM)",IF(H243="Nachmittag"," (NM)",""))&amp;IF(I243="Angefragt"," ?",""))</f>
        <v>J. Peters</v>
      </c>
      <c r="U243" s="55" t="str">
        <f t="shared" si="27"/>
        <v>A-12</v>
      </c>
    </row>
    <row r="244" spans="2:21" ht="16.5" customHeight="1" x14ac:dyDescent="0.25">
      <c r="B244" s="47">
        <f t="shared" si="21"/>
        <v>239</v>
      </c>
      <c r="C244" s="48">
        <v>46310</v>
      </c>
      <c r="D244" s="49" t="str">
        <f t="shared" si="22"/>
        <v>Do</v>
      </c>
      <c r="E244" s="50">
        <f t="shared" si="23"/>
        <v>42</v>
      </c>
      <c r="F244" s="51" t="s">
        <v>92</v>
      </c>
      <c r="G244" s="52" t="s">
        <v>116</v>
      </c>
      <c r="H244" s="51" t="s">
        <v>76</v>
      </c>
      <c r="I244" s="51" t="s">
        <v>77</v>
      </c>
      <c r="J244" s="52"/>
      <c r="K244" s="53" t="str">
        <f>IF(G244="","",IFERROR(INDEX(Stammdaten!$P$10:$P$69,MATCH(G244,Stammdaten!$N$10:$N$69,0)),"–"))</f>
        <v>Finanzen</v>
      </c>
      <c r="L244" s="53" t="str">
        <f>IF(F244="","",IFERROR(INDEX(Stammdaten!$D$10:$D$49,MATCH(F244,Stammdaten!$B$10:$B$49,0)),"–"))</f>
        <v>Teamzone Süd</v>
      </c>
      <c r="M244" s="54" t="str">
        <f>IF(C244="","",IF(OR(F244="",G244="",I244=""),"unvollständig",IF(I244="Storniert","storniert",IF(WEEKDAY(C244,2)&gt;5,"Wochenende",IF(COUNTIF(Stammdaten!$AD$10:$AD$30,C244)&gt;0,"Feiertag",IF(IFERROR(INDEX(Stammdaten!$I$10:$I$49,MATCH(F244,Stammdaten!$B$10:$B$49,0)),"")="Gesperrt","Platz gesperrt",IF(AND(COUNTIF($P$6:$P$605,P244)&gt;1,NOT(AND(COUNTIF($P$6:$P$605,P244)=2,COUNTIFS($P$6:$P$605,P244,$H$6:$H$605,"Vormittag")=1,COUNTIFS($P$6:$P$605,P244,$H$6:$H$605,"Nachmittag")=1))),"Doppelbuchung",IF(AND(COUNTIF($R$6:$R$605,R244)&gt;1,NOT(AND(COUNTIF($R$6:$R$605,R244)=2,COUNTIFS($R$6:$R$605,R244,$H$6:$H$605,"Vormittag")=1,COUNTIFS($R$6:$R$605,R244,$H$6:$H$605,"Nachmittag")=1))),"Person doppelt","OK"))))))))</f>
        <v>OK</v>
      </c>
      <c r="O244" s="55">
        <f t="shared" si="24"/>
        <v>1</v>
      </c>
      <c r="P244" s="55" t="str">
        <f t="shared" si="25"/>
        <v>B-01|46310</v>
      </c>
      <c r="Q244" s="55" t="str">
        <f>IF(P244="","",P244&amp;"|"&amp;COUNTIF(P$6:P244,P244))</f>
        <v>B-01|46310|1</v>
      </c>
      <c r="R244" s="55" t="str">
        <f t="shared" si="26"/>
        <v>Julia Herrmann|46310</v>
      </c>
      <c r="S244" s="55" t="str">
        <f>IF(R244="","",R244&amp;"|"&amp;COUNTIF(R$6:R244,R244))</f>
        <v>Julia Herrmann|46310|1</v>
      </c>
      <c r="T244" s="55" t="str">
        <f>IF(G244="","",IFERROR(INDEX(Stammdaten!$O$10:$O$69,MATCH(G244,Stammdaten!$N$10:$N$69,0)),G244)&amp;IF(H244="Vormittag"," (VM)",IF(H244="Nachmittag"," (NM)",""))&amp;IF(I244="Angefragt"," ?",""))</f>
        <v>J. Herrmann</v>
      </c>
      <c r="U244" s="55" t="str">
        <f t="shared" si="27"/>
        <v>B-01</v>
      </c>
    </row>
    <row r="245" spans="2:21" ht="16.5" customHeight="1" x14ac:dyDescent="0.25">
      <c r="B245" s="47">
        <f t="shared" si="21"/>
        <v>240</v>
      </c>
      <c r="C245" s="48">
        <v>46310</v>
      </c>
      <c r="D245" s="49" t="str">
        <f t="shared" si="22"/>
        <v>Do</v>
      </c>
      <c r="E245" s="50">
        <f t="shared" si="23"/>
        <v>42</v>
      </c>
      <c r="F245" s="51" t="s">
        <v>94</v>
      </c>
      <c r="G245" s="52" t="s">
        <v>95</v>
      </c>
      <c r="H245" s="51" t="s">
        <v>76</v>
      </c>
      <c r="I245" s="51" t="s">
        <v>77</v>
      </c>
      <c r="J245" s="52"/>
      <c r="K245" s="53" t="str">
        <f>IF(G245="","",IFERROR(INDEX(Stammdaten!$P$10:$P$69,MATCH(G245,Stammdaten!$N$10:$N$69,0)),"–"))</f>
        <v>Finanzen</v>
      </c>
      <c r="L245" s="53" t="str">
        <f>IF(F245="","",IFERROR(INDEX(Stammdaten!$D$10:$D$49,MATCH(F245,Stammdaten!$B$10:$B$49,0)),"–"))</f>
        <v>Teamzone Süd</v>
      </c>
      <c r="M245" s="54" t="str">
        <f>IF(C245="","",IF(OR(F245="",G245="",I245=""),"unvollständig",IF(I245="Storniert","storniert",IF(WEEKDAY(C245,2)&gt;5,"Wochenende",IF(COUNTIF(Stammdaten!$AD$10:$AD$30,C245)&gt;0,"Feiertag",IF(IFERROR(INDEX(Stammdaten!$I$10:$I$49,MATCH(F245,Stammdaten!$B$10:$B$49,0)),"")="Gesperrt","Platz gesperrt",IF(AND(COUNTIF($P$6:$P$605,P245)&gt;1,NOT(AND(COUNTIF($P$6:$P$605,P245)=2,COUNTIFS($P$6:$P$605,P245,$H$6:$H$605,"Vormittag")=1,COUNTIFS($P$6:$P$605,P245,$H$6:$H$605,"Nachmittag")=1))),"Doppelbuchung",IF(AND(COUNTIF($R$6:$R$605,R245)&gt;1,NOT(AND(COUNTIF($R$6:$R$605,R245)=2,COUNTIFS($R$6:$R$605,R245,$H$6:$H$605,"Vormittag")=1,COUNTIFS($R$6:$R$605,R245,$H$6:$H$605,"Nachmittag")=1))),"Person doppelt","OK"))))))))</f>
        <v>OK</v>
      </c>
      <c r="O245" s="55">
        <f t="shared" si="24"/>
        <v>1</v>
      </c>
      <c r="P245" s="55" t="str">
        <f t="shared" si="25"/>
        <v>B-02|46310</v>
      </c>
      <c r="Q245" s="55" t="str">
        <f>IF(P245="","",P245&amp;"|"&amp;COUNTIF(P$6:P245,P245))</f>
        <v>B-02|46310|1</v>
      </c>
      <c r="R245" s="55" t="str">
        <f t="shared" si="26"/>
        <v>Hanna Roth|46310</v>
      </c>
      <c r="S245" s="55" t="str">
        <f>IF(R245="","",R245&amp;"|"&amp;COUNTIF(R$6:R245,R245))</f>
        <v>Hanna Roth|46310|1</v>
      </c>
      <c r="T245" s="55" t="str">
        <f>IF(G245="","",IFERROR(INDEX(Stammdaten!$O$10:$O$69,MATCH(G245,Stammdaten!$N$10:$N$69,0)),G245)&amp;IF(H245="Vormittag"," (VM)",IF(H245="Nachmittag"," (NM)",""))&amp;IF(I245="Angefragt"," ?",""))</f>
        <v>H. Roth</v>
      </c>
      <c r="U245" s="55" t="str">
        <f t="shared" si="27"/>
        <v>B-02</v>
      </c>
    </row>
    <row r="246" spans="2:21" ht="16.5" customHeight="1" x14ac:dyDescent="0.25">
      <c r="B246" s="47">
        <f t="shared" si="21"/>
        <v>241</v>
      </c>
      <c r="C246" s="48">
        <v>46310</v>
      </c>
      <c r="D246" s="49" t="str">
        <f t="shared" si="22"/>
        <v>Do</v>
      </c>
      <c r="E246" s="50">
        <f t="shared" si="23"/>
        <v>42</v>
      </c>
      <c r="F246" s="51" t="s">
        <v>117</v>
      </c>
      <c r="G246" s="52" t="s">
        <v>120</v>
      </c>
      <c r="H246" s="51" t="s">
        <v>76</v>
      </c>
      <c r="I246" s="51" t="s">
        <v>77</v>
      </c>
      <c r="J246" s="52"/>
      <c r="K246" s="53" t="str">
        <f>IF(G246="","",IFERROR(INDEX(Stammdaten!$P$10:$P$69,MATCH(G246,Stammdaten!$N$10:$N$69,0)),"–"))</f>
        <v>Personal</v>
      </c>
      <c r="L246" s="53" t="str">
        <f>IF(F246="","",IFERROR(INDEX(Stammdaten!$D$10:$D$49,MATCH(F246,Stammdaten!$B$10:$B$49,0)),"–"))</f>
        <v>Teamzone Süd</v>
      </c>
      <c r="M246" s="54" t="str">
        <f>IF(C246="","",IF(OR(F246="",G246="",I246=""),"unvollständig",IF(I246="Storniert","storniert",IF(WEEKDAY(C246,2)&gt;5,"Wochenende",IF(COUNTIF(Stammdaten!$AD$10:$AD$30,C246)&gt;0,"Feiertag",IF(IFERROR(INDEX(Stammdaten!$I$10:$I$49,MATCH(F246,Stammdaten!$B$10:$B$49,0)),"")="Gesperrt","Platz gesperrt",IF(AND(COUNTIF($P$6:$P$605,P246)&gt;1,NOT(AND(COUNTIF($P$6:$P$605,P246)=2,COUNTIFS($P$6:$P$605,P246,$H$6:$H$605,"Vormittag")=1,COUNTIFS($P$6:$P$605,P246,$H$6:$H$605,"Nachmittag")=1))),"Doppelbuchung",IF(AND(COUNTIF($R$6:$R$605,R246)&gt;1,NOT(AND(COUNTIF($R$6:$R$605,R246)=2,COUNTIFS($R$6:$R$605,R246,$H$6:$H$605,"Vormittag")=1,COUNTIFS($R$6:$R$605,R246,$H$6:$H$605,"Nachmittag")=1))),"Person doppelt","OK"))))))))</f>
        <v>OK</v>
      </c>
      <c r="O246" s="55">
        <f t="shared" si="24"/>
        <v>1</v>
      </c>
      <c r="P246" s="55" t="str">
        <f t="shared" si="25"/>
        <v>B-03|46310</v>
      </c>
      <c r="Q246" s="55" t="str">
        <f>IF(P246="","",P246&amp;"|"&amp;COUNTIF(P$6:P246,P246))</f>
        <v>B-03|46310|1</v>
      </c>
      <c r="R246" s="55" t="str">
        <f t="shared" si="26"/>
        <v>Elif Yilmaz|46310</v>
      </c>
      <c r="S246" s="55" t="str">
        <f>IF(R246="","",R246&amp;"|"&amp;COUNTIF(R$6:R246,R246))</f>
        <v>Elif Yilmaz|46310|1</v>
      </c>
      <c r="T246" s="55" t="str">
        <f>IF(G246="","",IFERROR(INDEX(Stammdaten!$O$10:$O$69,MATCH(G246,Stammdaten!$N$10:$N$69,0)),G246)&amp;IF(H246="Vormittag"," (VM)",IF(H246="Nachmittag"," (NM)",""))&amp;IF(I246="Angefragt"," ?",""))</f>
        <v>E. Yilmaz</v>
      </c>
      <c r="U246" s="55" t="str">
        <f t="shared" si="27"/>
        <v>B-03</v>
      </c>
    </row>
    <row r="247" spans="2:21" ht="16.5" customHeight="1" x14ac:dyDescent="0.25">
      <c r="B247" s="47">
        <f t="shared" si="21"/>
        <v>242</v>
      </c>
      <c r="C247" s="48">
        <v>46310</v>
      </c>
      <c r="D247" s="49" t="str">
        <f t="shared" si="22"/>
        <v>Do</v>
      </c>
      <c r="E247" s="50">
        <f t="shared" si="23"/>
        <v>42</v>
      </c>
      <c r="F247" s="51" t="s">
        <v>121</v>
      </c>
      <c r="G247" s="52" t="s">
        <v>122</v>
      </c>
      <c r="H247" s="51" t="s">
        <v>76</v>
      </c>
      <c r="I247" s="51" t="s">
        <v>77</v>
      </c>
      <c r="J247" s="52"/>
      <c r="K247" s="53" t="str">
        <f>IF(G247="","",IFERROR(INDEX(Stammdaten!$P$10:$P$69,MATCH(G247,Stammdaten!$N$10:$N$69,0)),"–"))</f>
        <v>Personal</v>
      </c>
      <c r="L247" s="53" t="str">
        <f>IF(F247="","",IFERROR(INDEX(Stammdaten!$D$10:$D$49,MATCH(F247,Stammdaten!$B$10:$B$49,0)),"–"))</f>
        <v>Teamzone Süd</v>
      </c>
      <c r="M247" s="54" t="str">
        <f>IF(C247="","",IF(OR(F247="",G247="",I247=""),"unvollständig",IF(I247="Storniert","storniert",IF(WEEKDAY(C247,2)&gt;5,"Wochenende",IF(COUNTIF(Stammdaten!$AD$10:$AD$30,C247)&gt;0,"Feiertag",IF(IFERROR(INDEX(Stammdaten!$I$10:$I$49,MATCH(F247,Stammdaten!$B$10:$B$49,0)),"")="Gesperrt","Platz gesperrt",IF(AND(COUNTIF($P$6:$P$605,P247)&gt;1,NOT(AND(COUNTIF($P$6:$P$605,P247)=2,COUNTIFS($P$6:$P$605,P247,$H$6:$H$605,"Vormittag")=1,COUNTIFS($P$6:$P$605,P247,$H$6:$H$605,"Nachmittag")=1))),"Doppelbuchung",IF(AND(COUNTIF($R$6:$R$605,R247)&gt;1,NOT(AND(COUNTIF($R$6:$R$605,R247)=2,COUNTIFS($R$6:$R$605,R247,$H$6:$H$605,"Vormittag")=1,COUNTIFS($R$6:$R$605,R247,$H$6:$H$605,"Nachmittag")=1))),"Person doppelt","OK"))))))))</f>
        <v>OK</v>
      </c>
      <c r="O247" s="55">
        <f t="shared" si="24"/>
        <v>1</v>
      </c>
      <c r="P247" s="55" t="str">
        <f t="shared" si="25"/>
        <v>B-05|46310</v>
      </c>
      <c r="Q247" s="55" t="str">
        <f>IF(P247="","",P247&amp;"|"&amp;COUNTIF(P$6:P247,P247))</f>
        <v>B-05|46310|1</v>
      </c>
      <c r="R247" s="55" t="str">
        <f t="shared" si="26"/>
        <v>Niklas Wolf|46310</v>
      </c>
      <c r="S247" s="55" t="str">
        <f>IF(R247="","",R247&amp;"|"&amp;COUNTIF(R$6:R247,R247))</f>
        <v>Niklas Wolf|46310|1</v>
      </c>
      <c r="T247" s="55" t="str">
        <f>IF(G247="","",IFERROR(INDEX(Stammdaten!$O$10:$O$69,MATCH(G247,Stammdaten!$N$10:$N$69,0)),G247)&amp;IF(H247="Vormittag"," (VM)",IF(H247="Nachmittag"," (NM)",""))&amp;IF(I247="Angefragt"," ?",""))</f>
        <v>N. Wolf</v>
      </c>
      <c r="U247" s="55" t="str">
        <f t="shared" si="27"/>
        <v>B-05</v>
      </c>
    </row>
    <row r="248" spans="2:21" ht="16.5" customHeight="1" x14ac:dyDescent="0.25">
      <c r="B248" s="47">
        <f t="shared" si="21"/>
        <v>243</v>
      </c>
      <c r="C248" s="48">
        <v>46310</v>
      </c>
      <c r="D248" s="49" t="str">
        <f t="shared" si="22"/>
        <v>Do</v>
      </c>
      <c r="E248" s="50">
        <f t="shared" si="23"/>
        <v>42</v>
      </c>
      <c r="F248" s="51" t="s">
        <v>96</v>
      </c>
      <c r="G248" s="52" t="s">
        <v>97</v>
      </c>
      <c r="H248" s="51" t="s">
        <v>76</v>
      </c>
      <c r="I248" s="51" t="s">
        <v>77</v>
      </c>
      <c r="J248" s="52"/>
      <c r="K248" s="53" t="str">
        <f>IF(G248="","",IFERROR(INDEX(Stammdaten!$P$10:$P$69,MATCH(G248,Stammdaten!$N$10:$N$69,0)),"–"))</f>
        <v>Personal</v>
      </c>
      <c r="L248" s="53" t="str">
        <f>IF(F248="","",IFERROR(INDEX(Stammdaten!$D$10:$D$49,MATCH(F248,Stammdaten!$B$10:$B$49,0)),"–"))</f>
        <v>Teamzone Süd</v>
      </c>
      <c r="M248" s="54" t="str">
        <f>IF(C248="","",IF(OR(F248="",G248="",I248=""),"unvollständig",IF(I248="Storniert","storniert",IF(WEEKDAY(C248,2)&gt;5,"Wochenende",IF(COUNTIF(Stammdaten!$AD$10:$AD$30,C248)&gt;0,"Feiertag",IF(IFERROR(INDEX(Stammdaten!$I$10:$I$49,MATCH(F248,Stammdaten!$B$10:$B$49,0)),"")="Gesperrt","Platz gesperrt",IF(AND(COUNTIF($P$6:$P$605,P248)&gt;1,NOT(AND(COUNTIF($P$6:$P$605,P248)=2,COUNTIFS($P$6:$P$605,P248,$H$6:$H$605,"Vormittag")=1,COUNTIFS($P$6:$P$605,P248,$H$6:$H$605,"Nachmittag")=1))),"Doppelbuchung",IF(AND(COUNTIF($R$6:$R$605,R248)&gt;1,NOT(AND(COUNTIF($R$6:$R$605,R248)=2,COUNTIFS($R$6:$R$605,R248,$H$6:$H$605,"Vormittag")=1,COUNTIFS($R$6:$R$605,R248,$H$6:$H$605,"Nachmittag")=1))),"Person doppelt","OK"))))))))</f>
        <v>OK</v>
      </c>
      <c r="O248" s="55">
        <f t="shared" si="24"/>
        <v>1</v>
      </c>
      <c r="P248" s="55" t="str">
        <f t="shared" si="25"/>
        <v>B-06|46310</v>
      </c>
      <c r="Q248" s="55" t="str">
        <f>IF(P248="","",P248&amp;"|"&amp;COUNTIF(P$6:P248,P248))</f>
        <v>B-06|46310|1</v>
      </c>
      <c r="R248" s="55" t="str">
        <f t="shared" si="26"/>
        <v>Moritz Keller|46310</v>
      </c>
      <c r="S248" s="55" t="str">
        <f>IF(R248="","",R248&amp;"|"&amp;COUNTIF(R$6:R248,R248))</f>
        <v>Moritz Keller|46310|1</v>
      </c>
      <c r="T248" s="55" t="str">
        <f>IF(G248="","",IFERROR(INDEX(Stammdaten!$O$10:$O$69,MATCH(G248,Stammdaten!$N$10:$N$69,0)),G248)&amp;IF(H248="Vormittag"," (VM)",IF(H248="Nachmittag"," (NM)",""))&amp;IF(I248="Angefragt"," ?",""))</f>
        <v>M. Keller</v>
      </c>
      <c r="U248" s="55" t="str">
        <f t="shared" si="27"/>
        <v>B-06</v>
      </c>
    </row>
    <row r="249" spans="2:21" ht="16.5" customHeight="1" x14ac:dyDescent="0.25">
      <c r="B249" s="47">
        <f t="shared" si="21"/>
        <v>244</v>
      </c>
      <c r="C249" s="48">
        <v>46310</v>
      </c>
      <c r="D249" s="49" t="str">
        <f t="shared" si="22"/>
        <v>Do</v>
      </c>
      <c r="E249" s="50">
        <f t="shared" si="23"/>
        <v>42</v>
      </c>
      <c r="F249" s="51" t="s">
        <v>98</v>
      </c>
      <c r="G249" s="52" t="s">
        <v>99</v>
      </c>
      <c r="H249" s="51" t="s">
        <v>76</v>
      </c>
      <c r="I249" s="51" t="s">
        <v>77</v>
      </c>
      <c r="J249" s="52"/>
      <c r="K249" s="53" t="str">
        <f>IF(G249="","",IFERROR(INDEX(Stammdaten!$P$10:$P$69,MATCH(G249,Stammdaten!$N$10:$N$69,0)),"–"))</f>
        <v>Finanzen</v>
      </c>
      <c r="L249" s="53" t="str">
        <f>IF(F249="","",IFERROR(INDEX(Stammdaten!$D$10:$D$49,MATCH(F249,Stammdaten!$B$10:$B$49,0)),"–"))</f>
        <v>Teamzone Süd</v>
      </c>
      <c r="M249" s="54" t="str">
        <f>IF(C249="","",IF(OR(F249="",G249="",I249=""),"unvollständig",IF(I249="Storniert","storniert",IF(WEEKDAY(C249,2)&gt;5,"Wochenende",IF(COUNTIF(Stammdaten!$AD$10:$AD$30,C249)&gt;0,"Feiertag",IF(IFERROR(INDEX(Stammdaten!$I$10:$I$49,MATCH(F249,Stammdaten!$B$10:$B$49,0)),"")="Gesperrt","Platz gesperrt",IF(AND(COUNTIF($P$6:$P$605,P249)&gt;1,NOT(AND(COUNTIF($P$6:$P$605,P249)=2,COUNTIFS($P$6:$P$605,P249,$H$6:$H$605,"Vormittag")=1,COUNTIFS($P$6:$P$605,P249,$H$6:$H$605,"Nachmittag")=1))),"Doppelbuchung",IF(AND(COUNTIF($R$6:$R$605,R249)&gt;1,NOT(AND(COUNTIF($R$6:$R$605,R249)=2,COUNTIFS($R$6:$R$605,R249,$H$6:$H$605,"Vormittag")=1,COUNTIFS($R$6:$R$605,R249,$H$6:$H$605,"Nachmittag")=1))),"Person doppelt","OK"))))))))</f>
        <v>OK</v>
      </c>
      <c r="O249" s="55">
        <f t="shared" si="24"/>
        <v>1</v>
      </c>
      <c r="P249" s="55" t="str">
        <f t="shared" si="25"/>
        <v>B-08|46310</v>
      </c>
      <c r="Q249" s="55" t="str">
        <f>IF(P249="","",P249&amp;"|"&amp;COUNTIF(P$6:P249,P249))</f>
        <v>B-08|46310|1</v>
      </c>
      <c r="R249" s="55" t="str">
        <f t="shared" si="26"/>
        <v>Erik Neumann|46310</v>
      </c>
      <c r="S249" s="55" t="str">
        <f>IF(R249="","",R249&amp;"|"&amp;COUNTIF(R$6:R249,R249))</f>
        <v>Erik Neumann|46310|1</v>
      </c>
      <c r="T249" s="55" t="str">
        <f>IF(G249="","",IFERROR(INDEX(Stammdaten!$O$10:$O$69,MATCH(G249,Stammdaten!$N$10:$N$69,0)),G249)&amp;IF(H249="Vormittag"," (VM)",IF(H249="Nachmittag"," (NM)",""))&amp;IF(I249="Angefragt"," ?",""))</f>
        <v>E. Neumann</v>
      </c>
      <c r="U249" s="55" t="str">
        <f t="shared" si="27"/>
        <v>B-08</v>
      </c>
    </row>
    <row r="250" spans="2:21" ht="16.5" customHeight="1" x14ac:dyDescent="0.25">
      <c r="B250" s="47">
        <f t="shared" si="21"/>
        <v>245</v>
      </c>
      <c r="C250" s="48">
        <v>46310</v>
      </c>
      <c r="D250" s="49" t="str">
        <f t="shared" si="22"/>
        <v>Do</v>
      </c>
      <c r="E250" s="50">
        <f t="shared" si="23"/>
        <v>42</v>
      </c>
      <c r="F250" s="51" t="s">
        <v>100</v>
      </c>
      <c r="G250" s="52" t="s">
        <v>101</v>
      </c>
      <c r="H250" s="51" t="s">
        <v>76</v>
      </c>
      <c r="I250" s="51" t="s">
        <v>77</v>
      </c>
      <c r="J250" s="52"/>
      <c r="K250" s="53" t="str">
        <f>IF(G250="","",IFERROR(INDEX(Stammdaten!$P$10:$P$69,MATCH(G250,Stammdaten!$N$10:$N$69,0)),"–"))</f>
        <v>IT</v>
      </c>
      <c r="L250" s="53" t="str">
        <f>IF(F250="","",IFERROR(INDEX(Stammdaten!$D$10:$D$49,MATCH(F250,Stammdaten!$B$10:$B$49,0)),"–"))</f>
        <v>Projektfläche</v>
      </c>
      <c r="M250" s="54" t="str">
        <f>IF(C250="","",IF(OR(F250="",G250="",I250=""),"unvollständig",IF(I250="Storniert","storniert",IF(WEEKDAY(C250,2)&gt;5,"Wochenende",IF(COUNTIF(Stammdaten!$AD$10:$AD$30,C250)&gt;0,"Feiertag",IF(IFERROR(INDEX(Stammdaten!$I$10:$I$49,MATCH(F250,Stammdaten!$B$10:$B$49,0)),"")="Gesperrt","Platz gesperrt",IF(AND(COUNTIF($P$6:$P$605,P250)&gt;1,NOT(AND(COUNTIF($P$6:$P$605,P250)=2,COUNTIFS($P$6:$P$605,P250,$H$6:$H$605,"Vormittag")=1,COUNTIFS($P$6:$P$605,P250,$H$6:$H$605,"Nachmittag")=1))),"Doppelbuchung",IF(AND(COUNTIF($R$6:$R$605,R250)&gt;1,NOT(AND(COUNTIF($R$6:$R$605,R250)=2,COUNTIFS($R$6:$R$605,R250,$H$6:$H$605,"Vormittag")=1,COUNTIFS($R$6:$R$605,R250,$H$6:$H$605,"Nachmittag")=1))),"Person doppelt","OK"))))))))</f>
        <v>OK</v>
      </c>
      <c r="O250" s="55">
        <f t="shared" si="24"/>
        <v>1</v>
      </c>
      <c r="P250" s="55" t="str">
        <f t="shared" si="25"/>
        <v>B-09|46310</v>
      </c>
      <c r="Q250" s="55" t="str">
        <f>IF(P250="","",P250&amp;"|"&amp;COUNTIF(P$6:P250,P250))</f>
        <v>B-09|46310|1</v>
      </c>
      <c r="R250" s="55" t="str">
        <f t="shared" si="26"/>
        <v>Daniel Ritter|46310</v>
      </c>
      <c r="S250" s="55" t="str">
        <f>IF(R250="","",R250&amp;"|"&amp;COUNTIF(R$6:R250,R250))</f>
        <v>Daniel Ritter|46310|1</v>
      </c>
      <c r="T250" s="55" t="str">
        <f>IF(G250="","",IFERROR(INDEX(Stammdaten!$O$10:$O$69,MATCH(G250,Stammdaten!$N$10:$N$69,0)),G250)&amp;IF(H250="Vormittag"," (VM)",IF(H250="Nachmittag"," (NM)",""))&amp;IF(I250="Angefragt"," ?",""))</f>
        <v>D. Ritter</v>
      </c>
      <c r="U250" s="55" t="str">
        <f t="shared" si="27"/>
        <v>B-09</v>
      </c>
    </row>
    <row r="251" spans="2:21" ht="16.5" customHeight="1" x14ac:dyDescent="0.25">
      <c r="B251" s="47">
        <f t="shared" si="21"/>
        <v>246</v>
      </c>
      <c r="C251" s="48">
        <v>46310</v>
      </c>
      <c r="D251" s="49" t="str">
        <f t="shared" si="22"/>
        <v>Do</v>
      </c>
      <c r="E251" s="50">
        <f t="shared" si="23"/>
        <v>42</v>
      </c>
      <c r="F251" s="51" t="s">
        <v>102</v>
      </c>
      <c r="G251" s="52" t="s">
        <v>132</v>
      </c>
      <c r="H251" s="51" t="s">
        <v>76</v>
      </c>
      <c r="I251" s="51" t="s">
        <v>77</v>
      </c>
      <c r="J251" s="52"/>
      <c r="K251" s="53" t="str">
        <f>IF(G251="","",IFERROR(INDEX(Stammdaten!$P$10:$P$69,MATCH(G251,Stammdaten!$N$10:$N$69,0)),"–"))</f>
        <v>Projektmanagement</v>
      </c>
      <c r="L251" s="53" t="str">
        <f>IF(F251="","",IFERROR(INDEX(Stammdaten!$D$10:$D$49,MATCH(F251,Stammdaten!$B$10:$B$49,0)),"–"))</f>
        <v>Projektfläche</v>
      </c>
      <c r="M251" s="54" t="str">
        <f>IF(C251="","",IF(OR(F251="",G251="",I251=""),"unvollständig",IF(I251="Storniert","storniert",IF(WEEKDAY(C251,2)&gt;5,"Wochenende",IF(COUNTIF(Stammdaten!$AD$10:$AD$30,C251)&gt;0,"Feiertag",IF(IFERROR(INDEX(Stammdaten!$I$10:$I$49,MATCH(F251,Stammdaten!$B$10:$B$49,0)),"")="Gesperrt","Platz gesperrt",IF(AND(COUNTIF($P$6:$P$605,P251)&gt;1,NOT(AND(COUNTIF($P$6:$P$605,P251)=2,COUNTIFS($P$6:$P$605,P251,$H$6:$H$605,"Vormittag")=1,COUNTIFS($P$6:$P$605,P251,$H$6:$H$605,"Nachmittag")=1))),"Doppelbuchung",IF(AND(COUNTIF($R$6:$R$605,R251)&gt;1,NOT(AND(COUNTIF($R$6:$R$605,R251)=2,COUNTIFS($R$6:$R$605,R251,$H$6:$H$605,"Vormittag")=1,COUNTIFS($R$6:$R$605,R251,$H$6:$H$605,"Nachmittag")=1))),"Person doppelt","OK"))))))))</f>
        <v>OK</v>
      </c>
      <c r="O251" s="55">
        <f t="shared" si="24"/>
        <v>1</v>
      </c>
      <c r="P251" s="55" t="str">
        <f t="shared" si="25"/>
        <v>B-10|46310</v>
      </c>
      <c r="Q251" s="55" t="str">
        <f>IF(P251="","",P251&amp;"|"&amp;COUNTIF(P$6:P251,P251))</f>
        <v>B-10|46310|1</v>
      </c>
      <c r="R251" s="55" t="str">
        <f t="shared" si="26"/>
        <v>Vanessa Kraft|46310</v>
      </c>
      <c r="S251" s="55" t="str">
        <f>IF(R251="","",R251&amp;"|"&amp;COUNTIF(R$6:R251,R251))</f>
        <v>Vanessa Kraft|46310|1</v>
      </c>
      <c r="T251" s="55" t="str">
        <f>IF(G251="","",IFERROR(INDEX(Stammdaten!$O$10:$O$69,MATCH(G251,Stammdaten!$N$10:$N$69,0)),G251)&amp;IF(H251="Vormittag"," (VM)",IF(H251="Nachmittag"," (NM)",""))&amp;IF(I251="Angefragt"," ?",""))</f>
        <v>V. Kraft</v>
      </c>
      <c r="U251" s="55" t="str">
        <f t="shared" si="27"/>
        <v>B-10</v>
      </c>
    </row>
    <row r="252" spans="2:21" ht="16.5" customHeight="1" x14ac:dyDescent="0.25">
      <c r="B252" s="47">
        <f t="shared" si="21"/>
        <v>247</v>
      </c>
      <c r="C252" s="48">
        <v>46310</v>
      </c>
      <c r="D252" s="49" t="str">
        <f t="shared" si="22"/>
        <v>Do</v>
      </c>
      <c r="E252" s="50">
        <f t="shared" si="23"/>
        <v>42</v>
      </c>
      <c r="F252" s="51" t="s">
        <v>106</v>
      </c>
      <c r="G252" s="52" t="s">
        <v>105</v>
      </c>
      <c r="H252" s="51" t="s">
        <v>76</v>
      </c>
      <c r="I252" s="51" t="s">
        <v>77</v>
      </c>
      <c r="J252" s="52"/>
      <c r="K252" s="53" t="str">
        <f>IF(G252="","",IFERROR(INDEX(Stammdaten!$P$10:$P$69,MATCH(G252,Stammdaten!$N$10:$N$69,0)),"–"))</f>
        <v>Projektmanagement</v>
      </c>
      <c r="L252" s="53" t="str">
        <f>IF(F252="","",IFERROR(INDEX(Stammdaten!$D$10:$D$49,MATCH(F252,Stammdaten!$B$10:$B$49,0)),"–"))</f>
        <v>Projektfläche</v>
      </c>
      <c r="M252" s="54" t="str">
        <f>IF(C252="","",IF(OR(F252="",G252="",I252=""),"unvollständig",IF(I252="Storniert","storniert",IF(WEEKDAY(C252,2)&gt;5,"Wochenende",IF(COUNTIF(Stammdaten!$AD$10:$AD$30,C252)&gt;0,"Feiertag",IF(IFERROR(INDEX(Stammdaten!$I$10:$I$49,MATCH(F252,Stammdaten!$B$10:$B$49,0)),"")="Gesperrt","Platz gesperrt",IF(AND(COUNTIF($P$6:$P$605,P252)&gt;1,NOT(AND(COUNTIF($P$6:$P$605,P252)=2,COUNTIFS($P$6:$P$605,P252,$H$6:$H$605,"Vormittag")=1,COUNTIFS($P$6:$P$605,P252,$H$6:$H$605,"Nachmittag")=1))),"Doppelbuchung",IF(AND(COUNTIF($R$6:$R$605,R252)&gt;1,NOT(AND(COUNTIF($R$6:$R$605,R252)=2,COUNTIFS($R$6:$R$605,R252,$H$6:$H$605,"Vormittag")=1,COUNTIFS($R$6:$R$605,R252,$H$6:$H$605,"Nachmittag")=1))),"Person doppelt","OK"))))))))</f>
        <v>OK</v>
      </c>
      <c r="O252" s="55">
        <f t="shared" si="24"/>
        <v>1</v>
      </c>
      <c r="P252" s="55" t="str">
        <f t="shared" si="25"/>
        <v>B-12|46310</v>
      </c>
      <c r="Q252" s="55" t="str">
        <f>IF(P252="","",P252&amp;"|"&amp;COUNTIF(P$6:P252,P252))</f>
        <v>B-12|46310|1</v>
      </c>
      <c r="R252" s="55" t="str">
        <f t="shared" si="26"/>
        <v>Philipp Haas|46310</v>
      </c>
      <c r="S252" s="55" t="str">
        <f>IF(R252="","",R252&amp;"|"&amp;COUNTIF(R$6:R252,R252))</f>
        <v>Philipp Haas|46310|1</v>
      </c>
      <c r="T252" s="55" t="str">
        <f>IF(G252="","",IFERROR(INDEX(Stammdaten!$O$10:$O$69,MATCH(G252,Stammdaten!$N$10:$N$69,0)),G252)&amp;IF(H252="Vormittag"," (VM)",IF(H252="Nachmittag"," (NM)",""))&amp;IF(I252="Angefragt"," ?",""))</f>
        <v>P. Haas</v>
      </c>
      <c r="U252" s="55" t="str">
        <f t="shared" si="27"/>
        <v>B-12</v>
      </c>
    </row>
    <row r="253" spans="2:21" ht="16.5" customHeight="1" x14ac:dyDescent="0.25">
      <c r="B253" s="47">
        <f t="shared" si="21"/>
        <v>248</v>
      </c>
      <c r="C253" s="48">
        <v>46311</v>
      </c>
      <c r="D253" s="49" t="str">
        <f t="shared" si="22"/>
        <v>Fr</v>
      </c>
      <c r="E253" s="50">
        <f t="shared" si="23"/>
        <v>42</v>
      </c>
      <c r="F253" s="51" t="s">
        <v>74</v>
      </c>
      <c r="G253" s="52" t="s">
        <v>83</v>
      </c>
      <c r="H253" s="51" t="s">
        <v>76</v>
      </c>
      <c r="I253" s="51" t="s">
        <v>77</v>
      </c>
      <c r="J253" s="52"/>
      <c r="K253" s="53" t="str">
        <f>IF(G253="","",IFERROR(INDEX(Stammdaten!$P$10:$P$69,MATCH(G253,Stammdaten!$N$10:$N$69,0)),"–"))</f>
        <v>Marketing</v>
      </c>
      <c r="L253" s="53" t="str">
        <f>IF(F253="","",IFERROR(INDEX(Stammdaten!$D$10:$D$49,MATCH(F253,Stammdaten!$B$10:$B$49,0)),"–"))</f>
        <v>Teamzone Nord</v>
      </c>
      <c r="M253" s="54" t="str">
        <f>IF(C253="","",IF(OR(F253="",G253="",I253=""),"unvollständig",IF(I253="Storniert","storniert",IF(WEEKDAY(C253,2)&gt;5,"Wochenende",IF(COUNTIF(Stammdaten!$AD$10:$AD$30,C253)&gt;0,"Feiertag",IF(IFERROR(INDEX(Stammdaten!$I$10:$I$49,MATCH(F253,Stammdaten!$B$10:$B$49,0)),"")="Gesperrt","Platz gesperrt",IF(AND(COUNTIF($P$6:$P$605,P253)&gt;1,NOT(AND(COUNTIF($P$6:$P$605,P253)=2,COUNTIFS($P$6:$P$605,P253,$H$6:$H$605,"Vormittag")=1,COUNTIFS($P$6:$P$605,P253,$H$6:$H$605,"Nachmittag")=1))),"Doppelbuchung",IF(AND(COUNTIF($R$6:$R$605,R253)&gt;1,NOT(AND(COUNTIF($R$6:$R$605,R253)=2,COUNTIFS($R$6:$R$605,R253,$H$6:$H$605,"Vormittag")=1,COUNTIFS($R$6:$R$605,R253,$H$6:$H$605,"Nachmittag")=1))),"Person doppelt","OK"))))))))</f>
        <v>OK</v>
      </c>
      <c r="O253" s="55">
        <f t="shared" si="24"/>
        <v>1</v>
      </c>
      <c r="P253" s="55" t="str">
        <f t="shared" si="25"/>
        <v>A-01|46311</v>
      </c>
      <c r="Q253" s="55" t="str">
        <f>IF(P253="","",P253&amp;"|"&amp;COUNTIF(P$6:P253,P253))</f>
        <v>A-01|46311|1</v>
      </c>
      <c r="R253" s="55" t="str">
        <f t="shared" si="26"/>
        <v>Felix Engel|46311</v>
      </c>
      <c r="S253" s="55" t="str">
        <f>IF(R253="","",R253&amp;"|"&amp;COUNTIF(R$6:R253,R253))</f>
        <v>Felix Engel|46311|1</v>
      </c>
      <c r="T253" s="55" t="str">
        <f>IF(G253="","",IFERROR(INDEX(Stammdaten!$O$10:$O$69,MATCH(G253,Stammdaten!$N$10:$N$69,0)),G253)&amp;IF(H253="Vormittag"," (VM)",IF(H253="Nachmittag"," (NM)",""))&amp;IF(I253="Angefragt"," ?",""))</f>
        <v>F. Engel</v>
      </c>
      <c r="U253" s="55" t="str">
        <f t="shared" si="27"/>
        <v>A-01</v>
      </c>
    </row>
    <row r="254" spans="2:21" ht="16.5" customHeight="1" x14ac:dyDescent="0.25">
      <c r="B254" s="47">
        <f t="shared" si="21"/>
        <v>249</v>
      </c>
      <c r="C254" s="48">
        <v>46311</v>
      </c>
      <c r="D254" s="49" t="str">
        <f t="shared" si="22"/>
        <v>Fr</v>
      </c>
      <c r="E254" s="50">
        <f t="shared" si="23"/>
        <v>42</v>
      </c>
      <c r="F254" s="51" t="s">
        <v>78</v>
      </c>
      <c r="G254" s="52" t="s">
        <v>79</v>
      </c>
      <c r="H254" s="51" t="s">
        <v>76</v>
      </c>
      <c r="I254" s="51" t="s">
        <v>77</v>
      </c>
      <c r="J254" s="52"/>
      <c r="K254" s="53" t="str">
        <f>IF(G254="","",IFERROR(INDEX(Stammdaten!$P$10:$P$69,MATCH(G254,Stammdaten!$N$10:$N$69,0)),"–"))</f>
        <v>Vertrieb</v>
      </c>
      <c r="L254" s="53" t="str">
        <f>IF(F254="","",IFERROR(INDEX(Stammdaten!$D$10:$D$49,MATCH(F254,Stammdaten!$B$10:$B$49,0)),"–"))</f>
        <v>Teamzone Nord</v>
      </c>
      <c r="M254" s="54" t="str">
        <f>IF(C254="","",IF(OR(F254="",G254="",I254=""),"unvollständig",IF(I254="Storniert","storniert",IF(WEEKDAY(C254,2)&gt;5,"Wochenende",IF(COUNTIF(Stammdaten!$AD$10:$AD$30,C254)&gt;0,"Feiertag",IF(IFERROR(INDEX(Stammdaten!$I$10:$I$49,MATCH(F254,Stammdaten!$B$10:$B$49,0)),"")="Gesperrt","Platz gesperrt",IF(AND(COUNTIF($P$6:$P$605,P254)&gt;1,NOT(AND(COUNTIF($P$6:$P$605,P254)=2,COUNTIFS($P$6:$P$605,P254,$H$6:$H$605,"Vormittag")=1,COUNTIFS($P$6:$P$605,P254,$H$6:$H$605,"Nachmittag")=1))),"Doppelbuchung",IF(AND(COUNTIF($R$6:$R$605,R254)&gt;1,NOT(AND(COUNTIF($R$6:$R$605,R254)=2,COUNTIFS($R$6:$R$605,R254,$H$6:$H$605,"Vormittag")=1,COUNTIFS($R$6:$R$605,R254,$H$6:$H$605,"Nachmittag")=1))),"Person doppelt","OK"))))))))</f>
        <v>OK</v>
      </c>
      <c r="O254" s="55">
        <f t="shared" si="24"/>
        <v>1</v>
      </c>
      <c r="P254" s="55" t="str">
        <f t="shared" si="25"/>
        <v>A-02|46311</v>
      </c>
      <c r="Q254" s="55" t="str">
        <f>IF(P254="","",P254&amp;"|"&amp;COUNTIF(P$6:P254,P254))</f>
        <v>A-02|46311|1</v>
      </c>
      <c r="R254" s="55" t="str">
        <f t="shared" si="26"/>
        <v>Lena Hartmann|46311</v>
      </c>
      <c r="S254" s="55" t="str">
        <f>IF(R254="","",R254&amp;"|"&amp;COUNTIF(R$6:R254,R254))</f>
        <v>Lena Hartmann|46311|1</v>
      </c>
      <c r="T254" s="55" t="str">
        <f>IF(G254="","",IFERROR(INDEX(Stammdaten!$O$10:$O$69,MATCH(G254,Stammdaten!$N$10:$N$69,0)),G254)&amp;IF(H254="Vormittag"," (VM)",IF(H254="Nachmittag"," (NM)",""))&amp;IF(I254="Angefragt"," ?",""))</f>
        <v>L. Hartmann</v>
      </c>
      <c r="U254" s="55" t="str">
        <f t="shared" si="27"/>
        <v>A-02</v>
      </c>
    </row>
    <row r="255" spans="2:21" ht="16.5" customHeight="1" x14ac:dyDescent="0.25">
      <c r="B255" s="47">
        <f t="shared" si="21"/>
        <v>250</v>
      </c>
      <c r="C255" s="48">
        <v>46311</v>
      </c>
      <c r="D255" s="49" t="str">
        <f t="shared" si="22"/>
        <v>Fr</v>
      </c>
      <c r="E255" s="50">
        <f t="shared" si="23"/>
        <v>42</v>
      </c>
      <c r="F255" s="51" t="s">
        <v>109</v>
      </c>
      <c r="G255" s="52" t="s">
        <v>108</v>
      </c>
      <c r="H255" s="51" t="s">
        <v>76</v>
      </c>
      <c r="I255" s="51" t="s">
        <v>77</v>
      </c>
      <c r="J255" s="52"/>
      <c r="K255" s="53" t="str">
        <f>IF(G255="","",IFERROR(INDEX(Stammdaten!$P$10:$P$69,MATCH(G255,Stammdaten!$N$10:$N$69,0)),"–"))</f>
        <v>Marketing</v>
      </c>
      <c r="L255" s="53" t="str">
        <f>IF(F255="","",IFERROR(INDEX(Stammdaten!$D$10:$D$49,MATCH(F255,Stammdaten!$B$10:$B$49,0)),"–"))</f>
        <v>Teamzone Nord</v>
      </c>
      <c r="M255" s="54" t="str">
        <f>IF(C255="","",IF(OR(F255="",G255="",I255=""),"unvollständig",IF(I255="Storniert","storniert",IF(WEEKDAY(C255,2)&gt;5,"Wochenende",IF(COUNTIF(Stammdaten!$AD$10:$AD$30,C255)&gt;0,"Feiertag",IF(IFERROR(INDEX(Stammdaten!$I$10:$I$49,MATCH(F255,Stammdaten!$B$10:$B$49,0)),"")="Gesperrt","Platz gesperrt",IF(AND(COUNTIF($P$6:$P$605,P255)&gt;1,NOT(AND(COUNTIF($P$6:$P$605,P255)=2,COUNTIFS($P$6:$P$605,P255,$H$6:$H$605,"Vormittag")=1,COUNTIFS($P$6:$P$605,P255,$H$6:$H$605,"Nachmittag")=1))),"Doppelbuchung",IF(AND(COUNTIF($R$6:$R$605,R255)&gt;1,NOT(AND(COUNTIF($R$6:$R$605,R255)=2,COUNTIFS($R$6:$R$605,R255,$H$6:$H$605,"Vormittag")=1,COUNTIFS($R$6:$R$605,R255,$H$6:$H$605,"Nachmittag")=1))),"Person doppelt","OK"))))))))</f>
        <v>OK</v>
      </c>
      <c r="O255" s="55">
        <f t="shared" si="24"/>
        <v>1</v>
      </c>
      <c r="P255" s="55" t="str">
        <f t="shared" si="25"/>
        <v>A-03|46311</v>
      </c>
      <c r="Q255" s="55" t="str">
        <f>IF(P255="","",P255&amp;"|"&amp;COUNTIF(P$6:P255,P255))</f>
        <v>A-03|46311|1</v>
      </c>
      <c r="R255" s="55" t="str">
        <f t="shared" si="26"/>
        <v>Aylin Demir|46311</v>
      </c>
      <c r="S255" s="55" t="str">
        <f>IF(R255="","",R255&amp;"|"&amp;COUNTIF(R$6:R255,R255))</f>
        <v>Aylin Demir|46311|1</v>
      </c>
      <c r="T255" s="55" t="str">
        <f>IF(G255="","",IFERROR(INDEX(Stammdaten!$O$10:$O$69,MATCH(G255,Stammdaten!$N$10:$N$69,0)),G255)&amp;IF(H255="Vormittag"," (VM)",IF(H255="Nachmittag"," (NM)",""))&amp;IF(I255="Angefragt"," ?",""))</f>
        <v>A. Demir</v>
      </c>
      <c r="U255" s="55" t="str">
        <f t="shared" si="27"/>
        <v>A-03</v>
      </c>
    </row>
    <row r="256" spans="2:21" ht="16.5" customHeight="1" x14ac:dyDescent="0.25">
      <c r="B256" s="47">
        <f t="shared" si="21"/>
        <v>251</v>
      </c>
      <c r="C256" s="48">
        <v>46311</v>
      </c>
      <c r="D256" s="49" t="str">
        <f t="shared" si="22"/>
        <v>Fr</v>
      </c>
      <c r="E256" s="50">
        <f t="shared" si="23"/>
        <v>42</v>
      </c>
      <c r="F256" s="51" t="s">
        <v>110</v>
      </c>
      <c r="G256" s="52" t="s">
        <v>127</v>
      </c>
      <c r="H256" s="51" t="s">
        <v>76</v>
      </c>
      <c r="I256" s="51" t="s">
        <v>77</v>
      </c>
      <c r="J256" s="52"/>
      <c r="K256" s="53" t="str">
        <f>IF(G256="","",IFERROR(INDEX(Stammdaten!$P$10:$P$69,MATCH(G256,Stammdaten!$N$10:$N$69,0)),"–"))</f>
        <v>Vertrieb</v>
      </c>
      <c r="L256" s="53" t="str">
        <f>IF(F256="","",IFERROR(INDEX(Stammdaten!$D$10:$D$49,MATCH(F256,Stammdaten!$B$10:$B$49,0)),"–"))</f>
        <v>Teamzone Nord</v>
      </c>
      <c r="M256" s="54" t="str">
        <f>IF(C256="","",IF(OR(F256="",G256="",I256=""),"unvollständig",IF(I256="Storniert","storniert",IF(WEEKDAY(C256,2)&gt;5,"Wochenende",IF(COUNTIF(Stammdaten!$AD$10:$AD$30,C256)&gt;0,"Feiertag",IF(IFERROR(INDEX(Stammdaten!$I$10:$I$49,MATCH(F256,Stammdaten!$B$10:$B$49,0)),"")="Gesperrt","Platz gesperrt",IF(AND(COUNTIF($P$6:$P$605,P256)&gt;1,NOT(AND(COUNTIF($P$6:$P$605,P256)=2,COUNTIFS($P$6:$P$605,P256,$H$6:$H$605,"Vormittag")=1,COUNTIFS($P$6:$P$605,P256,$H$6:$H$605,"Nachmittag")=1))),"Doppelbuchung",IF(AND(COUNTIF($R$6:$R$605,R256)&gt;1,NOT(AND(COUNTIF($R$6:$R$605,R256)=2,COUNTIFS($R$6:$R$605,R256,$H$6:$H$605,"Vormittag")=1,COUNTIFS($R$6:$R$605,R256,$H$6:$H$605,"Nachmittag")=1))),"Person doppelt","OK"))))))))</f>
        <v>OK</v>
      </c>
      <c r="O256" s="55">
        <f t="shared" si="24"/>
        <v>1</v>
      </c>
      <c r="P256" s="55" t="str">
        <f t="shared" si="25"/>
        <v>A-04|46311</v>
      </c>
      <c r="Q256" s="55" t="str">
        <f>IF(P256="","",P256&amp;"|"&amp;COUNTIF(P$6:P256,P256))</f>
        <v>A-04|46311|1</v>
      </c>
      <c r="R256" s="55" t="str">
        <f t="shared" si="26"/>
        <v>Tobias Lindner|46311</v>
      </c>
      <c r="S256" s="55" t="str">
        <f>IF(R256="","",R256&amp;"|"&amp;COUNTIF(R$6:R256,R256))</f>
        <v>Tobias Lindner|46311|1</v>
      </c>
      <c r="T256" s="55" t="str">
        <f>IF(G256="","",IFERROR(INDEX(Stammdaten!$O$10:$O$69,MATCH(G256,Stammdaten!$N$10:$N$69,0)),G256)&amp;IF(H256="Vormittag"," (VM)",IF(H256="Nachmittag"," (NM)",""))&amp;IF(I256="Angefragt"," ?",""))</f>
        <v>T. Lindner</v>
      </c>
      <c r="U256" s="55" t="str">
        <f t="shared" si="27"/>
        <v>A-04</v>
      </c>
    </row>
    <row r="257" spans="2:21" ht="16.5" customHeight="1" x14ac:dyDescent="0.25">
      <c r="B257" s="47">
        <f t="shared" si="21"/>
        <v>252</v>
      </c>
      <c r="C257" s="48">
        <v>46311</v>
      </c>
      <c r="D257" s="49" t="str">
        <f t="shared" si="22"/>
        <v>Fr</v>
      </c>
      <c r="E257" s="50">
        <f t="shared" si="23"/>
        <v>42</v>
      </c>
      <c r="F257" s="51" t="s">
        <v>80</v>
      </c>
      <c r="G257" s="52" t="s">
        <v>136</v>
      </c>
      <c r="H257" s="51" t="s">
        <v>76</v>
      </c>
      <c r="I257" s="51" t="s">
        <v>77</v>
      </c>
      <c r="J257" s="52"/>
      <c r="K257" s="53" t="str">
        <f>IF(G257="","",IFERROR(INDEX(Stammdaten!$P$10:$P$69,MATCH(G257,Stammdaten!$N$10:$N$69,0)),"–"))</f>
        <v>Vertrieb</v>
      </c>
      <c r="L257" s="53" t="str">
        <f>IF(F257="","",IFERROR(INDEX(Stammdaten!$D$10:$D$49,MATCH(F257,Stammdaten!$B$10:$B$49,0)),"–"))</f>
        <v>Teamzone Nord</v>
      </c>
      <c r="M257" s="54" t="str">
        <f>IF(C257="","",IF(OR(F257="",G257="",I257=""),"unvollständig",IF(I257="Storniert","storniert",IF(WEEKDAY(C257,2)&gt;5,"Wochenende",IF(COUNTIF(Stammdaten!$AD$10:$AD$30,C257)&gt;0,"Feiertag",IF(IFERROR(INDEX(Stammdaten!$I$10:$I$49,MATCH(F257,Stammdaten!$B$10:$B$49,0)),"")="Gesperrt","Platz gesperrt",IF(AND(COUNTIF($P$6:$P$605,P257)&gt;1,NOT(AND(COUNTIF($P$6:$P$605,P257)=2,COUNTIFS($P$6:$P$605,P257,$H$6:$H$605,"Vormittag")=1,COUNTIFS($P$6:$P$605,P257,$H$6:$H$605,"Nachmittag")=1))),"Doppelbuchung",IF(AND(COUNTIF($R$6:$R$605,R257)&gt;1,NOT(AND(COUNTIF($R$6:$R$605,R257)=2,COUNTIFS($R$6:$R$605,R257,$H$6:$H$605,"Vormittag")=1,COUNTIFS($R$6:$R$605,R257,$H$6:$H$605,"Nachmittag")=1))),"Person doppelt","OK"))))))))</f>
        <v>OK</v>
      </c>
      <c r="O257" s="55">
        <f t="shared" si="24"/>
        <v>1</v>
      </c>
      <c r="P257" s="55" t="str">
        <f t="shared" si="25"/>
        <v>A-05|46311</v>
      </c>
      <c r="Q257" s="55" t="str">
        <f>IF(P257="","",P257&amp;"|"&amp;COUNTIF(P$6:P257,P257))</f>
        <v>A-05|46311|1</v>
      </c>
      <c r="R257" s="55" t="str">
        <f t="shared" si="26"/>
        <v>David Kühn|46311</v>
      </c>
      <c r="S257" s="55" t="str">
        <f>IF(R257="","",R257&amp;"|"&amp;COUNTIF(R$6:R257,R257))</f>
        <v>David Kühn|46311|1</v>
      </c>
      <c r="T257" s="55" t="str">
        <f>IF(G257="","",IFERROR(INDEX(Stammdaten!$O$10:$O$69,MATCH(G257,Stammdaten!$N$10:$N$69,0)),G257)&amp;IF(H257="Vormittag"," (VM)",IF(H257="Nachmittag"," (NM)",""))&amp;IF(I257="Angefragt"," ?",""))</f>
        <v>D. Kühn</v>
      </c>
      <c r="U257" s="55" t="str">
        <f t="shared" si="27"/>
        <v>A-05</v>
      </c>
    </row>
    <row r="258" spans="2:21" ht="16.5" customHeight="1" x14ac:dyDescent="0.25">
      <c r="B258" s="47">
        <f t="shared" si="21"/>
        <v>253</v>
      </c>
      <c r="C258" s="48">
        <v>46311</v>
      </c>
      <c r="D258" s="49" t="str">
        <f t="shared" si="22"/>
        <v>Fr</v>
      </c>
      <c r="E258" s="50">
        <f t="shared" si="23"/>
        <v>42</v>
      </c>
      <c r="F258" s="51" t="s">
        <v>82</v>
      </c>
      <c r="G258" s="52" t="s">
        <v>87</v>
      </c>
      <c r="H258" s="51" t="s">
        <v>76</v>
      </c>
      <c r="I258" s="51" t="s">
        <v>77</v>
      </c>
      <c r="J258" s="52"/>
      <c r="K258" s="53" t="str">
        <f>IF(G258="","",IFERROR(INDEX(Stammdaten!$P$10:$P$69,MATCH(G258,Stammdaten!$N$10:$N$69,0)),"–"))</f>
        <v>Marketing</v>
      </c>
      <c r="L258" s="53" t="str">
        <f>IF(F258="","",IFERROR(INDEX(Stammdaten!$D$10:$D$49,MATCH(F258,Stammdaten!$B$10:$B$49,0)),"–"))</f>
        <v>Teamzone Nord</v>
      </c>
      <c r="M258" s="54" t="str">
        <f>IF(C258="","",IF(OR(F258="",G258="",I258=""),"unvollständig",IF(I258="Storniert","storniert",IF(WEEKDAY(C258,2)&gt;5,"Wochenende",IF(COUNTIF(Stammdaten!$AD$10:$AD$30,C258)&gt;0,"Feiertag",IF(IFERROR(INDEX(Stammdaten!$I$10:$I$49,MATCH(F258,Stammdaten!$B$10:$B$49,0)),"")="Gesperrt","Platz gesperrt",IF(AND(COUNTIF($P$6:$P$605,P258)&gt;1,NOT(AND(COUNTIF($P$6:$P$605,P258)=2,COUNTIFS($P$6:$P$605,P258,$H$6:$H$605,"Vormittag")=1,COUNTIFS($P$6:$P$605,P258,$H$6:$H$605,"Nachmittag")=1))),"Doppelbuchung",IF(AND(COUNTIF($R$6:$R$605,R258)&gt;1,NOT(AND(COUNTIF($R$6:$R$605,R258)=2,COUNTIFS($R$6:$R$605,R258,$H$6:$H$605,"Vormittag")=1,COUNTIFS($R$6:$R$605,R258,$H$6:$H$605,"Nachmittag")=1))),"Person doppelt","OK"))))))))</f>
        <v>OK</v>
      </c>
      <c r="O258" s="55">
        <f t="shared" si="24"/>
        <v>1</v>
      </c>
      <c r="P258" s="55" t="str">
        <f t="shared" si="25"/>
        <v>A-06|46311</v>
      </c>
      <c r="Q258" s="55" t="str">
        <f>IF(P258="","",P258&amp;"|"&amp;COUNTIF(P$6:P258,P258))</f>
        <v>A-06|46311|1</v>
      </c>
      <c r="R258" s="55" t="str">
        <f t="shared" si="26"/>
        <v>Paul Schreiber|46311</v>
      </c>
      <c r="S258" s="55" t="str">
        <f>IF(R258="","",R258&amp;"|"&amp;COUNTIF(R$6:R258,R258))</f>
        <v>Paul Schreiber|46311|1</v>
      </c>
      <c r="T258" s="55" t="str">
        <f>IF(G258="","",IFERROR(INDEX(Stammdaten!$O$10:$O$69,MATCH(G258,Stammdaten!$N$10:$N$69,0)),G258)&amp;IF(H258="Vormittag"," (VM)",IF(H258="Nachmittag"," (NM)",""))&amp;IF(I258="Angefragt"," ?",""))</f>
        <v>P. Schreiber</v>
      </c>
      <c r="U258" s="55" t="str">
        <f t="shared" si="27"/>
        <v>A-06</v>
      </c>
    </row>
    <row r="259" spans="2:21" ht="16.5" customHeight="1" x14ac:dyDescent="0.25">
      <c r="B259" s="47">
        <f t="shared" si="21"/>
        <v>254</v>
      </c>
      <c r="C259" s="48">
        <v>46311</v>
      </c>
      <c r="D259" s="49" t="str">
        <f t="shared" si="22"/>
        <v>Fr</v>
      </c>
      <c r="E259" s="50">
        <f t="shared" si="23"/>
        <v>42</v>
      </c>
      <c r="F259" s="51" t="s">
        <v>84</v>
      </c>
      <c r="G259" s="52" t="s">
        <v>81</v>
      </c>
      <c r="H259" s="51" t="s">
        <v>76</v>
      </c>
      <c r="I259" s="51" t="s">
        <v>77</v>
      </c>
      <c r="J259" s="52"/>
      <c r="K259" s="53" t="str">
        <f>IF(G259="","",IFERROR(INDEX(Stammdaten!$P$10:$P$69,MATCH(G259,Stammdaten!$N$10:$N$69,0)),"–"))</f>
        <v>Vertrieb</v>
      </c>
      <c r="L259" s="53" t="str">
        <f>IF(F259="","",IFERROR(INDEX(Stammdaten!$D$10:$D$49,MATCH(F259,Stammdaten!$B$10:$B$49,0)),"–"))</f>
        <v>Teamzone Nord</v>
      </c>
      <c r="M259" s="54" t="str">
        <f>IF(C259="","",IF(OR(F259="",G259="",I259=""),"unvollständig",IF(I259="Storniert","storniert",IF(WEEKDAY(C259,2)&gt;5,"Wochenende",IF(COUNTIF(Stammdaten!$AD$10:$AD$30,C259)&gt;0,"Feiertag",IF(IFERROR(INDEX(Stammdaten!$I$10:$I$49,MATCH(F259,Stammdaten!$B$10:$B$49,0)),"")="Gesperrt","Platz gesperrt",IF(AND(COUNTIF($P$6:$P$605,P259)&gt;1,NOT(AND(COUNTIF($P$6:$P$605,P259)=2,COUNTIFS($P$6:$P$605,P259,$H$6:$H$605,"Vormittag")=1,COUNTIFS($P$6:$P$605,P259,$H$6:$H$605,"Nachmittag")=1))),"Doppelbuchung",IF(AND(COUNTIF($R$6:$R$605,R259)&gt;1,NOT(AND(COUNTIF($R$6:$R$605,R259)=2,COUNTIFS($R$6:$R$605,R259,$H$6:$H$605,"Vormittag")=1,COUNTIFS($R$6:$R$605,R259,$H$6:$H$605,"Nachmittag")=1))),"Person doppelt","OK"))))))))</f>
        <v>OK</v>
      </c>
      <c r="O259" s="55">
        <f t="shared" si="24"/>
        <v>1</v>
      </c>
      <c r="P259" s="55" t="str">
        <f t="shared" si="25"/>
        <v>A-07|46311</v>
      </c>
      <c r="Q259" s="55" t="str">
        <f>IF(P259="","",P259&amp;"|"&amp;COUNTIF(P$6:P259,P259))</f>
        <v>A-07|46311|1</v>
      </c>
      <c r="R259" s="55" t="str">
        <f t="shared" si="26"/>
        <v>Nina Albrecht|46311</v>
      </c>
      <c r="S259" s="55" t="str">
        <f>IF(R259="","",R259&amp;"|"&amp;COUNTIF(R$6:R259,R259))</f>
        <v>Nina Albrecht|46311|1</v>
      </c>
      <c r="T259" s="55" t="str">
        <f>IF(G259="","",IFERROR(INDEX(Stammdaten!$O$10:$O$69,MATCH(G259,Stammdaten!$N$10:$N$69,0)),G259)&amp;IF(H259="Vormittag"," (VM)",IF(H259="Nachmittag"," (NM)",""))&amp;IF(I259="Angefragt"," ?",""))</f>
        <v>N. Albrecht</v>
      </c>
      <c r="U259" s="55" t="str">
        <f t="shared" si="27"/>
        <v>A-07</v>
      </c>
    </row>
    <row r="260" spans="2:21" ht="16.5" customHeight="1" x14ac:dyDescent="0.25">
      <c r="B260" s="47">
        <f t="shared" si="21"/>
        <v>255</v>
      </c>
      <c r="C260" s="48">
        <v>46311</v>
      </c>
      <c r="D260" s="49" t="str">
        <f t="shared" si="22"/>
        <v>Fr</v>
      </c>
      <c r="E260" s="50">
        <f t="shared" si="23"/>
        <v>42</v>
      </c>
      <c r="F260" s="51" t="s">
        <v>129</v>
      </c>
      <c r="G260" s="52" t="s">
        <v>115</v>
      </c>
      <c r="H260" s="51" t="s">
        <v>76</v>
      </c>
      <c r="I260" s="51" t="s">
        <v>77</v>
      </c>
      <c r="J260" s="52"/>
      <c r="K260" s="53" t="str">
        <f>IF(G260="","",IFERROR(INDEX(Stammdaten!$P$10:$P$69,MATCH(G260,Stammdaten!$N$10:$N$69,0)),"–"))</f>
        <v>Projektmanagement</v>
      </c>
      <c r="L260" s="53" t="str">
        <f>IF(F260="","",IFERROR(INDEX(Stammdaten!$D$10:$D$49,MATCH(F260,Stammdaten!$B$10:$B$49,0)),"–"))</f>
        <v>Fokuszone</v>
      </c>
      <c r="M260" s="54" t="str">
        <f>IF(C260="","",IF(OR(F260="",G260="",I260=""),"unvollständig",IF(I260="Storniert","storniert",IF(WEEKDAY(C260,2)&gt;5,"Wochenende",IF(COUNTIF(Stammdaten!$AD$10:$AD$30,C260)&gt;0,"Feiertag",IF(IFERROR(INDEX(Stammdaten!$I$10:$I$49,MATCH(F260,Stammdaten!$B$10:$B$49,0)),"")="Gesperrt","Platz gesperrt",IF(AND(COUNTIF($P$6:$P$605,P260)&gt;1,NOT(AND(COUNTIF($P$6:$P$605,P260)=2,COUNTIFS($P$6:$P$605,P260,$H$6:$H$605,"Vormittag")=1,COUNTIFS($P$6:$P$605,P260,$H$6:$H$605,"Nachmittag")=1))),"Doppelbuchung",IF(AND(COUNTIF($R$6:$R$605,R260)&gt;1,NOT(AND(COUNTIF($R$6:$R$605,R260)=2,COUNTIFS($R$6:$R$605,R260,$H$6:$H$605,"Vormittag")=1,COUNTIFS($R$6:$R$605,R260,$H$6:$H$605,"Nachmittag")=1))),"Person doppelt","OK"))))))))</f>
        <v>OK</v>
      </c>
      <c r="O260" s="55">
        <f t="shared" si="24"/>
        <v>1</v>
      </c>
      <c r="P260" s="55" t="str">
        <f t="shared" si="25"/>
        <v>A-09|46311</v>
      </c>
      <c r="Q260" s="55" t="str">
        <f>IF(P260="","",P260&amp;"|"&amp;COUNTIF(P$6:P260,P260))</f>
        <v>A-09|46311|1</v>
      </c>
      <c r="R260" s="55" t="str">
        <f t="shared" si="26"/>
        <v>Jan Peters|46311</v>
      </c>
      <c r="S260" s="55" t="str">
        <f>IF(R260="","",R260&amp;"|"&amp;COUNTIF(R$6:R260,R260))</f>
        <v>Jan Peters|46311|1</v>
      </c>
      <c r="T260" s="55" t="str">
        <f>IF(G260="","",IFERROR(INDEX(Stammdaten!$O$10:$O$69,MATCH(G260,Stammdaten!$N$10:$N$69,0)),G260)&amp;IF(H260="Vormittag"," (VM)",IF(H260="Nachmittag"," (NM)",""))&amp;IF(I260="Angefragt"," ?",""))</f>
        <v>J. Peters</v>
      </c>
      <c r="U260" s="55" t="str">
        <f t="shared" si="27"/>
        <v>A-09</v>
      </c>
    </row>
    <row r="261" spans="2:21" ht="16.5" customHeight="1" x14ac:dyDescent="0.25">
      <c r="B261" s="47">
        <f t="shared" si="21"/>
        <v>256</v>
      </c>
      <c r="C261" s="48">
        <v>46311</v>
      </c>
      <c r="D261" s="49" t="str">
        <f t="shared" si="22"/>
        <v>Fr</v>
      </c>
      <c r="E261" s="50">
        <f t="shared" si="23"/>
        <v>42</v>
      </c>
      <c r="F261" s="51" t="s">
        <v>113</v>
      </c>
      <c r="G261" s="52" t="s">
        <v>124</v>
      </c>
      <c r="H261" s="51" t="s">
        <v>76</v>
      </c>
      <c r="I261" s="51" t="s">
        <v>77</v>
      </c>
      <c r="J261" s="52"/>
      <c r="K261" s="53" t="str">
        <f>IF(G261="","",IFERROR(INDEX(Stammdaten!$P$10:$P$69,MATCH(G261,Stammdaten!$N$10:$N$69,0)),"–"))</f>
        <v>IT</v>
      </c>
      <c r="L261" s="53" t="str">
        <f>IF(F261="","",IFERROR(INDEX(Stammdaten!$D$10:$D$49,MATCH(F261,Stammdaten!$B$10:$B$49,0)),"–"))</f>
        <v>Fokuszone</v>
      </c>
      <c r="M261" s="54" t="str">
        <f>IF(C261="","",IF(OR(F261="",G261="",I261=""),"unvollständig",IF(I261="Storniert","storniert",IF(WEEKDAY(C261,2)&gt;5,"Wochenende",IF(COUNTIF(Stammdaten!$AD$10:$AD$30,C261)&gt;0,"Feiertag",IF(IFERROR(INDEX(Stammdaten!$I$10:$I$49,MATCH(F261,Stammdaten!$B$10:$B$49,0)),"")="Gesperrt","Platz gesperrt",IF(AND(COUNTIF($P$6:$P$605,P261)&gt;1,NOT(AND(COUNTIF($P$6:$P$605,P261)=2,COUNTIFS($P$6:$P$605,P261,$H$6:$H$605,"Vormittag")=1,COUNTIFS($P$6:$P$605,P261,$H$6:$H$605,"Nachmittag")=1))),"Doppelbuchung",IF(AND(COUNTIF($R$6:$R$605,R261)&gt;1,NOT(AND(COUNTIF($R$6:$R$605,R261)=2,COUNTIFS($R$6:$R$605,R261,$H$6:$H$605,"Vormittag")=1,COUNTIFS($R$6:$R$605,R261,$H$6:$H$605,"Nachmittag")=1))),"Person doppelt","OK"))))))))</f>
        <v>OK</v>
      </c>
      <c r="O261" s="55">
        <f t="shared" si="24"/>
        <v>1</v>
      </c>
      <c r="P261" s="55" t="str">
        <f t="shared" si="25"/>
        <v>A-10|46311</v>
      </c>
      <c r="Q261" s="55" t="str">
        <f>IF(P261="","",P261&amp;"|"&amp;COUNTIF(P$6:P261,P261))</f>
        <v>A-10|46311|1</v>
      </c>
      <c r="R261" s="55" t="str">
        <f t="shared" si="26"/>
        <v>Laura Sommer|46311</v>
      </c>
      <c r="S261" s="55" t="str">
        <f>IF(R261="","",R261&amp;"|"&amp;COUNTIF(R$6:R261,R261))</f>
        <v>Laura Sommer|46311|1</v>
      </c>
      <c r="T261" s="55" t="str">
        <f>IF(G261="","",IFERROR(INDEX(Stammdaten!$O$10:$O$69,MATCH(G261,Stammdaten!$N$10:$N$69,0)),G261)&amp;IF(H261="Vormittag"," (VM)",IF(H261="Nachmittag"," (NM)",""))&amp;IF(I261="Angefragt"," ?",""))</f>
        <v>L. Sommer</v>
      </c>
      <c r="U261" s="55" t="str">
        <f t="shared" si="27"/>
        <v>A-10</v>
      </c>
    </row>
    <row r="262" spans="2:21" ht="16.5" customHeight="1" x14ac:dyDescent="0.25">
      <c r="B262" s="47">
        <f t="shared" ref="B262:B325" si="28">IF(C262="","",ROW()-5)</f>
        <v>257</v>
      </c>
      <c r="C262" s="48">
        <v>46311</v>
      </c>
      <c r="D262" s="49" t="str">
        <f t="shared" ref="D262:D325" si="29">IF(C262="","",CHOOSE(WEEKDAY(C262,2),"Mo","Di","Mi","Do","Fr","Sa","So"))</f>
        <v>Fr</v>
      </c>
      <c r="E262" s="50">
        <f t="shared" ref="E262:E325" si="30">IF(C262="","",_xlfn.ISOWEEKNUM(C262))</f>
        <v>42</v>
      </c>
      <c r="F262" s="51" t="s">
        <v>88</v>
      </c>
      <c r="G262" s="52" t="s">
        <v>89</v>
      </c>
      <c r="H262" s="51" t="s">
        <v>76</v>
      </c>
      <c r="I262" s="51" t="s">
        <v>77</v>
      </c>
      <c r="J262" s="52"/>
      <c r="K262" s="53" t="str">
        <f>IF(G262="","",IFERROR(INDEX(Stammdaten!$P$10:$P$69,MATCH(G262,Stammdaten!$N$10:$N$69,0)),"–"))</f>
        <v>Projektmanagement</v>
      </c>
      <c r="L262" s="53" t="str">
        <f>IF(F262="","",IFERROR(INDEX(Stammdaten!$D$10:$D$49,MATCH(F262,Stammdaten!$B$10:$B$49,0)),"–"))</f>
        <v>Fokuszone</v>
      </c>
      <c r="M262" s="54" t="str">
        <f>IF(C262="","",IF(OR(F262="",G262="",I262=""),"unvollständig",IF(I262="Storniert","storniert",IF(WEEKDAY(C262,2)&gt;5,"Wochenende",IF(COUNTIF(Stammdaten!$AD$10:$AD$30,C262)&gt;0,"Feiertag",IF(IFERROR(INDEX(Stammdaten!$I$10:$I$49,MATCH(F262,Stammdaten!$B$10:$B$49,0)),"")="Gesperrt","Platz gesperrt",IF(AND(COUNTIF($P$6:$P$605,P262)&gt;1,NOT(AND(COUNTIF($P$6:$P$605,P262)=2,COUNTIFS($P$6:$P$605,P262,$H$6:$H$605,"Vormittag")=1,COUNTIFS($P$6:$P$605,P262,$H$6:$H$605,"Nachmittag")=1))),"Doppelbuchung",IF(AND(COUNTIF($R$6:$R$605,R262)&gt;1,NOT(AND(COUNTIF($R$6:$R$605,R262)=2,COUNTIFS($R$6:$R$605,R262,$H$6:$H$605,"Vormittag")=1,COUNTIFS($R$6:$R$605,R262,$H$6:$H$605,"Nachmittag")=1))),"Person doppelt","OK"))))))))</f>
        <v>OK</v>
      </c>
      <c r="O262" s="55">
        <f t="shared" ref="O262:O325" si="31">IF(OR(C262="",I262&lt;&gt;"Bestätigt",M262="Platz gesperrt"),0,IF(H262="Ganztägig",1,0.5))</f>
        <v>1</v>
      </c>
      <c r="P262" s="55" t="str">
        <f t="shared" ref="P262:P325" si="32">IF(OR(C262="",F262="",I262="Storniert"),"",F262&amp;"|"&amp;C262)</f>
        <v>A-11|46311</v>
      </c>
      <c r="Q262" s="55" t="str">
        <f>IF(P262="","",P262&amp;"|"&amp;COUNTIF(P$6:P262,P262))</f>
        <v>A-11|46311|1</v>
      </c>
      <c r="R262" s="55" t="str">
        <f t="shared" ref="R262:R325" si="33">IF(OR(C262="",G262="",I262="Storniert"),"",G262&amp;"|"&amp;C262)</f>
        <v>Theresa Jung|46311</v>
      </c>
      <c r="S262" s="55" t="str">
        <f>IF(R262="","",R262&amp;"|"&amp;COUNTIF(R$6:R262,R262))</f>
        <v>Theresa Jung|46311|1</v>
      </c>
      <c r="T262" s="55" t="str">
        <f>IF(G262="","",IFERROR(INDEX(Stammdaten!$O$10:$O$69,MATCH(G262,Stammdaten!$N$10:$N$69,0)),G262)&amp;IF(H262="Vormittag"," (VM)",IF(H262="Nachmittag"," (NM)",""))&amp;IF(I262="Angefragt"," ?",""))</f>
        <v>T. Jung</v>
      </c>
      <c r="U262" s="55" t="str">
        <f t="shared" ref="U262:U325" si="34">IF(F262="","",F262&amp;IF(H262="Vormittag"," (VM)",IF(H262="Nachmittag"," (NM)",""))&amp;IF(I262="Angefragt"," ?",""))</f>
        <v>A-11</v>
      </c>
    </row>
    <row r="263" spans="2:21" ht="16.5" customHeight="1" x14ac:dyDescent="0.25">
      <c r="B263" s="47">
        <f t="shared" si="28"/>
        <v>258</v>
      </c>
      <c r="C263" s="48">
        <v>46311</v>
      </c>
      <c r="D263" s="49" t="str">
        <f t="shared" si="29"/>
        <v>Fr</v>
      </c>
      <c r="E263" s="50">
        <f t="shared" si="30"/>
        <v>42</v>
      </c>
      <c r="F263" s="51" t="s">
        <v>90</v>
      </c>
      <c r="G263" s="52" t="s">
        <v>107</v>
      </c>
      <c r="H263" s="51" t="s">
        <v>76</v>
      </c>
      <c r="I263" s="51" t="s">
        <v>77</v>
      </c>
      <c r="J263" s="52"/>
      <c r="K263" s="53" t="str">
        <f>IF(G263="","",IFERROR(INDEX(Stammdaten!$P$10:$P$69,MATCH(G263,Stammdaten!$N$10:$N$69,0)),"–"))</f>
        <v>IT</v>
      </c>
      <c r="L263" s="53" t="str">
        <f>IF(F263="","",IFERROR(INDEX(Stammdaten!$D$10:$D$49,MATCH(F263,Stammdaten!$B$10:$B$49,0)),"–"))</f>
        <v>Fokuszone</v>
      </c>
      <c r="M263" s="54" t="str">
        <f>IF(C263="","",IF(OR(F263="",G263="",I263=""),"unvollständig",IF(I263="Storniert","storniert",IF(WEEKDAY(C263,2)&gt;5,"Wochenende",IF(COUNTIF(Stammdaten!$AD$10:$AD$30,C263)&gt;0,"Feiertag",IF(IFERROR(INDEX(Stammdaten!$I$10:$I$49,MATCH(F263,Stammdaten!$B$10:$B$49,0)),"")="Gesperrt","Platz gesperrt",IF(AND(COUNTIF($P$6:$P$605,P263)&gt;1,NOT(AND(COUNTIF($P$6:$P$605,P263)=2,COUNTIFS($P$6:$P$605,P263,$H$6:$H$605,"Vormittag")=1,COUNTIFS($P$6:$P$605,P263,$H$6:$H$605,"Nachmittag")=1))),"Doppelbuchung",IF(AND(COUNTIF($R$6:$R$605,R263)&gt;1,NOT(AND(COUNTIF($R$6:$R$605,R263)=2,COUNTIFS($R$6:$R$605,R263,$H$6:$H$605,"Vormittag")=1,COUNTIFS($R$6:$R$605,R263,$H$6:$H$605,"Nachmittag")=1))),"Person doppelt","OK"))))))))</f>
        <v>OK</v>
      </c>
      <c r="O263" s="55">
        <f t="shared" si="31"/>
        <v>1</v>
      </c>
      <c r="P263" s="55" t="str">
        <f t="shared" si="32"/>
        <v>A-12|46311</v>
      </c>
      <c r="Q263" s="55" t="str">
        <f>IF(P263="","",P263&amp;"|"&amp;COUNTIF(P$6:P263,P263))</f>
        <v>A-12|46311|1</v>
      </c>
      <c r="R263" s="55" t="str">
        <f t="shared" si="33"/>
        <v>Katharina Busch|46311</v>
      </c>
      <c r="S263" s="55" t="str">
        <f>IF(R263="","",R263&amp;"|"&amp;COUNTIF(R$6:R263,R263))</f>
        <v>Katharina Busch|46311|1</v>
      </c>
      <c r="T263" s="55" t="str">
        <f>IF(G263="","",IFERROR(INDEX(Stammdaten!$O$10:$O$69,MATCH(G263,Stammdaten!$N$10:$N$69,0)),G263)&amp;IF(H263="Vormittag"," (VM)",IF(H263="Nachmittag"," (NM)",""))&amp;IF(I263="Angefragt"," ?",""))</f>
        <v>K. Busch</v>
      </c>
      <c r="U263" s="55" t="str">
        <f t="shared" si="34"/>
        <v>A-12</v>
      </c>
    </row>
    <row r="264" spans="2:21" ht="16.5" customHeight="1" x14ac:dyDescent="0.25">
      <c r="B264" s="47">
        <f t="shared" si="28"/>
        <v>259</v>
      </c>
      <c r="C264" s="48">
        <v>46311</v>
      </c>
      <c r="D264" s="49" t="str">
        <f t="shared" si="29"/>
        <v>Fr</v>
      </c>
      <c r="E264" s="50">
        <f t="shared" si="30"/>
        <v>42</v>
      </c>
      <c r="F264" s="51" t="s">
        <v>94</v>
      </c>
      <c r="G264" s="52" t="s">
        <v>131</v>
      </c>
      <c r="H264" s="51" t="s">
        <v>76</v>
      </c>
      <c r="I264" s="51" t="s">
        <v>77</v>
      </c>
      <c r="J264" s="52"/>
      <c r="K264" s="53" t="str">
        <f>IF(G264="","",IFERROR(INDEX(Stammdaten!$P$10:$P$69,MATCH(G264,Stammdaten!$N$10:$N$69,0)),"–"))</f>
        <v>Finanzen</v>
      </c>
      <c r="L264" s="53" t="str">
        <f>IF(F264="","",IFERROR(INDEX(Stammdaten!$D$10:$D$49,MATCH(F264,Stammdaten!$B$10:$B$49,0)),"–"))</f>
        <v>Teamzone Süd</v>
      </c>
      <c r="M264" s="54" t="str">
        <f>IF(C264="","",IF(OR(F264="",G264="",I264=""),"unvollständig",IF(I264="Storniert","storniert",IF(WEEKDAY(C264,2)&gt;5,"Wochenende",IF(COUNTIF(Stammdaten!$AD$10:$AD$30,C264)&gt;0,"Feiertag",IF(IFERROR(INDEX(Stammdaten!$I$10:$I$49,MATCH(F264,Stammdaten!$B$10:$B$49,0)),"")="Gesperrt","Platz gesperrt",IF(AND(COUNTIF($P$6:$P$605,P264)&gt;1,NOT(AND(COUNTIF($P$6:$P$605,P264)=2,COUNTIFS($P$6:$P$605,P264,$H$6:$H$605,"Vormittag")=1,COUNTIFS($P$6:$P$605,P264,$H$6:$H$605,"Nachmittag")=1))),"Doppelbuchung",IF(AND(COUNTIF($R$6:$R$605,R264)&gt;1,NOT(AND(COUNTIF($R$6:$R$605,R264)=2,COUNTIFS($R$6:$R$605,R264,$H$6:$H$605,"Vormittag")=1,COUNTIFS($R$6:$R$605,R264,$H$6:$H$605,"Nachmittag")=1))),"Person doppelt","OK"))))))))</f>
        <v>OK</v>
      </c>
      <c r="O264" s="55">
        <f t="shared" si="31"/>
        <v>1</v>
      </c>
      <c r="P264" s="55" t="str">
        <f t="shared" si="32"/>
        <v>B-02|46311</v>
      </c>
      <c r="Q264" s="55" t="str">
        <f>IF(P264="","",P264&amp;"|"&amp;COUNTIF(P$6:P264,P264))</f>
        <v>B-02|46311|1</v>
      </c>
      <c r="R264" s="55" t="str">
        <f t="shared" si="33"/>
        <v>Leon Fuchs|46311</v>
      </c>
      <c r="S264" s="55" t="str">
        <f>IF(R264="","",R264&amp;"|"&amp;COUNTIF(R$6:R264,R264))</f>
        <v>Leon Fuchs|46311|1</v>
      </c>
      <c r="T264" s="55" t="str">
        <f>IF(G264="","",IFERROR(INDEX(Stammdaten!$O$10:$O$69,MATCH(G264,Stammdaten!$N$10:$N$69,0)),G264)&amp;IF(H264="Vormittag"," (VM)",IF(H264="Nachmittag"," (NM)",""))&amp;IF(I264="Angefragt"," ?",""))</f>
        <v>L. Fuchs</v>
      </c>
      <c r="U264" s="55" t="str">
        <f t="shared" si="34"/>
        <v>B-02</v>
      </c>
    </row>
    <row r="265" spans="2:21" ht="16.5" customHeight="1" x14ac:dyDescent="0.25">
      <c r="B265" s="47">
        <f t="shared" si="28"/>
        <v>260</v>
      </c>
      <c r="C265" s="48">
        <v>46311</v>
      </c>
      <c r="D265" s="49" t="str">
        <f t="shared" si="29"/>
        <v>Fr</v>
      </c>
      <c r="E265" s="50">
        <f t="shared" si="30"/>
        <v>42</v>
      </c>
      <c r="F265" s="51" t="s">
        <v>119</v>
      </c>
      <c r="G265" s="52" t="s">
        <v>93</v>
      </c>
      <c r="H265" s="51" t="s">
        <v>76</v>
      </c>
      <c r="I265" s="51" t="s">
        <v>77</v>
      </c>
      <c r="J265" s="52" t="s">
        <v>123</v>
      </c>
      <c r="K265" s="53" t="str">
        <f>IF(G265="","",IFERROR(INDEX(Stammdaten!$P$10:$P$69,MATCH(G265,Stammdaten!$N$10:$N$69,0)),"–"))</f>
        <v>Finanzen</v>
      </c>
      <c r="L265" s="53" t="str">
        <f>IF(F265="","",IFERROR(INDEX(Stammdaten!$D$10:$D$49,MATCH(F265,Stammdaten!$B$10:$B$49,0)),"–"))</f>
        <v>Teamzone Süd</v>
      </c>
      <c r="M265" s="54" t="str">
        <f>IF(C265="","",IF(OR(F265="",G265="",I265=""),"unvollständig",IF(I265="Storniert","storniert",IF(WEEKDAY(C265,2)&gt;5,"Wochenende",IF(COUNTIF(Stammdaten!$AD$10:$AD$30,C265)&gt;0,"Feiertag",IF(IFERROR(INDEX(Stammdaten!$I$10:$I$49,MATCH(F265,Stammdaten!$B$10:$B$49,0)),"")="Gesperrt","Platz gesperrt",IF(AND(COUNTIF($P$6:$P$605,P265)&gt;1,NOT(AND(COUNTIF($P$6:$P$605,P265)=2,COUNTIFS($P$6:$P$605,P265,$H$6:$H$605,"Vormittag")=1,COUNTIFS($P$6:$P$605,P265,$H$6:$H$605,"Nachmittag")=1))),"Doppelbuchung",IF(AND(COUNTIF($R$6:$R$605,R265)&gt;1,NOT(AND(COUNTIF($R$6:$R$605,R265)=2,COUNTIFS($R$6:$R$605,R265,$H$6:$H$605,"Vormittag")=1,COUNTIFS($R$6:$R$605,R265,$H$6:$H$605,"Nachmittag")=1))),"Person doppelt","OK"))))))))</f>
        <v>OK</v>
      </c>
      <c r="O265" s="55">
        <f t="shared" si="31"/>
        <v>1</v>
      </c>
      <c r="P265" s="55" t="str">
        <f t="shared" si="32"/>
        <v>B-04|46311</v>
      </c>
      <c r="Q265" s="55" t="str">
        <f>IF(P265="","",P265&amp;"|"&amp;COUNTIF(P$6:P265,P265))</f>
        <v>B-04|46311|1</v>
      </c>
      <c r="R265" s="55" t="str">
        <f t="shared" si="33"/>
        <v>Sarah Böhm|46311</v>
      </c>
      <c r="S265" s="55" t="str">
        <f>IF(R265="","",R265&amp;"|"&amp;COUNTIF(R$6:R265,R265))</f>
        <v>Sarah Böhm|46311|1</v>
      </c>
      <c r="T265" s="55" t="str">
        <f>IF(G265="","",IFERROR(INDEX(Stammdaten!$O$10:$O$69,MATCH(G265,Stammdaten!$N$10:$N$69,0)),G265)&amp;IF(H265="Vormittag"," (VM)",IF(H265="Nachmittag"," (NM)",""))&amp;IF(I265="Angefragt"," ?",""))</f>
        <v>S. Böhm</v>
      </c>
      <c r="U265" s="55" t="str">
        <f t="shared" si="34"/>
        <v>B-04</v>
      </c>
    </row>
    <row r="266" spans="2:21" ht="16.5" customHeight="1" x14ac:dyDescent="0.25">
      <c r="B266" s="47">
        <f t="shared" si="28"/>
        <v>261</v>
      </c>
      <c r="C266" s="48">
        <v>46311</v>
      </c>
      <c r="D266" s="49" t="str">
        <f t="shared" si="29"/>
        <v>Fr</v>
      </c>
      <c r="E266" s="50">
        <f t="shared" si="30"/>
        <v>42</v>
      </c>
      <c r="F266" s="51" t="s">
        <v>96</v>
      </c>
      <c r="G266" s="52" t="s">
        <v>118</v>
      </c>
      <c r="H266" s="51" t="s">
        <v>76</v>
      </c>
      <c r="I266" s="51" t="s">
        <v>137</v>
      </c>
      <c r="J266" s="52" t="s">
        <v>145</v>
      </c>
      <c r="K266" s="53" t="str">
        <f>IF(G266="","",IFERROR(INDEX(Stammdaten!$P$10:$P$69,MATCH(G266,Stammdaten!$N$10:$N$69,0)),"–"))</f>
        <v>Personal</v>
      </c>
      <c r="L266" s="53" t="str">
        <f>IF(F266="","",IFERROR(INDEX(Stammdaten!$D$10:$D$49,MATCH(F266,Stammdaten!$B$10:$B$49,0)),"–"))</f>
        <v>Teamzone Süd</v>
      </c>
      <c r="M266" s="54" t="str">
        <f>IF(C266="","",IF(OR(F266="",G266="",I266=""),"unvollständig",IF(I266="Storniert","storniert",IF(WEEKDAY(C266,2)&gt;5,"Wochenende",IF(COUNTIF(Stammdaten!$AD$10:$AD$30,C266)&gt;0,"Feiertag",IF(IFERROR(INDEX(Stammdaten!$I$10:$I$49,MATCH(F266,Stammdaten!$B$10:$B$49,0)),"")="Gesperrt","Platz gesperrt",IF(AND(COUNTIF($P$6:$P$605,P266)&gt;1,NOT(AND(COUNTIF($P$6:$P$605,P266)=2,COUNTIFS($P$6:$P$605,P266,$H$6:$H$605,"Vormittag")=1,COUNTIFS($P$6:$P$605,P266,$H$6:$H$605,"Nachmittag")=1))),"Doppelbuchung",IF(AND(COUNTIF($R$6:$R$605,R266)&gt;1,NOT(AND(COUNTIF($R$6:$R$605,R266)=2,COUNTIFS($R$6:$R$605,R266,$H$6:$H$605,"Vormittag")=1,COUNTIFS($R$6:$R$605,R266,$H$6:$H$605,"Nachmittag")=1))),"Person doppelt","OK"))))))))</f>
        <v>storniert</v>
      </c>
      <c r="O266" s="55">
        <f t="shared" si="31"/>
        <v>0</v>
      </c>
      <c r="P266" s="55" t="str">
        <f t="shared" si="32"/>
        <v/>
      </c>
      <c r="Q266" s="55" t="str">
        <f>IF(P266="","",P266&amp;"|"&amp;COUNTIF(P$6:P266,P266))</f>
        <v/>
      </c>
      <c r="R266" s="55" t="str">
        <f t="shared" si="33"/>
        <v/>
      </c>
      <c r="S266" s="55" t="str">
        <f>IF(R266="","",R266&amp;"|"&amp;COUNTIF(R$6:R266,R266))</f>
        <v/>
      </c>
      <c r="T266" s="55" t="str">
        <f>IF(G266="","",IFERROR(INDEX(Stammdaten!$O$10:$O$69,MATCH(G266,Stammdaten!$N$10:$N$69,0)),G266)&amp;IF(H266="Vormittag"," (VM)",IF(H266="Nachmittag"," (NM)",""))&amp;IF(I266="Angefragt"," ?",""))</f>
        <v>A. Lorenz</v>
      </c>
      <c r="U266" s="55" t="str">
        <f t="shared" si="34"/>
        <v>B-06</v>
      </c>
    </row>
    <row r="267" spans="2:21" ht="16.5" customHeight="1" x14ac:dyDescent="0.25">
      <c r="B267" s="47">
        <f t="shared" si="28"/>
        <v>262</v>
      </c>
      <c r="C267" s="48">
        <v>46311</v>
      </c>
      <c r="D267" s="49" t="str">
        <f t="shared" si="29"/>
        <v>Fr</v>
      </c>
      <c r="E267" s="50">
        <f t="shared" si="30"/>
        <v>42</v>
      </c>
      <c r="F267" s="51" t="s">
        <v>100</v>
      </c>
      <c r="G267" s="52" t="s">
        <v>103</v>
      </c>
      <c r="H267" s="51" t="s">
        <v>76</v>
      </c>
      <c r="I267" s="51" t="s">
        <v>77</v>
      </c>
      <c r="J267" s="52"/>
      <c r="K267" s="53" t="str">
        <f>IF(G267="","",IFERROR(INDEX(Stammdaten!$P$10:$P$69,MATCH(G267,Stammdaten!$N$10:$N$69,0)),"–"))</f>
        <v>Projektmanagement</v>
      </c>
      <c r="L267" s="53" t="str">
        <f>IF(F267="","",IFERROR(INDEX(Stammdaten!$D$10:$D$49,MATCH(F267,Stammdaten!$B$10:$B$49,0)),"–"))</f>
        <v>Projektfläche</v>
      </c>
      <c r="M267" s="54" t="str">
        <f>IF(C267="","",IF(OR(F267="",G267="",I267=""),"unvollständig",IF(I267="Storniert","storniert",IF(WEEKDAY(C267,2)&gt;5,"Wochenende",IF(COUNTIF(Stammdaten!$AD$10:$AD$30,C267)&gt;0,"Feiertag",IF(IFERROR(INDEX(Stammdaten!$I$10:$I$49,MATCH(F267,Stammdaten!$B$10:$B$49,0)),"")="Gesperrt","Platz gesperrt",IF(AND(COUNTIF($P$6:$P$605,P267)&gt;1,NOT(AND(COUNTIF($P$6:$P$605,P267)=2,COUNTIFS($P$6:$P$605,P267,$H$6:$H$605,"Vormittag")=1,COUNTIFS($P$6:$P$605,P267,$H$6:$H$605,"Nachmittag")=1))),"Doppelbuchung",IF(AND(COUNTIF($R$6:$R$605,R267)&gt;1,NOT(AND(COUNTIF($R$6:$R$605,R267)=2,COUNTIFS($R$6:$R$605,R267,$H$6:$H$605,"Vormittag")=1,COUNTIFS($R$6:$R$605,R267,$H$6:$H$605,"Nachmittag")=1))),"Person doppelt","OK"))))))))</f>
        <v>OK</v>
      </c>
      <c r="O267" s="55">
        <f t="shared" si="31"/>
        <v>1</v>
      </c>
      <c r="P267" s="55" t="str">
        <f t="shared" si="32"/>
        <v>B-09|46311</v>
      </c>
      <c r="Q267" s="55" t="str">
        <f>IF(P267="","",P267&amp;"|"&amp;COUNTIF(P$6:P267,P267))</f>
        <v>B-09|46311|1</v>
      </c>
      <c r="R267" s="55" t="str">
        <f t="shared" si="33"/>
        <v>Kevin Brandl|46311</v>
      </c>
      <c r="S267" s="55" t="str">
        <f>IF(R267="","",R267&amp;"|"&amp;COUNTIF(R$6:R267,R267))</f>
        <v>Kevin Brandl|46311|1</v>
      </c>
      <c r="T267" s="55" t="str">
        <f>IF(G267="","",IFERROR(INDEX(Stammdaten!$O$10:$O$69,MATCH(G267,Stammdaten!$N$10:$N$69,0)),G267)&amp;IF(H267="Vormittag"," (VM)",IF(H267="Nachmittag"," (NM)",""))&amp;IF(I267="Angefragt"," ?",""))</f>
        <v>K. Brandl</v>
      </c>
      <c r="U267" s="55" t="str">
        <f t="shared" si="34"/>
        <v>B-09</v>
      </c>
    </row>
    <row r="268" spans="2:21" ht="16.5" customHeight="1" x14ac:dyDescent="0.25">
      <c r="B268" s="47">
        <f t="shared" si="28"/>
        <v>263</v>
      </c>
      <c r="C268" s="48">
        <v>46311</v>
      </c>
      <c r="D268" s="49" t="str">
        <f t="shared" si="29"/>
        <v>Fr</v>
      </c>
      <c r="E268" s="50">
        <f t="shared" si="30"/>
        <v>42</v>
      </c>
      <c r="F268" s="51" t="s">
        <v>102</v>
      </c>
      <c r="G268" s="52" t="s">
        <v>140</v>
      </c>
      <c r="H268" s="51" t="s">
        <v>76</v>
      </c>
      <c r="I268" s="51" t="s">
        <v>77</v>
      </c>
      <c r="J268" s="52"/>
      <c r="K268" s="53" t="str">
        <f>IF(G268="","",IFERROR(INDEX(Stammdaten!$P$10:$P$69,MATCH(G268,Stammdaten!$N$10:$N$69,0)),"–"))</f>
        <v>IT</v>
      </c>
      <c r="L268" s="53" t="str">
        <f>IF(F268="","",IFERROR(INDEX(Stammdaten!$D$10:$D$49,MATCH(F268,Stammdaten!$B$10:$B$49,0)),"–"))</f>
        <v>Projektfläche</v>
      </c>
      <c r="M268" s="54" t="str">
        <f>IF(C268="","",IF(OR(F268="",G268="",I268=""),"unvollständig",IF(I268="Storniert","storniert",IF(WEEKDAY(C268,2)&gt;5,"Wochenende",IF(COUNTIF(Stammdaten!$AD$10:$AD$30,C268)&gt;0,"Feiertag",IF(IFERROR(INDEX(Stammdaten!$I$10:$I$49,MATCH(F268,Stammdaten!$B$10:$B$49,0)),"")="Gesperrt","Platz gesperrt",IF(AND(COUNTIF($P$6:$P$605,P268)&gt;1,NOT(AND(COUNTIF($P$6:$P$605,P268)=2,COUNTIFS($P$6:$P$605,P268,$H$6:$H$605,"Vormittag")=1,COUNTIFS($P$6:$P$605,P268,$H$6:$H$605,"Nachmittag")=1))),"Doppelbuchung",IF(AND(COUNTIF($R$6:$R$605,R268)&gt;1,NOT(AND(COUNTIF($R$6:$R$605,R268)=2,COUNTIFS($R$6:$R$605,R268,$H$6:$H$605,"Vormittag")=1,COUNTIFS($R$6:$R$605,R268,$H$6:$H$605,"Nachmittag")=1))),"Person doppelt","OK"))))))))</f>
        <v>OK</v>
      </c>
      <c r="O268" s="55">
        <f t="shared" si="31"/>
        <v>1</v>
      </c>
      <c r="P268" s="55" t="str">
        <f t="shared" si="32"/>
        <v>B-10|46311</v>
      </c>
      <c r="Q268" s="55" t="str">
        <f>IF(P268="","",P268&amp;"|"&amp;COUNTIF(P$6:P268,P268))</f>
        <v>B-10|46311|1</v>
      </c>
      <c r="R268" s="55" t="str">
        <f t="shared" si="33"/>
        <v>Lukas Pohl|46311</v>
      </c>
      <c r="S268" s="55" t="str">
        <f>IF(R268="","",R268&amp;"|"&amp;COUNTIF(R$6:R268,R268))</f>
        <v>Lukas Pohl|46311|1</v>
      </c>
      <c r="T268" s="55" t="str">
        <f>IF(G268="","",IFERROR(INDEX(Stammdaten!$O$10:$O$69,MATCH(G268,Stammdaten!$N$10:$N$69,0)),G268)&amp;IF(H268="Vormittag"," (VM)",IF(H268="Nachmittag"," (NM)",""))&amp;IF(I268="Angefragt"," ?",""))</f>
        <v>L. Pohl</v>
      </c>
      <c r="U268" s="55" t="str">
        <f t="shared" si="34"/>
        <v>B-10</v>
      </c>
    </row>
    <row r="269" spans="2:21" ht="16.5" customHeight="1" x14ac:dyDescent="0.25">
      <c r="B269" s="47">
        <f t="shared" si="28"/>
        <v>264</v>
      </c>
      <c r="C269" s="48">
        <v>46311</v>
      </c>
      <c r="D269" s="49" t="str">
        <f t="shared" si="29"/>
        <v>Fr</v>
      </c>
      <c r="E269" s="50">
        <f t="shared" si="30"/>
        <v>42</v>
      </c>
      <c r="F269" s="51" t="s">
        <v>104</v>
      </c>
      <c r="G269" s="52" t="s">
        <v>91</v>
      </c>
      <c r="H269" s="51" t="s">
        <v>76</v>
      </c>
      <c r="I269" s="51" t="s">
        <v>77</v>
      </c>
      <c r="J269" s="52"/>
      <c r="K269" s="53" t="str">
        <f>IF(G269="","",IFERROR(INDEX(Stammdaten!$P$10:$P$69,MATCH(G269,Stammdaten!$N$10:$N$69,0)),"–"))</f>
        <v>IT</v>
      </c>
      <c r="L269" s="53" t="str">
        <f>IF(F269="","",IFERROR(INDEX(Stammdaten!$D$10:$D$49,MATCH(F269,Stammdaten!$B$10:$B$49,0)),"–"))</f>
        <v>Projektfläche</v>
      </c>
      <c r="M269" s="54" t="str">
        <f>IF(C269="","",IF(OR(F269="",G269="",I269=""),"unvollständig",IF(I269="Storniert","storniert",IF(WEEKDAY(C269,2)&gt;5,"Wochenende",IF(COUNTIF(Stammdaten!$AD$10:$AD$30,C269)&gt;0,"Feiertag",IF(IFERROR(INDEX(Stammdaten!$I$10:$I$49,MATCH(F269,Stammdaten!$B$10:$B$49,0)),"")="Gesperrt","Platz gesperrt",IF(AND(COUNTIF($P$6:$P$605,P269)&gt;1,NOT(AND(COUNTIF($P$6:$P$605,P269)=2,COUNTIFS($P$6:$P$605,P269,$H$6:$H$605,"Vormittag")=1,COUNTIFS($P$6:$P$605,P269,$H$6:$H$605,"Nachmittag")=1))),"Doppelbuchung",IF(AND(COUNTIF($R$6:$R$605,R269)&gt;1,NOT(AND(COUNTIF($R$6:$R$605,R269)=2,COUNTIFS($R$6:$R$605,R269,$H$6:$H$605,"Vormittag")=1,COUNTIFS($R$6:$R$605,R269,$H$6:$H$605,"Nachmittag")=1))),"Person doppelt","OK"))))))))</f>
        <v>OK</v>
      </c>
      <c r="O269" s="55">
        <f t="shared" si="31"/>
        <v>1</v>
      </c>
      <c r="P269" s="55" t="str">
        <f t="shared" si="32"/>
        <v>B-11|46311</v>
      </c>
      <c r="Q269" s="55" t="str">
        <f>IF(P269="","",P269&amp;"|"&amp;COUNTIF(P$6:P269,P269))</f>
        <v>B-11|46311|1</v>
      </c>
      <c r="R269" s="55" t="str">
        <f t="shared" si="33"/>
        <v>Mara Winter|46311</v>
      </c>
      <c r="S269" s="55" t="str">
        <f>IF(R269="","",R269&amp;"|"&amp;COUNTIF(R$6:R269,R269))</f>
        <v>Mara Winter|46311|1</v>
      </c>
      <c r="T269" s="55" t="str">
        <f>IF(G269="","",IFERROR(INDEX(Stammdaten!$O$10:$O$69,MATCH(G269,Stammdaten!$N$10:$N$69,0)),G269)&amp;IF(H269="Vormittag"," (VM)",IF(H269="Nachmittag"," (NM)",""))&amp;IF(I269="Angefragt"," ?",""))</f>
        <v>M. Winter</v>
      </c>
      <c r="U269" s="55" t="str">
        <f t="shared" si="34"/>
        <v>B-11</v>
      </c>
    </row>
    <row r="270" spans="2:21" ht="16.5" customHeight="1" x14ac:dyDescent="0.25">
      <c r="B270" s="47">
        <f t="shared" si="28"/>
        <v>265</v>
      </c>
      <c r="C270" s="48">
        <v>46311</v>
      </c>
      <c r="D270" s="49" t="str">
        <f t="shared" si="29"/>
        <v>Fr</v>
      </c>
      <c r="E270" s="50">
        <f t="shared" si="30"/>
        <v>42</v>
      </c>
      <c r="F270" s="51" t="s">
        <v>106</v>
      </c>
      <c r="G270" s="52" t="s">
        <v>125</v>
      </c>
      <c r="H270" s="51" t="s">
        <v>133</v>
      </c>
      <c r="I270" s="51" t="s">
        <v>77</v>
      </c>
      <c r="J270" s="52"/>
      <c r="K270" s="53" t="str">
        <f>IF(G270="","",IFERROR(INDEX(Stammdaten!$P$10:$P$69,MATCH(G270,Stammdaten!$N$10:$N$69,0)),"–"))</f>
        <v>IT</v>
      </c>
      <c r="L270" s="53" t="str">
        <f>IF(F270="","",IFERROR(INDEX(Stammdaten!$D$10:$D$49,MATCH(F270,Stammdaten!$B$10:$B$49,0)),"–"))</f>
        <v>Projektfläche</v>
      </c>
      <c r="M270" s="54" t="str">
        <f>IF(C270="","",IF(OR(F270="",G270="",I270=""),"unvollständig",IF(I270="Storniert","storniert",IF(WEEKDAY(C270,2)&gt;5,"Wochenende",IF(COUNTIF(Stammdaten!$AD$10:$AD$30,C270)&gt;0,"Feiertag",IF(IFERROR(INDEX(Stammdaten!$I$10:$I$49,MATCH(F270,Stammdaten!$B$10:$B$49,0)),"")="Gesperrt","Platz gesperrt",IF(AND(COUNTIF($P$6:$P$605,P270)&gt;1,NOT(AND(COUNTIF($P$6:$P$605,P270)=2,COUNTIFS($P$6:$P$605,P270,$H$6:$H$605,"Vormittag")=1,COUNTIFS($P$6:$P$605,P270,$H$6:$H$605,"Nachmittag")=1))),"Doppelbuchung",IF(AND(COUNTIF($R$6:$R$605,R270)&gt;1,NOT(AND(COUNTIF($R$6:$R$605,R270)=2,COUNTIFS($R$6:$R$605,R270,$H$6:$H$605,"Vormittag")=1,COUNTIFS($R$6:$R$605,R270,$H$6:$H$605,"Nachmittag")=1))),"Person doppelt","OK"))))))))</f>
        <v>OK</v>
      </c>
      <c r="O270" s="55">
        <f t="shared" si="31"/>
        <v>0.5</v>
      </c>
      <c r="P270" s="55" t="str">
        <f t="shared" si="32"/>
        <v>B-12|46311</v>
      </c>
      <c r="Q270" s="55" t="str">
        <f>IF(P270="","",P270&amp;"|"&amp;COUNTIF(P$6:P270,P270))</f>
        <v>B-12|46311|1</v>
      </c>
      <c r="R270" s="55" t="str">
        <f t="shared" si="33"/>
        <v>Simon Graf|46311</v>
      </c>
      <c r="S270" s="55" t="str">
        <f>IF(R270="","",R270&amp;"|"&amp;COUNTIF(R$6:R270,R270))</f>
        <v>Simon Graf|46311|1</v>
      </c>
      <c r="T270" s="55" t="str">
        <f>IF(G270="","",IFERROR(INDEX(Stammdaten!$O$10:$O$69,MATCH(G270,Stammdaten!$N$10:$N$69,0)),G270)&amp;IF(H270="Vormittag"," (VM)",IF(H270="Nachmittag"," (NM)",""))&amp;IF(I270="Angefragt"," ?",""))</f>
        <v>S. Graf (VM)</v>
      </c>
      <c r="U270" s="55" t="str">
        <f t="shared" si="34"/>
        <v>B-12 (VM)</v>
      </c>
    </row>
    <row r="271" spans="2:21" ht="16.5" customHeight="1" x14ac:dyDescent="0.25">
      <c r="B271" s="47">
        <f t="shared" si="28"/>
        <v>266</v>
      </c>
      <c r="C271" s="48">
        <v>46311</v>
      </c>
      <c r="D271" s="49" t="str">
        <f t="shared" si="29"/>
        <v>Fr</v>
      </c>
      <c r="E271" s="50">
        <f t="shared" si="30"/>
        <v>42</v>
      </c>
      <c r="F271" s="51" t="s">
        <v>106</v>
      </c>
      <c r="G271" s="52" t="s">
        <v>120</v>
      </c>
      <c r="H271" s="51" t="s">
        <v>134</v>
      </c>
      <c r="I271" s="51" t="s">
        <v>77</v>
      </c>
      <c r="J271" s="52" t="s">
        <v>135</v>
      </c>
      <c r="K271" s="53" t="str">
        <f>IF(G271="","",IFERROR(INDEX(Stammdaten!$P$10:$P$69,MATCH(G271,Stammdaten!$N$10:$N$69,0)),"–"))</f>
        <v>Personal</v>
      </c>
      <c r="L271" s="53" t="str">
        <f>IF(F271="","",IFERROR(INDEX(Stammdaten!$D$10:$D$49,MATCH(F271,Stammdaten!$B$10:$B$49,0)),"–"))</f>
        <v>Projektfläche</v>
      </c>
      <c r="M271" s="54" t="str">
        <f>IF(C271="","",IF(OR(F271="",G271="",I271=""),"unvollständig",IF(I271="Storniert","storniert",IF(WEEKDAY(C271,2)&gt;5,"Wochenende",IF(COUNTIF(Stammdaten!$AD$10:$AD$30,C271)&gt;0,"Feiertag",IF(IFERROR(INDEX(Stammdaten!$I$10:$I$49,MATCH(F271,Stammdaten!$B$10:$B$49,0)),"")="Gesperrt","Platz gesperrt",IF(AND(COUNTIF($P$6:$P$605,P271)&gt;1,NOT(AND(COUNTIF($P$6:$P$605,P271)=2,COUNTIFS($P$6:$P$605,P271,$H$6:$H$605,"Vormittag")=1,COUNTIFS($P$6:$P$605,P271,$H$6:$H$605,"Nachmittag")=1))),"Doppelbuchung",IF(AND(COUNTIF($R$6:$R$605,R271)&gt;1,NOT(AND(COUNTIF($R$6:$R$605,R271)=2,COUNTIFS($R$6:$R$605,R271,$H$6:$H$605,"Vormittag")=1,COUNTIFS($R$6:$R$605,R271,$H$6:$H$605,"Nachmittag")=1))),"Person doppelt","OK"))))))))</f>
        <v>OK</v>
      </c>
      <c r="O271" s="55">
        <f t="shared" si="31"/>
        <v>0.5</v>
      </c>
      <c r="P271" s="55" t="str">
        <f t="shared" si="32"/>
        <v>B-12|46311</v>
      </c>
      <c r="Q271" s="55" t="str">
        <f>IF(P271="","",P271&amp;"|"&amp;COUNTIF(P$6:P271,P271))</f>
        <v>B-12|46311|2</v>
      </c>
      <c r="R271" s="55" t="str">
        <f t="shared" si="33"/>
        <v>Elif Yilmaz|46311</v>
      </c>
      <c r="S271" s="55" t="str">
        <f>IF(R271="","",R271&amp;"|"&amp;COUNTIF(R$6:R271,R271))</f>
        <v>Elif Yilmaz|46311|1</v>
      </c>
      <c r="T271" s="55" t="str">
        <f>IF(G271="","",IFERROR(INDEX(Stammdaten!$O$10:$O$69,MATCH(G271,Stammdaten!$N$10:$N$69,0)),G271)&amp;IF(H271="Vormittag"," (VM)",IF(H271="Nachmittag"," (NM)",""))&amp;IF(I271="Angefragt"," ?",""))</f>
        <v>E. Yilmaz (NM)</v>
      </c>
      <c r="U271" s="55" t="str">
        <f t="shared" si="34"/>
        <v>B-12 (NM)</v>
      </c>
    </row>
    <row r="272" spans="2:21" ht="16.5" customHeight="1" x14ac:dyDescent="0.25">
      <c r="B272" s="47">
        <f t="shared" si="28"/>
        <v>267</v>
      </c>
      <c r="C272" s="48">
        <v>46314</v>
      </c>
      <c r="D272" s="49" t="str">
        <f t="shared" si="29"/>
        <v>Mo</v>
      </c>
      <c r="E272" s="50">
        <f t="shared" si="30"/>
        <v>43</v>
      </c>
      <c r="F272" s="51" t="s">
        <v>74</v>
      </c>
      <c r="G272" s="52" t="s">
        <v>75</v>
      </c>
      <c r="H272" s="51" t="s">
        <v>76</v>
      </c>
      <c r="I272" s="51" t="s">
        <v>77</v>
      </c>
      <c r="J272" s="52"/>
      <c r="K272" s="53" t="str">
        <f>IF(G272="","",IFERROR(INDEX(Stammdaten!$P$10:$P$69,MATCH(G272,Stammdaten!$N$10:$N$69,0)),"–"))</f>
        <v>Marketing</v>
      </c>
      <c r="L272" s="53" t="str">
        <f>IF(F272="","",IFERROR(INDEX(Stammdaten!$D$10:$D$49,MATCH(F272,Stammdaten!$B$10:$B$49,0)),"–"))</f>
        <v>Teamzone Nord</v>
      </c>
      <c r="M272" s="54" t="str">
        <f>IF(C272="","",IF(OR(F272="",G272="",I272=""),"unvollständig",IF(I272="Storniert","storniert",IF(WEEKDAY(C272,2)&gt;5,"Wochenende",IF(COUNTIF(Stammdaten!$AD$10:$AD$30,C272)&gt;0,"Feiertag",IF(IFERROR(INDEX(Stammdaten!$I$10:$I$49,MATCH(F272,Stammdaten!$B$10:$B$49,0)),"")="Gesperrt","Platz gesperrt",IF(AND(COUNTIF($P$6:$P$605,P272)&gt;1,NOT(AND(COUNTIF($P$6:$P$605,P272)=2,COUNTIFS($P$6:$P$605,P272,$H$6:$H$605,"Vormittag")=1,COUNTIFS($P$6:$P$605,P272,$H$6:$H$605,"Nachmittag")=1))),"Doppelbuchung",IF(AND(COUNTIF($R$6:$R$605,R272)&gt;1,NOT(AND(COUNTIF($R$6:$R$605,R272)=2,COUNTIFS($R$6:$R$605,R272,$H$6:$H$605,"Vormittag")=1,COUNTIFS($R$6:$R$605,R272,$H$6:$H$605,"Nachmittag")=1))),"Person doppelt","OK"))))))))</f>
        <v>OK</v>
      </c>
      <c r="O272" s="55">
        <f t="shared" si="31"/>
        <v>1</v>
      </c>
      <c r="P272" s="55" t="str">
        <f t="shared" si="32"/>
        <v>A-01|46314</v>
      </c>
      <c r="Q272" s="55" t="str">
        <f>IF(P272="","",P272&amp;"|"&amp;COUNTIF(P$6:P272,P272))</f>
        <v>A-01|46314|1</v>
      </c>
      <c r="R272" s="55" t="str">
        <f t="shared" si="33"/>
        <v>Marco Seidel|46314</v>
      </c>
      <c r="S272" s="55" t="str">
        <f>IF(R272="","",R272&amp;"|"&amp;COUNTIF(R$6:R272,R272))</f>
        <v>Marco Seidel|46314|1</v>
      </c>
      <c r="T272" s="55" t="str">
        <f>IF(G272="","",IFERROR(INDEX(Stammdaten!$O$10:$O$69,MATCH(G272,Stammdaten!$N$10:$N$69,0)),G272)&amp;IF(H272="Vormittag"," (VM)",IF(H272="Nachmittag"," (NM)",""))&amp;IF(I272="Angefragt"," ?",""))</f>
        <v>M. Seidel</v>
      </c>
      <c r="U272" s="55" t="str">
        <f t="shared" si="34"/>
        <v>A-01</v>
      </c>
    </row>
    <row r="273" spans="2:21" ht="16.5" customHeight="1" x14ac:dyDescent="0.25">
      <c r="B273" s="47">
        <f t="shared" si="28"/>
        <v>268</v>
      </c>
      <c r="C273" s="48">
        <v>46314</v>
      </c>
      <c r="D273" s="49" t="str">
        <f t="shared" si="29"/>
        <v>Mo</v>
      </c>
      <c r="E273" s="50">
        <f t="shared" si="30"/>
        <v>43</v>
      </c>
      <c r="F273" s="51" t="s">
        <v>78</v>
      </c>
      <c r="G273" s="52" t="s">
        <v>81</v>
      </c>
      <c r="H273" s="51" t="s">
        <v>76</v>
      </c>
      <c r="I273" s="51" t="s">
        <v>77</v>
      </c>
      <c r="J273" s="52"/>
      <c r="K273" s="53" t="str">
        <f>IF(G273="","",IFERROR(INDEX(Stammdaten!$P$10:$P$69,MATCH(G273,Stammdaten!$N$10:$N$69,0)),"–"))</f>
        <v>Vertrieb</v>
      </c>
      <c r="L273" s="53" t="str">
        <f>IF(F273="","",IFERROR(INDEX(Stammdaten!$D$10:$D$49,MATCH(F273,Stammdaten!$B$10:$B$49,0)),"–"))</f>
        <v>Teamzone Nord</v>
      </c>
      <c r="M273" s="54" t="str">
        <f>IF(C273="","",IF(OR(F273="",G273="",I273=""),"unvollständig",IF(I273="Storniert","storniert",IF(WEEKDAY(C273,2)&gt;5,"Wochenende",IF(COUNTIF(Stammdaten!$AD$10:$AD$30,C273)&gt;0,"Feiertag",IF(IFERROR(INDEX(Stammdaten!$I$10:$I$49,MATCH(F273,Stammdaten!$B$10:$B$49,0)),"")="Gesperrt","Platz gesperrt",IF(AND(COUNTIF($P$6:$P$605,P273)&gt;1,NOT(AND(COUNTIF($P$6:$P$605,P273)=2,COUNTIFS($P$6:$P$605,P273,$H$6:$H$605,"Vormittag")=1,COUNTIFS($P$6:$P$605,P273,$H$6:$H$605,"Nachmittag")=1))),"Doppelbuchung",IF(AND(COUNTIF($R$6:$R$605,R273)&gt;1,NOT(AND(COUNTIF($R$6:$R$605,R273)=2,COUNTIFS($R$6:$R$605,R273,$H$6:$H$605,"Vormittag")=1,COUNTIFS($R$6:$R$605,R273,$H$6:$H$605,"Nachmittag")=1))),"Person doppelt","OK"))))))))</f>
        <v>OK</v>
      </c>
      <c r="O273" s="55">
        <f t="shared" si="31"/>
        <v>1</v>
      </c>
      <c r="P273" s="55" t="str">
        <f t="shared" si="32"/>
        <v>A-02|46314</v>
      </c>
      <c r="Q273" s="55" t="str">
        <f>IF(P273="","",P273&amp;"|"&amp;COUNTIF(P$6:P273,P273))</f>
        <v>A-02|46314|1</v>
      </c>
      <c r="R273" s="55" t="str">
        <f t="shared" si="33"/>
        <v>Nina Albrecht|46314</v>
      </c>
      <c r="S273" s="55" t="str">
        <f>IF(R273="","",R273&amp;"|"&amp;COUNTIF(R$6:R273,R273))</f>
        <v>Nina Albrecht|46314|1</v>
      </c>
      <c r="T273" s="55" t="str">
        <f>IF(G273="","",IFERROR(INDEX(Stammdaten!$O$10:$O$69,MATCH(G273,Stammdaten!$N$10:$N$69,0)),G273)&amp;IF(H273="Vormittag"," (VM)",IF(H273="Nachmittag"," (NM)",""))&amp;IF(I273="Angefragt"," ?",""))</f>
        <v>N. Albrecht</v>
      </c>
      <c r="U273" s="55" t="str">
        <f t="shared" si="34"/>
        <v>A-02</v>
      </c>
    </row>
    <row r="274" spans="2:21" ht="16.5" customHeight="1" x14ac:dyDescent="0.25">
      <c r="B274" s="47">
        <f t="shared" si="28"/>
        <v>269</v>
      </c>
      <c r="C274" s="48">
        <v>46314</v>
      </c>
      <c r="D274" s="49" t="str">
        <f t="shared" si="29"/>
        <v>Mo</v>
      </c>
      <c r="E274" s="50">
        <f t="shared" si="30"/>
        <v>43</v>
      </c>
      <c r="F274" s="51" t="s">
        <v>109</v>
      </c>
      <c r="G274" s="52" t="s">
        <v>87</v>
      </c>
      <c r="H274" s="51" t="s">
        <v>76</v>
      </c>
      <c r="I274" s="51" t="s">
        <v>77</v>
      </c>
      <c r="J274" s="52"/>
      <c r="K274" s="53" t="str">
        <f>IF(G274="","",IFERROR(INDEX(Stammdaten!$P$10:$P$69,MATCH(G274,Stammdaten!$N$10:$N$69,0)),"–"))</f>
        <v>Marketing</v>
      </c>
      <c r="L274" s="53" t="str">
        <f>IF(F274="","",IFERROR(INDEX(Stammdaten!$D$10:$D$49,MATCH(F274,Stammdaten!$B$10:$B$49,0)),"–"))</f>
        <v>Teamzone Nord</v>
      </c>
      <c r="M274" s="54" t="str">
        <f>IF(C274="","",IF(OR(F274="",G274="",I274=""),"unvollständig",IF(I274="Storniert","storniert",IF(WEEKDAY(C274,2)&gt;5,"Wochenende",IF(COUNTIF(Stammdaten!$AD$10:$AD$30,C274)&gt;0,"Feiertag",IF(IFERROR(INDEX(Stammdaten!$I$10:$I$49,MATCH(F274,Stammdaten!$B$10:$B$49,0)),"")="Gesperrt","Platz gesperrt",IF(AND(COUNTIF($P$6:$P$605,P274)&gt;1,NOT(AND(COUNTIF($P$6:$P$605,P274)=2,COUNTIFS($P$6:$P$605,P274,$H$6:$H$605,"Vormittag")=1,COUNTIFS($P$6:$P$605,P274,$H$6:$H$605,"Nachmittag")=1))),"Doppelbuchung",IF(AND(COUNTIF($R$6:$R$605,R274)&gt;1,NOT(AND(COUNTIF($R$6:$R$605,R274)=2,COUNTIFS($R$6:$R$605,R274,$H$6:$H$605,"Vormittag")=1,COUNTIFS($R$6:$R$605,R274,$H$6:$H$605,"Nachmittag")=1))),"Person doppelt","OK"))))))))</f>
        <v>OK</v>
      </c>
      <c r="O274" s="55">
        <f t="shared" si="31"/>
        <v>1</v>
      </c>
      <c r="P274" s="55" t="str">
        <f t="shared" si="32"/>
        <v>A-03|46314</v>
      </c>
      <c r="Q274" s="55" t="str">
        <f>IF(P274="","",P274&amp;"|"&amp;COUNTIF(P$6:P274,P274))</f>
        <v>A-03|46314|1</v>
      </c>
      <c r="R274" s="55" t="str">
        <f t="shared" si="33"/>
        <v>Paul Schreiber|46314</v>
      </c>
      <c r="S274" s="55" t="str">
        <f>IF(R274="","",R274&amp;"|"&amp;COUNTIF(R$6:R274,R274))</f>
        <v>Paul Schreiber|46314|1</v>
      </c>
      <c r="T274" s="55" t="str">
        <f>IF(G274="","",IFERROR(INDEX(Stammdaten!$O$10:$O$69,MATCH(G274,Stammdaten!$N$10:$N$69,0)),G274)&amp;IF(H274="Vormittag"," (VM)",IF(H274="Nachmittag"," (NM)",""))&amp;IF(I274="Angefragt"," ?",""))</f>
        <v>P. Schreiber</v>
      </c>
      <c r="U274" s="55" t="str">
        <f t="shared" si="34"/>
        <v>A-03</v>
      </c>
    </row>
    <row r="275" spans="2:21" ht="16.5" customHeight="1" x14ac:dyDescent="0.25">
      <c r="B275" s="47">
        <f t="shared" si="28"/>
        <v>270</v>
      </c>
      <c r="C275" s="48">
        <v>46314</v>
      </c>
      <c r="D275" s="49" t="str">
        <f t="shared" si="29"/>
        <v>Mo</v>
      </c>
      <c r="E275" s="50">
        <f t="shared" si="30"/>
        <v>43</v>
      </c>
      <c r="F275" s="51" t="s">
        <v>110</v>
      </c>
      <c r="G275" s="52" t="s">
        <v>111</v>
      </c>
      <c r="H275" s="51" t="s">
        <v>76</v>
      </c>
      <c r="I275" s="51" t="s">
        <v>77</v>
      </c>
      <c r="J275" s="52"/>
      <c r="K275" s="53" t="str">
        <f>IF(G275="","",IFERROR(INDEX(Stammdaten!$P$10:$P$69,MATCH(G275,Stammdaten!$N$10:$N$69,0)),"–"))</f>
        <v>Vertrieb</v>
      </c>
      <c r="L275" s="53" t="str">
        <f>IF(F275="","",IFERROR(INDEX(Stammdaten!$D$10:$D$49,MATCH(F275,Stammdaten!$B$10:$B$49,0)),"–"))</f>
        <v>Teamzone Nord</v>
      </c>
      <c r="M275" s="54" t="str">
        <f>IF(C275="","",IF(OR(F275="",G275="",I275=""),"unvollständig",IF(I275="Storniert","storniert",IF(WEEKDAY(C275,2)&gt;5,"Wochenende",IF(COUNTIF(Stammdaten!$AD$10:$AD$30,C275)&gt;0,"Feiertag",IF(IFERROR(INDEX(Stammdaten!$I$10:$I$49,MATCH(F275,Stammdaten!$B$10:$B$49,0)),"")="Gesperrt","Platz gesperrt",IF(AND(COUNTIF($P$6:$P$605,P275)&gt;1,NOT(AND(COUNTIF($P$6:$P$605,P275)=2,COUNTIFS($P$6:$P$605,P275,$H$6:$H$605,"Vormittag")=1,COUNTIFS($P$6:$P$605,P275,$H$6:$H$605,"Nachmittag")=1))),"Doppelbuchung",IF(AND(COUNTIF($R$6:$R$605,R275)&gt;1,NOT(AND(COUNTIF($R$6:$R$605,R275)=2,COUNTIFS($R$6:$R$605,R275,$H$6:$H$605,"Vormittag")=1,COUNTIFS($R$6:$R$605,R275,$H$6:$H$605,"Nachmittag")=1))),"Person doppelt","OK"))))))))</f>
        <v>OK</v>
      </c>
      <c r="O275" s="55">
        <f t="shared" si="31"/>
        <v>1</v>
      </c>
      <c r="P275" s="55" t="str">
        <f t="shared" si="32"/>
        <v>A-04|46314</v>
      </c>
      <c r="Q275" s="55" t="str">
        <f>IF(P275="","",P275&amp;"|"&amp;COUNTIF(P$6:P275,P275))</f>
        <v>A-04|46314|1</v>
      </c>
      <c r="R275" s="55" t="str">
        <f t="shared" si="33"/>
        <v>Sophie Brandt|46314</v>
      </c>
      <c r="S275" s="55" t="str">
        <f>IF(R275="","",R275&amp;"|"&amp;COUNTIF(R$6:R275,R275))</f>
        <v>Sophie Brandt|46314|1</v>
      </c>
      <c r="T275" s="55" t="str">
        <f>IF(G275="","",IFERROR(INDEX(Stammdaten!$O$10:$O$69,MATCH(G275,Stammdaten!$N$10:$N$69,0)),G275)&amp;IF(H275="Vormittag"," (VM)",IF(H275="Nachmittag"," (NM)",""))&amp;IF(I275="Angefragt"," ?",""))</f>
        <v>S. Brandt</v>
      </c>
      <c r="U275" s="55" t="str">
        <f t="shared" si="34"/>
        <v>A-04</v>
      </c>
    </row>
    <row r="276" spans="2:21" ht="16.5" customHeight="1" x14ac:dyDescent="0.25">
      <c r="B276" s="47">
        <f t="shared" si="28"/>
        <v>271</v>
      </c>
      <c r="C276" s="48">
        <v>46314</v>
      </c>
      <c r="D276" s="49" t="str">
        <f t="shared" si="29"/>
        <v>Mo</v>
      </c>
      <c r="E276" s="50">
        <f t="shared" si="30"/>
        <v>43</v>
      </c>
      <c r="F276" s="51" t="s">
        <v>80</v>
      </c>
      <c r="G276" s="52" t="s">
        <v>83</v>
      </c>
      <c r="H276" s="51" t="s">
        <v>76</v>
      </c>
      <c r="I276" s="51" t="s">
        <v>77</v>
      </c>
      <c r="J276" s="52"/>
      <c r="K276" s="53" t="str">
        <f>IF(G276="","",IFERROR(INDEX(Stammdaten!$P$10:$P$69,MATCH(G276,Stammdaten!$N$10:$N$69,0)),"–"))</f>
        <v>Marketing</v>
      </c>
      <c r="L276" s="53" t="str">
        <f>IF(F276="","",IFERROR(INDEX(Stammdaten!$D$10:$D$49,MATCH(F276,Stammdaten!$B$10:$B$49,0)),"–"))</f>
        <v>Teamzone Nord</v>
      </c>
      <c r="M276" s="54" t="str">
        <f>IF(C276="","",IF(OR(F276="",G276="",I276=""),"unvollständig",IF(I276="Storniert","storniert",IF(WEEKDAY(C276,2)&gt;5,"Wochenende",IF(COUNTIF(Stammdaten!$AD$10:$AD$30,C276)&gt;0,"Feiertag",IF(IFERROR(INDEX(Stammdaten!$I$10:$I$49,MATCH(F276,Stammdaten!$B$10:$B$49,0)),"")="Gesperrt","Platz gesperrt",IF(AND(COUNTIF($P$6:$P$605,P276)&gt;1,NOT(AND(COUNTIF($P$6:$P$605,P276)=2,COUNTIFS($P$6:$P$605,P276,$H$6:$H$605,"Vormittag")=1,COUNTIFS($P$6:$P$605,P276,$H$6:$H$605,"Nachmittag")=1))),"Doppelbuchung",IF(AND(COUNTIF($R$6:$R$605,R276)&gt;1,NOT(AND(COUNTIF($R$6:$R$605,R276)=2,COUNTIFS($R$6:$R$605,R276,$H$6:$H$605,"Vormittag")=1,COUNTIFS($R$6:$R$605,R276,$H$6:$H$605,"Nachmittag")=1))),"Person doppelt","OK"))))))))</f>
        <v>OK</v>
      </c>
      <c r="O276" s="55">
        <f t="shared" si="31"/>
        <v>1</v>
      </c>
      <c r="P276" s="55" t="str">
        <f t="shared" si="32"/>
        <v>A-05|46314</v>
      </c>
      <c r="Q276" s="55" t="str">
        <f>IF(P276="","",P276&amp;"|"&amp;COUNTIF(P$6:P276,P276))</f>
        <v>A-05|46314|1</v>
      </c>
      <c r="R276" s="55" t="str">
        <f t="shared" si="33"/>
        <v>Felix Engel|46314</v>
      </c>
      <c r="S276" s="55" t="str">
        <f>IF(R276="","",R276&amp;"|"&amp;COUNTIF(R$6:R276,R276))</f>
        <v>Felix Engel|46314|1</v>
      </c>
      <c r="T276" s="55" t="str">
        <f>IF(G276="","",IFERROR(INDEX(Stammdaten!$O$10:$O$69,MATCH(G276,Stammdaten!$N$10:$N$69,0)),G276)&amp;IF(H276="Vormittag"," (VM)",IF(H276="Nachmittag"," (NM)",""))&amp;IF(I276="Angefragt"," ?",""))</f>
        <v>F. Engel</v>
      </c>
      <c r="U276" s="55" t="str">
        <f t="shared" si="34"/>
        <v>A-05</v>
      </c>
    </row>
    <row r="277" spans="2:21" ht="16.5" customHeight="1" x14ac:dyDescent="0.25">
      <c r="B277" s="47">
        <f t="shared" si="28"/>
        <v>272</v>
      </c>
      <c r="C277" s="48">
        <v>46314</v>
      </c>
      <c r="D277" s="49" t="str">
        <f t="shared" si="29"/>
        <v>Mo</v>
      </c>
      <c r="E277" s="50">
        <f t="shared" si="30"/>
        <v>43</v>
      </c>
      <c r="F277" s="51" t="s">
        <v>82</v>
      </c>
      <c r="G277" s="52" t="s">
        <v>126</v>
      </c>
      <c r="H277" s="51" t="s">
        <v>76</v>
      </c>
      <c r="I277" s="51" t="s">
        <v>77</v>
      </c>
      <c r="J277" s="52"/>
      <c r="K277" s="53" t="str">
        <f>IF(G277="","",IFERROR(INDEX(Stammdaten!$P$10:$P$69,MATCH(G277,Stammdaten!$N$10:$N$69,0)),"–"))</f>
        <v>Vertrieb</v>
      </c>
      <c r="L277" s="53" t="str">
        <f>IF(F277="","",IFERROR(INDEX(Stammdaten!$D$10:$D$49,MATCH(F277,Stammdaten!$B$10:$B$49,0)),"–"))</f>
        <v>Teamzone Nord</v>
      </c>
      <c r="M277" s="54" t="str">
        <f>IF(C277="","",IF(OR(F277="",G277="",I277=""),"unvollständig",IF(I277="Storniert","storniert",IF(WEEKDAY(C277,2)&gt;5,"Wochenende",IF(COUNTIF(Stammdaten!$AD$10:$AD$30,C277)&gt;0,"Feiertag",IF(IFERROR(INDEX(Stammdaten!$I$10:$I$49,MATCH(F277,Stammdaten!$B$10:$B$49,0)),"")="Gesperrt","Platz gesperrt",IF(AND(COUNTIF($P$6:$P$605,P277)&gt;1,NOT(AND(COUNTIF($P$6:$P$605,P277)=2,COUNTIFS($P$6:$P$605,P277,$H$6:$H$605,"Vormittag")=1,COUNTIFS($P$6:$P$605,P277,$H$6:$H$605,"Nachmittag")=1))),"Doppelbuchung",IF(AND(COUNTIF($R$6:$R$605,R277)&gt;1,NOT(AND(COUNTIF($R$6:$R$605,R277)=2,COUNTIFS($R$6:$R$605,R277,$H$6:$H$605,"Vormittag")=1,COUNTIFS($R$6:$R$605,R277,$H$6:$H$605,"Nachmittag")=1))),"Person doppelt","OK"))))))))</f>
        <v>OK</v>
      </c>
      <c r="O277" s="55">
        <f t="shared" si="31"/>
        <v>1</v>
      </c>
      <c r="P277" s="55" t="str">
        <f t="shared" si="32"/>
        <v>A-06|46314</v>
      </c>
      <c r="Q277" s="55" t="str">
        <f>IF(P277="","",P277&amp;"|"&amp;COUNTIF(P$6:P277,P277))</f>
        <v>A-06|46314|1</v>
      </c>
      <c r="R277" s="55" t="str">
        <f t="shared" si="33"/>
        <v>Jonas Weber|46314</v>
      </c>
      <c r="S277" s="55" t="str">
        <f>IF(R277="","",R277&amp;"|"&amp;COUNTIF(R$6:R277,R277))</f>
        <v>Jonas Weber|46314|1</v>
      </c>
      <c r="T277" s="55" t="str">
        <f>IF(G277="","",IFERROR(INDEX(Stammdaten!$O$10:$O$69,MATCH(G277,Stammdaten!$N$10:$N$69,0)),G277)&amp;IF(H277="Vormittag"," (VM)",IF(H277="Nachmittag"," (NM)",""))&amp;IF(I277="Angefragt"," ?",""))</f>
        <v>J. Weber</v>
      </c>
      <c r="U277" s="55" t="str">
        <f t="shared" si="34"/>
        <v>A-06</v>
      </c>
    </row>
    <row r="278" spans="2:21" ht="16.5" customHeight="1" x14ac:dyDescent="0.25">
      <c r="B278" s="47">
        <f t="shared" si="28"/>
        <v>273</v>
      </c>
      <c r="C278" s="48">
        <v>46314</v>
      </c>
      <c r="D278" s="49" t="str">
        <f t="shared" si="29"/>
        <v>Mo</v>
      </c>
      <c r="E278" s="50">
        <f t="shared" si="30"/>
        <v>43</v>
      </c>
      <c r="F278" s="51" t="s">
        <v>84</v>
      </c>
      <c r="G278" s="52" t="s">
        <v>79</v>
      </c>
      <c r="H278" s="51" t="s">
        <v>76</v>
      </c>
      <c r="I278" s="51" t="s">
        <v>77</v>
      </c>
      <c r="J278" s="52"/>
      <c r="K278" s="53" t="str">
        <f>IF(G278="","",IFERROR(INDEX(Stammdaten!$P$10:$P$69,MATCH(G278,Stammdaten!$N$10:$N$69,0)),"–"))</f>
        <v>Vertrieb</v>
      </c>
      <c r="L278" s="53" t="str">
        <f>IF(F278="","",IFERROR(INDEX(Stammdaten!$D$10:$D$49,MATCH(F278,Stammdaten!$B$10:$B$49,0)),"–"))</f>
        <v>Teamzone Nord</v>
      </c>
      <c r="M278" s="54" t="str">
        <f>IF(C278="","",IF(OR(F278="",G278="",I278=""),"unvollständig",IF(I278="Storniert","storniert",IF(WEEKDAY(C278,2)&gt;5,"Wochenende",IF(COUNTIF(Stammdaten!$AD$10:$AD$30,C278)&gt;0,"Feiertag",IF(IFERROR(INDEX(Stammdaten!$I$10:$I$49,MATCH(F278,Stammdaten!$B$10:$B$49,0)),"")="Gesperrt","Platz gesperrt",IF(AND(COUNTIF($P$6:$P$605,P278)&gt;1,NOT(AND(COUNTIF($P$6:$P$605,P278)=2,COUNTIFS($P$6:$P$605,P278,$H$6:$H$605,"Vormittag")=1,COUNTIFS($P$6:$P$605,P278,$H$6:$H$605,"Nachmittag")=1))),"Doppelbuchung",IF(AND(COUNTIF($R$6:$R$605,R278)&gt;1,NOT(AND(COUNTIF($R$6:$R$605,R278)=2,COUNTIFS($R$6:$R$605,R278,$H$6:$H$605,"Vormittag")=1,COUNTIFS($R$6:$R$605,R278,$H$6:$H$605,"Nachmittag")=1))),"Person doppelt","OK"))))))))</f>
        <v>OK</v>
      </c>
      <c r="O278" s="55">
        <f t="shared" si="31"/>
        <v>1</v>
      </c>
      <c r="P278" s="55" t="str">
        <f t="shared" si="32"/>
        <v>A-07|46314</v>
      </c>
      <c r="Q278" s="55" t="str">
        <f>IF(P278="","",P278&amp;"|"&amp;COUNTIF(P$6:P278,P278))</f>
        <v>A-07|46314|1</v>
      </c>
      <c r="R278" s="55" t="str">
        <f t="shared" si="33"/>
        <v>Lena Hartmann|46314</v>
      </c>
      <c r="S278" s="55" t="str">
        <f>IF(R278="","",R278&amp;"|"&amp;COUNTIF(R$6:R278,R278))</f>
        <v>Lena Hartmann|46314|1</v>
      </c>
      <c r="T278" s="55" t="str">
        <f>IF(G278="","",IFERROR(INDEX(Stammdaten!$O$10:$O$69,MATCH(G278,Stammdaten!$N$10:$N$69,0)),G278)&amp;IF(H278="Vormittag"," (VM)",IF(H278="Nachmittag"," (NM)",""))&amp;IF(I278="Angefragt"," ?",""))</f>
        <v>L. Hartmann</v>
      </c>
      <c r="U278" s="55" t="str">
        <f t="shared" si="34"/>
        <v>A-07</v>
      </c>
    </row>
    <row r="279" spans="2:21" ht="16.5" customHeight="1" x14ac:dyDescent="0.25">
      <c r="B279" s="47">
        <f t="shared" si="28"/>
        <v>274</v>
      </c>
      <c r="C279" s="48">
        <v>46314</v>
      </c>
      <c r="D279" s="49" t="str">
        <f t="shared" si="29"/>
        <v>Mo</v>
      </c>
      <c r="E279" s="50">
        <f t="shared" si="30"/>
        <v>43</v>
      </c>
      <c r="F279" s="51" t="s">
        <v>86</v>
      </c>
      <c r="G279" s="52" t="s">
        <v>108</v>
      </c>
      <c r="H279" s="51" t="s">
        <v>76</v>
      </c>
      <c r="I279" s="51" t="s">
        <v>77</v>
      </c>
      <c r="J279" s="52"/>
      <c r="K279" s="53" t="str">
        <f>IF(G279="","",IFERROR(INDEX(Stammdaten!$P$10:$P$69,MATCH(G279,Stammdaten!$N$10:$N$69,0)),"–"))</f>
        <v>Marketing</v>
      </c>
      <c r="L279" s="53" t="str">
        <f>IF(F279="","",IFERROR(INDEX(Stammdaten!$D$10:$D$49,MATCH(F279,Stammdaten!$B$10:$B$49,0)),"–"))</f>
        <v>Teamzone Nord</v>
      </c>
      <c r="M279" s="54" t="str">
        <f>IF(C279="","",IF(OR(F279="",G279="",I279=""),"unvollständig",IF(I279="Storniert","storniert",IF(WEEKDAY(C279,2)&gt;5,"Wochenende",IF(COUNTIF(Stammdaten!$AD$10:$AD$30,C279)&gt;0,"Feiertag",IF(IFERROR(INDEX(Stammdaten!$I$10:$I$49,MATCH(F279,Stammdaten!$B$10:$B$49,0)),"")="Gesperrt","Platz gesperrt",IF(AND(COUNTIF($P$6:$P$605,P279)&gt;1,NOT(AND(COUNTIF($P$6:$P$605,P279)=2,COUNTIFS($P$6:$P$605,P279,$H$6:$H$605,"Vormittag")=1,COUNTIFS($P$6:$P$605,P279,$H$6:$H$605,"Nachmittag")=1))),"Doppelbuchung",IF(AND(COUNTIF($R$6:$R$605,R279)&gt;1,NOT(AND(COUNTIF($R$6:$R$605,R279)=2,COUNTIFS($R$6:$R$605,R279,$H$6:$H$605,"Vormittag")=1,COUNTIFS($R$6:$R$605,R279,$H$6:$H$605,"Nachmittag")=1))),"Person doppelt","OK"))))))))</f>
        <v>OK</v>
      </c>
      <c r="O279" s="55">
        <f t="shared" si="31"/>
        <v>1</v>
      </c>
      <c r="P279" s="55" t="str">
        <f t="shared" si="32"/>
        <v>A-08|46314</v>
      </c>
      <c r="Q279" s="55" t="str">
        <f>IF(P279="","",P279&amp;"|"&amp;COUNTIF(P$6:P279,P279))</f>
        <v>A-08|46314|1</v>
      </c>
      <c r="R279" s="55" t="str">
        <f t="shared" si="33"/>
        <v>Aylin Demir|46314</v>
      </c>
      <c r="S279" s="55" t="str">
        <f>IF(R279="","",R279&amp;"|"&amp;COUNTIF(R$6:R279,R279))</f>
        <v>Aylin Demir|46314|1</v>
      </c>
      <c r="T279" s="55" t="str">
        <f>IF(G279="","",IFERROR(INDEX(Stammdaten!$O$10:$O$69,MATCH(G279,Stammdaten!$N$10:$N$69,0)),G279)&amp;IF(H279="Vormittag"," (VM)",IF(H279="Nachmittag"," (NM)",""))&amp;IF(I279="Angefragt"," ?",""))</f>
        <v>A. Demir</v>
      </c>
      <c r="U279" s="55" t="str">
        <f t="shared" si="34"/>
        <v>A-08</v>
      </c>
    </row>
    <row r="280" spans="2:21" ht="16.5" customHeight="1" x14ac:dyDescent="0.25">
      <c r="B280" s="47">
        <f t="shared" si="28"/>
        <v>275</v>
      </c>
      <c r="C280" s="48">
        <v>46314</v>
      </c>
      <c r="D280" s="49" t="str">
        <f t="shared" si="29"/>
        <v>Mo</v>
      </c>
      <c r="E280" s="50">
        <f t="shared" si="30"/>
        <v>43</v>
      </c>
      <c r="F280" s="51" t="s">
        <v>129</v>
      </c>
      <c r="G280" s="52" t="s">
        <v>85</v>
      </c>
      <c r="H280" s="51" t="s">
        <v>76</v>
      </c>
      <c r="I280" s="51" t="s">
        <v>77</v>
      </c>
      <c r="J280" s="52"/>
      <c r="K280" s="53" t="str">
        <f>IF(G280="","",IFERROR(INDEX(Stammdaten!$P$10:$P$69,MATCH(G280,Stammdaten!$N$10:$N$69,0)),"–"))</f>
        <v>Vertrieb</v>
      </c>
      <c r="L280" s="53" t="str">
        <f>IF(F280="","",IFERROR(INDEX(Stammdaten!$D$10:$D$49,MATCH(F280,Stammdaten!$B$10:$B$49,0)),"–"))</f>
        <v>Fokuszone</v>
      </c>
      <c r="M280" s="54" t="str">
        <f>IF(C280="","",IF(OR(F280="",G280="",I280=""),"unvollständig",IF(I280="Storniert","storniert",IF(WEEKDAY(C280,2)&gt;5,"Wochenende",IF(COUNTIF(Stammdaten!$AD$10:$AD$30,C280)&gt;0,"Feiertag",IF(IFERROR(INDEX(Stammdaten!$I$10:$I$49,MATCH(F280,Stammdaten!$B$10:$B$49,0)),"")="Gesperrt","Platz gesperrt",IF(AND(COUNTIF($P$6:$P$605,P280)&gt;1,NOT(AND(COUNTIF($P$6:$P$605,P280)=2,COUNTIFS($P$6:$P$605,P280,$H$6:$H$605,"Vormittag")=1,COUNTIFS($P$6:$P$605,P280,$H$6:$H$605,"Nachmittag")=1))),"Doppelbuchung",IF(AND(COUNTIF($R$6:$R$605,R280)&gt;1,NOT(AND(COUNTIF($R$6:$R$605,R280)=2,COUNTIFS($R$6:$R$605,R280,$H$6:$H$605,"Vormittag")=1,COUNTIFS($R$6:$R$605,R280,$H$6:$H$605,"Nachmittag")=1))),"Person doppelt","OK"))))))))</f>
        <v>OK</v>
      </c>
      <c r="O280" s="55">
        <f t="shared" si="31"/>
        <v>1</v>
      </c>
      <c r="P280" s="55" t="str">
        <f t="shared" si="32"/>
        <v>A-09|46314</v>
      </c>
      <c r="Q280" s="55" t="str">
        <f>IF(P280="","",P280&amp;"|"&amp;COUNTIF(P$6:P280,P280))</f>
        <v>A-09|46314|1</v>
      </c>
      <c r="R280" s="55" t="str">
        <f t="shared" si="33"/>
        <v>Miriam Krause|46314</v>
      </c>
      <c r="S280" s="55" t="str">
        <f>IF(R280="","",R280&amp;"|"&amp;COUNTIF(R$6:R280,R280))</f>
        <v>Miriam Krause|46314|1</v>
      </c>
      <c r="T280" s="55" t="str">
        <f>IF(G280="","",IFERROR(INDEX(Stammdaten!$O$10:$O$69,MATCH(G280,Stammdaten!$N$10:$N$69,0)),G280)&amp;IF(H280="Vormittag"," (VM)",IF(H280="Nachmittag"," (NM)",""))&amp;IF(I280="Angefragt"," ?",""))</f>
        <v>M. Krause</v>
      </c>
      <c r="U280" s="55" t="str">
        <f t="shared" si="34"/>
        <v>A-09</v>
      </c>
    </row>
    <row r="281" spans="2:21" ht="16.5" customHeight="1" x14ac:dyDescent="0.25">
      <c r="B281" s="47">
        <f t="shared" si="28"/>
        <v>276</v>
      </c>
      <c r="C281" s="48">
        <v>46314</v>
      </c>
      <c r="D281" s="49" t="str">
        <f t="shared" si="29"/>
        <v>Mo</v>
      </c>
      <c r="E281" s="50">
        <f t="shared" si="30"/>
        <v>43</v>
      </c>
      <c r="F281" s="51" t="s">
        <v>113</v>
      </c>
      <c r="G281" s="52" t="s">
        <v>114</v>
      </c>
      <c r="H281" s="51" t="s">
        <v>76</v>
      </c>
      <c r="I281" s="51" t="s">
        <v>77</v>
      </c>
      <c r="J281" s="52"/>
      <c r="K281" s="53" t="str">
        <f>IF(G281="","",IFERROR(INDEX(Stammdaten!$P$10:$P$69,MATCH(G281,Stammdaten!$N$10:$N$69,0)),"–"))</f>
        <v>Projektmanagement</v>
      </c>
      <c r="L281" s="53" t="str">
        <f>IF(F281="","",IFERROR(INDEX(Stammdaten!$D$10:$D$49,MATCH(F281,Stammdaten!$B$10:$B$49,0)),"–"))</f>
        <v>Fokuszone</v>
      </c>
      <c r="M281" s="54" t="str">
        <f>IF(C281="","",IF(OR(F281="",G281="",I281=""),"unvollständig",IF(I281="Storniert","storniert",IF(WEEKDAY(C281,2)&gt;5,"Wochenende",IF(COUNTIF(Stammdaten!$AD$10:$AD$30,C281)&gt;0,"Feiertag",IF(IFERROR(INDEX(Stammdaten!$I$10:$I$49,MATCH(F281,Stammdaten!$B$10:$B$49,0)),"")="Gesperrt","Platz gesperrt",IF(AND(COUNTIF($P$6:$P$605,P281)&gt;1,NOT(AND(COUNTIF($P$6:$P$605,P281)=2,COUNTIFS($P$6:$P$605,P281,$H$6:$H$605,"Vormittag")=1,COUNTIFS($P$6:$P$605,P281,$H$6:$H$605,"Nachmittag")=1))),"Doppelbuchung",IF(AND(COUNTIF($R$6:$R$605,R281)&gt;1,NOT(AND(COUNTIF($R$6:$R$605,R281)=2,COUNTIFS($R$6:$R$605,R281,$H$6:$H$605,"Vormittag")=1,COUNTIFS($R$6:$R$605,R281,$H$6:$H$605,"Nachmittag")=1))),"Person doppelt","OK"))))))))</f>
        <v>OK</v>
      </c>
      <c r="O281" s="55">
        <f t="shared" si="31"/>
        <v>1</v>
      </c>
      <c r="P281" s="55" t="str">
        <f t="shared" si="32"/>
        <v>A-10|46314</v>
      </c>
      <c r="Q281" s="55" t="str">
        <f>IF(P281="","",P281&amp;"|"&amp;COUNTIF(P$6:P281,P281))</f>
        <v>A-10|46314|1</v>
      </c>
      <c r="R281" s="55" t="str">
        <f t="shared" si="33"/>
        <v>Isabel Marx|46314</v>
      </c>
      <c r="S281" s="55" t="str">
        <f>IF(R281="","",R281&amp;"|"&amp;COUNTIF(R$6:R281,R281))</f>
        <v>Isabel Marx|46314|1</v>
      </c>
      <c r="T281" s="55" t="str">
        <f>IF(G281="","",IFERROR(INDEX(Stammdaten!$O$10:$O$69,MATCH(G281,Stammdaten!$N$10:$N$69,0)),G281)&amp;IF(H281="Vormittag"," (VM)",IF(H281="Nachmittag"," (NM)",""))&amp;IF(I281="Angefragt"," ?",""))</f>
        <v>I. Marx</v>
      </c>
      <c r="U281" s="55" t="str">
        <f t="shared" si="34"/>
        <v>A-10</v>
      </c>
    </row>
    <row r="282" spans="2:21" ht="16.5" customHeight="1" x14ac:dyDescent="0.25">
      <c r="B282" s="47">
        <f t="shared" si="28"/>
        <v>277</v>
      </c>
      <c r="C282" s="48">
        <v>46314</v>
      </c>
      <c r="D282" s="49" t="str">
        <f t="shared" si="29"/>
        <v>Mo</v>
      </c>
      <c r="E282" s="50">
        <f t="shared" si="30"/>
        <v>43</v>
      </c>
      <c r="F282" s="51" t="s">
        <v>88</v>
      </c>
      <c r="G282" s="52" t="s">
        <v>89</v>
      </c>
      <c r="H282" s="51" t="s">
        <v>76</v>
      </c>
      <c r="I282" s="51" t="s">
        <v>77</v>
      </c>
      <c r="J282" s="52" t="s">
        <v>146</v>
      </c>
      <c r="K282" s="53" t="str">
        <f>IF(G282="","",IFERROR(INDEX(Stammdaten!$P$10:$P$69,MATCH(G282,Stammdaten!$N$10:$N$69,0)),"–"))</f>
        <v>Projektmanagement</v>
      </c>
      <c r="L282" s="53" t="str">
        <f>IF(F282="","",IFERROR(INDEX(Stammdaten!$D$10:$D$49,MATCH(F282,Stammdaten!$B$10:$B$49,0)),"–"))</f>
        <v>Fokuszone</v>
      </c>
      <c r="M282" s="54" t="str">
        <f>IF(C282="","",IF(OR(F282="",G282="",I282=""),"unvollständig",IF(I282="Storniert","storniert",IF(WEEKDAY(C282,2)&gt;5,"Wochenende",IF(COUNTIF(Stammdaten!$AD$10:$AD$30,C282)&gt;0,"Feiertag",IF(IFERROR(INDEX(Stammdaten!$I$10:$I$49,MATCH(F282,Stammdaten!$B$10:$B$49,0)),"")="Gesperrt","Platz gesperrt",IF(AND(COUNTIF($P$6:$P$605,P282)&gt;1,NOT(AND(COUNTIF($P$6:$P$605,P282)=2,COUNTIFS($P$6:$P$605,P282,$H$6:$H$605,"Vormittag")=1,COUNTIFS($P$6:$P$605,P282,$H$6:$H$605,"Nachmittag")=1))),"Doppelbuchung",IF(AND(COUNTIF($R$6:$R$605,R282)&gt;1,NOT(AND(COUNTIF($R$6:$R$605,R282)=2,COUNTIFS($R$6:$R$605,R282,$H$6:$H$605,"Vormittag")=1,COUNTIFS($R$6:$R$605,R282,$H$6:$H$605,"Nachmittag")=1))),"Person doppelt","OK"))))))))</f>
        <v>OK</v>
      </c>
      <c r="O282" s="55">
        <f t="shared" si="31"/>
        <v>1</v>
      </c>
      <c r="P282" s="55" t="str">
        <f t="shared" si="32"/>
        <v>A-11|46314</v>
      </c>
      <c r="Q282" s="55" t="str">
        <f>IF(P282="","",P282&amp;"|"&amp;COUNTIF(P$6:P282,P282))</f>
        <v>A-11|46314|1</v>
      </c>
      <c r="R282" s="55" t="str">
        <f t="shared" si="33"/>
        <v>Theresa Jung|46314</v>
      </c>
      <c r="S282" s="55" t="str">
        <f>IF(R282="","",R282&amp;"|"&amp;COUNTIF(R$6:R282,R282))</f>
        <v>Theresa Jung|46314|1</v>
      </c>
      <c r="T282" s="55" t="str">
        <f>IF(G282="","",IFERROR(INDEX(Stammdaten!$O$10:$O$69,MATCH(G282,Stammdaten!$N$10:$N$69,0)),G282)&amp;IF(H282="Vormittag"," (VM)",IF(H282="Nachmittag"," (NM)",""))&amp;IF(I282="Angefragt"," ?",""))</f>
        <v>T. Jung</v>
      </c>
      <c r="U282" s="55" t="str">
        <f t="shared" si="34"/>
        <v>A-11</v>
      </c>
    </row>
    <row r="283" spans="2:21" ht="16.5" customHeight="1" x14ac:dyDescent="0.25">
      <c r="B283" s="47">
        <f t="shared" si="28"/>
        <v>278</v>
      </c>
      <c r="C283" s="48">
        <v>46314</v>
      </c>
      <c r="D283" s="49" t="str">
        <f t="shared" si="29"/>
        <v>Mo</v>
      </c>
      <c r="E283" s="50">
        <f t="shared" si="30"/>
        <v>43</v>
      </c>
      <c r="F283" s="51" t="s">
        <v>90</v>
      </c>
      <c r="G283" s="52" t="s">
        <v>127</v>
      </c>
      <c r="H283" s="51" t="s">
        <v>76</v>
      </c>
      <c r="I283" s="51" t="s">
        <v>77</v>
      </c>
      <c r="J283" s="52"/>
      <c r="K283" s="53" t="str">
        <f>IF(G283="","",IFERROR(INDEX(Stammdaten!$P$10:$P$69,MATCH(G283,Stammdaten!$N$10:$N$69,0)),"–"))</f>
        <v>Vertrieb</v>
      </c>
      <c r="L283" s="53" t="str">
        <f>IF(F283="","",IFERROR(INDEX(Stammdaten!$D$10:$D$49,MATCH(F283,Stammdaten!$B$10:$B$49,0)),"–"))</f>
        <v>Fokuszone</v>
      </c>
      <c r="M283" s="54" t="str">
        <f>IF(C283="","",IF(OR(F283="",G283="",I283=""),"unvollständig",IF(I283="Storniert","storniert",IF(WEEKDAY(C283,2)&gt;5,"Wochenende",IF(COUNTIF(Stammdaten!$AD$10:$AD$30,C283)&gt;0,"Feiertag",IF(IFERROR(INDEX(Stammdaten!$I$10:$I$49,MATCH(F283,Stammdaten!$B$10:$B$49,0)),"")="Gesperrt","Platz gesperrt",IF(AND(COUNTIF($P$6:$P$605,P283)&gt;1,NOT(AND(COUNTIF($P$6:$P$605,P283)=2,COUNTIFS($P$6:$P$605,P283,$H$6:$H$605,"Vormittag")=1,COUNTIFS($P$6:$P$605,P283,$H$6:$H$605,"Nachmittag")=1))),"Doppelbuchung",IF(AND(COUNTIF($R$6:$R$605,R283)&gt;1,NOT(AND(COUNTIF($R$6:$R$605,R283)=2,COUNTIFS($R$6:$R$605,R283,$H$6:$H$605,"Vormittag")=1,COUNTIFS($R$6:$R$605,R283,$H$6:$H$605,"Nachmittag")=1))),"Person doppelt","OK"))))))))</f>
        <v>OK</v>
      </c>
      <c r="O283" s="55">
        <f t="shared" si="31"/>
        <v>1</v>
      </c>
      <c r="P283" s="55" t="str">
        <f t="shared" si="32"/>
        <v>A-12|46314</v>
      </c>
      <c r="Q283" s="55" t="str">
        <f>IF(P283="","",P283&amp;"|"&amp;COUNTIF(P$6:P283,P283))</f>
        <v>A-12|46314|1</v>
      </c>
      <c r="R283" s="55" t="str">
        <f t="shared" si="33"/>
        <v>Tobias Lindner|46314</v>
      </c>
      <c r="S283" s="55" t="str">
        <f>IF(R283="","",R283&amp;"|"&amp;COUNTIF(R$6:R283,R283))</f>
        <v>Tobias Lindner|46314|1</v>
      </c>
      <c r="T283" s="55" t="str">
        <f>IF(G283="","",IFERROR(INDEX(Stammdaten!$O$10:$O$69,MATCH(G283,Stammdaten!$N$10:$N$69,0)),G283)&amp;IF(H283="Vormittag"," (VM)",IF(H283="Nachmittag"," (NM)",""))&amp;IF(I283="Angefragt"," ?",""))</f>
        <v>T. Lindner</v>
      </c>
      <c r="U283" s="55" t="str">
        <f t="shared" si="34"/>
        <v>A-12</v>
      </c>
    </row>
    <row r="284" spans="2:21" ht="16.5" customHeight="1" x14ac:dyDescent="0.25">
      <c r="B284" s="47">
        <f t="shared" si="28"/>
        <v>279</v>
      </c>
      <c r="C284" s="48">
        <v>46314</v>
      </c>
      <c r="D284" s="49" t="str">
        <f t="shared" si="29"/>
        <v>Mo</v>
      </c>
      <c r="E284" s="50">
        <f t="shared" si="30"/>
        <v>43</v>
      </c>
      <c r="F284" s="51" t="s">
        <v>92</v>
      </c>
      <c r="G284" s="52" t="s">
        <v>116</v>
      </c>
      <c r="H284" s="51" t="s">
        <v>76</v>
      </c>
      <c r="I284" s="51" t="s">
        <v>77</v>
      </c>
      <c r="J284" s="52"/>
      <c r="K284" s="53" t="str">
        <f>IF(G284="","",IFERROR(INDEX(Stammdaten!$P$10:$P$69,MATCH(G284,Stammdaten!$N$10:$N$69,0)),"–"))</f>
        <v>Finanzen</v>
      </c>
      <c r="L284" s="53" t="str">
        <f>IF(F284="","",IFERROR(INDEX(Stammdaten!$D$10:$D$49,MATCH(F284,Stammdaten!$B$10:$B$49,0)),"–"))</f>
        <v>Teamzone Süd</v>
      </c>
      <c r="M284" s="54" t="str">
        <f>IF(C284="","",IF(OR(F284="",G284="",I284=""),"unvollständig",IF(I284="Storniert","storniert",IF(WEEKDAY(C284,2)&gt;5,"Wochenende",IF(COUNTIF(Stammdaten!$AD$10:$AD$30,C284)&gt;0,"Feiertag",IF(IFERROR(INDEX(Stammdaten!$I$10:$I$49,MATCH(F284,Stammdaten!$B$10:$B$49,0)),"")="Gesperrt","Platz gesperrt",IF(AND(COUNTIF($P$6:$P$605,P284)&gt;1,NOT(AND(COUNTIF($P$6:$P$605,P284)=2,COUNTIFS($P$6:$P$605,P284,$H$6:$H$605,"Vormittag")=1,COUNTIFS($P$6:$P$605,P284,$H$6:$H$605,"Nachmittag")=1))),"Doppelbuchung",IF(AND(COUNTIF($R$6:$R$605,R284)&gt;1,NOT(AND(COUNTIF($R$6:$R$605,R284)=2,COUNTIFS($R$6:$R$605,R284,$H$6:$H$605,"Vormittag")=1,COUNTIFS($R$6:$R$605,R284,$H$6:$H$605,"Nachmittag")=1))),"Person doppelt","OK"))))))))</f>
        <v>OK</v>
      </c>
      <c r="O284" s="55">
        <f t="shared" si="31"/>
        <v>1</v>
      </c>
      <c r="P284" s="55" t="str">
        <f t="shared" si="32"/>
        <v>B-01|46314</v>
      </c>
      <c r="Q284" s="55" t="str">
        <f>IF(P284="","",P284&amp;"|"&amp;COUNTIF(P$6:P284,P284))</f>
        <v>B-01|46314|1</v>
      </c>
      <c r="R284" s="55" t="str">
        <f t="shared" si="33"/>
        <v>Julia Herrmann|46314</v>
      </c>
      <c r="S284" s="55" t="str">
        <f>IF(R284="","",R284&amp;"|"&amp;COUNTIF(R$6:R284,R284))</f>
        <v>Julia Herrmann|46314|1</v>
      </c>
      <c r="T284" s="55" t="str">
        <f>IF(G284="","",IFERROR(INDEX(Stammdaten!$O$10:$O$69,MATCH(G284,Stammdaten!$N$10:$N$69,0)),G284)&amp;IF(H284="Vormittag"," (VM)",IF(H284="Nachmittag"," (NM)",""))&amp;IF(I284="Angefragt"," ?",""))</f>
        <v>J. Herrmann</v>
      </c>
      <c r="U284" s="55" t="str">
        <f t="shared" si="34"/>
        <v>B-01</v>
      </c>
    </row>
    <row r="285" spans="2:21" ht="16.5" customHeight="1" x14ac:dyDescent="0.25">
      <c r="B285" s="47">
        <f t="shared" si="28"/>
        <v>280</v>
      </c>
      <c r="C285" s="48">
        <v>46314</v>
      </c>
      <c r="D285" s="49" t="str">
        <f t="shared" si="29"/>
        <v>Mo</v>
      </c>
      <c r="E285" s="50">
        <f t="shared" si="30"/>
        <v>43</v>
      </c>
      <c r="F285" s="51" t="s">
        <v>94</v>
      </c>
      <c r="G285" s="52" t="s">
        <v>93</v>
      </c>
      <c r="H285" s="51" t="s">
        <v>76</v>
      </c>
      <c r="I285" s="51" t="s">
        <v>147</v>
      </c>
      <c r="J285" s="52"/>
      <c r="K285" s="53" t="str">
        <f>IF(G285="","",IFERROR(INDEX(Stammdaten!$P$10:$P$69,MATCH(G285,Stammdaten!$N$10:$N$69,0)),"–"))</f>
        <v>Finanzen</v>
      </c>
      <c r="L285" s="53" t="str">
        <f>IF(F285="","",IFERROR(INDEX(Stammdaten!$D$10:$D$49,MATCH(F285,Stammdaten!$B$10:$B$49,0)),"–"))</f>
        <v>Teamzone Süd</v>
      </c>
      <c r="M285" s="54" t="str">
        <f>IF(C285="","",IF(OR(F285="",G285="",I285=""),"unvollständig",IF(I285="Storniert","storniert",IF(WEEKDAY(C285,2)&gt;5,"Wochenende",IF(COUNTIF(Stammdaten!$AD$10:$AD$30,C285)&gt;0,"Feiertag",IF(IFERROR(INDEX(Stammdaten!$I$10:$I$49,MATCH(F285,Stammdaten!$B$10:$B$49,0)),"")="Gesperrt","Platz gesperrt",IF(AND(COUNTIF($P$6:$P$605,P285)&gt;1,NOT(AND(COUNTIF($P$6:$P$605,P285)=2,COUNTIFS($P$6:$P$605,P285,$H$6:$H$605,"Vormittag")=1,COUNTIFS($P$6:$P$605,P285,$H$6:$H$605,"Nachmittag")=1))),"Doppelbuchung",IF(AND(COUNTIF($R$6:$R$605,R285)&gt;1,NOT(AND(COUNTIF($R$6:$R$605,R285)=2,COUNTIFS($R$6:$R$605,R285,$H$6:$H$605,"Vormittag")=1,COUNTIFS($R$6:$R$605,R285,$H$6:$H$605,"Nachmittag")=1))),"Person doppelt","OK"))))))))</f>
        <v>OK</v>
      </c>
      <c r="O285" s="55">
        <f t="shared" si="31"/>
        <v>0</v>
      </c>
      <c r="P285" s="55" t="str">
        <f t="shared" si="32"/>
        <v>B-02|46314</v>
      </c>
      <c r="Q285" s="55" t="str">
        <f>IF(P285="","",P285&amp;"|"&amp;COUNTIF(P$6:P285,P285))</f>
        <v>B-02|46314|1</v>
      </c>
      <c r="R285" s="55" t="str">
        <f t="shared" si="33"/>
        <v>Sarah Böhm|46314</v>
      </c>
      <c r="S285" s="55" t="str">
        <f>IF(R285="","",R285&amp;"|"&amp;COUNTIF(R$6:R285,R285))</f>
        <v>Sarah Böhm|46314|1</v>
      </c>
      <c r="T285" s="55" t="str">
        <f>IF(G285="","",IFERROR(INDEX(Stammdaten!$O$10:$O$69,MATCH(G285,Stammdaten!$N$10:$N$69,0)),G285)&amp;IF(H285="Vormittag"," (VM)",IF(H285="Nachmittag"," (NM)",""))&amp;IF(I285="Angefragt"," ?",""))</f>
        <v>S. Böhm ?</v>
      </c>
      <c r="U285" s="55" t="str">
        <f t="shared" si="34"/>
        <v>B-02 ?</v>
      </c>
    </row>
    <row r="286" spans="2:21" ht="16.5" customHeight="1" x14ac:dyDescent="0.25">
      <c r="B286" s="47">
        <f t="shared" si="28"/>
        <v>281</v>
      </c>
      <c r="C286" s="48">
        <v>46314</v>
      </c>
      <c r="D286" s="49" t="str">
        <f t="shared" si="29"/>
        <v>Mo</v>
      </c>
      <c r="E286" s="50">
        <f t="shared" si="30"/>
        <v>43</v>
      </c>
      <c r="F286" s="51" t="s">
        <v>121</v>
      </c>
      <c r="G286" s="52" t="s">
        <v>122</v>
      </c>
      <c r="H286" s="51" t="s">
        <v>76</v>
      </c>
      <c r="I286" s="51" t="s">
        <v>77</v>
      </c>
      <c r="J286" s="52"/>
      <c r="K286" s="53" t="str">
        <f>IF(G286="","",IFERROR(INDEX(Stammdaten!$P$10:$P$69,MATCH(G286,Stammdaten!$N$10:$N$69,0)),"–"))</f>
        <v>Personal</v>
      </c>
      <c r="L286" s="53" t="str">
        <f>IF(F286="","",IFERROR(INDEX(Stammdaten!$D$10:$D$49,MATCH(F286,Stammdaten!$B$10:$B$49,0)),"–"))</f>
        <v>Teamzone Süd</v>
      </c>
      <c r="M286" s="54" t="str">
        <f>IF(C286="","",IF(OR(F286="",G286="",I286=""),"unvollständig",IF(I286="Storniert","storniert",IF(WEEKDAY(C286,2)&gt;5,"Wochenende",IF(COUNTIF(Stammdaten!$AD$10:$AD$30,C286)&gt;0,"Feiertag",IF(IFERROR(INDEX(Stammdaten!$I$10:$I$49,MATCH(F286,Stammdaten!$B$10:$B$49,0)),"")="Gesperrt","Platz gesperrt",IF(AND(COUNTIF($P$6:$P$605,P286)&gt;1,NOT(AND(COUNTIF($P$6:$P$605,P286)=2,COUNTIFS($P$6:$P$605,P286,$H$6:$H$605,"Vormittag")=1,COUNTIFS($P$6:$P$605,P286,$H$6:$H$605,"Nachmittag")=1))),"Doppelbuchung",IF(AND(COUNTIF($R$6:$R$605,R286)&gt;1,NOT(AND(COUNTIF($R$6:$R$605,R286)=2,COUNTIFS($R$6:$R$605,R286,$H$6:$H$605,"Vormittag")=1,COUNTIFS($R$6:$R$605,R286,$H$6:$H$605,"Nachmittag")=1))),"Person doppelt","OK"))))))))</f>
        <v>OK</v>
      </c>
      <c r="O286" s="55">
        <f t="shared" si="31"/>
        <v>1</v>
      </c>
      <c r="P286" s="55" t="str">
        <f t="shared" si="32"/>
        <v>B-05|46314</v>
      </c>
      <c r="Q286" s="55" t="str">
        <f>IF(P286="","",P286&amp;"|"&amp;COUNTIF(P$6:P286,P286))</f>
        <v>B-05|46314|1</v>
      </c>
      <c r="R286" s="55" t="str">
        <f t="shared" si="33"/>
        <v>Niklas Wolf|46314</v>
      </c>
      <c r="S286" s="55" t="str">
        <f>IF(R286="","",R286&amp;"|"&amp;COUNTIF(R$6:R286,R286))</f>
        <v>Niklas Wolf|46314|1</v>
      </c>
      <c r="T286" s="55" t="str">
        <f>IF(G286="","",IFERROR(INDEX(Stammdaten!$O$10:$O$69,MATCH(G286,Stammdaten!$N$10:$N$69,0)),G286)&amp;IF(H286="Vormittag"," (VM)",IF(H286="Nachmittag"," (NM)",""))&amp;IF(I286="Angefragt"," ?",""))</f>
        <v>N. Wolf</v>
      </c>
      <c r="U286" s="55" t="str">
        <f t="shared" si="34"/>
        <v>B-05</v>
      </c>
    </row>
    <row r="287" spans="2:21" ht="16.5" customHeight="1" x14ac:dyDescent="0.25">
      <c r="B287" s="47">
        <f t="shared" si="28"/>
        <v>282</v>
      </c>
      <c r="C287" s="48">
        <v>46314</v>
      </c>
      <c r="D287" s="49" t="str">
        <f t="shared" si="29"/>
        <v>Mo</v>
      </c>
      <c r="E287" s="50">
        <f t="shared" si="30"/>
        <v>43</v>
      </c>
      <c r="F287" s="51" t="s">
        <v>96</v>
      </c>
      <c r="G287" s="52" t="s">
        <v>97</v>
      </c>
      <c r="H287" s="51" t="s">
        <v>76</v>
      </c>
      <c r="I287" s="51" t="s">
        <v>77</v>
      </c>
      <c r="J287" s="52"/>
      <c r="K287" s="53" t="str">
        <f>IF(G287="","",IFERROR(INDEX(Stammdaten!$P$10:$P$69,MATCH(G287,Stammdaten!$N$10:$N$69,0)),"–"))</f>
        <v>Personal</v>
      </c>
      <c r="L287" s="53" t="str">
        <f>IF(F287="","",IFERROR(INDEX(Stammdaten!$D$10:$D$49,MATCH(F287,Stammdaten!$B$10:$B$49,0)),"–"))</f>
        <v>Teamzone Süd</v>
      </c>
      <c r="M287" s="54" t="str">
        <f>IF(C287="","",IF(OR(F287="",G287="",I287=""),"unvollständig",IF(I287="Storniert","storniert",IF(WEEKDAY(C287,2)&gt;5,"Wochenende",IF(COUNTIF(Stammdaten!$AD$10:$AD$30,C287)&gt;0,"Feiertag",IF(IFERROR(INDEX(Stammdaten!$I$10:$I$49,MATCH(F287,Stammdaten!$B$10:$B$49,0)),"")="Gesperrt","Platz gesperrt",IF(AND(COUNTIF($P$6:$P$605,P287)&gt;1,NOT(AND(COUNTIF($P$6:$P$605,P287)=2,COUNTIFS($P$6:$P$605,P287,$H$6:$H$605,"Vormittag")=1,COUNTIFS($P$6:$P$605,P287,$H$6:$H$605,"Nachmittag")=1))),"Doppelbuchung",IF(AND(COUNTIF($R$6:$R$605,R287)&gt;1,NOT(AND(COUNTIF($R$6:$R$605,R287)=2,COUNTIFS($R$6:$R$605,R287,$H$6:$H$605,"Vormittag")=1,COUNTIFS($R$6:$R$605,R287,$H$6:$H$605,"Nachmittag")=1))),"Person doppelt","OK"))))))))</f>
        <v>OK</v>
      </c>
      <c r="O287" s="55">
        <f t="shared" si="31"/>
        <v>1</v>
      </c>
      <c r="P287" s="55" t="str">
        <f t="shared" si="32"/>
        <v>B-06|46314</v>
      </c>
      <c r="Q287" s="55" t="str">
        <f>IF(P287="","",P287&amp;"|"&amp;COUNTIF(P$6:P287,P287))</f>
        <v>B-06|46314|1</v>
      </c>
      <c r="R287" s="55" t="str">
        <f t="shared" si="33"/>
        <v>Moritz Keller|46314</v>
      </c>
      <c r="S287" s="55" t="str">
        <f>IF(R287="","",R287&amp;"|"&amp;COUNTIF(R$6:R287,R287))</f>
        <v>Moritz Keller|46314|1</v>
      </c>
      <c r="T287" s="55" t="str">
        <f>IF(G287="","",IFERROR(INDEX(Stammdaten!$O$10:$O$69,MATCH(G287,Stammdaten!$N$10:$N$69,0)),G287)&amp;IF(H287="Vormittag"," (VM)",IF(H287="Nachmittag"," (NM)",""))&amp;IF(I287="Angefragt"," ?",""))</f>
        <v>M. Keller</v>
      </c>
      <c r="U287" s="55" t="str">
        <f t="shared" si="34"/>
        <v>B-06</v>
      </c>
    </row>
    <row r="288" spans="2:21" ht="16.5" customHeight="1" x14ac:dyDescent="0.25">
      <c r="B288" s="47">
        <f t="shared" si="28"/>
        <v>283</v>
      </c>
      <c r="C288" s="48">
        <v>46314</v>
      </c>
      <c r="D288" s="49" t="str">
        <f t="shared" si="29"/>
        <v>Mo</v>
      </c>
      <c r="E288" s="50">
        <f t="shared" si="30"/>
        <v>43</v>
      </c>
      <c r="F288" s="51" t="s">
        <v>100</v>
      </c>
      <c r="G288" s="52" t="s">
        <v>124</v>
      </c>
      <c r="H288" s="51" t="s">
        <v>76</v>
      </c>
      <c r="I288" s="51" t="s">
        <v>77</v>
      </c>
      <c r="J288" s="52"/>
      <c r="K288" s="53" t="str">
        <f>IF(G288="","",IFERROR(INDEX(Stammdaten!$P$10:$P$69,MATCH(G288,Stammdaten!$N$10:$N$69,0)),"–"))</f>
        <v>IT</v>
      </c>
      <c r="L288" s="53" t="str">
        <f>IF(F288="","",IFERROR(INDEX(Stammdaten!$D$10:$D$49,MATCH(F288,Stammdaten!$B$10:$B$49,0)),"–"))</f>
        <v>Projektfläche</v>
      </c>
      <c r="M288" s="54" t="str">
        <f>IF(C288="","",IF(OR(F288="",G288="",I288=""),"unvollständig",IF(I288="Storniert","storniert",IF(WEEKDAY(C288,2)&gt;5,"Wochenende",IF(COUNTIF(Stammdaten!$AD$10:$AD$30,C288)&gt;0,"Feiertag",IF(IFERROR(INDEX(Stammdaten!$I$10:$I$49,MATCH(F288,Stammdaten!$B$10:$B$49,0)),"")="Gesperrt","Platz gesperrt",IF(AND(COUNTIF($P$6:$P$605,P288)&gt;1,NOT(AND(COUNTIF($P$6:$P$605,P288)=2,COUNTIFS($P$6:$P$605,P288,$H$6:$H$605,"Vormittag")=1,COUNTIFS($P$6:$P$605,P288,$H$6:$H$605,"Nachmittag")=1))),"Doppelbuchung",IF(AND(COUNTIF($R$6:$R$605,R288)&gt;1,NOT(AND(COUNTIF($R$6:$R$605,R288)=2,COUNTIFS($R$6:$R$605,R288,$H$6:$H$605,"Vormittag")=1,COUNTIFS($R$6:$R$605,R288,$H$6:$H$605,"Nachmittag")=1))),"Person doppelt","OK"))))))))</f>
        <v>OK</v>
      </c>
      <c r="O288" s="55">
        <f t="shared" si="31"/>
        <v>1</v>
      </c>
      <c r="P288" s="55" t="str">
        <f t="shared" si="32"/>
        <v>B-09|46314</v>
      </c>
      <c r="Q288" s="55" t="str">
        <f>IF(P288="","",P288&amp;"|"&amp;COUNTIF(P$6:P288,P288))</f>
        <v>B-09|46314|1</v>
      </c>
      <c r="R288" s="55" t="str">
        <f t="shared" si="33"/>
        <v>Laura Sommer|46314</v>
      </c>
      <c r="S288" s="55" t="str">
        <f>IF(R288="","",R288&amp;"|"&amp;COUNTIF(R$6:R288,R288))</f>
        <v>Laura Sommer|46314|1</v>
      </c>
      <c r="T288" s="55" t="str">
        <f>IF(G288="","",IFERROR(INDEX(Stammdaten!$O$10:$O$69,MATCH(G288,Stammdaten!$N$10:$N$69,0)),G288)&amp;IF(H288="Vormittag"," (VM)",IF(H288="Nachmittag"," (NM)",""))&amp;IF(I288="Angefragt"," ?",""))</f>
        <v>L. Sommer</v>
      </c>
      <c r="U288" s="55" t="str">
        <f t="shared" si="34"/>
        <v>B-09</v>
      </c>
    </row>
    <row r="289" spans="2:21" ht="16.5" customHeight="1" x14ac:dyDescent="0.25">
      <c r="B289" s="47">
        <f t="shared" si="28"/>
        <v>284</v>
      </c>
      <c r="C289" s="48">
        <v>46314</v>
      </c>
      <c r="D289" s="49" t="str">
        <f t="shared" si="29"/>
        <v>Mo</v>
      </c>
      <c r="E289" s="50">
        <f t="shared" si="30"/>
        <v>43</v>
      </c>
      <c r="F289" s="51" t="s">
        <v>102</v>
      </c>
      <c r="G289" s="52" t="s">
        <v>105</v>
      </c>
      <c r="H289" s="51" t="s">
        <v>76</v>
      </c>
      <c r="I289" s="51" t="s">
        <v>77</v>
      </c>
      <c r="J289" s="52"/>
      <c r="K289" s="53" t="str">
        <f>IF(G289="","",IFERROR(INDEX(Stammdaten!$P$10:$P$69,MATCH(G289,Stammdaten!$N$10:$N$69,0)),"–"))</f>
        <v>Projektmanagement</v>
      </c>
      <c r="L289" s="53" t="str">
        <f>IF(F289="","",IFERROR(INDEX(Stammdaten!$D$10:$D$49,MATCH(F289,Stammdaten!$B$10:$B$49,0)),"–"))</f>
        <v>Projektfläche</v>
      </c>
      <c r="M289" s="54" t="str">
        <f>IF(C289="","",IF(OR(F289="",G289="",I289=""),"unvollständig",IF(I289="Storniert","storniert",IF(WEEKDAY(C289,2)&gt;5,"Wochenende",IF(COUNTIF(Stammdaten!$AD$10:$AD$30,C289)&gt;0,"Feiertag",IF(IFERROR(INDEX(Stammdaten!$I$10:$I$49,MATCH(F289,Stammdaten!$B$10:$B$49,0)),"")="Gesperrt","Platz gesperrt",IF(AND(COUNTIF($P$6:$P$605,P289)&gt;1,NOT(AND(COUNTIF($P$6:$P$605,P289)=2,COUNTIFS($P$6:$P$605,P289,$H$6:$H$605,"Vormittag")=1,COUNTIFS($P$6:$P$605,P289,$H$6:$H$605,"Nachmittag")=1))),"Doppelbuchung",IF(AND(COUNTIF($R$6:$R$605,R289)&gt;1,NOT(AND(COUNTIF($R$6:$R$605,R289)=2,COUNTIFS($R$6:$R$605,R289,$H$6:$H$605,"Vormittag")=1,COUNTIFS($R$6:$R$605,R289,$H$6:$H$605,"Nachmittag")=1))),"Person doppelt","OK"))))))))</f>
        <v>OK</v>
      </c>
      <c r="O289" s="55">
        <f t="shared" si="31"/>
        <v>1</v>
      </c>
      <c r="P289" s="55" t="str">
        <f t="shared" si="32"/>
        <v>B-10|46314</v>
      </c>
      <c r="Q289" s="55" t="str">
        <f>IF(P289="","",P289&amp;"|"&amp;COUNTIF(P$6:P289,P289))</f>
        <v>B-10|46314|1</v>
      </c>
      <c r="R289" s="55" t="str">
        <f t="shared" si="33"/>
        <v>Philipp Haas|46314</v>
      </c>
      <c r="S289" s="55" t="str">
        <f>IF(R289="","",R289&amp;"|"&amp;COUNTIF(R$6:R289,R289))</f>
        <v>Philipp Haas|46314|1</v>
      </c>
      <c r="T289" s="55" t="str">
        <f>IF(G289="","",IFERROR(INDEX(Stammdaten!$O$10:$O$69,MATCH(G289,Stammdaten!$N$10:$N$69,0)),G289)&amp;IF(H289="Vormittag"," (VM)",IF(H289="Nachmittag"," (NM)",""))&amp;IF(I289="Angefragt"," ?",""))</f>
        <v>P. Haas</v>
      </c>
      <c r="U289" s="55" t="str">
        <f t="shared" si="34"/>
        <v>B-10</v>
      </c>
    </row>
    <row r="290" spans="2:21" ht="16.5" customHeight="1" x14ac:dyDescent="0.25">
      <c r="B290" s="47">
        <f t="shared" si="28"/>
        <v>285</v>
      </c>
      <c r="C290" s="48">
        <v>46314</v>
      </c>
      <c r="D290" s="49" t="str">
        <f t="shared" si="29"/>
        <v>Mo</v>
      </c>
      <c r="E290" s="50">
        <f t="shared" si="30"/>
        <v>43</v>
      </c>
      <c r="F290" s="51" t="s">
        <v>104</v>
      </c>
      <c r="G290" s="52" t="s">
        <v>125</v>
      </c>
      <c r="H290" s="51" t="s">
        <v>76</v>
      </c>
      <c r="I290" s="51" t="s">
        <v>77</v>
      </c>
      <c r="J290" s="52" t="s">
        <v>128</v>
      </c>
      <c r="K290" s="53" t="str">
        <f>IF(G290="","",IFERROR(INDEX(Stammdaten!$P$10:$P$69,MATCH(G290,Stammdaten!$N$10:$N$69,0)),"–"))</f>
        <v>IT</v>
      </c>
      <c r="L290" s="53" t="str">
        <f>IF(F290="","",IFERROR(INDEX(Stammdaten!$D$10:$D$49,MATCH(F290,Stammdaten!$B$10:$B$49,0)),"–"))</f>
        <v>Projektfläche</v>
      </c>
      <c r="M290" s="54" t="str">
        <f>IF(C290="","",IF(OR(F290="",G290="",I290=""),"unvollständig",IF(I290="Storniert","storniert",IF(WEEKDAY(C290,2)&gt;5,"Wochenende",IF(COUNTIF(Stammdaten!$AD$10:$AD$30,C290)&gt;0,"Feiertag",IF(IFERROR(INDEX(Stammdaten!$I$10:$I$49,MATCH(F290,Stammdaten!$B$10:$B$49,0)),"")="Gesperrt","Platz gesperrt",IF(AND(COUNTIF($P$6:$P$605,P290)&gt;1,NOT(AND(COUNTIF($P$6:$P$605,P290)=2,COUNTIFS($P$6:$P$605,P290,$H$6:$H$605,"Vormittag")=1,COUNTIFS($P$6:$P$605,P290,$H$6:$H$605,"Nachmittag")=1))),"Doppelbuchung",IF(AND(COUNTIF($R$6:$R$605,R290)&gt;1,NOT(AND(COUNTIF($R$6:$R$605,R290)=2,COUNTIFS($R$6:$R$605,R290,$H$6:$H$605,"Vormittag")=1,COUNTIFS($R$6:$R$605,R290,$H$6:$H$605,"Nachmittag")=1))),"Person doppelt","OK"))))))))</f>
        <v>OK</v>
      </c>
      <c r="O290" s="55">
        <f t="shared" si="31"/>
        <v>1</v>
      </c>
      <c r="P290" s="55" t="str">
        <f t="shared" si="32"/>
        <v>B-11|46314</v>
      </c>
      <c r="Q290" s="55" t="str">
        <f>IF(P290="","",P290&amp;"|"&amp;COUNTIF(P$6:P290,P290))</f>
        <v>B-11|46314|1</v>
      </c>
      <c r="R290" s="55" t="str">
        <f t="shared" si="33"/>
        <v>Simon Graf|46314</v>
      </c>
      <c r="S290" s="55" t="str">
        <f>IF(R290="","",R290&amp;"|"&amp;COUNTIF(R$6:R290,R290))</f>
        <v>Simon Graf|46314|1</v>
      </c>
      <c r="T290" s="55" t="str">
        <f>IF(G290="","",IFERROR(INDEX(Stammdaten!$O$10:$O$69,MATCH(G290,Stammdaten!$N$10:$N$69,0)),G290)&amp;IF(H290="Vormittag"," (VM)",IF(H290="Nachmittag"," (NM)",""))&amp;IF(I290="Angefragt"," ?",""))</f>
        <v>S. Graf</v>
      </c>
      <c r="U290" s="55" t="str">
        <f t="shared" si="34"/>
        <v>B-11</v>
      </c>
    </row>
    <row r="291" spans="2:21" ht="16.5" customHeight="1" x14ac:dyDescent="0.25">
      <c r="B291" s="47">
        <f t="shared" si="28"/>
        <v>286</v>
      </c>
      <c r="C291" s="48">
        <v>46314</v>
      </c>
      <c r="D291" s="49" t="str">
        <f t="shared" si="29"/>
        <v>Mo</v>
      </c>
      <c r="E291" s="50">
        <f t="shared" si="30"/>
        <v>43</v>
      </c>
      <c r="F291" s="51" t="s">
        <v>106</v>
      </c>
      <c r="G291" s="52" t="s">
        <v>103</v>
      </c>
      <c r="H291" s="51" t="s">
        <v>76</v>
      </c>
      <c r="I291" s="51" t="s">
        <v>77</v>
      </c>
      <c r="J291" s="52"/>
      <c r="K291" s="53" t="str">
        <f>IF(G291="","",IFERROR(INDEX(Stammdaten!$P$10:$P$69,MATCH(G291,Stammdaten!$N$10:$N$69,0)),"–"))</f>
        <v>Projektmanagement</v>
      </c>
      <c r="L291" s="53" t="str">
        <f>IF(F291="","",IFERROR(INDEX(Stammdaten!$D$10:$D$49,MATCH(F291,Stammdaten!$B$10:$B$49,0)),"–"))</f>
        <v>Projektfläche</v>
      </c>
      <c r="M291" s="54" t="str">
        <f>IF(C291="","",IF(OR(F291="",G291="",I291=""),"unvollständig",IF(I291="Storniert","storniert",IF(WEEKDAY(C291,2)&gt;5,"Wochenende",IF(COUNTIF(Stammdaten!$AD$10:$AD$30,C291)&gt;0,"Feiertag",IF(IFERROR(INDEX(Stammdaten!$I$10:$I$49,MATCH(F291,Stammdaten!$B$10:$B$49,0)),"")="Gesperrt","Platz gesperrt",IF(AND(COUNTIF($P$6:$P$605,P291)&gt;1,NOT(AND(COUNTIF($P$6:$P$605,P291)=2,COUNTIFS($P$6:$P$605,P291,$H$6:$H$605,"Vormittag")=1,COUNTIFS($P$6:$P$605,P291,$H$6:$H$605,"Nachmittag")=1))),"Doppelbuchung",IF(AND(COUNTIF($R$6:$R$605,R291)&gt;1,NOT(AND(COUNTIF($R$6:$R$605,R291)=2,COUNTIFS($R$6:$R$605,R291,$H$6:$H$605,"Vormittag")=1,COUNTIFS($R$6:$R$605,R291,$H$6:$H$605,"Nachmittag")=1))),"Person doppelt","OK"))))))))</f>
        <v>OK</v>
      </c>
      <c r="O291" s="55">
        <f t="shared" si="31"/>
        <v>1</v>
      </c>
      <c r="P291" s="55" t="str">
        <f t="shared" si="32"/>
        <v>B-12|46314</v>
      </c>
      <c r="Q291" s="55" t="str">
        <f>IF(P291="","",P291&amp;"|"&amp;COUNTIF(P$6:P291,P291))</f>
        <v>B-12|46314|1</v>
      </c>
      <c r="R291" s="55" t="str">
        <f t="shared" si="33"/>
        <v>Kevin Brandl|46314</v>
      </c>
      <c r="S291" s="55" t="str">
        <f>IF(R291="","",R291&amp;"|"&amp;COUNTIF(R$6:R291,R291))</f>
        <v>Kevin Brandl|46314|1</v>
      </c>
      <c r="T291" s="55" t="str">
        <f>IF(G291="","",IFERROR(INDEX(Stammdaten!$O$10:$O$69,MATCH(G291,Stammdaten!$N$10:$N$69,0)),G291)&amp;IF(H291="Vormittag"," (VM)",IF(H291="Nachmittag"," (NM)",""))&amp;IF(I291="Angefragt"," ?",""))</f>
        <v>K. Brandl</v>
      </c>
      <c r="U291" s="55" t="str">
        <f t="shared" si="34"/>
        <v>B-12</v>
      </c>
    </row>
    <row r="292" spans="2:21" ht="16.5" customHeight="1" x14ac:dyDescent="0.25">
      <c r="B292" s="47">
        <f t="shared" si="28"/>
        <v>287</v>
      </c>
      <c r="C292" s="48">
        <v>46315</v>
      </c>
      <c r="D292" s="49" t="str">
        <f t="shared" si="29"/>
        <v>Di</v>
      </c>
      <c r="E292" s="50">
        <f t="shared" si="30"/>
        <v>43</v>
      </c>
      <c r="F292" s="51" t="s">
        <v>74</v>
      </c>
      <c r="G292" s="52" t="s">
        <v>75</v>
      </c>
      <c r="H292" s="51" t="s">
        <v>76</v>
      </c>
      <c r="I292" s="51" t="s">
        <v>77</v>
      </c>
      <c r="J292" s="52"/>
      <c r="K292" s="53" t="str">
        <f>IF(G292="","",IFERROR(INDEX(Stammdaten!$P$10:$P$69,MATCH(G292,Stammdaten!$N$10:$N$69,0)),"–"))</f>
        <v>Marketing</v>
      </c>
      <c r="L292" s="53" t="str">
        <f>IF(F292="","",IFERROR(INDEX(Stammdaten!$D$10:$D$49,MATCH(F292,Stammdaten!$B$10:$B$49,0)),"–"))</f>
        <v>Teamzone Nord</v>
      </c>
      <c r="M292" s="54" t="str">
        <f>IF(C292="","",IF(OR(F292="",G292="",I292=""),"unvollständig",IF(I292="Storniert","storniert",IF(WEEKDAY(C292,2)&gt;5,"Wochenende",IF(COUNTIF(Stammdaten!$AD$10:$AD$30,C292)&gt;0,"Feiertag",IF(IFERROR(INDEX(Stammdaten!$I$10:$I$49,MATCH(F292,Stammdaten!$B$10:$B$49,0)),"")="Gesperrt","Platz gesperrt",IF(AND(COUNTIF($P$6:$P$605,P292)&gt;1,NOT(AND(COUNTIF($P$6:$P$605,P292)=2,COUNTIFS($P$6:$P$605,P292,$H$6:$H$605,"Vormittag")=1,COUNTIFS($P$6:$P$605,P292,$H$6:$H$605,"Nachmittag")=1))),"Doppelbuchung",IF(AND(COUNTIF($R$6:$R$605,R292)&gt;1,NOT(AND(COUNTIF($R$6:$R$605,R292)=2,COUNTIFS($R$6:$R$605,R292,$H$6:$H$605,"Vormittag")=1,COUNTIFS($R$6:$R$605,R292,$H$6:$H$605,"Nachmittag")=1))),"Person doppelt","OK"))))))))</f>
        <v>OK</v>
      </c>
      <c r="O292" s="55">
        <f t="shared" si="31"/>
        <v>1</v>
      </c>
      <c r="P292" s="55" t="str">
        <f t="shared" si="32"/>
        <v>A-01|46315</v>
      </c>
      <c r="Q292" s="55" t="str">
        <f>IF(P292="","",P292&amp;"|"&amp;COUNTIF(P$6:P292,P292))</f>
        <v>A-01|46315|1</v>
      </c>
      <c r="R292" s="55" t="str">
        <f t="shared" si="33"/>
        <v>Marco Seidel|46315</v>
      </c>
      <c r="S292" s="55" t="str">
        <f>IF(R292="","",R292&amp;"|"&amp;COUNTIF(R$6:R292,R292))</f>
        <v>Marco Seidel|46315|1</v>
      </c>
      <c r="T292" s="55" t="str">
        <f>IF(G292="","",IFERROR(INDEX(Stammdaten!$O$10:$O$69,MATCH(G292,Stammdaten!$N$10:$N$69,0)),G292)&amp;IF(H292="Vormittag"," (VM)",IF(H292="Nachmittag"," (NM)",""))&amp;IF(I292="Angefragt"," ?",""))</f>
        <v>M. Seidel</v>
      </c>
      <c r="U292" s="55" t="str">
        <f t="shared" si="34"/>
        <v>A-01</v>
      </c>
    </row>
    <row r="293" spans="2:21" ht="16.5" customHeight="1" x14ac:dyDescent="0.25">
      <c r="B293" s="47">
        <f t="shared" si="28"/>
        <v>288</v>
      </c>
      <c r="C293" s="48">
        <v>46315</v>
      </c>
      <c r="D293" s="49" t="str">
        <f t="shared" si="29"/>
        <v>Di</v>
      </c>
      <c r="E293" s="50">
        <f t="shared" si="30"/>
        <v>43</v>
      </c>
      <c r="F293" s="51" t="s">
        <v>78</v>
      </c>
      <c r="G293" s="52" t="s">
        <v>87</v>
      </c>
      <c r="H293" s="51" t="s">
        <v>76</v>
      </c>
      <c r="I293" s="51" t="s">
        <v>77</v>
      </c>
      <c r="J293" s="52"/>
      <c r="K293" s="53" t="str">
        <f>IF(G293="","",IFERROR(INDEX(Stammdaten!$P$10:$P$69,MATCH(G293,Stammdaten!$N$10:$N$69,0)),"–"))</f>
        <v>Marketing</v>
      </c>
      <c r="L293" s="53" t="str">
        <f>IF(F293="","",IFERROR(INDEX(Stammdaten!$D$10:$D$49,MATCH(F293,Stammdaten!$B$10:$B$49,0)),"–"))</f>
        <v>Teamzone Nord</v>
      </c>
      <c r="M293" s="54" t="str">
        <f>IF(C293="","",IF(OR(F293="",G293="",I293=""),"unvollständig",IF(I293="Storniert","storniert",IF(WEEKDAY(C293,2)&gt;5,"Wochenende",IF(COUNTIF(Stammdaten!$AD$10:$AD$30,C293)&gt;0,"Feiertag",IF(IFERROR(INDEX(Stammdaten!$I$10:$I$49,MATCH(F293,Stammdaten!$B$10:$B$49,0)),"")="Gesperrt","Platz gesperrt",IF(AND(COUNTIF($P$6:$P$605,P293)&gt;1,NOT(AND(COUNTIF($P$6:$P$605,P293)=2,COUNTIFS($P$6:$P$605,P293,$H$6:$H$605,"Vormittag")=1,COUNTIFS($P$6:$P$605,P293,$H$6:$H$605,"Nachmittag")=1))),"Doppelbuchung",IF(AND(COUNTIF($R$6:$R$605,R293)&gt;1,NOT(AND(COUNTIF($R$6:$R$605,R293)=2,COUNTIFS($R$6:$R$605,R293,$H$6:$H$605,"Vormittag")=1,COUNTIFS($R$6:$R$605,R293,$H$6:$H$605,"Nachmittag")=1))),"Person doppelt","OK"))))))))</f>
        <v>OK</v>
      </c>
      <c r="O293" s="55">
        <f t="shared" si="31"/>
        <v>1</v>
      </c>
      <c r="P293" s="55" t="str">
        <f t="shared" si="32"/>
        <v>A-02|46315</v>
      </c>
      <c r="Q293" s="55" t="str">
        <f>IF(P293="","",P293&amp;"|"&amp;COUNTIF(P$6:P293,P293))</f>
        <v>A-02|46315|1</v>
      </c>
      <c r="R293" s="55" t="str">
        <f t="shared" si="33"/>
        <v>Paul Schreiber|46315</v>
      </c>
      <c r="S293" s="55" t="str">
        <f>IF(R293="","",R293&amp;"|"&amp;COUNTIF(R$6:R293,R293))</f>
        <v>Paul Schreiber|46315|1</v>
      </c>
      <c r="T293" s="55" t="str">
        <f>IF(G293="","",IFERROR(INDEX(Stammdaten!$O$10:$O$69,MATCH(G293,Stammdaten!$N$10:$N$69,0)),G293)&amp;IF(H293="Vormittag"," (VM)",IF(H293="Nachmittag"," (NM)",""))&amp;IF(I293="Angefragt"," ?",""))</f>
        <v>P. Schreiber</v>
      </c>
      <c r="U293" s="55" t="str">
        <f t="shared" si="34"/>
        <v>A-02</v>
      </c>
    </row>
    <row r="294" spans="2:21" ht="16.5" customHeight="1" x14ac:dyDescent="0.25">
      <c r="B294" s="47">
        <f t="shared" si="28"/>
        <v>289</v>
      </c>
      <c r="C294" s="48">
        <v>46315</v>
      </c>
      <c r="D294" s="49" t="str">
        <f t="shared" si="29"/>
        <v>Di</v>
      </c>
      <c r="E294" s="50">
        <f t="shared" si="30"/>
        <v>43</v>
      </c>
      <c r="F294" s="51" t="s">
        <v>110</v>
      </c>
      <c r="G294" s="52" t="s">
        <v>79</v>
      </c>
      <c r="H294" s="51" t="s">
        <v>76</v>
      </c>
      <c r="I294" s="51" t="s">
        <v>77</v>
      </c>
      <c r="J294" s="52"/>
      <c r="K294" s="53" t="str">
        <f>IF(G294="","",IFERROR(INDEX(Stammdaten!$P$10:$P$69,MATCH(G294,Stammdaten!$N$10:$N$69,0)),"–"))</f>
        <v>Vertrieb</v>
      </c>
      <c r="L294" s="53" t="str">
        <f>IF(F294="","",IFERROR(INDEX(Stammdaten!$D$10:$D$49,MATCH(F294,Stammdaten!$B$10:$B$49,0)),"–"))</f>
        <v>Teamzone Nord</v>
      </c>
      <c r="M294" s="54" t="str">
        <f>IF(C294="","",IF(OR(F294="",G294="",I294=""),"unvollständig",IF(I294="Storniert","storniert",IF(WEEKDAY(C294,2)&gt;5,"Wochenende",IF(COUNTIF(Stammdaten!$AD$10:$AD$30,C294)&gt;0,"Feiertag",IF(IFERROR(INDEX(Stammdaten!$I$10:$I$49,MATCH(F294,Stammdaten!$B$10:$B$49,0)),"")="Gesperrt","Platz gesperrt",IF(AND(COUNTIF($P$6:$P$605,P294)&gt;1,NOT(AND(COUNTIF($P$6:$P$605,P294)=2,COUNTIFS($P$6:$P$605,P294,$H$6:$H$605,"Vormittag")=1,COUNTIFS($P$6:$P$605,P294,$H$6:$H$605,"Nachmittag")=1))),"Doppelbuchung",IF(AND(COUNTIF($R$6:$R$605,R294)&gt;1,NOT(AND(COUNTIF($R$6:$R$605,R294)=2,COUNTIFS($R$6:$R$605,R294,$H$6:$H$605,"Vormittag")=1,COUNTIFS($R$6:$R$605,R294,$H$6:$H$605,"Nachmittag")=1))),"Person doppelt","OK"))))))))</f>
        <v>OK</v>
      </c>
      <c r="O294" s="55">
        <f t="shared" si="31"/>
        <v>1</v>
      </c>
      <c r="P294" s="55" t="str">
        <f t="shared" si="32"/>
        <v>A-04|46315</v>
      </c>
      <c r="Q294" s="55" t="str">
        <f>IF(P294="","",P294&amp;"|"&amp;COUNTIF(P$6:P294,P294))</f>
        <v>A-04|46315|1</v>
      </c>
      <c r="R294" s="55" t="str">
        <f t="shared" si="33"/>
        <v>Lena Hartmann|46315</v>
      </c>
      <c r="S294" s="55" t="str">
        <f>IF(R294="","",R294&amp;"|"&amp;COUNTIF(R$6:R294,R294))</f>
        <v>Lena Hartmann|46315|1</v>
      </c>
      <c r="T294" s="55" t="str">
        <f>IF(G294="","",IFERROR(INDEX(Stammdaten!$O$10:$O$69,MATCH(G294,Stammdaten!$N$10:$N$69,0)),G294)&amp;IF(H294="Vormittag"," (VM)",IF(H294="Nachmittag"," (NM)",""))&amp;IF(I294="Angefragt"," ?",""))</f>
        <v>L. Hartmann</v>
      </c>
      <c r="U294" s="55" t="str">
        <f t="shared" si="34"/>
        <v>A-04</v>
      </c>
    </row>
    <row r="295" spans="2:21" ht="16.5" customHeight="1" x14ac:dyDescent="0.25">
      <c r="B295" s="47">
        <f t="shared" si="28"/>
        <v>290</v>
      </c>
      <c r="C295" s="48">
        <v>46315</v>
      </c>
      <c r="D295" s="49" t="str">
        <f t="shared" si="29"/>
        <v>Di</v>
      </c>
      <c r="E295" s="50">
        <f t="shared" si="30"/>
        <v>43</v>
      </c>
      <c r="F295" s="51" t="s">
        <v>80</v>
      </c>
      <c r="G295" s="52" t="s">
        <v>85</v>
      </c>
      <c r="H295" s="51" t="s">
        <v>133</v>
      </c>
      <c r="I295" s="51" t="s">
        <v>77</v>
      </c>
      <c r="J295" s="52"/>
      <c r="K295" s="53" t="str">
        <f>IF(G295="","",IFERROR(INDEX(Stammdaten!$P$10:$P$69,MATCH(G295,Stammdaten!$N$10:$N$69,0)),"–"))</f>
        <v>Vertrieb</v>
      </c>
      <c r="L295" s="53" t="str">
        <f>IF(F295="","",IFERROR(INDEX(Stammdaten!$D$10:$D$49,MATCH(F295,Stammdaten!$B$10:$B$49,0)),"–"))</f>
        <v>Teamzone Nord</v>
      </c>
      <c r="M295" s="54" t="str">
        <f>IF(C295="","",IF(OR(F295="",G295="",I295=""),"unvollständig",IF(I295="Storniert","storniert",IF(WEEKDAY(C295,2)&gt;5,"Wochenende",IF(COUNTIF(Stammdaten!$AD$10:$AD$30,C295)&gt;0,"Feiertag",IF(IFERROR(INDEX(Stammdaten!$I$10:$I$49,MATCH(F295,Stammdaten!$B$10:$B$49,0)),"")="Gesperrt","Platz gesperrt",IF(AND(COUNTIF($P$6:$P$605,P295)&gt;1,NOT(AND(COUNTIF($P$6:$P$605,P295)=2,COUNTIFS($P$6:$P$605,P295,$H$6:$H$605,"Vormittag")=1,COUNTIFS($P$6:$P$605,P295,$H$6:$H$605,"Nachmittag")=1))),"Doppelbuchung",IF(AND(COUNTIF($R$6:$R$605,R295)&gt;1,NOT(AND(COUNTIF($R$6:$R$605,R295)=2,COUNTIFS($R$6:$R$605,R295,$H$6:$H$605,"Vormittag")=1,COUNTIFS($R$6:$R$605,R295,$H$6:$H$605,"Nachmittag")=1))),"Person doppelt","OK"))))))))</f>
        <v>OK</v>
      </c>
      <c r="O295" s="55">
        <f t="shared" si="31"/>
        <v>0.5</v>
      </c>
      <c r="P295" s="55" t="str">
        <f t="shared" si="32"/>
        <v>A-05|46315</v>
      </c>
      <c r="Q295" s="55" t="str">
        <f>IF(P295="","",P295&amp;"|"&amp;COUNTIF(P$6:P295,P295))</f>
        <v>A-05|46315|1</v>
      </c>
      <c r="R295" s="55" t="str">
        <f t="shared" si="33"/>
        <v>Miriam Krause|46315</v>
      </c>
      <c r="S295" s="55" t="str">
        <f>IF(R295="","",R295&amp;"|"&amp;COUNTIF(R$6:R295,R295))</f>
        <v>Miriam Krause|46315|1</v>
      </c>
      <c r="T295" s="55" t="str">
        <f>IF(G295="","",IFERROR(INDEX(Stammdaten!$O$10:$O$69,MATCH(G295,Stammdaten!$N$10:$N$69,0)),G295)&amp;IF(H295="Vormittag"," (VM)",IF(H295="Nachmittag"," (NM)",""))&amp;IF(I295="Angefragt"," ?",""))</f>
        <v>M. Krause (VM)</v>
      </c>
      <c r="U295" s="55" t="str">
        <f t="shared" si="34"/>
        <v>A-05 (VM)</v>
      </c>
    </row>
    <row r="296" spans="2:21" ht="16.5" customHeight="1" x14ac:dyDescent="0.25">
      <c r="B296" s="47">
        <f t="shared" si="28"/>
        <v>291</v>
      </c>
      <c r="C296" s="48">
        <v>46315</v>
      </c>
      <c r="D296" s="49" t="str">
        <f t="shared" si="29"/>
        <v>Di</v>
      </c>
      <c r="E296" s="50">
        <f t="shared" si="30"/>
        <v>43</v>
      </c>
      <c r="F296" s="51" t="s">
        <v>80</v>
      </c>
      <c r="G296" s="52" t="s">
        <v>126</v>
      </c>
      <c r="H296" s="51" t="s">
        <v>134</v>
      </c>
      <c r="I296" s="51" t="s">
        <v>77</v>
      </c>
      <c r="J296" s="52" t="s">
        <v>135</v>
      </c>
      <c r="K296" s="53" t="str">
        <f>IF(G296="","",IFERROR(INDEX(Stammdaten!$P$10:$P$69,MATCH(G296,Stammdaten!$N$10:$N$69,0)),"–"))</f>
        <v>Vertrieb</v>
      </c>
      <c r="L296" s="53" t="str">
        <f>IF(F296="","",IFERROR(INDEX(Stammdaten!$D$10:$D$49,MATCH(F296,Stammdaten!$B$10:$B$49,0)),"–"))</f>
        <v>Teamzone Nord</v>
      </c>
      <c r="M296" s="54" t="str">
        <f>IF(C296="","",IF(OR(F296="",G296="",I296=""),"unvollständig",IF(I296="Storniert","storniert",IF(WEEKDAY(C296,2)&gt;5,"Wochenende",IF(COUNTIF(Stammdaten!$AD$10:$AD$30,C296)&gt;0,"Feiertag",IF(IFERROR(INDEX(Stammdaten!$I$10:$I$49,MATCH(F296,Stammdaten!$B$10:$B$49,0)),"")="Gesperrt","Platz gesperrt",IF(AND(COUNTIF($P$6:$P$605,P296)&gt;1,NOT(AND(COUNTIF($P$6:$P$605,P296)=2,COUNTIFS($P$6:$P$605,P296,$H$6:$H$605,"Vormittag")=1,COUNTIFS($P$6:$P$605,P296,$H$6:$H$605,"Nachmittag")=1))),"Doppelbuchung",IF(AND(COUNTIF($R$6:$R$605,R296)&gt;1,NOT(AND(COUNTIF($R$6:$R$605,R296)=2,COUNTIFS($R$6:$R$605,R296,$H$6:$H$605,"Vormittag")=1,COUNTIFS($R$6:$R$605,R296,$H$6:$H$605,"Nachmittag")=1))),"Person doppelt","OK"))))))))</f>
        <v>OK</v>
      </c>
      <c r="O296" s="55">
        <f t="shared" si="31"/>
        <v>0.5</v>
      </c>
      <c r="P296" s="55" t="str">
        <f t="shared" si="32"/>
        <v>A-05|46315</v>
      </c>
      <c r="Q296" s="55" t="str">
        <f>IF(P296="","",P296&amp;"|"&amp;COUNTIF(P$6:P296,P296))</f>
        <v>A-05|46315|2</v>
      </c>
      <c r="R296" s="55" t="str">
        <f t="shared" si="33"/>
        <v>Jonas Weber|46315</v>
      </c>
      <c r="S296" s="55" t="str">
        <f>IF(R296="","",R296&amp;"|"&amp;COUNTIF(R$6:R296,R296))</f>
        <v>Jonas Weber|46315|1</v>
      </c>
      <c r="T296" s="55" t="str">
        <f>IF(G296="","",IFERROR(INDEX(Stammdaten!$O$10:$O$69,MATCH(G296,Stammdaten!$N$10:$N$69,0)),G296)&amp;IF(H296="Vormittag"," (VM)",IF(H296="Nachmittag"," (NM)",""))&amp;IF(I296="Angefragt"," ?",""))</f>
        <v>J. Weber (NM)</v>
      </c>
      <c r="U296" s="55" t="str">
        <f t="shared" si="34"/>
        <v>A-05 (NM)</v>
      </c>
    </row>
    <row r="297" spans="2:21" ht="16.5" customHeight="1" x14ac:dyDescent="0.25">
      <c r="B297" s="47">
        <f t="shared" si="28"/>
        <v>292</v>
      </c>
      <c r="C297" s="48">
        <v>46315</v>
      </c>
      <c r="D297" s="49" t="str">
        <f t="shared" si="29"/>
        <v>Di</v>
      </c>
      <c r="E297" s="50">
        <f t="shared" si="30"/>
        <v>43</v>
      </c>
      <c r="F297" s="51" t="s">
        <v>129</v>
      </c>
      <c r="G297" s="52" t="s">
        <v>125</v>
      </c>
      <c r="H297" s="51" t="s">
        <v>76</v>
      </c>
      <c r="I297" s="51" t="s">
        <v>77</v>
      </c>
      <c r="J297" s="52"/>
      <c r="K297" s="53" t="str">
        <f>IF(G297="","",IFERROR(INDEX(Stammdaten!$P$10:$P$69,MATCH(G297,Stammdaten!$N$10:$N$69,0)),"–"))</f>
        <v>IT</v>
      </c>
      <c r="L297" s="53" t="str">
        <f>IF(F297="","",IFERROR(INDEX(Stammdaten!$D$10:$D$49,MATCH(F297,Stammdaten!$B$10:$B$49,0)),"–"))</f>
        <v>Fokuszone</v>
      </c>
      <c r="M297" s="54" t="str">
        <f>IF(C297="","",IF(OR(F297="",G297="",I297=""),"unvollständig",IF(I297="Storniert","storniert",IF(WEEKDAY(C297,2)&gt;5,"Wochenende",IF(COUNTIF(Stammdaten!$AD$10:$AD$30,C297)&gt;0,"Feiertag",IF(IFERROR(INDEX(Stammdaten!$I$10:$I$49,MATCH(F297,Stammdaten!$B$10:$B$49,0)),"")="Gesperrt","Platz gesperrt",IF(AND(COUNTIF($P$6:$P$605,P297)&gt;1,NOT(AND(COUNTIF($P$6:$P$605,P297)=2,COUNTIFS($P$6:$P$605,P297,$H$6:$H$605,"Vormittag")=1,COUNTIFS($P$6:$P$605,P297,$H$6:$H$605,"Nachmittag")=1))),"Doppelbuchung",IF(AND(COUNTIF($R$6:$R$605,R297)&gt;1,NOT(AND(COUNTIF($R$6:$R$605,R297)=2,COUNTIFS($R$6:$R$605,R297,$H$6:$H$605,"Vormittag")=1,COUNTIFS($R$6:$R$605,R297,$H$6:$H$605,"Nachmittag")=1))),"Person doppelt","OK"))))))))</f>
        <v>OK</v>
      </c>
      <c r="O297" s="55">
        <f t="shared" si="31"/>
        <v>1</v>
      </c>
      <c r="P297" s="55" t="str">
        <f t="shared" si="32"/>
        <v>A-09|46315</v>
      </c>
      <c r="Q297" s="55" t="str">
        <f>IF(P297="","",P297&amp;"|"&amp;COUNTIF(P$6:P297,P297))</f>
        <v>A-09|46315|1</v>
      </c>
      <c r="R297" s="55" t="str">
        <f t="shared" si="33"/>
        <v>Simon Graf|46315</v>
      </c>
      <c r="S297" s="55" t="str">
        <f>IF(R297="","",R297&amp;"|"&amp;COUNTIF(R$6:R297,R297))</f>
        <v>Simon Graf|46315|1</v>
      </c>
      <c r="T297" s="55" t="str">
        <f>IF(G297="","",IFERROR(INDEX(Stammdaten!$O$10:$O$69,MATCH(G297,Stammdaten!$N$10:$N$69,0)),G297)&amp;IF(H297="Vormittag"," (VM)",IF(H297="Nachmittag"," (NM)",""))&amp;IF(I297="Angefragt"," ?",""))</f>
        <v>S. Graf</v>
      </c>
      <c r="U297" s="55" t="str">
        <f t="shared" si="34"/>
        <v>A-09</v>
      </c>
    </row>
    <row r="298" spans="2:21" ht="16.5" customHeight="1" x14ac:dyDescent="0.25">
      <c r="B298" s="47">
        <f t="shared" si="28"/>
        <v>293</v>
      </c>
      <c r="C298" s="48">
        <v>46315</v>
      </c>
      <c r="D298" s="49" t="str">
        <f t="shared" si="29"/>
        <v>Di</v>
      </c>
      <c r="E298" s="50">
        <f t="shared" si="30"/>
        <v>43</v>
      </c>
      <c r="F298" s="51" t="s">
        <v>113</v>
      </c>
      <c r="G298" s="52" t="s">
        <v>114</v>
      </c>
      <c r="H298" s="51" t="s">
        <v>76</v>
      </c>
      <c r="I298" s="51" t="s">
        <v>77</v>
      </c>
      <c r="J298" s="52"/>
      <c r="K298" s="53" t="str">
        <f>IF(G298="","",IFERROR(INDEX(Stammdaten!$P$10:$P$69,MATCH(G298,Stammdaten!$N$10:$N$69,0)),"–"))</f>
        <v>Projektmanagement</v>
      </c>
      <c r="L298" s="53" t="str">
        <f>IF(F298="","",IFERROR(INDEX(Stammdaten!$D$10:$D$49,MATCH(F298,Stammdaten!$B$10:$B$49,0)),"–"))</f>
        <v>Fokuszone</v>
      </c>
      <c r="M298" s="54" t="str">
        <f>IF(C298="","",IF(OR(F298="",G298="",I298=""),"unvollständig",IF(I298="Storniert","storniert",IF(WEEKDAY(C298,2)&gt;5,"Wochenende",IF(COUNTIF(Stammdaten!$AD$10:$AD$30,C298)&gt;0,"Feiertag",IF(IFERROR(INDEX(Stammdaten!$I$10:$I$49,MATCH(F298,Stammdaten!$B$10:$B$49,0)),"")="Gesperrt","Platz gesperrt",IF(AND(COUNTIF($P$6:$P$605,P298)&gt;1,NOT(AND(COUNTIF($P$6:$P$605,P298)=2,COUNTIFS($P$6:$P$605,P298,$H$6:$H$605,"Vormittag")=1,COUNTIFS($P$6:$P$605,P298,$H$6:$H$605,"Nachmittag")=1))),"Doppelbuchung",IF(AND(COUNTIF($R$6:$R$605,R298)&gt;1,NOT(AND(COUNTIF($R$6:$R$605,R298)=2,COUNTIFS($R$6:$R$605,R298,$H$6:$H$605,"Vormittag")=1,COUNTIFS($R$6:$R$605,R298,$H$6:$H$605,"Nachmittag")=1))),"Person doppelt","OK"))))))))</f>
        <v>OK</v>
      </c>
      <c r="O298" s="55">
        <f t="shared" si="31"/>
        <v>1</v>
      </c>
      <c r="P298" s="55" t="str">
        <f t="shared" si="32"/>
        <v>A-10|46315</v>
      </c>
      <c r="Q298" s="55" t="str">
        <f>IF(P298="","",P298&amp;"|"&amp;COUNTIF(P$6:P298,P298))</f>
        <v>A-10|46315|1</v>
      </c>
      <c r="R298" s="55" t="str">
        <f t="shared" si="33"/>
        <v>Isabel Marx|46315</v>
      </c>
      <c r="S298" s="55" t="str">
        <f>IF(R298="","",R298&amp;"|"&amp;COUNTIF(R$6:R298,R298))</f>
        <v>Isabel Marx|46315|1</v>
      </c>
      <c r="T298" s="55" t="str">
        <f>IF(G298="","",IFERROR(INDEX(Stammdaten!$O$10:$O$69,MATCH(G298,Stammdaten!$N$10:$N$69,0)),G298)&amp;IF(H298="Vormittag"," (VM)",IF(H298="Nachmittag"," (NM)",""))&amp;IF(I298="Angefragt"," ?",""))</f>
        <v>I. Marx</v>
      </c>
      <c r="U298" s="55" t="str">
        <f t="shared" si="34"/>
        <v>A-10</v>
      </c>
    </row>
    <row r="299" spans="2:21" ht="16.5" customHeight="1" x14ac:dyDescent="0.25">
      <c r="B299" s="47">
        <f t="shared" si="28"/>
        <v>294</v>
      </c>
      <c r="C299" s="48">
        <v>46315</v>
      </c>
      <c r="D299" s="49" t="str">
        <f t="shared" si="29"/>
        <v>Di</v>
      </c>
      <c r="E299" s="50">
        <f t="shared" si="30"/>
        <v>43</v>
      </c>
      <c r="F299" s="51" t="s">
        <v>88</v>
      </c>
      <c r="G299" s="52" t="s">
        <v>89</v>
      </c>
      <c r="H299" s="51" t="s">
        <v>76</v>
      </c>
      <c r="I299" s="51" t="s">
        <v>77</v>
      </c>
      <c r="J299" s="52"/>
      <c r="K299" s="53" t="str">
        <f>IF(G299="","",IFERROR(INDEX(Stammdaten!$P$10:$P$69,MATCH(G299,Stammdaten!$N$10:$N$69,0)),"–"))</f>
        <v>Projektmanagement</v>
      </c>
      <c r="L299" s="53" t="str">
        <f>IF(F299="","",IFERROR(INDEX(Stammdaten!$D$10:$D$49,MATCH(F299,Stammdaten!$B$10:$B$49,0)),"–"))</f>
        <v>Fokuszone</v>
      </c>
      <c r="M299" s="54" t="str">
        <f>IF(C299="","",IF(OR(F299="",G299="",I299=""),"unvollständig",IF(I299="Storniert","storniert",IF(WEEKDAY(C299,2)&gt;5,"Wochenende",IF(COUNTIF(Stammdaten!$AD$10:$AD$30,C299)&gt;0,"Feiertag",IF(IFERROR(INDEX(Stammdaten!$I$10:$I$49,MATCH(F299,Stammdaten!$B$10:$B$49,0)),"")="Gesperrt","Platz gesperrt",IF(AND(COUNTIF($P$6:$P$605,P299)&gt;1,NOT(AND(COUNTIF($P$6:$P$605,P299)=2,COUNTIFS($P$6:$P$605,P299,$H$6:$H$605,"Vormittag")=1,COUNTIFS($P$6:$P$605,P299,$H$6:$H$605,"Nachmittag")=1))),"Doppelbuchung",IF(AND(COUNTIF($R$6:$R$605,R299)&gt;1,NOT(AND(COUNTIF($R$6:$R$605,R299)=2,COUNTIFS($R$6:$R$605,R299,$H$6:$H$605,"Vormittag")=1,COUNTIFS($R$6:$R$605,R299,$H$6:$H$605,"Nachmittag")=1))),"Person doppelt","OK"))))))))</f>
        <v>OK</v>
      </c>
      <c r="O299" s="55">
        <f t="shared" si="31"/>
        <v>1</v>
      </c>
      <c r="P299" s="55" t="str">
        <f t="shared" si="32"/>
        <v>A-11|46315</v>
      </c>
      <c r="Q299" s="55" t="str">
        <f>IF(P299="","",P299&amp;"|"&amp;COUNTIF(P$6:P299,P299))</f>
        <v>A-11|46315|1</v>
      </c>
      <c r="R299" s="55" t="str">
        <f t="shared" si="33"/>
        <v>Theresa Jung|46315</v>
      </c>
      <c r="S299" s="55" t="str">
        <f>IF(R299="","",R299&amp;"|"&amp;COUNTIF(R$6:R299,R299))</f>
        <v>Theresa Jung|46315|1</v>
      </c>
      <c r="T299" s="55" t="str">
        <f>IF(G299="","",IFERROR(INDEX(Stammdaten!$O$10:$O$69,MATCH(G299,Stammdaten!$N$10:$N$69,0)),G299)&amp;IF(H299="Vormittag"," (VM)",IF(H299="Nachmittag"," (NM)",""))&amp;IF(I299="Angefragt"," ?",""))</f>
        <v>T. Jung</v>
      </c>
      <c r="U299" s="55" t="str">
        <f t="shared" si="34"/>
        <v>A-11</v>
      </c>
    </row>
    <row r="300" spans="2:21" ht="16.5" customHeight="1" x14ac:dyDescent="0.25">
      <c r="B300" s="47">
        <f t="shared" si="28"/>
        <v>295</v>
      </c>
      <c r="C300" s="48">
        <v>46315</v>
      </c>
      <c r="D300" s="49" t="str">
        <f t="shared" si="29"/>
        <v>Di</v>
      </c>
      <c r="E300" s="50">
        <f t="shared" si="30"/>
        <v>43</v>
      </c>
      <c r="F300" s="51" t="s">
        <v>90</v>
      </c>
      <c r="G300" s="52" t="s">
        <v>103</v>
      </c>
      <c r="H300" s="51" t="s">
        <v>76</v>
      </c>
      <c r="I300" s="51" t="s">
        <v>147</v>
      </c>
      <c r="J300" s="52"/>
      <c r="K300" s="53" t="str">
        <f>IF(G300="","",IFERROR(INDEX(Stammdaten!$P$10:$P$69,MATCH(G300,Stammdaten!$N$10:$N$69,0)),"–"))</f>
        <v>Projektmanagement</v>
      </c>
      <c r="L300" s="53" t="str">
        <f>IF(F300="","",IFERROR(INDEX(Stammdaten!$D$10:$D$49,MATCH(F300,Stammdaten!$B$10:$B$49,0)),"–"))</f>
        <v>Fokuszone</v>
      </c>
      <c r="M300" s="54" t="str">
        <f>IF(C300="","",IF(OR(F300="",G300="",I300=""),"unvollständig",IF(I300="Storniert","storniert",IF(WEEKDAY(C300,2)&gt;5,"Wochenende",IF(COUNTIF(Stammdaten!$AD$10:$AD$30,C300)&gt;0,"Feiertag",IF(IFERROR(INDEX(Stammdaten!$I$10:$I$49,MATCH(F300,Stammdaten!$B$10:$B$49,0)),"")="Gesperrt","Platz gesperrt",IF(AND(COUNTIF($P$6:$P$605,P300)&gt;1,NOT(AND(COUNTIF($P$6:$P$605,P300)=2,COUNTIFS($P$6:$P$605,P300,$H$6:$H$605,"Vormittag")=1,COUNTIFS($P$6:$P$605,P300,$H$6:$H$605,"Nachmittag")=1))),"Doppelbuchung",IF(AND(COUNTIF($R$6:$R$605,R300)&gt;1,NOT(AND(COUNTIF($R$6:$R$605,R300)=2,COUNTIFS($R$6:$R$605,R300,$H$6:$H$605,"Vormittag")=1,COUNTIFS($R$6:$R$605,R300,$H$6:$H$605,"Nachmittag")=1))),"Person doppelt","OK"))))))))</f>
        <v>OK</v>
      </c>
      <c r="O300" s="55">
        <f t="shared" si="31"/>
        <v>0</v>
      </c>
      <c r="P300" s="55" t="str">
        <f t="shared" si="32"/>
        <v>A-12|46315</v>
      </c>
      <c r="Q300" s="55" t="str">
        <f>IF(P300="","",P300&amp;"|"&amp;COUNTIF(P$6:P300,P300))</f>
        <v>A-12|46315|1</v>
      </c>
      <c r="R300" s="55" t="str">
        <f t="shared" si="33"/>
        <v>Kevin Brandl|46315</v>
      </c>
      <c r="S300" s="55" t="str">
        <f>IF(R300="","",R300&amp;"|"&amp;COUNTIF(R$6:R300,R300))</f>
        <v>Kevin Brandl|46315|1</v>
      </c>
      <c r="T300" s="55" t="str">
        <f>IF(G300="","",IFERROR(INDEX(Stammdaten!$O$10:$O$69,MATCH(G300,Stammdaten!$N$10:$N$69,0)),G300)&amp;IF(H300="Vormittag"," (VM)",IF(H300="Nachmittag"," (NM)",""))&amp;IF(I300="Angefragt"," ?",""))</f>
        <v>K. Brandl ?</v>
      </c>
      <c r="U300" s="55" t="str">
        <f t="shared" si="34"/>
        <v>A-12 ?</v>
      </c>
    </row>
    <row r="301" spans="2:21" ht="16.5" customHeight="1" x14ac:dyDescent="0.25">
      <c r="B301" s="47">
        <f t="shared" si="28"/>
        <v>296</v>
      </c>
      <c r="C301" s="48">
        <v>46315</v>
      </c>
      <c r="D301" s="49" t="str">
        <f t="shared" si="29"/>
        <v>Di</v>
      </c>
      <c r="E301" s="50">
        <f t="shared" si="30"/>
        <v>43</v>
      </c>
      <c r="F301" s="51" t="s">
        <v>119</v>
      </c>
      <c r="G301" s="52" t="s">
        <v>97</v>
      </c>
      <c r="H301" s="51" t="s">
        <v>76</v>
      </c>
      <c r="I301" s="51" t="s">
        <v>77</v>
      </c>
      <c r="J301" s="52"/>
      <c r="K301" s="53" t="str">
        <f>IF(G301="","",IFERROR(INDEX(Stammdaten!$P$10:$P$69,MATCH(G301,Stammdaten!$N$10:$N$69,0)),"–"))</f>
        <v>Personal</v>
      </c>
      <c r="L301" s="53" t="str">
        <f>IF(F301="","",IFERROR(INDEX(Stammdaten!$D$10:$D$49,MATCH(F301,Stammdaten!$B$10:$B$49,0)),"–"))</f>
        <v>Teamzone Süd</v>
      </c>
      <c r="M301" s="54" t="str">
        <f>IF(C301="","",IF(OR(F301="",G301="",I301=""),"unvollständig",IF(I301="Storniert","storniert",IF(WEEKDAY(C301,2)&gt;5,"Wochenende",IF(COUNTIF(Stammdaten!$AD$10:$AD$30,C301)&gt;0,"Feiertag",IF(IFERROR(INDEX(Stammdaten!$I$10:$I$49,MATCH(F301,Stammdaten!$B$10:$B$49,0)),"")="Gesperrt","Platz gesperrt",IF(AND(COUNTIF($P$6:$P$605,P301)&gt;1,NOT(AND(COUNTIF($P$6:$P$605,P301)=2,COUNTIFS($P$6:$P$605,P301,$H$6:$H$605,"Vormittag")=1,COUNTIFS($P$6:$P$605,P301,$H$6:$H$605,"Nachmittag")=1))),"Doppelbuchung",IF(AND(COUNTIF($R$6:$R$605,R301)&gt;1,NOT(AND(COUNTIF($R$6:$R$605,R301)=2,COUNTIFS($R$6:$R$605,R301,$H$6:$H$605,"Vormittag")=1,COUNTIFS($R$6:$R$605,R301,$H$6:$H$605,"Nachmittag")=1))),"Person doppelt","OK"))))))))</f>
        <v>OK</v>
      </c>
      <c r="O301" s="55">
        <f t="shared" si="31"/>
        <v>1</v>
      </c>
      <c r="P301" s="55" t="str">
        <f t="shared" si="32"/>
        <v>B-04|46315</v>
      </c>
      <c r="Q301" s="55" t="str">
        <f>IF(P301="","",P301&amp;"|"&amp;COUNTIF(P$6:P301,P301))</f>
        <v>B-04|46315|1</v>
      </c>
      <c r="R301" s="55" t="str">
        <f t="shared" si="33"/>
        <v>Moritz Keller|46315</v>
      </c>
      <c r="S301" s="55" t="str">
        <f>IF(R301="","",R301&amp;"|"&amp;COUNTIF(R$6:R301,R301))</f>
        <v>Moritz Keller|46315|1</v>
      </c>
      <c r="T301" s="55" t="str">
        <f>IF(G301="","",IFERROR(INDEX(Stammdaten!$O$10:$O$69,MATCH(G301,Stammdaten!$N$10:$N$69,0)),G301)&amp;IF(H301="Vormittag"," (VM)",IF(H301="Nachmittag"," (NM)",""))&amp;IF(I301="Angefragt"," ?",""))</f>
        <v>M. Keller</v>
      </c>
      <c r="U301" s="55" t="str">
        <f t="shared" si="34"/>
        <v>B-04</v>
      </c>
    </row>
    <row r="302" spans="2:21" ht="16.5" customHeight="1" x14ac:dyDescent="0.25">
      <c r="B302" s="47">
        <f t="shared" si="28"/>
        <v>297</v>
      </c>
      <c r="C302" s="48">
        <v>46315</v>
      </c>
      <c r="D302" s="49" t="str">
        <f t="shared" si="29"/>
        <v>Di</v>
      </c>
      <c r="E302" s="50">
        <f t="shared" si="30"/>
        <v>43</v>
      </c>
      <c r="F302" s="51" t="s">
        <v>121</v>
      </c>
      <c r="G302" s="52" t="s">
        <v>120</v>
      </c>
      <c r="H302" s="51" t="s">
        <v>76</v>
      </c>
      <c r="I302" s="51" t="s">
        <v>77</v>
      </c>
      <c r="J302" s="52"/>
      <c r="K302" s="53" t="str">
        <f>IF(G302="","",IFERROR(INDEX(Stammdaten!$P$10:$P$69,MATCH(G302,Stammdaten!$N$10:$N$69,0)),"–"))</f>
        <v>Personal</v>
      </c>
      <c r="L302" s="53" t="str">
        <f>IF(F302="","",IFERROR(INDEX(Stammdaten!$D$10:$D$49,MATCH(F302,Stammdaten!$B$10:$B$49,0)),"–"))</f>
        <v>Teamzone Süd</v>
      </c>
      <c r="M302" s="54" t="str">
        <f>IF(C302="","",IF(OR(F302="",G302="",I302=""),"unvollständig",IF(I302="Storniert","storniert",IF(WEEKDAY(C302,2)&gt;5,"Wochenende",IF(COUNTIF(Stammdaten!$AD$10:$AD$30,C302)&gt;0,"Feiertag",IF(IFERROR(INDEX(Stammdaten!$I$10:$I$49,MATCH(F302,Stammdaten!$B$10:$B$49,0)),"")="Gesperrt","Platz gesperrt",IF(AND(COUNTIF($P$6:$P$605,P302)&gt;1,NOT(AND(COUNTIF($P$6:$P$605,P302)=2,COUNTIFS($P$6:$P$605,P302,$H$6:$H$605,"Vormittag")=1,COUNTIFS($P$6:$P$605,P302,$H$6:$H$605,"Nachmittag")=1))),"Doppelbuchung",IF(AND(COUNTIF($R$6:$R$605,R302)&gt;1,NOT(AND(COUNTIF($R$6:$R$605,R302)=2,COUNTIFS($R$6:$R$605,R302,$H$6:$H$605,"Vormittag")=1,COUNTIFS($R$6:$R$605,R302,$H$6:$H$605,"Nachmittag")=1))),"Person doppelt","OK"))))))))</f>
        <v>OK</v>
      </c>
      <c r="O302" s="55">
        <f t="shared" si="31"/>
        <v>1</v>
      </c>
      <c r="P302" s="55" t="str">
        <f t="shared" si="32"/>
        <v>B-05|46315</v>
      </c>
      <c r="Q302" s="55" t="str">
        <f>IF(P302="","",P302&amp;"|"&amp;COUNTIF(P$6:P302,P302))</f>
        <v>B-05|46315|1</v>
      </c>
      <c r="R302" s="55" t="str">
        <f t="shared" si="33"/>
        <v>Elif Yilmaz|46315</v>
      </c>
      <c r="S302" s="55" t="str">
        <f>IF(R302="","",R302&amp;"|"&amp;COUNTIF(R$6:R302,R302))</f>
        <v>Elif Yilmaz|46315|1</v>
      </c>
      <c r="T302" s="55" t="str">
        <f>IF(G302="","",IFERROR(INDEX(Stammdaten!$O$10:$O$69,MATCH(G302,Stammdaten!$N$10:$N$69,0)),G302)&amp;IF(H302="Vormittag"," (VM)",IF(H302="Nachmittag"," (NM)",""))&amp;IF(I302="Angefragt"," ?",""))</f>
        <v>E. Yilmaz</v>
      </c>
      <c r="U302" s="55" t="str">
        <f t="shared" si="34"/>
        <v>B-05</v>
      </c>
    </row>
    <row r="303" spans="2:21" ht="16.5" customHeight="1" x14ac:dyDescent="0.25">
      <c r="B303" s="47">
        <f t="shared" si="28"/>
        <v>298</v>
      </c>
      <c r="C303" s="48">
        <v>46315</v>
      </c>
      <c r="D303" s="49" t="str">
        <f t="shared" si="29"/>
        <v>Di</v>
      </c>
      <c r="E303" s="50">
        <f t="shared" si="30"/>
        <v>43</v>
      </c>
      <c r="F303" s="51" t="s">
        <v>96</v>
      </c>
      <c r="G303" s="52" t="s">
        <v>118</v>
      </c>
      <c r="H303" s="51" t="s">
        <v>76</v>
      </c>
      <c r="I303" s="51" t="s">
        <v>147</v>
      </c>
      <c r="J303" s="52"/>
      <c r="K303" s="53" t="str">
        <f>IF(G303="","",IFERROR(INDEX(Stammdaten!$P$10:$P$69,MATCH(G303,Stammdaten!$N$10:$N$69,0)),"–"))</f>
        <v>Personal</v>
      </c>
      <c r="L303" s="53" t="str">
        <f>IF(F303="","",IFERROR(INDEX(Stammdaten!$D$10:$D$49,MATCH(F303,Stammdaten!$B$10:$B$49,0)),"–"))</f>
        <v>Teamzone Süd</v>
      </c>
      <c r="M303" s="54" t="str">
        <f>IF(C303="","",IF(OR(F303="",G303="",I303=""),"unvollständig",IF(I303="Storniert","storniert",IF(WEEKDAY(C303,2)&gt;5,"Wochenende",IF(COUNTIF(Stammdaten!$AD$10:$AD$30,C303)&gt;0,"Feiertag",IF(IFERROR(INDEX(Stammdaten!$I$10:$I$49,MATCH(F303,Stammdaten!$B$10:$B$49,0)),"")="Gesperrt","Platz gesperrt",IF(AND(COUNTIF($P$6:$P$605,P303)&gt;1,NOT(AND(COUNTIF($P$6:$P$605,P303)=2,COUNTIFS($P$6:$P$605,P303,$H$6:$H$605,"Vormittag")=1,COUNTIFS($P$6:$P$605,P303,$H$6:$H$605,"Nachmittag")=1))),"Doppelbuchung",IF(AND(COUNTIF($R$6:$R$605,R303)&gt;1,NOT(AND(COUNTIF($R$6:$R$605,R303)=2,COUNTIFS($R$6:$R$605,R303,$H$6:$H$605,"Vormittag")=1,COUNTIFS($R$6:$R$605,R303,$H$6:$H$605,"Nachmittag")=1))),"Person doppelt","OK"))))))))</f>
        <v>OK</v>
      </c>
      <c r="O303" s="55">
        <f t="shared" si="31"/>
        <v>0</v>
      </c>
      <c r="P303" s="55" t="str">
        <f t="shared" si="32"/>
        <v>B-06|46315</v>
      </c>
      <c r="Q303" s="55" t="str">
        <f>IF(P303="","",P303&amp;"|"&amp;COUNTIF(P$6:P303,P303))</f>
        <v>B-06|46315|1</v>
      </c>
      <c r="R303" s="55" t="str">
        <f t="shared" si="33"/>
        <v>Anna Lorenz|46315</v>
      </c>
      <c r="S303" s="55" t="str">
        <f>IF(R303="","",R303&amp;"|"&amp;COUNTIF(R$6:R303,R303))</f>
        <v>Anna Lorenz|46315|1</v>
      </c>
      <c r="T303" s="55" t="str">
        <f>IF(G303="","",IFERROR(INDEX(Stammdaten!$O$10:$O$69,MATCH(G303,Stammdaten!$N$10:$N$69,0)),G303)&amp;IF(H303="Vormittag"," (VM)",IF(H303="Nachmittag"," (NM)",""))&amp;IF(I303="Angefragt"," ?",""))</f>
        <v>A. Lorenz ?</v>
      </c>
      <c r="U303" s="55" t="str">
        <f t="shared" si="34"/>
        <v>B-06 ?</v>
      </c>
    </row>
    <row r="304" spans="2:21" ht="16.5" customHeight="1" x14ac:dyDescent="0.25">
      <c r="B304" s="47">
        <f t="shared" si="28"/>
        <v>299</v>
      </c>
      <c r="C304" s="48">
        <v>46315</v>
      </c>
      <c r="D304" s="49" t="str">
        <f t="shared" si="29"/>
        <v>Di</v>
      </c>
      <c r="E304" s="50">
        <f t="shared" si="30"/>
        <v>43</v>
      </c>
      <c r="F304" s="51" t="s">
        <v>98</v>
      </c>
      <c r="G304" s="52" t="s">
        <v>116</v>
      </c>
      <c r="H304" s="51" t="s">
        <v>76</v>
      </c>
      <c r="I304" s="51" t="s">
        <v>77</v>
      </c>
      <c r="J304" s="52"/>
      <c r="K304" s="53" t="str">
        <f>IF(G304="","",IFERROR(INDEX(Stammdaten!$P$10:$P$69,MATCH(G304,Stammdaten!$N$10:$N$69,0)),"–"))</f>
        <v>Finanzen</v>
      </c>
      <c r="L304" s="53" t="str">
        <f>IF(F304="","",IFERROR(INDEX(Stammdaten!$D$10:$D$49,MATCH(F304,Stammdaten!$B$10:$B$49,0)),"–"))</f>
        <v>Teamzone Süd</v>
      </c>
      <c r="M304" s="54" t="str">
        <f>IF(C304="","",IF(OR(F304="",G304="",I304=""),"unvollständig",IF(I304="Storniert","storniert",IF(WEEKDAY(C304,2)&gt;5,"Wochenende",IF(COUNTIF(Stammdaten!$AD$10:$AD$30,C304)&gt;0,"Feiertag",IF(IFERROR(INDEX(Stammdaten!$I$10:$I$49,MATCH(F304,Stammdaten!$B$10:$B$49,0)),"")="Gesperrt","Platz gesperrt",IF(AND(COUNTIF($P$6:$P$605,P304)&gt;1,NOT(AND(COUNTIF($P$6:$P$605,P304)=2,COUNTIFS($P$6:$P$605,P304,$H$6:$H$605,"Vormittag")=1,COUNTIFS($P$6:$P$605,P304,$H$6:$H$605,"Nachmittag")=1))),"Doppelbuchung",IF(AND(COUNTIF($R$6:$R$605,R304)&gt;1,NOT(AND(COUNTIF($R$6:$R$605,R304)=2,COUNTIFS($R$6:$R$605,R304,$H$6:$H$605,"Vormittag")=1,COUNTIFS($R$6:$R$605,R304,$H$6:$H$605,"Nachmittag")=1))),"Person doppelt","OK"))))))))</f>
        <v>OK</v>
      </c>
      <c r="O304" s="55">
        <f t="shared" si="31"/>
        <v>1</v>
      </c>
      <c r="P304" s="55" t="str">
        <f t="shared" si="32"/>
        <v>B-08|46315</v>
      </c>
      <c r="Q304" s="55" t="str">
        <f>IF(P304="","",P304&amp;"|"&amp;COUNTIF(P$6:P304,P304))</f>
        <v>B-08|46315|1</v>
      </c>
      <c r="R304" s="55" t="str">
        <f t="shared" si="33"/>
        <v>Julia Herrmann|46315</v>
      </c>
      <c r="S304" s="55" t="str">
        <f>IF(R304="","",R304&amp;"|"&amp;COUNTIF(R$6:R304,R304))</f>
        <v>Julia Herrmann|46315|1</v>
      </c>
      <c r="T304" s="55" t="str">
        <f>IF(G304="","",IFERROR(INDEX(Stammdaten!$O$10:$O$69,MATCH(G304,Stammdaten!$N$10:$N$69,0)),G304)&amp;IF(H304="Vormittag"," (VM)",IF(H304="Nachmittag"," (NM)",""))&amp;IF(I304="Angefragt"," ?",""))</f>
        <v>J. Herrmann</v>
      </c>
      <c r="U304" s="55" t="str">
        <f t="shared" si="34"/>
        <v>B-08</v>
      </c>
    </row>
    <row r="305" spans="2:21" ht="16.5" customHeight="1" x14ac:dyDescent="0.25">
      <c r="B305" s="47">
        <f t="shared" si="28"/>
        <v>300</v>
      </c>
      <c r="C305" s="48">
        <v>46315</v>
      </c>
      <c r="D305" s="49" t="str">
        <f t="shared" si="29"/>
        <v>Di</v>
      </c>
      <c r="E305" s="50">
        <f t="shared" si="30"/>
        <v>43</v>
      </c>
      <c r="F305" s="51" t="s">
        <v>100</v>
      </c>
      <c r="G305" s="52" t="s">
        <v>140</v>
      </c>
      <c r="H305" s="51" t="s">
        <v>76</v>
      </c>
      <c r="I305" s="51" t="s">
        <v>77</v>
      </c>
      <c r="J305" s="52"/>
      <c r="K305" s="53" t="str">
        <f>IF(G305="","",IFERROR(INDEX(Stammdaten!$P$10:$P$69,MATCH(G305,Stammdaten!$N$10:$N$69,0)),"–"))</f>
        <v>IT</v>
      </c>
      <c r="L305" s="53" t="str">
        <f>IF(F305="","",IFERROR(INDEX(Stammdaten!$D$10:$D$49,MATCH(F305,Stammdaten!$B$10:$B$49,0)),"–"))</f>
        <v>Projektfläche</v>
      </c>
      <c r="M305" s="54" t="str">
        <f>IF(C305="","",IF(OR(F305="",G305="",I305=""),"unvollständig",IF(I305="Storniert","storniert",IF(WEEKDAY(C305,2)&gt;5,"Wochenende",IF(COUNTIF(Stammdaten!$AD$10:$AD$30,C305)&gt;0,"Feiertag",IF(IFERROR(INDEX(Stammdaten!$I$10:$I$49,MATCH(F305,Stammdaten!$B$10:$B$49,0)),"")="Gesperrt","Platz gesperrt",IF(AND(COUNTIF($P$6:$P$605,P305)&gt;1,NOT(AND(COUNTIF($P$6:$P$605,P305)=2,COUNTIFS($P$6:$P$605,P305,$H$6:$H$605,"Vormittag")=1,COUNTIFS($P$6:$P$605,P305,$H$6:$H$605,"Nachmittag")=1))),"Doppelbuchung",IF(AND(COUNTIF($R$6:$R$605,R305)&gt;1,NOT(AND(COUNTIF($R$6:$R$605,R305)=2,COUNTIFS($R$6:$R$605,R305,$H$6:$H$605,"Vormittag")=1,COUNTIFS($R$6:$R$605,R305,$H$6:$H$605,"Nachmittag")=1))),"Person doppelt","OK"))))))))</f>
        <v>OK</v>
      </c>
      <c r="O305" s="55">
        <f t="shared" si="31"/>
        <v>1</v>
      </c>
      <c r="P305" s="55" t="str">
        <f t="shared" si="32"/>
        <v>B-09|46315</v>
      </c>
      <c r="Q305" s="55" t="str">
        <f>IF(P305="","",P305&amp;"|"&amp;COUNTIF(P$6:P305,P305))</f>
        <v>B-09|46315|1</v>
      </c>
      <c r="R305" s="55" t="str">
        <f t="shared" si="33"/>
        <v>Lukas Pohl|46315</v>
      </c>
      <c r="S305" s="55" t="str">
        <f>IF(R305="","",R305&amp;"|"&amp;COUNTIF(R$6:R305,R305))</f>
        <v>Lukas Pohl|46315|1</v>
      </c>
      <c r="T305" s="55" t="str">
        <f>IF(G305="","",IFERROR(INDEX(Stammdaten!$O$10:$O$69,MATCH(G305,Stammdaten!$N$10:$N$69,0)),G305)&amp;IF(H305="Vormittag"," (VM)",IF(H305="Nachmittag"," (NM)",""))&amp;IF(I305="Angefragt"," ?",""))</f>
        <v>L. Pohl</v>
      </c>
      <c r="U305" s="55" t="str">
        <f t="shared" si="34"/>
        <v>B-09</v>
      </c>
    </row>
    <row r="306" spans="2:21" ht="16.5" customHeight="1" x14ac:dyDescent="0.25">
      <c r="B306" s="47">
        <f t="shared" si="28"/>
        <v>301</v>
      </c>
      <c r="C306" s="48">
        <v>46315</v>
      </c>
      <c r="D306" s="49" t="str">
        <f t="shared" si="29"/>
        <v>Di</v>
      </c>
      <c r="E306" s="50">
        <f t="shared" si="30"/>
        <v>43</v>
      </c>
      <c r="F306" s="51" t="s">
        <v>102</v>
      </c>
      <c r="G306" s="52" t="s">
        <v>107</v>
      </c>
      <c r="H306" s="51" t="s">
        <v>76</v>
      </c>
      <c r="I306" s="51" t="s">
        <v>77</v>
      </c>
      <c r="J306" s="52"/>
      <c r="K306" s="53" t="str">
        <f>IF(G306="","",IFERROR(INDEX(Stammdaten!$P$10:$P$69,MATCH(G306,Stammdaten!$N$10:$N$69,0)),"–"))</f>
        <v>IT</v>
      </c>
      <c r="L306" s="53" t="str">
        <f>IF(F306="","",IFERROR(INDEX(Stammdaten!$D$10:$D$49,MATCH(F306,Stammdaten!$B$10:$B$49,0)),"–"))</f>
        <v>Projektfläche</v>
      </c>
      <c r="M306" s="54" t="str">
        <f>IF(C306="","",IF(OR(F306="",G306="",I306=""),"unvollständig",IF(I306="Storniert","storniert",IF(WEEKDAY(C306,2)&gt;5,"Wochenende",IF(COUNTIF(Stammdaten!$AD$10:$AD$30,C306)&gt;0,"Feiertag",IF(IFERROR(INDEX(Stammdaten!$I$10:$I$49,MATCH(F306,Stammdaten!$B$10:$B$49,0)),"")="Gesperrt","Platz gesperrt",IF(AND(COUNTIF($P$6:$P$605,P306)&gt;1,NOT(AND(COUNTIF($P$6:$P$605,P306)=2,COUNTIFS($P$6:$P$605,P306,$H$6:$H$605,"Vormittag")=1,COUNTIFS($P$6:$P$605,P306,$H$6:$H$605,"Nachmittag")=1))),"Doppelbuchung",IF(AND(COUNTIF($R$6:$R$605,R306)&gt;1,NOT(AND(COUNTIF($R$6:$R$605,R306)=2,COUNTIFS($R$6:$R$605,R306,$H$6:$H$605,"Vormittag")=1,COUNTIFS($R$6:$R$605,R306,$H$6:$H$605,"Nachmittag")=1))),"Person doppelt","OK"))))))))</f>
        <v>OK</v>
      </c>
      <c r="O306" s="55">
        <f t="shared" si="31"/>
        <v>1</v>
      </c>
      <c r="P306" s="55" t="str">
        <f t="shared" si="32"/>
        <v>B-10|46315</v>
      </c>
      <c r="Q306" s="55" t="str">
        <f>IF(P306="","",P306&amp;"|"&amp;COUNTIF(P$6:P306,P306))</f>
        <v>B-10|46315|1</v>
      </c>
      <c r="R306" s="55" t="str">
        <f t="shared" si="33"/>
        <v>Katharina Busch|46315</v>
      </c>
      <c r="S306" s="55" t="str">
        <f>IF(R306="","",R306&amp;"|"&amp;COUNTIF(R$6:R306,R306))</f>
        <v>Katharina Busch|46315|1</v>
      </c>
      <c r="T306" s="55" t="str">
        <f>IF(G306="","",IFERROR(INDEX(Stammdaten!$O$10:$O$69,MATCH(G306,Stammdaten!$N$10:$N$69,0)),G306)&amp;IF(H306="Vormittag"," (VM)",IF(H306="Nachmittag"," (NM)",""))&amp;IF(I306="Angefragt"," ?",""))</f>
        <v>K. Busch</v>
      </c>
      <c r="U306" s="55" t="str">
        <f t="shared" si="34"/>
        <v>B-10</v>
      </c>
    </row>
    <row r="307" spans="2:21" ht="16.5" customHeight="1" x14ac:dyDescent="0.25">
      <c r="B307" s="47">
        <f t="shared" si="28"/>
        <v>302</v>
      </c>
      <c r="C307" s="48">
        <v>46315</v>
      </c>
      <c r="D307" s="49" t="str">
        <f t="shared" si="29"/>
        <v>Di</v>
      </c>
      <c r="E307" s="50">
        <f t="shared" si="30"/>
        <v>43</v>
      </c>
      <c r="F307" s="51" t="s">
        <v>104</v>
      </c>
      <c r="G307" s="52" t="s">
        <v>130</v>
      </c>
      <c r="H307" s="51" t="s">
        <v>76</v>
      </c>
      <c r="I307" s="51" t="s">
        <v>147</v>
      </c>
      <c r="J307" s="52"/>
      <c r="K307" s="53" t="str">
        <f>IF(G307="","",IFERROR(INDEX(Stammdaten!$P$10:$P$69,MATCH(G307,Stammdaten!$N$10:$N$69,0)),"–"))</f>
        <v>Projektmanagement</v>
      </c>
      <c r="L307" s="53" t="str">
        <f>IF(F307="","",IFERROR(INDEX(Stammdaten!$D$10:$D$49,MATCH(F307,Stammdaten!$B$10:$B$49,0)),"–"))</f>
        <v>Projektfläche</v>
      </c>
      <c r="M307" s="54" t="str">
        <f>IF(C307="","",IF(OR(F307="",G307="",I307=""),"unvollständig",IF(I307="Storniert","storniert",IF(WEEKDAY(C307,2)&gt;5,"Wochenende",IF(COUNTIF(Stammdaten!$AD$10:$AD$30,C307)&gt;0,"Feiertag",IF(IFERROR(INDEX(Stammdaten!$I$10:$I$49,MATCH(F307,Stammdaten!$B$10:$B$49,0)),"")="Gesperrt","Platz gesperrt",IF(AND(COUNTIF($P$6:$P$605,P307)&gt;1,NOT(AND(COUNTIF($P$6:$P$605,P307)=2,COUNTIFS($P$6:$P$605,P307,$H$6:$H$605,"Vormittag")=1,COUNTIFS($P$6:$P$605,P307,$H$6:$H$605,"Nachmittag")=1))),"Doppelbuchung",IF(AND(COUNTIF($R$6:$R$605,R307)&gt;1,NOT(AND(COUNTIF($R$6:$R$605,R307)=2,COUNTIFS($R$6:$R$605,R307,$H$6:$H$605,"Vormittag")=1,COUNTIFS($R$6:$R$605,R307,$H$6:$H$605,"Nachmittag")=1))),"Person doppelt","OK"))))))))</f>
        <v>OK</v>
      </c>
      <c r="O307" s="55">
        <f t="shared" si="31"/>
        <v>0</v>
      </c>
      <c r="P307" s="55" t="str">
        <f t="shared" si="32"/>
        <v>B-11|46315</v>
      </c>
      <c r="Q307" s="55" t="str">
        <f>IF(P307="","",P307&amp;"|"&amp;COUNTIF(P$6:P307,P307))</f>
        <v>B-11|46315|1</v>
      </c>
      <c r="R307" s="55" t="str">
        <f t="shared" si="33"/>
        <v>Fabian Ott|46315</v>
      </c>
      <c r="S307" s="55" t="str">
        <f>IF(R307="","",R307&amp;"|"&amp;COUNTIF(R$6:R307,R307))</f>
        <v>Fabian Ott|46315|1</v>
      </c>
      <c r="T307" s="55" t="str">
        <f>IF(G307="","",IFERROR(INDEX(Stammdaten!$O$10:$O$69,MATCH(G307,Stammdaten!$N$10:$N$69,0)),G307)&amp;IF(H307="Vormittag"," (VM)",IF(H307="Nachmittag"," (NM)",""))&amp;IF(I307="Angefragt"," ?",""))</f>
        <v>F. Ott ?</v>
      </c>
      <c r="U307" s="55" t="str">
        <f t="shared" si="34"/>
        <v>B-11 ?</v>
      </c>
    </row>
    <row r="308" spans="2:21" ht="16.5" customHeight="1" x14ac:dyDescent="0.25">
      <c r="B308" s="47">
        <f t="shared" si="28"/>
        <v>303</v>
      </c>
      <c r="C308" s="48">
        <v>46315</v>
      </c>
      <c r="D308" s="49" t="str">
        <f t="shared" si="29"/>
        <v>Di</v>
      </c>
      <c r="E308" s="50">
        <f t="shared" si="30"/>
        <v>43</v>
      </c>
      <c r="F308" s="51" t="s">
        <v>106</v>
      </c>
      <c r="G308" s="52" t="s">
        <v>91</v>
      </c>
      <c r="H308" s="51" t="s">
        <v>76</v>
      </c>
      <c r="I308" s="51" t="s">
        <v>77</v>
      </c>
      <c r="J308" s="52"/>
      <c r="K308" s="53" t="str">
        <f>IF(G308="","",IFERROR(INDEX(Stammdaten!$P$10:$P$69,MATCH(G308,Stammdaten!$N$10:$N$69,0)),"–"))</f>
        <v>IT</v>
      </c>
      <c r="L308" s="53" t="str">
        <f>IF(F308="","",IFERROR(INDEX(Stammdaten!$D$10:$D$49,MATCH(F308,Stammdaten!$B$10:$B$49,0)),"–"))</f>
        <v>Projektfläche</v>
      </c>
      <c r="M308" s="54" t="str">
        <f>IF(C308="","",IF(OR(F308="",G308="",I308=""),"unvollständig",IF(I308="Storniert","storniert",IF(WEEKDAY(C308,2)&gt;5,"Wochenende",IF(COUNTIF(Stammdaten!$AD$10:$AD$30,C308)&gt;0,"Feiertag",IF(IFERROR(INDEX(Stammdaten!$I$10:$I$49,MATCH(F308,Stammdaten!$B$10:$B$49,0)),"")="Gesperrt","Platz gesperrt",IF(AND(COUNTIF($P$6:$P$605,P308)&gt;1,NOT(AND(COUNTIF($P$6:$P$605,P308)=2,COUNTIFS($P$6:$P$605,P308,$H$6:$H$605,"Vormittag")=1,COUNTIFS($P$6:$P$605,P308,$H$6:$H$605,"Nachmittag")=1))),"Doppelbuchung",IF(AND(COUNTIF($R$6:$R$605,R308)&gt;1,NOT(AND(COUNTIF($R$6:$R$605,R308)=2,COUNTIFS($R$6:$R$605,R308,$H$6:$H$605,"Vormittag")=1,COUNTIFS($R$6:$R$605,R308,$H$6:$H$605,"Nachmittag")=1))),"Person doppelt","OK"))))))))</f>
        <v>OK</v>
      </c>
      <c r="O308" s="55">
        <f t="shared" si="31"/>
        <v>1</v>
      </c>
      <c r="P308" s="55" t="str">
        <f t="shared" si="32"/>
        <v>B-12|46315</v>
      </c>
      <c r="Q308" s="55" t="str">
        <f>IF(P308="","",P308&amp;"|"&amp;COUNTIF(P$6:P308,P308))</f>
        <v>B-12|46315|1</v>
      </c>
      <c r="R308" s="55" t="str">
        <f t="shared" si="33"/>
        <v>Mara Winter|46315</v>
      </c>
      <c r="S308" s="55" t="str">
        <f>IF(R308="","",R308&amp;"|"&amp;COUNTIF(R$6:R308,R308))</f>
        <v>Mara Winter|46315|1</v>
      </c>
      <c r="T308" s="55" t="str">
        <f>IF(G308="","",IFERROR(INDEX(Stammdaten!$O$10:$O$69,MATCH(G308,Stammdaten!$N$10:$N$69,0)),G308)&amp;IF(H308="Vormittag"," (VM)",IF(H308="Nachmittag"," (NM)",""))&amp;IF(I308="Angefragt"," ?",""))</f>
        <v>M. Winter</v>
      </c>
      <c r="U308" s="55" t="str">
        <f t="shared" si="34"/>
        <v>B-12</v>
      </c>
    </row>
    <row r="309" spans="2:21" ht="16.5" customHeight="1" x14ac:dyDescent="0.25">
      <c r="B309" s="47">
        <f t="shared" si="28"/>
        <v>304</v>
      </c>
      <c r="C309" s="48">
        <v>46316</v>
      </c>
      <c r="D309" s="49" t="str">
        <f t="shared" si="29"/>
        <v>Mi</v>
      </c>
      <c r="E309" s="50">
        <f t="shared" si="30"/>
        <v>43</v>
      </c>
      <c r="F309" s="51" t="s">
        <v>78</v>
      </c>
      <c r="G309" s="52" t="s">
        <v>79</v>
      </c>
      <c r="H309" s="51" t="s">
        <v>76</v>
      </c>
      <c r="I309" s="51" t="s">
        <v>77</v>
      </c>
      <c r="J309" s="52"/>
      <c r="K309" s="53" t="str">
        <f>IF(G309="","",IFERROR(INDEX(Stammdaten!$P$10:$P$69,MATCH(G309,Stammdaten!$N$10:$N$69,0)),"–"))</f>
        <v>Vertrieb</v>
      </c>
      <c r="L309" s="53" t="str">
        <f>IF(F309="","",IFERROR(INDEX(Stammdaten!$D$10:$D$49,MATCH(F309,Stammdaten!$B$10:$B$49,0)),"–"))</f>
        <v>Teamzone Nord</v>
      </c>
      <c r="M309" s="54" t="str">
        <f>IF(C309="","",IF(OR(F309="",G309="",I309=""),"unvollständig",IF(I309="Storniert","storniert",IF(WEEKDAY(C309,2)&gt;5,"Wochenende",IF(COUNTIF(Stammdaten!$AD$10:$AD$30,C309)&gt;0,"Feiertag",IF(IFERROR(INDEX(Stammdaten!$I$10:$I$49,MATCH(F309,Stammdaten!$B$10:$B$49,0)),"")="Gesperrt","Platz gesperrt",IF(AND(COUNTIF($P$6:$P$605,P309)&gt;1,NOT(AND(COUNTIF($P$6:$P$605,P309)=2,COUNTIFS($P$6:$P$605,P309,$H$6:$H$605,"Vormittag")=1,COUNTIFS($P$6:$P$605,P309,$H$6:$H$605,"Nachmittag")=1))),"Doppelbuchung",IF(AND(COUNTIF($R$6:$R$605,R309)&gt;1,NOT(AND(COUNTIF($R$6:$R$605,R309)=2,COUNTIFS($R$6:$R$605,R309,$H$6:$H$605,"Vormittag")=1,COUNTIFS($R$6:$R$605,R309,$H$6:$H$605,"Nachmittag")=1))),"Person doppelt","OK"))))))))</f>
        <v>OK</v>
      </c>
      <c r="O309" s="55">
        <f t="shared" si="31"/>
        <v>1</v>
      </c>
      <c r="P309" s="55" t="str">
        <f t="shared" si="32"/>
        <v>A-02|46316</v>
      </c>
      <c r="Q309" s="55" t="str">
        <f>IF(P309="","",P309&amp;"|"&amp;COUNTIF(P$6:P309,P309))</f>
        <v>A-02|46316|1</v>
      </c>
      <c r="R309" s="55" t="str">
        <f t="shared" si="33"/>
        <v>Lena Hartmann|46316</v>
      </c>
      <c r="S309" s="55" t="str">
        <f>IF(R309="","",R309&amp;"|"&amp;COUNTIF(R$6:R309,R309))</f>
        <v>Lena Hartmann|46316|1</v>
      </c>
      <c r="T309" s="55" t="str">
        <f>IF(G309="","",IFERROR(INDEX(Stammdaten!$O$10:$O$69,MATCH(G309,Stammdaten!$N$10:$N$69,0)),G309)&amp;IF(H309="Vormittag"," (VM)",IF(H309="Nachmittag"," (NM)",""))&amp;IF(I309="Angefragt"," ?",""))</f>
        <v>L. Hartmann</v>
      </c>
      <c r="U309" s="55" t="str">
        <f t="shared" si="34"/>
        <v>A-02</v>
      </c>
    </row>
    <row r="310" spans="2:21" ht="16.5" customHeight="1" x14ac:dyDescent="0.25">
      <c r="B310" s="47">
        <f t="shared" si="28"/>
        <v>305</v>
      </c>
      <c r="C310" s="48">
        <v>46316</v>
      </c>
      <c r="D310" s="49" t="str">
        <f t="shared" si="29"/>
        <v>Mi</v>
      </c>
      <c r="E310" s="50">
        <f t="shared" si="30"/>
        <v>43</v>
      </c>
      <c r="F310" s="51" t="s">
        <v>109</v>
      </c>
      <c r="G310" s="52" t="s">
        <v>127</v>
      </c>
      <c r="H310" s="51" t="s">
        <v>76</v>
      </c>
      <c r="I310" s="51" t="s">
        <v>77</v>
      </c>
      <c r="J310" s="52"/>
      <c r="K310" s="53" t="str">
        <f>IF(G310="","",IFERROR(INDEX(Stammdaten!$P$10:$P$69,MATCH(G310,Stammdaten!$N$10:$N$69,0)),"–"))</f>
        <v>Vertrieb</v>
      </c>
      <c r="L310" s="53" t="str">
        <f>IF(F310="","",IFERROR(INDEX(Stammdaten!$D$10:$D$49,MATCH(F310,Stammdaten!$B$10:$B$49,0)),"–"))</f>
        <v>Teamzone Nord</v>
      </c>
      <c r="M310" s="54" t="str">
        <f>IF(C310="","",IF(OR(F310="",G310="",I310=""),"unvollständig",IF(I310="Storniert","storniert",IF(WEEKDAY(C310,2)&gt;5,"Wochenende",IF(COUNTIF(Stammdaten!$AD$10:$AD$30,C310)&gt;0,"Feiertag",IF(IFERROR(INDEX(Stammdaten!$I$10:$I$49,MATCH(F310,Stammdaten!$B$10:$B$49,0)),"")="Gesperrt","Platz gesperrt",IF(AND(COUNTIF($P$6:$P$605,P310)&gt;1,NOT(AND(COUNTIF($P$6:$P$605,P310)=2,COUNTIFS($P$6:$P$605,P310,$H$6:$H$605,"Vormittag")=1,COUNTIFS($P$6:$P$605,P310,$H$6:$H$605,"Nachmittag")=1))),"Doppelbuchung",IF(AND(COUNTIF($R$6:$R$605,R310)&gt;1,NOT(AND(COUNTIF($R$6:$R$605,R310)=2,COUNTIFS($R$6:$R$605,R310,$H$6:$H$605,"Vormittag")=1,COUNTIFS($R$6:$R$605,R310,$H$6:$H$605,"Nachmittag")=1))),"Person doppelt","OK"))))))))</f>
        <v>OK</v>
      </c>
      <c r="O310" s="55">
        <f t="shared" si="31"/>
        <v>1</v>
      </c>
      <c r="P310" s="55" t="str">
        <f t="shared" si="32"/>
        <v>A-03|46316</v>
      </c>
      <c r="Q310" s="55" t="str">
        <f>IF(P310="","",P310&amp;"|"&amp;COUNTIF(P$6:P310,P310))</f>
        <v>A-03|46316|1</v>
      </c>
      <c r="R310" s="55" t="str">
        <f t="shared" si="33"/>
        <v>Tobias Lindner|46316</v>
      </c>
      <c r="S310" s="55" t="str">
        <f>IF(R310="","",R310&amp;"|"&amp;COUNTIF(R$6:R310,R310))</f>
        <v>Tobias Lindner|46316|1</v>
      </c>
      <c r="T310" s="55" t="str">
        <f>IF(G310="","",IFERROR(INDEX(Stammdaten!$O$10:$O$69,MATCH(G310,Stammdaten!$N$10:$N$69,0)),G310)&amp;IF(H310="Vormittag"," (VM)",IF(H310="Nachmittag"," (NM)",""))&amp;IF(I310="Angefragt"," ?",""))</f>
        <v>T. Lindner</v>
      </c>
      <c r="U310" s="55" t="str">
        <f t="shared" si="34"/>
        <v>A-03</v>
      </c>
    </row>
    <row r="311" spans="2:21" ht="16.5" customHeight="1" x14ac:dyDescent="0.25">
      <c r="B311" s="47">
        <f t="shared" si="28"/>
        <v>306</v>
      </c>
      <c r="C311" s="48">
        <v>46316</v>
      </c>
      <c r="D311" s="49" t="str">
        <f t="shared" si="29"/>
        <v>Mi</v>
      </c>
      <c r="E311" s="50">
        <f t="shared" si="30"/>
        <v>43</v>
      </c>
      <c r="F311" s="51" t="s">
        <v>110</v>
      </c>
      <c r="G311" s="52" t="s">
        <v>136</v>
      </c>
      <c r="H311" s="51" t="s">
        <v>76</v>
      </c>
      <c r="I311" s="51" t="s">
        <v>77</v>
      </c>
      <c r="J311" s="52"/>
      <c r="K311" s="53" t="str">
        <f>IF(G311="","",IFERROR(INDEX(Stammdaten!$P$10:$P$69,MATCH(G311,Stammdaten!$N$10:$N$69,0)),"–"))</f>
        <v>Vertrieb</v>
      </c>
      <c r="L311" s="53" t="str">
        <f>IF(F311="","",IFERROR(INDEX(Stammdaten!$D$10:$D$49,MATCH(F311,Stammdaten!$B$10:$B$49,0)),"–"))</f>
        <v>Teamzone Nord</v>
      </c>
      <c r="M311" s="54" t="str">
        <f>IF(C311="","",IF(OR(F311="",G311="",I311=""),"unvollständig",IF(I311="Storniert","storniert",IF(WEEKDAY(C311,2)&gt;5,"Wochenende",IF(COUNTIF(Stammdaten!$AD$10:$AD$30,C311)&gt;0,"Feiertag",IF(IFERROR(INDEX(Stammdaten!$I$10:$I$49,MATCH(F311,Stammdaten!$B$10:$B$49,0)),"")="Gesperrt","Platz gesperrt",IF(AND(COUNTIF($P$6:$P$605,P311)&gt;1,NOT(AND(COUNTIF($P$6:$P$605,P311)=2,COUNTIFS($P$6:$P$605,P311,$H$6:$H$605,"Vormittag")=1,COUNTIFS($P$6:$P$605,P311,$H$6:$H$605,"Nachmittag")=1))),"Doppelbuchung",IF(AND(COUNTIF($R$6:$R$605,R311)&gt;1,NOT(AND(COUNTIF($R$6:$R$605,R311)=2,COUNTIFS($R$6:$R$605,R311,$H$6:$H$605,"Vormittag")=1,COUNTIFS($R$6:$R$605,R311,$H$6:$H$605,"Nachmittag")=1))),"Person doppelt","OK"))))))))</f>
        <v>OK</v>
      </c>
      <c r="O311" s="55">
        <f t="shared" si="31"/>
        <v>1</v>
      </c>
      <c r="P311" s="55" t="str">
        <f t="shared" si="32"/>
        <v>A-04|46316</v>
      </c>
      <c r="Q311" s="55" t="str">
        <f>IF(P311="","",P311&amp;"|"&amp;COUNTIF(P$6:P311,P311))</f>
        <v>A-04|46316|1</v>
      </c>
      <c r="R311" s="55" t="str">
        <f t="shared" si="33"/>
        <v>David Kühn|46316</v>
      </c>
      <c r="S311" s="55" t="str">
        <f>IF(R311="","",R311&amp;"|"&amp;COUNTIF(R$6:R311,R311))</f>
        <v>David Kühn|46316|1</v>
      </c>
      <c r="T311" s="55" t="str">
        <f>IF(G311="","",IFERROR(INDEX(Stammdaten!$O$10:$O$69,MATCH(G311,Stammdaten!$N$10:$N$69,0)),G311)&amp;IF(H311="Vormittag"," (VM)",IF(H311="Nachmittag"," (NM)",""))&amp;IF(I311="Angefragt"," ?",""))</f>
        <v>D. Kühn</v>
      </c>
      <c r="U311" s="55" t="str">
        <f t="shared" si="34"/>
        <v>A-04</v>
      </c>
    </row>
    <row r="312" spans="2:21" ht="16.5" customHeight="1" x14ac:dyDescent="0.25">
      <c r="B312" s="47">
        <f t="shared" si="28"/>
        <v>307</v>
      </c>
      <c r="C312" s="48">
        <v>46316</v>
      </c>
      <c r="D312" s="49" t="str">
        <f t="shared" si="29"/>
        <v>Mi</v>
      </c>
      <c r="E312" s="50">
        <f t="shared" si="30"/>
        <v>43</v>
      </c>
      <c r="F312" s="51" t="s">
        <v>80</v>
      </c>
      <c r="G312" s="52" t="s">
        <v>85</v>
      </c>
      <c r="H312" s="51" t="s">
        <v>76</v>
      </c>
      <c r="I312" s="51" t="s">
        <v>147</v>
      </c>
      <c r="J312" s="52"/>
      <c r="K312" s="53" t="str">
        <f>IF(G312="","",IFERROR(INDEX(Stammdaten!$P$10:$P$69,MATCH(G312,Stammdaten!$N$10:$N$69,0)),"–"))</f>
        <v>Vertrieb</v>
      </c>
      <c r="L312" s="53" t="str">
        <f>IF(F312="","",IFERROR(INDEX(Stammdaten!$D$10:$D$49,MATCH(F312,Stammdaten!$B$10:$B$49,0)),"–"))</f>
        <v>Teamzone Nord</v>
      </c>
      <c r="M312" s="54" t="str">
        <f>IF(C312="","",IF(OR(F312="",G312="",I312=""),"unvollständig",IF(I312="Storniert","storniert",IF(WEEKDAY(C312,2)&gt;5,"Wochenende",IF(COUNTIF(Stammdaten!$AD$10:$AD$30,C312)&gt;0,"Feiertag",IF(IFERROR(INDEX(Stammdaten!$I$10:$I$49,MATCH(F312,Stammdaten!$B$10:$B$49,0)),"")="Gesperrt","Platz gesperrt",IF(AND(COUNTIF($P$6:$P$605,P312)&gt;1,NOT(AND(COUNTIF($P$6:$P$605,P312)=2,COUNTIFS($P$6:$P$605,P312,$H$6:$H$605,"Vormittag")=1,COUNTIFS($P$6:$P$605,P312,$H$6:$H$605,"Nachmittag")=1))),"Doppelbuchung",IF(AND(COUNTIF($R$6:$R$605,R312)&gt;1,NOT(AND(COUNTIF($R$6:$R$605,R312)=2,COUNTIFS($R$6:$R$605,R312,$H$6:$H$605,"Vormittag")=1,COUNTIFS($R$6:$R$605,R312,$H$6:$H$605,"Nachmittag")=1))),"Person doppelt","OK"))))))))</f>
        <v>OK</v>
      </c>
      <c r="O312" s="55">
        <f t="shared" si="31"/>
        <v>0</v>
      </c>
      <c r="P312" s="55" t="str">
        <f t="shared" si="32"/>
        <v>A-05|46316</v>
      </c>
      <c r="Q312" s="55" t="str">
        <f>IF(P312="","",P312&amp;"|"&amp;COUNTIF(P$6:P312,P312))</f>
        <v>A-05|46316|1</v>
      </c>
      <c r="R312" s="55" t="str">
        <f t="shared" si="33"/>
        <v>Miriam Krause|46316</v>
      </c>
      <c r="S312" s="55" t="str">
        <f>IF(R312="","",R312&amp;"|"&amp;COUNTIF(R$6:R312,R312))</f>
        <v>Miriam Krause|46316|1</v>
      </c>
      <c r="T312" s="55" t="str">
        <f>IF(G312="","",IFERROR(INDEX(Stammdaten!$O$10:$O$69,MATCH(G312,Stammdaten!$N$10:$N$69,0)),G312)&amp;IF(H312="Vormittag"," (VM)",IF(H312="Nachmittag"," (NM)",""))&amp;IF(I312="Angefragt"," ?",""))</f>
        <v>M. Krause ?</v>
      </c>
      <c r="U312" s="55" t="str">
        <f t="shared" si="34"/>
        <v>A-05 ?</v>
      </c>
    </row>
    <row r="313" spans="2:21" ht="16.5" customHeight="1" x14ac:dyDescent="0.25">
      <c r="B313" s="47">
        <f t="shared" si="28"/>
        <v>308</v>
      </c>
      <c r="C313" s="48">
        <v>46316</v>
      </c>
      <c r="D313" s="49" t="str">
        <f t="shared" si="29"/>
        <v>Mi</v>
      </c>
      <c r="E313" s="50">
        <f t="shared" si="30"/>
        <v>43</v>
      </c>
      <c r="F313" s="51" t="s">
        <v>82</v>
      </c>
      <c r="G313" s="52" t="s">
        <v>87</v>
      </c>
      <c r="H313" s="51" t="s">
        <v>76</v>
      </c>
      <c r="I313" s="51" t="s">
        <v>77</v>
      </c>
      <c r="J313" s="52"/>
      <c r="K313" s="53" t="str">
        <f>IF(G313="","",IFERROR(INDEX(Stammdaten!$P$10:$P$69,MATCH(G313,Stammdaten!$N$10:$N$69,0)),"–"))</f>
        <v>Marketing</v>
      </c>
      <c r="L313" s="53" t="str">
        <f>IF(F313="","",IFERROR(INDEX(Stammdaten!$D$10:$D$49,MATCH(F313,Stammdaten!$B$10:$B$49,0)),"–"))</f>
        <v>Teamzone Nord</v>
      </c>
      <c r="M313" s="54" t="str">
        <f>IF(C313="","",IF(OR(F313="",G313="",I313=""),"unvollständig",IF(I313="Storniert","storniert",IF(WEEKDAY(C313,2)&gt;5,"Wochenende",IF(COUNTIF(Stammdaten!$AD$10:$AD$30,C313)&gt;0,"Feiertag",IF(IFERROR(INDEX(Stammdaten!$I$10:$I$49,MATCH(F313,Stammdaten!$B$10:$B$49,0)),"")="Gesperrt","Platz gesperrt",IF(AND(COUNTIF($P$6:$P$605,P313)&gt;1,NOT(AND(COUNTIF($P$6:$P$605,P313)=2,COUNTIFS($P$6:$P$605,P313,$H$6:$H$605,"Vormittag")=1,COUNTIFS($P$6:$P$605,P313,$H$6:$H$605,"Nachmittag")=1))),"Doppelbuchung",IF(AND(COUNTIF($R$6:$R$605,R313)&gt;1,NOT(AND(COUNTIF($R$6:$R$605,R313)=2,COUNTIFS($R$6:$R$605,R313,$H$6:$H$605,"Vormittag")=1,COUNTIFS($R$6:$R$605,R313,$H$6:$H$605,"Nachmittag")=1))),"Person doppelt","OK"))))))))</f>
        <v>OK</v>
      </c>
      <c r="O313" s="55">
        <f t="shared" si="31"/>
        <v>1</v>
      </c>
      <c r="P313" s="55" t="str">
        <f t="shared" si="32"/>
        <v>A-06|46316</v>
      </c>
      <c r="Q313" s="55" t="str">
        <f>IF(P313="","",P313&amp;"|"&amp;COUNTIF(P$6:P313,P313))</f>
        <v>A-06|46316|1</v>
      </c>
      <c r="R313" s="55" t="str">
        <f t="shared" si="33"/>
        <v>Paul Schreiber|46316</v>
      </c>
      <c r="S313" s="55" t="str">
        <f>IF(R313="","",R313&amp;"|"&amp;COUNTIF(R$6:R313,R313))</f>
        <v>Paul Schreiber|46316|1</v>
      </c>
      <c r="T313" s="55" t="str">
        <f>IF(G313="","",IFERROR(INDEX(Stammdaten!$O$10:$O$69,MATCH(G313,Stammdaten!$N$10:$N$69,0)),G313)&amp;IF(H313="Vormittag"," (VM)",IF(H313="Nachmittag"," (NM)",""))&amp;IF(I313="Angefragt"," ?",""))</f>
        <v>P. Schreiber</v>
      </c>
      <c r="U313" s="55" t="str">
        <f t="shared" si="34"/>
        <v>A-06</v>
      </c>
    </row>
    <row r="314" spans="2:21" ht="16.5" customHeight="1" x14ac:dyDescent="0.25">
      <c r="B314" s="47">
        <f t="shared" si="28"/>
        <v>309</v>
      </c>
      <c r="C314" s="48">
        <v>46316</v>
      </c>
      <c r="D314" s="49" t="str">
        <f t="shared" si="29"/>
        <v>Mi</v>
      </c>
      <c r="E314" s="50">
        <f t="shared" si="30"/>
        <v>43</v>
      </c>
      <c r="F314" s="51" t="s">
        <v>84</v>
      </c>
      <c r="G314" s="52" t="s">
        <v>83</v>
      </c>
      <c r="H314" s="51" t="s">
        <v>76</v>
      </c>
      <c r="I314" s="51" t="s">
        <v>77</v>
      </c>
      <c r="J314" s="52"/>
      <c r="K314" s="53" t="str">
        <f>IF(G314="","",IFERROR(INDEX(Stammdaten!$P$10:$P$69,MATCH(G314,Stammdaten!$N$10:$N$69,0)),"–"))</f>
        <v>Marketing</v>
      </c>
      <c r="L314" s="53" t="str">
        <f>IF(F314="","",IFERROR(INDEX(Stammdaten!$D$10:$D$49,MATCH(F314,Stammdaten!$B$10:$B$49,0)),"–"))</f>
        <v>Teamzone Nord</v>
      </c>
      <c r="M314" s="54" t="str">
        <f>IF(C314="","",IF(OR(F314="",G314="",I314=""),"unvollständig",IF(I314="Storniert","storniert",IF(WEEKDAY(C314,2)&gt;5,"Wochenende",IF(COUNTIF(Stammdaten!$AD$10:$AD$30,C314)&gt;0,"Feiertag",IF(IFERROR(INDEX(Stammdaten!$I$10:$I$49,MATCH(F314,Stammdaten!$B$10:$B$49,0)),"")="Gesperrt","Platz gesperrt",IF(AND(COUNTIF($P$6:$P$605,P314)&gt;1,NOT(AND(COUNTIF($P$6:$P$605,P314)=2,COUNTIFS($P$6:$P$605,P314,$H$6:$H$605,"Vormittag")=1,COUNTIFS($P$6:$P$605,P314,$H$6:$H$605,"Nachmittag")=1))),"Doppelbuchung",IF(AND(COUNTIF($R$6:$R$605,R314)&gt;1,NOT(AND(COUNTIF($R$6:$R$605,R314)=2,COUNTIFS($R$6:$R$605,R314,$H$6:$H$605,"Vormittag")=1,COUNTIFS($R$6:$R$605,R314,$H$6:$H$605,"Nachmittag")=1))),"Person doppelt","OK"))))))))</f>
        <v>OK</v>
      </c>
      <c r="O314" s="55">
        <f t="shared" si="31"/>
        <v>1</v>
      </c>
      <c r="P314" s="55" t="str">
        <f t="shared" si="32"/>
        <v>A-07|46316</v>
      </c>
      <c r="Q314" s="55" t="str">
        <f>IF(P314="","",P314&amp;"|"&amp;COUNTIF(P$6:P314,P314))</f>
        <v>A-07|46316|1</v>
      </c>
      <c r="R314" s="55" t="str">
        <f t="shared" si="33"/>
        <v>Felix Engel|46316</v>
      </c>
      <c r="S314" s="55" t="str">
        <f>IF(R314="","",R314&amp;"|"&amp;COUNTIF(R$6:R314,R314))</f>
        <v>Felix Engel|46316|1</v>
      </c>
      <c r="T314" s="55" t="str">
        <f>IF(G314="","",IFERROR(INDEX(Stammdaten!$O$10:$O$69,MATCH(G314,Stammdaten!$N$10:$N$69,0)),G314)&amp;IF(H314="Vormittag"," (VM)",IF(H314="Nachmittag"," (NM)",""))&amp;IF(I314="Angefragt"," ?",""))</f>
        <v>F. Engel</v>
      </c>
      <c r="U314" s="55" t="str">
        <f t="shared" si="34"/>
        <v>A-07</v>
      </c>
    </row>
    <row r="315" spans="2:21" ht="16.5" customHeight="1" x14ac:dyDescent="0.25">
      <c r="B315" s="47">
        <f t="shared" si="28"/>
        <v>310</v>
      </c>
      <c r="C315" s="48">
        <v>46316</v>
      </c>
      <c r="D315" s="49" t="str">
        <f t="shared" si="29"/>
        <v>Mi</v>
      </c>
      <c r="E315" s="50">
        <f t="shared" si="30"/>
        <v>43</v>
      </c>
      <c r="F315" s="51" t="s">
        <v>86</v>
      </c>
      <c r="G315" s="52" t="s">
        <v>81</v>
      </c>
      <c r="H315" s="51" t="s">
        <v>76</v>
      </c>
      <c r="I315" s="51" t="s">
        <v>147</v>
      </c>
      <c r="J315" s="52"/>
      <c r="K315" s="53" t="str">
        <f>IF(G315="","",IFERROR(INDEX(Stammdaten!$P$10:$P$69,MATCH(G315,Stammdaten!$N$10:$N$69,0)),"–"))</f>
        <v>Vertrieb</v>
      </c>
      <c r="L315" s="53" t="str">
        <f>IF(F315="","",IFERROR(INDEX(Stammdaten!$D$10:$D$49,MATCH(F315,Stammdaten!$B$10:$B$49,0)),"–"))</f>
        <v>Teamzone Nord</v>
      </c>
      <c r="M315" s="54" t="str">
        <f>IF(C315="","",IF(OR(F315="",G315="",I315=""),"unvollständig",IF(I315="Storniert","storniert",IF(WEEKDAY(C315,2)&gt;5,"Wochenende",IF(COUNTIF(Stammdaten!$AD$10:$AD$30,C315)&gt;0,"Feiertag",IF(IFERROR(INDEX(Stammdaten!$I$10:$I$49,MATCH(F315,Stammdaten!$B$10:$B$49,0)),"")="Gesperrt","Platz gesperrt",IF(AND(COUNTIF($P$6:$P$605,P315)&gt;1,NOT(AND(COUNTIF($P$6:$P$605,P315)=2,COUNTIFS($P$6:$P$605,P315,$H$6:$H$605,"Vormittag")=1,COUNTIFS($P$6:$P$605,P315,$H$6:$H$605,"Nachmittag")=1))),"Doppelbuchung",IF(AND(COUNTIF($R$6:$R$605,R315)&gt;1,NOT(AND(COUNTIF($R$6:$R$605,R315)=2,COUNTIFS($R$6:$R$605,R315,$H$6:$H$605,"Vormittag")=1,COUNTIFS($R$6:$R$605,R315,$H$6:$H$605,"Nachmittag")=1))),"Person doppelt","OK"))))))))</f>
        <v>OK</v>
      </c>
      <c r="O315" s="55">
        <f t="shared" si="31"/>
        <v>0</v>
      </c>
      <c r="P315" s="55" t="str">
        <f t="shared" si="32"/>
        <v>A-08|46316</v>
      </c>
      <c r="Q315" s="55" t="str">
        <f>IF(P315="","",P315&amp;"|"&amp;COUNTIF(P$6:P315,P315))</f>
        <v>A-08|46316|1</v>
      </c>
      <c r="R315" s="55" t="str">
        <f t="shared" si="33"/>
        <v>Nina Albrecht|46316</v>
      </c>
      <c r="S315" s="55" t="str">
        <f>IF(R315="","",R315&amp;"|"&amp;COUNTIF(R$6:R315,R315))</f>
        <v>Nina Albrecht|46316|1</v>
      </c>
      <c r="T315" s="55" t="str">
        <f>IF(G315="","",IFERROR(INDEX(Stammdaten!$O$10:$O$69,MATCH(G315,Stammdaten!$N$10:$N$69,0)),G315)&amp;IF(H315="Vormittag"," (VM)",IF(H315="Nachmittag"," (NM)",""))&amp;IF(I315="Angefragt"," ?",""))</f>
        <v>N. Albrecht ?</v>
      </c>
      <c r="U315" s="55" t="str">
        <f t="shared" si="34"/>
        <v>A-08 ?</v>
      </c>
    </row>
    <row r="316" spans="2:21" ht="16.5" customHeight="1" x14ac:dyDescent="0.25">
      <c r="B316" s="47">
        <f t="shared" si="28"/>
        <v>311</v>
      </c>
      <c r="C316" s="48">
        <v>46316</v>
      </c>
      <c r="D316" s="49" t="str">
        <f t="shared" si="29"/>
        <v>Mi</v>
      </c>
      <c r="E316" s="50">
        <f t="shared" si="30"/>
        <v>43</v>
      </c>
      <c r="F316" s="51" t="s">
        <v>129</v>
      </c>
      <c r="G316" s="52" t="s">
        <v>115</v>
      </c>
      <c r="H316" s="51" t="s">
        <v>76</v>
      </c>
      <c r="I316" s="51" t="s">
        <v>77</v>
      </c>
      <c r="J316" s="52"/>
      <c r="K316" s="53" t="str">
        <f>IF(G316="","",IFERROR(INDEX(Stammdaten!$P$10:$P$69,MATCH(G316,Stammdaten!$N$10:$N$69,0)),"–"))</f>
        <v>Projektmanagement</v>
      </c>
      <c r="L316" s="53" t="str">
        <f>IF(F316="","",IFERROR(INDEX(Stammdaten!$D$10:$D$49,MATCH(F316,Stammdaten!$B$10:$B$49,0)),"–"))</f>
        <v>Fokuszone</v>
      </c>
      <c r="M316" s="54" t="str">
        <f>IF(C316="","",IF(OR(F316="",G316="",I316=""),"unvollständig",IF(I316="Storniert","storniert",IF(WEEKDAY(C316,2)&gt;5,"Wochenende",IF(COUNTIF(Stammdaten!$AD$10:$AD$30,C316)&gt;0,"Feiertag",IF(IFERROR(INDEX(Stammdaten!$I$10:$I$49,MATCH(F316,Stammdaten!$B$10:$B$49,0)),"")="Gesperrt","Platz gesperrt",IF(AND(COUNTIF($P$6:$P$605,P316)&gt;1,NOT(AND(COUNTIF($P$6:$P$605,P316)=2,COUNTIFS($P$6:$P$605,P316,$H$6:$H$605,"Vormittag")=1,COUNTIFS($P$6:$P$605,P316,$H$6:$H$605,"Nachmittag")=1))),"Doppelbuchung",IF(AND(COUNTIF($R$6:$R$605,R316)&gt;1,NOT(AND(COUNTIF($R$6:$R$605,R316)=2,COUNTIFS($R$6:$R$605,R316,$H$6:$H$605,"Vormittag")=1,COUNTIFS($R$6:$R$605,R316,$H$6:$H$605,"Nachmittag")=1))),"Person doppelt","OK"))))))))</f>
        <v>OK</v>
      </c>
      <c r="O316" s="55">
        <f t="shared" si="31"/>
        <v>1</v>
      </c>
      <c r="P316" s="55" t="str">
        <f t="shared" si="32"/>
        <v>A-09|46316</v>
      </c>
      <c r="Q316" s="55" t="str">
        <f>IF(P316="","",P316&amp;"|"&amp;COUNTIF(P$6:P316,P316))</f>
        <v>A-09|46316|1</v>
      </c>
      <c r="R316" s="55" t="str">
        <f t="shared" si="33"/>
        <v>Jan Peters|46316</v>
      </c>
      <c r="S316" s="55" t="str">
        <f>IF(R316="","",R316&amp;"|"&amp;COUNTIF(R$6:R316,R316))</f>
        <v>Jan Peters|46316|1</v>
      </c>
      <c r="T316" s="55" t="str">
        <f>IF(G316="","",IFERROR(INDEX(Stammdaten!$O$10:$O$69,MATCH(G316,Stammdaten!$N$10:$N$69,0)),G316)&amp;IF(H316="Vormittag"," (VM)",IF(H316="Nachmittag"," (NM)",""))&amp;IF(I316="Angefragt"," ?",""))</f>
        <v>J. Peters</v>
      </c>
      <c r="U316" s="55" t="str">
        <f t="shared" si="34"/>
        <v>A-09</v>
      </c>
    </row>
    <row r="317" spans="2:21" ht="16.5" customHeight="1" x14ac:dyDescent="0.25">
      <c r="B317" s="47">
        <f t="shared" si="28"/>
        <v>312</v>
      </c>
      <c r="C317" s="48">
        <v>46316</v>
      </c>
      <c r="D317" s="49" t="str">
        <f t="shared" si="29"/>
        <v>Mi</v>
      </c>
      <c r="E317" s="50">
        <f t="shared" si="30"/>
        <v>43</v>
      </c>
      <c r="F317" s="51" t="s">
        <v>88</v>
      </c>
      <c r="G317" s="52" t="s">
        <v>89</v>
      </c>
      <c r="H317" s="51" t="s">
        <v>76</v>
      </c>
      <c r="I317" s="51" t="s">
        <v>77</v>
      </c>
      <c r="J317" s="52"/>
      <c r="K317" s="53" t="str">
        <f>IF(G317="","",IFERROR(INDEX(Stammdaten!$P$10:$P$69,MATCH(G317,Stammdaten!$N$10:$N$69,0)),"–"))</f>
        <v>Projektmanagement</v>
      </c>
      <c r="L317" s="53" t="str">
        <f>IF(F317="","",IFERROR(INDEX(Stammdaten!$D$10:$D$49,MATCH(F317,Stammdaten!$B$10:$B$49,0)),"–"))</f>
        <v>Fokuszone</v>
      </c>
      <c r="M317" s="54" t="str">
        <f>IF(C317="","",IF(OR(F317="",G317="",I317=""),"unvollständig",IF(I317="Storniert","storniert",IF(WEEKDAY(C317,2)&gt;5,"Wochenende",IF(COUNTIF(Stammdaten!$AD$10:$AD$30,C317)&gt;0,"Feiertag",IF(IFERROR(INDEX(Stammdaten!$I$10:$I$49,MATCH(F317,Stammdaten!$B$10:$B$49,0)),"")="Gesperrt","Platz gesperrt",IF(AND(COUNTIF($P$6:$P$605,P317)&gt;1,NOT(AND(COUNTIF($P$6:$P$605,P317)=2,COUNTIFS($P$6:$P$605,P317,$H$6:$H$605,"Vormittag")=1,COUNTIFS($P$6:$P$605,P317,$H$6:$H$605,"Nachmittag")=1))),"Doppelbuchung",IF(AND(COUNTIF($R$6:$R$605,R317)&gt;1,NOT(AND(COUNTIF($R$6:$R$605,R317)=2,COUNTIFS($R$6:$R$605,R317,$H$6:$H$605,"Vormittag")=1,COUNTIFS($R$6:$R$605,R317,$H$6:$H$605,"Nachmittag")=1))),"Person doppelt","OK"))))))))</f>
        <v>OK</v>
      </c>
      <c r="O317" s="55">
        <f t="shared" si="31"/>
        <v>1</v>
      </c>
      <c r="P317" s="55" t="str">
        <f t="shared" si="32"/>
        <v>A-11|46316</v>
      </c>
      <c r="Q317" s="55" t="str">
        <f>IF(P317="","",P317&amp;"|"&amp;COUNTIF(P$6:P317,P317))</f>
        <v>A-11|46316|1</v>
      </c>
      <c r="R317" s="55" t="str">
        <f t="shared" si="33"/>
        <v>Theresa Jung|46316</v>
      </c>
      <c r="S317" s="55" t="str">
        <f>IF(R317="","",R317&amp;"|"&amp;COUNTIF(R$6:R317,R317))</f>
        <v>Theresa Jung|46316|1</v>
      </c>
      <c r="T317" s="55" t="str">
        <f>IF(G317="","",IFERROR(INDEX(Stammdaten!$O$10:$O$69,MATCH(G317,Stammdaten!$N$10:$N$69,0)),G317)&amp;IF(H317="Vormittag"," (VM)",IF(H317="Nachmittag"," (NM)",""))&amp;IF(I317="Angefragt"," ?",""))</f>
        <v>T. Jung</v>
      </c>
      <c r="U317" s="55" t="str">
        <f t="shared" si="34"/>
        <v>A-11</v>
      </c>
    </row>
    <row r="318" spans="2:21" ht="16.5" customHeight="1" x14ac:dyDescent="0.25">
      <c r="B318" s="47">
        <f t="shared" si="28"/>
        <v>313</v>
      </c>
      <c r="C318" s="48">
        <v>46316</v>
      </c>
      <c r="D318" s="49" t="str">
        <f t="shared" si="29"/>
        <v>Mi</v>
      </c>
      <c r="E318" s="50">
        <f t="shared" si="30"/>
        <v>43</v>
      </c>
      <c r="F318" s="51" t="s">
        <v>92</v>
      </c>
      <c r="G318" s="52" t="s">
        <v>93</v>
      </c>
      <c r="H318" s="51" t="s">
        <v>76</v>
      </c>
      <c r="I318" s="51" t="s">
        <v>77</v>
      </c>
      <c r="J318" s="52"/>
      <c r="K318" s="53" t="str">
        <f>IF(G318="","",IFERROR(INDEX(Stammdaten!$P$10:$P$69,MATCH(G318,Stammdaten!$N$10:$N$69,0)),"–"))</f>
        <v>Finanzen</v>
      </c>
      <c r="L318" s="53" t="str">
        <f>IF(F318="","",IFERROR(INDEX(Stammdaten!$D$10:$D$49,MATCH(F318,Stammdaten!$B$10:$B$49,0)),"–"))</f>
        <v>Teamzone Süd</v>
      </c>
      <c r="M318" s="54" t="str">
        <f>IF(C318="","",IF(OR(F318="",G318="",I318=""),"unvollständig",IF(I318="Storniert","storniert",IF(WEEKDAY(C318,2)&gt;5,"Wochenende",IF(COUNTIF(Stammdaten!$AD$10:$AD$30,C318)&gt;0,"Feiertag",IF(IFERROR(INDEX(Stammdaten!$I$10:$I$49,MATCH(F318,Stammdaten!$B$10:$B$49,0)),"")="Gesperrt","Platz gesperrt",IF(AND(COUNTIF($P$6:$P$605,P318)&gt;1,NOT(AND(COUNTIF($P$6:$P$605,P318)=2,COUNTIFS($P$6:$P$605,P318,$H$6:$H$605,"Vormittag")=1,COUNTIFS($P$6:$P$605,P318,$H$6:$H$605,"Nachmittag")=1))),"Doppelbuchung",IF(AND(COUNTIF($R$6:$R$605,R318)&gt;1,NOT(AND(COUNTIF($R$6:$R$605,R318)=2,COUNTIFS($R$6:$R$605,R318,$H$6:$H$605,"Vormittag")=1,COUNTIFS($R$6:$R$605,R318,$H$6:$H$605,"Nachmittag")=1))),"Person doppelt","OK"))))))))</f>
        <v>OK</v>
      </c>
      <c r="O318" s="55">
        <f t="shared" si="31"/>
        <v>1</v>
      </c>
      <c r="P318" s="55" t="str">
        <f t="shared" si="32"/>
        <v>B-01|46316</v>
      </c>
      <c r="Q318" s="55" t="str">
        <f>IF(P318="","",P318&amp;"|"&amp;COUNTIF(P$6:P318,P318))</f>
        <v>B-01|46316|1</v>
      </c>
      <c r="R318" s="55" t="str">
        <f t="shared" si="33"/>
        <v>Sarah Böhm|46316</v>
      </c>
      <c r="S318" s="55" t="str">
        <f>IF(R318="","",R318&amp;"|"&amp;COUNTIF(R$6:R318,R318))</f>
        <v>Sarah Böhm|46316|1</v>
      </c>
      <c r="T318" s="55" t="str">
        <f>IF(G318="","",IFERROR(INDEX(Stammdaten!$O$10:$O$69,MATCH(G318,Stammdaten!$N$10:$N$69,0)),G318)&amp;IF(H318="Vormittag"," (VM)",IF(H318="Nachmittag"," (NM)",""))&amp;IF(I318="Angefragt"," ?",""))</f>
        <v>S. Böhm</v>
      </c>
      <c r="U318" s="55" t="str">
        <f t="shared" si="34"/>
        <v>B-01</v>
      </c>
    </row>
    <row r="319" spans="2:21" ht="16.5" customHeight="1" x14ac:dyDescent="0.25">
      <c r="B319" s="47">
        <f t="shared" si="28"/>
        <v>314</v>
      </c>
      <c r="C319" s="48">
        <v>46316</v>
      </c>
      <c r="D319" s="49" t="str">
        <f t="shared" si="29"/>
        <v>Mi</v>
      </c>
      <c r="E319" s="50">
        <f t="shared" si="30"/>
        <v>43</v>
      </c>
      <c r="F319" s="51" t="s">
        <v>94</v>
      </c>
      <c r="G319" s="52" t="s">
        <v>95</v>
      </c>
      <c r="H319" s="51" t="s">
        <v>76</v>
      </c>
      <c r="I319" s="51" t="s">
        <v>147</v>
      </c>
      <c r="J319" s="52"/>
      <c r="K319" s="53" t="str">
        <f>IF(G319="","",IFERROR(INDEX(Stammdaten!$P$10:$P$69,MATCH(G319,Stammdaten!$N$10:$N$69,0)),"–"))</f>
        <v>Finanzen</v>
      </c>
      <c r="L319" s="53" t="str">
        <f>IF(F319="","",IFERROR(INDEX(Stammdaten!$D$10:$D$49,MATCH(F319,Stammdaten!$B$10:$B$49,0)),"–"))</f>
        <v>Teamzone Süd</v>
      </c>
      <c r="M319" s="54" t="str">
        <f>IF(C319="","",IF(OR(F319="",G319="",I319=""),"unvollständig",IF(I319="Storniert","storniert",IF(WEEKDAY(C319,2)&gt;5,"Wochenende",IF(COUNTIF(Stammdaten!$AD$10:$AD$30,C319)&gt;0,"Feiertag",IF(IFERROR(INDEX(Stammdaten!$I$10:$I$49,MATCH(F319,Stammdaten!$B$10:$B$49,0)),"")="Gesperrt","Platz gesperrt",IF(AND(COUNTIF($P$6:$P$605,P319)&gt;1,NOT(AND(COUNTIF($P$6:$P$605,P319)=2,COUNTIFS($P$6:$P$605,P319,$H$6:$H$605,"Vormittag")=1,COUNTIFS($P$6:$P$605,P319,$H$6:$H$605,"Nachmittag")=1))),"Doppelbuchung",IF(AND(COUNTIF($R$6:$R$605,R319)&gt;1,NOT(AND(COUNTIF($R$6:$R$605,R319)=2,COUNTIFS($R$6:$R$605,R319,$H$6:$H$605,"Vormittag")=1,COUNTIFS($R$6:$R$605,R319,$H$6:$H$605,"Nachmittag")=1))),"Person doppelt","OK"))))))))</f>
        <v>OK</v>
      </c>
      <c r="O319" s="55">
        <f t="shared" si="31"/>
        <v>0</v>
      </c>
      <c r="P319" s="55" t="str">
        <f t="shared" si="32"/>
        <v>B-02|46316</v>
      </c>
      <c r="Q319" s="55" t="str">
        <f>IF(P319="","",P319&amp;"|"&amp;COUNTIF(P$6:P319,P319))</f>
        <v>B-02|46316|1</v>
      </c>
      <c r="R319" s="55" t="str">
        <f t="shared" si="33"/>
        <v>Hanna Roth|46316</v>
      </c>
      <c r="S319" s="55" t="str">
        <f>IF(R319="","",R319&amp;"|"&amp;COUNTIF(R$6:R319,R319))</f>
        <v>Hanna Roth|46316|1</v>
      </c>
      <c r="T319" s="55" t="str">
        <f>IF(G319="","",IFERROR(INDEX(Stammdaten!$O$10:$O$69,MATCH(G319,Stammdaten!$N$10:$N$69,0)),G319)&amp;IF(H319="Vormittag"," (VM)",IF(H319="Nachmittag"," (NM)",""))&amp;IF(I319="Angefragt"," ?",""))</f>
        <v>H. Roth ?</v>
      </c>
      <c r="U319" s="55" t="str">
        <f t="shared" si="34"/>
        <v>B-02 ?</v>
      </c>
    </row>
    <row r="320" spans="2:21" ht="16.5" customHeight="1" x14ac:dyDescent="0.25">
      <c r="B320" s="47">
        <f t="shared" si="28"/>
        <v>315</v>
      </c>
      <c r="C320" s="48">
        <v>46316</v>
      </c>
      <c r="D320" s="49" t="str">
        <f t="shared" si="29"/>
        <v>Mi</v>
      </c>
      <c r="E320" s="50">
        <f t="shared" si="30"/>
        <v>43</v>
      </c>
      <c r="F320" s="51" t="s">
        <v>148</v>
      </c>
      <c r="G320" s="52" t="s">
        <v>97</v>
      </c>
      <c r="H320" s="51" t="s">
        <v>76</v>
      </c>
      <c r="I320" s="51" t="s">
        <v>147</v>
      </c>
      <c r="J320" s="52"/>
      <c r="K320" s="53" t="str">
        <f>IF(G320="","",IFERROR(INDEX(Stammdaten!$P$10:$P$69,MATCH(G320,Stammdaten!$N$10:$N$69,0)),"–"))</f>
        <v>Personal</v>
      </c>
      <c r="L320" s="53" t="str">
        <f>IF(F320="","",IFERROR(INDEX(Stammdaten!$D$10:$D$49,MATCH(F320,Stammdaten!$B$10:$B$49,0)),"–"))</f>
        <v>Teamzone Süd</v>
      </c>
      <c r="M320" s="54" t="str">
        <f>IF(C320="","",IF(OR(F320="",G320="",I320=""),"unvollständig",IF(I320="Storniert","storniert",IF(WEEKDAY(C320,2)&gt;5,"Wochenende",IF(COUNTIF(Stammdaten!$AD$10:$AD$30,C320)&gt;0,"Feiertag",IF(IFERROR(INDEX(Stammdaten!$I$10:$I$49,MATCH(F320,Stammdaten!$B$10:$B$49,0)),"")="Gesperrt","Platz gesperrt",IF(AND(COUNTIF($P$6:$P$605,P320)&gt;1,NOT(AND(COUNTIF($P$6:$P$605,P320)=2,COUNTIFS($P$6:$P$605,P320,$H$6:$H$605,"Vormittag")=1,COUNTIFS($P$6:$P$605,P320,$H$6:$H$605,"Nachmittag")=1))),"Doppelbuchung",IF(AND(COUNTIF($R$6:$R$605,R320)&gt;1,NOT(AND(COUNTIF($R$6:$R$605,R320)=2,COUNTIFS($R$6:$R$605,R320,$H$6:$H$605,"Vormittag")=1,COUNTIFS($R$6:$R$605,R320,$H$6:$H$605,"Nachmittag")=1))),"Person doppelt","OK"))))))))</f>
        <v>Platz gesperrt</v>
      </c>
      <c r="O320" s="55">
        <f t="shared" si="31"/>
        <v>0</v>
      </c>
      <c r="P320" s="55" t="str">
        <f t="shared" si="32"/>
        <v>B-07|46316</v>
      </c>
      <c r="Q320" s="55" t="str">
        <f>IF(P320="","",P320&amp;"|"&amp;COUNTIF(P$6:P320,P320))</f>
        <v>B-07|46316|1</v>
      </c>
      <c r="R320" s="55" t="str">
        <f t="shared" si="33"/>
        <v>Moritz Keller|46316</v>
      </c>
      <c r="S320" s="55" t="str">
        <f>IF(R320="","",R320&amp;"|"&amp;COUNTIF(R$6:R320,R320))</f>
        <v>Moritz Keller|46316|1</v>
      </c>
      <c r="T320" s="55" t="str">
        <f>IF(G320="","",IFERROR(INDEX(Stammdaten!$O$10:$O$69,MATCH(G320,Stammdaten!$N$10:$N$69,0)),G320)&amp;IF(H320="Vormittag"," (VM)",IF(H320="Nachmittag"," (NM)",""))&amp;IF(I320="Angefragt"," ?",""))</f>
        <v>M. Keller ?</v>
      </c>
      <c r="U320" s="55" t="str">
        <f t="shared" si="34"/>
        <v>B-07 ?</v>
      </c>
    </row>
    <row r="321" spans="2:21" ht="16.5" customHeight="1" x14ac:dyDescent="0.25">
      <c r="B321" s="47">
        <f t="shared" si="28"/>
        <v>316</v>
      </c>
      <c r="C321" s="48">
        <v>46316</v>
      </c>
      <c r="D321" s="49" t="str">
        <f t="shared" si="29"/>
        <v>Mi</v>
      </c>
      <c r="E321" s="50">
        <f t="shared" si="30"/>
        <v>43</v>
      </c>
      <c r="F321" s="51" t="s">
        <v>100</v>
      </c>
      <c r="G321" s="52" t="s">
        <v>101</v>
      </c>
      <c r="H321" s="51" t="s">
        <v>76</v>
      </c>
      <c r="I321" s="51" t="s">
        <v>77</v>
      </c>
      <c r="J321" s="52"/>
      <c r="K321" s="53" t="str">
        <f>IF(G321="","",IFERROR(INDEX(Stammdaten!$P$10:$P$69,MATCH(G321,Stammdaten!$N$10:$N$69,0)),"–"))</f>
        <v>IT</v>
      </c>
      <c r="L321" s="53" t="str">
        <f>IF(F321="","",IFERROR(INDEX(Stammdaten!$D$10:$D$49,MATCH(F321,Stammdaten!$B$10:$B$49,0)),"–"))</f>
        <v>Projektfläche</v>
      </c>
      <c r="M321" s="54" t="str">
        <f>IF(C321="","",IF(OR(F321="",G321="",I321=""),"unvollständig",IF(I321="Storniert","storniert",IF(WEEKDAY(C321,2)&gt;5,"Wochenende",IF(COUNTIF(Stammdaten!$AD$10:$AD$30,C321)&gt;0,"Feiertag",IF(IFERROR(INDEX(Stammdaten!$I$10:$I$49,MATCH(F321,Stammdaten!$B$10:$B$49,0)),"")="Gesperrt","Platz gesperrt",IF(AND(COUNTIF($P$6:$P$605,P321)&gt;1,NOT(AND(COUNTIF($P$6:$P$605,P321)=2,COUNTIFS($P$6:$P$605,P321,$H$6:$H$605,"Vormittag")=1,COUNTIFS($P$6:$P$605,P321,$H$6:$H$605,"Nachmittag")=1))),"Doppelbuchung",IF(AND(COUNTIF($R$6:$R$605,R321)&gt;1,NOT(AND(COUNTIF($R$6:$R$605,R321)=2,COUNTIFS($R$6:$R$605,R321,$H$6:$H$605,"Vormittag")=1,COUNTIFS($R$6:$R$605,R321,$H$6:$H$605,"Nachmittag")=1))),"Person doppelt","OK"))))))))</f>
        <v>OK</v>
      </c>
      <c r="O321" s="55">
        <f t="shared" si="31"/>
        <v>1</v>
      </c>
      <c r="P321" s="55" t="str">
        <f t="shared" si="32"/>
        <v>B-09|46316</v>
      </c>
      <c r="Q321" s="55" t="str">
        <f>IF(P321="","",P321&amp;"|"&amp;COUNTIF(P$6:P321,P321))</f>
        <v>B-09|46316|1</v>
      </c>
      <c r="R321" s="55" t="str">
        <f t="shared" si="33"/>
        <v>Daniel Ritter|46316</v>
      </c>
      <c r="S321" s="55" t="str">
        <f>IF(R321="","",R321&amp;"|"&amp;COUNTIF(R$6:R321,R321))</f>
        <v>Daniel Ritter|46316|1</v>
      </c>
      <c r="T321" s="55" t="str">
        <f>IF(G321="","",IFERROR(INDEX(Stammdaten!$O$10:$O$69,MATCH(G321,Stammdaten!$N$10:$N$69,0)),G321)&amp;IF(H321="Vormittag"," (VM)",IF(H321="Nachmittag"," (NM)",""))&amp;IF(I321="Angefragt"," ?",""))</f>
        <v>D. Ritter</v>
      </c>
      <c r="U321" s="55" t="str">
        <f t="shared" si="34"/>
        <v>B-09</v>
      </c>
    </row>
    <row r="322" spans="2:21" ht="16.5" customHeight="1" x14ac:dyDescent="0.25">
      <c r="B322" s="47">
        <f t="shared" si="28"/>
        <v>317</v>
      </c>
      <c r="C322" s="48">
        <v>46316</v>
      </c>
      <c r="D322" s="49" t="str">
        <f t="shared" si="29"/>
        <v>Mi</v>
      </c>
      <c r="E322" s="50">
        <f t="shared" si="30"/>
        <v>43</v>
      </c>
      <c r="F322" s="51" t="s">
        <v>102</v>
      </c>
      <c r="G322" s="52" t="s">
        <v>132</v>
      </c>
      <c r="H322" s="51" t="s">
        <v>76</v>
      </c>
      <c r="I322" s="51" t="s">
        <v>77</v>
      </c>
      <c r="J322" s="52"/>
      <c r="K322" s="53" t="str">
        <f>IF(G322="","",IFERROR(INDEX(Stammdaten!$P$10:$P$69,MATCH(G322,Stammdaten!$N$10:$N$69,0)),"–"))</f>
        <v>Projektmanagement</v>
      </c>
      <c r="L322" s="53" t="str">
        <f>IF(F322="","",IFERROR(INDEX(Stammdaten!$D$10:$D$49,MATCH(F322,Stammdaten!$B$10:$B$49,0)),"–"))</f>
        <v>Projektfläche</v>
      </c>
      <c r="M322" s="54" t="str">
        <f>IF(C322="","",IF(OR(F322="",G322="",I322=""),"unvollständig",IF(I322="Storniert","storniert",IF(WEEKDAY(C322,2)&gt;5,"Wochenende",IF(COUNTIF(Stammdaten!$AD$10:$AD$30,C322)&gt;0,"Feiertag",IF(IFERROR(INDEX(Stammdaten!$I$10:$I$49,MATCH(F322,Stammdaten!$B$10:$B$49,0)),"")="Gesperrt","Platz gesperrt",IF(AND(COUNTIF($P$6:$P$605,P322)&gt;1,NOT(AND(COUNTIF($P$6:$P$605,P322)=2,COUNTIFS($P$6:$P$605,P322,$H$6:$H$605,"Vormittag")=1,COUNTIFS($P$6:$P$605,P322,$H$6:$H$605,"Nachmittag")=1))),"Doppelbuchung",IF(AND(COUNTIF($R$6:$R$605,R322)&gt;1,NOT(AND(COUNTIF($R$6:$R$605,R322)=2,COUNTIFS($R$6:$R$605,R322,$H$6:$H$605,"Vormittag")=1,COUNTIFS($R$6:$R$605,R322,$H$6:$H$605,"Nachmittag")=1))),"Person doppelt","OK"))))))))</f>
        <v>OK</v>
      </c>
      <c r="O322" s="55">
        <f t="shared" si="31"/>
        <v>1</v>
      </c>
      <c r="P322" s="55" t="str">
        <f t="shared" si="32"/>
        <v>B-10|46316</v>
      </c>
      <c r="Q322" s="55" t="str">
        <f>IF(P322="","",P322&amp;"|"&amp;COUNTIF(P$6:P322,P322))</f>
        <v>B-10|46316|1</v>
      </c>
      <c r="R322" s="55" t="str">
        <f t="shared" si="33"/>
        <v>Vanessa Kraft|46316</v>
      </c>
      <c r="S322" s="55" t="str">
        <f>IF(R322="","",R322&amp;"|"&amp;COUNTIF(R$6:R322,R322))</f>
        <v>Vanessa Kraft|46316|1</v>
      </c>
      <c r="T322" s="55" t="str">
        <f>IF(G322="","",IFERROR(INDEX(Stammdaten!$O$10:$O$69,MATCH(G322,Stammdaten!$N$10:$N$69,0)),G322)&amp;IF(H322="Vormittag"," (VM)",IF(H322="Nachmittag"," (NM)",""))&amp;IF(I322="Angefragt"," ?",""))</f>
        <v>V. Kraft</v>
      </c>
      <c r="U322" s="55" t="str">
        <f t="shared" si="34"/>
        <v>B-10</v>
      </c>
    </row>
    <row r="323" spans="2:21" ht="16.5" customHeight="1" x14ac:dyDescent="0.25">
      <c r="B323" s="47">
        <f t="shared" si="28"/>
        <v>318</v>
      </c>
      <c r="C323" s="48">
        <v>46316</v>
      </c>
      <c r="D323" s="49" t="str">
        <f t="shared" si="29"/>
        <v>Mi</v>
      </c>
      <c r="E323" s="50">
        <f t="shared" si="30"/>
        <v>43</v>
      </c>
      <c r="F323" s="51" t="s">
        <v>104</v>
      </c>
      <c r="G323" s="52" t="s">
        <v>91</v>
      </c>
      <c r="H323" s="51" t="s">
        <v>76</v>
      </c>
      <c r="I323" s="51" t="s">
        <v>77</v>
      </c>
      <c r="J323" s="52"/>
      <c r="K323" s="53" t="str">
        <f>IF(G323="","",IFERROR(INDEX(Stammdaten!$P$10:$P$69,MATCH(G323,Stammdaten!$N$10:$N$69,0)),"–"))</f>
        <v>IT</v>
      </c>
      <c r="L323" s="53" t="str">
        <f>IF(F323="","",IFERROR(INDEX(Stammdaten!$D$10:$D$49,MATCH(F323,Stammdaten!$B$10:$B$49,0)),"–"))</f>
        <v>Projektfläche</v>
      </c>
      <c r="M323" s="54" t="str">
        <f>IF(C323="","",IF(OR(F323="",G323="",I323=""),"unvollständig",IF(I323="Storniert","storniert",IF(WEEKDAY(C323,2)&gt;5,"Wochenende",IF(COUNTIF(Stammdaten!$AD$10:$AD$30,C323)&gt;0,"Feiertag",IF(IFERROR(INDEX(Stammdaten!$I$10:$I$49,MATCH(F323,Stammdaten!$B$10:$B$49,0)),"")="Gesperrt","Platz gesperrt",IF(AND(COUNTIF($P$6:$P$605,P323)&gt;1,NOT(AND(COUNTIF($P$6:$P$605,P323)=2,COUNTIFS($P$6:$P$605,P323,$H$6:$H$605,"Vormittag")=1,COUNTIFS($P$6:$P$605,P323,$H$6:$H$605,"Nachmittag")=1))),"Doppelbuchung",IF(AND(COUNTIF($R$6:$R$605,R323)&gt;1,NOT(AND(COUNTIF($R$6:$R$605,R323)=2,COUNTIFS($R$6:$R$605,R323,$H$6:$H$605,"Vormittag")=1,COUNTIFS($R$6:$R$605,R323,$H$6:$H$605,"Nachmittag")=1))),"Person doppelt","OK"))))))))</f>
        <v>OK</v>
      </c>
      <c r="O323" s="55">
        <f t="shared" si="31"/>
        <v>1</v>
      </c>
      <c r="P323" s="55" t="str">
        <f t="shared" si="32"/>
        <v>B-11|46316</v>
      </c>
      <c r="Q323" s="55" t="str">
        <f>IF(P323="","",P323&amp;"|"&amp;COUNTIF(P$6:P323,P323))</f>
        <v>B-11|46316|1</v>
      </c>
      <c r="R323" s="55" t="str">
        <f t="shared" si="33"/>
        <v>Mara Winter|46316</v>
      </c>
      <c r="S323" s="55" t="str">
        <f>IF(R323="","",R323&amp;"|"&amp;COUNTIF(R$6:R323,R323))</f>
        <v>Mara Winter|46316|1</v>
      </c>
      <c r="T323" s="55" t="str">
        <f>IF(G323="","",IFERROR(INDEX(Stammdaten!$O$10:$O$69,MATCH(G323,Stammdaten!$N$10:$N$69,0)),G323)&amp;IF(H323="Vormittag"," (VM)",IF(H323="Nachmittag"," (NM)",""))&amp;IF(I323="Angefragt"," ?",""))</f>
        <v>M. Winter</v>
      </c>
      <c r="U323" s="55" t="str">
        <f t="shared" si="34"/>
        <v>B-11</v>
      </c>
    </row>
    <row r="324" spans="2:21" ht="16.5" customHeight="1" x14ac:dyDescent="0.25">
      <c r="B324" s="47">
        <f t="shared" si="28"/>
        <v>319</v>
      </c>
      <c r="C324" s="48">
        <v>46316</v>
      </c>
      <c r="D324" s="49" t="str">
        <f t="shared" si="29"/>
        <v>Mi</v>
      </c>
      <c r="E324" s="50">
        <f t="shared" si="30"/>
        <v>43</v>
      </c>
      <c r="F324" s="51" t="s">
        <v>106</v>
      </c>
      <c r="G324" s="52" t="s">
        <v>130</v>
      </c>
      <c r="H324" s="51" t="s">
        <v>76</v>
      </c>
      <c r="I324" s="51" t="s">
        <v>77</v>
      </c>
      <c r="J324" s="52"/>
      <c r="K324" s="53" t="str">
        <f>IF(G324="","",IFERROR(INDEX(Stammdaten!$P$10:$P$69,MATCH(G324,Stammdaten!$N$10:$N$69,0)),"–"))</f>
        <v>Projektmanagement</v>
      </c>
      <c r="L324" s="53" t="str">
        <f>IF(F324="","",IFERROR(INDEX(Stammdaten!$D$10:$D$49,MATCH(F324,Stammdaten!$B$10:$B$49,0)),"–"))</f>
        <v>Projektfläche</v>
      </c>
      <c r="M324" s="54" t="str">
        <f>IF(C324="","",IF(OR(F324="",G324="",I324=""),"unvollständig",IF(I324="Storniert","storniert",IF(WEEKDAY(C324,2)&gt;5,"Wochenende",IF(COUNTIF(Stammdaten!$AD$10:$AD$30,C324)&gt;0,"Feiertag",IF(IFERROR(INDEX(Stammdaten!$I$10:$I$49,MATCH(F324,Stammdaten!$B$10:$B$49,0)),"")="Gesperrt","Platz gesperrt",IF(AND(COUNTIF($P$6:$P$605,P324)&gt;1,NOT(AND(COUNTIF($P$6:$P$605,P324)=2,COUNTIFS($P$6:$P$605,P324,$H$6:$H$605,"Vormittag")=1,COUNTIFS($P$6:$P$605,P324,$H$6:$H$605,"Nachmittag")=1))),"Doppelbuchung",IF(AND(COUNTIF($R$6:$R$605,R324)&gt;1,NOT(AND(COUNTIF($R$6:$R$605,R324)=2,COUNTIFS($R$6:$R$605,R324,$H$6:$H$605,"Vormittag")=1,COUNTIFS($R$6:$R$605,R324,$H$6:$H$605,"Nachmittag")=1))),"Person doppelt","OK"))))))))</f>
        <v>OK</v>
      </c>
      <c r="O324" s="55">
        <f t="shared" si="31"/>
        <v>1</v>
      </c>
      <c r="P324" s="55" t="str">
        <f t="shared" si="32"/>
        <v>B-12|46316</v>
      </c>
      <c r="Q324" s="55" t="str">
        <f>IF(P324="","",P324&amp;"|"&amp;COUNTIF(P$6:P324,P324))</f>
        <v>B-12|46316|1</v>
      </c>
      <c r="R324" s="55" t="str">
        <f t="shared" si="33"/>
        <v>Fabian Ott|46316</v>
      </c>
      <c r="S324" s="55" t="str">
        <f>IF(R324="","",R324&amp;"|"&amp;COUNTIF(R$6:R324,R324))</f>
        <v>Fabian Ott|46316|1</v>
      </c>
      <c r="T324" s="55" t="str">
        <f>IF(G324="","",IFERROR(INDEX(Stammdaten!$O$10:$O$69,MATCH(G324,Stammdaten!$N$10:$N$69,0)),G324)&amp;IF(H324="Vormittag"," (VM)",IF(H324="Nachmittag"," (NM)",""))&amp;IF(I324="Angefragt"," ?",""))</f>
        <v>F. Ott</v>
      </c>
      <c r="U324" s="55" t="str">
        <f t="shared" si="34"/>
        <v>B-12</v>
      </c>
    </row>
    <row r="325" spans="2:21" ht="16.5" customHeight="1" x14ac:dyDescent="0.25">
      <c r="B325" s="47">
        <f t="shared" si="28"/>
        <v>320</v>
      </c>
      <c r="C325" s="48">
        <v>46317</v>
      </c>
      <c r="D325" s="49" t="str">
        <f t="shared" si="29"/>
        <v>Do</v>
      </c>
      <c r="E325" s="50">
        <f t="shared" si="30"/>
        <v>43</v>
      </c>
      <c r="F325" s="51" t="s">
        <v>74</v>
      </c>
      <c r="G325" s="52" t="s">
        <v>108</v>
      </c>
      <c r="H325" s="51" t="s">
        <v>76</v>
      </c>
      <c r="I325" s="51" t="s">
        <v>77</v>
      </c>
      <c r="J325" s="52"/>
      <c r="K325" s="53" t="str">
        <f>IF(G325="","",IFERROR(INDEX(Stammdaten!$P$10:$P$69,MATCH(G325,Stammdaten!$N$10:$N$69,0)),"–"))</f>
        <v>Marketing</v>
      </c>
      <c r="L325" s="53" t="str">
        <f>IF(F325="","",IFERROR(INDEX(Stammdaten!$D$10:$D$49,MATCH(F325,Stammdaten!$B$10:$B$49,0)),"–"))</f>
        <v>Teamzone Nord</v>
      </c>
      <c r="M325" s="54" t="str">
        <f>IF(C325="","",IF(OR(F325="",G325="",I325=""),"unvollständig",IF(I325="Storniert","storniert",IF(WEEKDAY(C325,2)&gt;5,"Wochenende",IF(COUNTIF(Stammdaten!$AD$10:$AD$30,C325)&gt;0,"Feiertag",IF(IFERROR(INDEX(Stammdaten!$I$10:$I$49,MATCH(F325,Stammdaten!$B$10:$B$49,0)),"")="Gesperrt","Platz gesperrt",IF(AND(COUNTIF($P$6:$P$605,P325)&gt;1,NOT(AND(COUNTIF($P$6:$P$605,P325)=2,COUNTIFS($P$6:$P$605,P325,$H$6:$H$605,"Vormittag")=1,COUNTIFS($P$6:$P$605,P325,$H$6:$H$605,"Nachmittag")=1))),"Doppelbuchung",IF(AND(COUNTIF($R$6:$R$605,R325)&gt;1,NOT(AND(COUNTIF($R$6:$R$605,R325)=2,COUNTIFS($R$6:$R$605,R325,$H$6:$H$605,"Vormittag")=1,COUNTIFS($R$6:$R$605,R325,$H$6:$H$605,"Nachmittag")=1))),"Person doppelt","OK"))))))))</f>
        <v>OK</v>
      </c>
      <c r="O325" s="55">
        <f t="shared" si="31"/>
        <v>1</v>
      </c>
      <c r="P325" s="55" t="str">
        <f t="shared" si="32"/>
        <v>A-01|46317</v>
      </c>
      <c r="Q325" s="55" t="str">
        <f>IF(P325="","",P325&amp;"|"&amp;COUNTIF(P$6:P325,P325))</f>
        <v>A-01|46317|1</v>
      </c>
      <c r="R325" s="55" t="str">
        <f t="shared" si="33"/>
        <v>Aylin Demir|46317</v>
      </c>
      <c r="S325" s="55" t="str">
        <f>IF(R325="","",R325&amp;"|"&amp;COUNTIF(R$6:R325,R325))</f>
        <v>Aylin Demir|46317|1</v>
      </c>
      <c r="T325" s="55" t="str">
        <f>IF(G325="","",IFERROR(INDEX(Stammdaten!$O$10:$O$69,MATCH(G325,Stammdaten!$N$10:$N$69,0)),G325)&amp;IF(H325="Vormittag"," (VM)",IF(H325="Nachmittag"," (NM)",""))&amp;IF(I325="Angefragt"," ?",""))</f>
        <v>A. Demir</v>
      </c>
      <c r="U325" s="55" t="str">
        <f t="shared" si="34"/>
        <v>A-01</v>
      </c>
    </row>
    <row r="326" spans="2:21" ht="16.5" customHeight="1" x14ac:dyDescent="0.25">
      <c r="B326" s="47">
        <f t="shared" ref="B326:B389" si="35">IF(C326="","",ROW()-5)</f>
        <v>321</v>
      </c>
      <c r="C326" s="48">
        <v>46317</v>
      </c>
      <c r="D326" s="49" t="str">
        <f t="shared" ref="D326:D389" si="36">IF(C326="","",CHOOSE(WEEKDAY(C326,2),"Mo","Di","Mi","Do","Fr","Sa","So"))</f>
        <v>Do</v>
      </c>
      <c r="E326" s="50">
        <f t="shared" ref="E326:E389" si="37">IF(C326="","",_xlfn.ISOWEEKNUM(C326))</f>
        <v>43</v>
      </c>
      <c r="F326" s="51" t="s">
        <v>78</v>
      </c>
      <c r="G326" s="52" t="s">
        <v>81</v>
      </c>
      <c r="H326" s="51" t="s">
        <v>76</v>
      </c>
      <c r="I326" s="51" t="s">
        <v>77</v>
      </c>
      <c r="J326" s="52"/>
      <c r="K326" s="53" t="str">
        <f>IF(G326="","",IFERROR(INDEX(Stammdaten!$P$10:$P$69,MATCH(G326,Stammdaten!$N$10:$N$69,0)),"–"))</f>
        <v>Vertrieb</v>
      </c>
      <c r="L326" s="53" t="str">
        <f>IF(F326="","",IFERROR(INDEX(Stammdaten!$D$10:$D$49,MATCH(F326,Stammdaten!$B$10:$B$49,0)),"–"))</f>
        <v>Teamzone Nord</v>
      </c>
      <c r="M326" s="54" t="str">
        <f>IF(C326="","",IF(OR(F326="",G326="",I326=""),"unvollständig",IF(I326="Storniert","storniert",IF(WEEKDAY(C326,2)&gt;5,"Wochenende",IF(COUNTIF(Stammdaten!$AD$10:$AD$30,C326)&gt;0,"Feiertag",IF(IFERROR(INDEX(Stammdaten!$I$10:$I$49,MATCH(F326,Stammdaten!$B$10:$B$49,0)),"")="Gesperrt","Platz gesperrt",IF(AND(COUNTIF($P$6:$P$605,P326)&gt;1,NOT(AND(COUNTIF($P$6:$P$605,P326)=2,COUNTIFS($P$6:$P$605,P326,$H$6:$H$605,"Vormittag")=1,COUNTIFS($P$6:$P$605,P326,$H$6:$H$605,"Nachmittag")=1))),"Doppelbuchung",IF(AND(COUNTIF($R$6:$R$605,R326)&gt;1,NOT(AND(COUNTIF($R$6:$R$605,R326)=2,COUNTIFS($R$6:$R$605,R326,$H$6:$H$605,"Vormittag")=1,COUNTIFS($R$6:$R$605,R326,$H$6:$H$605,"Nachmittag")=1))),"Person doppelt","OK"))))))))</f>
        <v>OK</v>
      </c>
      <c r="O326" s="55">
        <f t="shared" ref="O326:O389" si="38">IF(OR(C326="",I326&lt;&gt;"Bestätigt",M326="Platz gesperrt"),0,IF(H326="Ganztägig",1,0.5))</f>
        <v>1</v>
      </c>
      <c r="P326" s="55" t="str">
        <f t="shared" ref="P326:P389" si="39">IF(OR(C326="",F326="",I326="Storniert"),"",F326&amp;"|"&amp;C326)</f>
        <v>A-02|46317</v>
      </c>
      <c r="Q326" s="55" t="str">
        <f>IF(P326="","",P326&amp;"|"&amp;COUNTIF(P$6:P326,P326))</f>
        <v>A-02|46317|1</v>
      </c>
      <c r="R326" s="55" t="str">
        <f t="shared" ref="R326:R389" si="40">IF(OR(C326="",G326="",I326="Storniert"),"",G326&amp;"|"&amp;C326)</f>
        <v>Nina Albrecht|46317</v>
      </c>
      <c r="S326" s="55" t="str">
        <f>IF(R326="","",R326&amp;"|"&amp;COUNTIF(R$6:R326,R326))</f>
        <v>Nina Albrecht|46317|1</v>
      </c>
      <c r="T326" s="55" t="str">
        <f>IF(G326="","",IFERROR(INDEX(Stammdaten!$O$10:$O$69,MATCH(G326,Stammdaten!$N$10:$N$69,0)),G326)&amp;IF(H326="Vormittag"," (VM)",IF(H326="Nachmittag"," (NM)",""))&amp;IF(I326="Angefragt"," ?",""))</f>
        <v>N. Albrecht</v>
      </c>
      <c r="U326" s="55" t="str">
        <f t="shared" ref="U326:U389" si="41">IF(F326="","",F326&amp;IF(H326="Vormittag"," (VM)",IF(H326="Nachmittag"," (NM)",""))&amp;IF(I326="Angefragt"," ?",""))</f>
        <v>A-02</v>
      </c>
    </row>
    <row r="327" spans="2:21" ht="16.5" customHeight="1" x14ac:dyDescent="0.25">
      <c r="B327" s="47">
        <f t="shared" si="35"/>
        <v>322</v>
      </c>
      <c r="C327" s="48">
        <v>46317</v>
      </c>
      <c r="D327" s="49" t="str">
        <f t="shared" si="36"/>
        <v>Do</v>
      </c>
      <c r="E327" s="50">
        <f t="shared" si="37"/>
        <v>43</v>
      </c>
      <c r="F327" s="51" t="s">
        <v>109</v>
      </c>
      <c r="G327" s="52" t="s">
        <v>97</v>
      </c>
      <c r="H327" s="51" t="s">
        <v>76</v>
      </c>
      <c r="I327" s="51" t="s">
        <v>77</v>
      </c>
      <c r="J327" s="52"/>
      <c r="K327" s="53" t="str">
        <f>IF(G327="","",IFERROR(INDEX(Stammdaten!$P$10:$P$69,MATCH(G327,Stammdaten!$N$10:$N$69,0)),"–"))</f>
        <v>Personal</v>
      </c>
      <c r="L327" s="53" t="str">
        <f>IF(F327="","",IFERROR(INDEX(Stammdaten!$D$10:$D$49,MATCH(F327,Stammdaten!$B$10:$B$49,0)),"–"))</f>
        <v>Teamzone Nord</v>
      </c>
      <c r="M327" s="54" t="str">
        <f>IF(C327="","",IF(OR(F327="",G327="",I327=""),"unvollständig",IF(I327="Storniert","storniert",IF(WEEKDAY(C327,2)&gt;5,"Wochenende",IF(COUNTIF(Stammdaten!$AD$10:$AD$30,C327)&gt;0,"Feiertag",IF(IFERROR(INDEX(Stammdaten!$I$10:$I$49,MATCH(F327,Stammdaten!$B$10:$B$49,0)),"")="Gesperrt","Platz gesperrt",IF(AND(COUNTIF($P$6:$P$605,P327)&gt;1,NOT(AND(COUNTIF($P$6:$P$605,P327)=2,COUNTIFS($P$6:$P$605,P327,$H$6:$H$605,"Vormittag")=1,COUNTIFS($P$6:$P$605,P327,$H$6:$H$605,"Nachmittag")=1))),"Doppelbuchung",IF(AND(COUNTIF($R$6:$R$605,R327)&gt;1,NOT(AND(COUNTIF($R$6:$R$605,R327)=2,COUNTIFS($R$6:$R$605,R327,$H$6:$H$605,"Vormittag")=1,COUNTIFS($R$6:$R$605,R327,$H$6:$H$605,"Nachmittag")=1))),"Person doppelt","OK"))))))))</f>
        <v>OK</v>
      </c>
      <c r="O327" s="55">
        <f t="shared" si="38"/>
        <v>1</v>
      </c>
      <c r="P327" s="55" t="str">
        <f t="shared" si="39"/>
        <v>A-03|46317</v>
      </c>
      <c r="Q327" s="55" t="str">
        <f>IF(P327="","",P327&amp;"|"&amp;COUNTIF(P$6:P327,P327))</f>
        <v>A-03|46317|1</v>
      </c>
      <c r="R327" s="55" t="str">
        <f t="shared" si="40"/>
        <v>Moritz Keller|46317</v>
      </c>
      <c r="S327" s="55" t="str">
        <f>IF(R327="","",R327&amp;"|"&amp;COUNTIF(R$6:R327,R327))</f>
        <v>Moritz Keller|46317|1</v>
      </c>
      <c r="T327" s="55" t="str">
        <f>IF(G327="","",IFERROR(INDEX(Stammdaten!$O$10:$O$69,MATCH(G327,Stammdaten!$N$10:$N$69,0)),G327)&amp;IF(H327="Vormittag"," (VM)",IF(H327="Nachmittag"," (NM)",""))&amp;IF(I327="Angefragt"," ?",""))</f>
        <v>M. Keller</v>
      </c>
      <c r="U327" s="55" t="str">
        <f t="shared" si="41"/>
        <v>A-03</v>
      </c>
    </row>
    <row r="328" spans="2:21" ht="16.5" customHeight="1" x14ac:dyDescent="0.25">
      <c r="B328" s="47">
        <f t="shared" si="35"/>
        <v>323</v>
      </c>
      <c r="C328" s="48">
        <v>46317</v>
      </c>
      <c r="D328" s="49" t="str">
        <f t="shared" si="36"/>
        <v>Do</v>
      </c>
      <c r="E328" s="50">
        <f t="shared" si="37"/>
        <v>43</v>
      </c>
      <c r="F328" s="51" t="s">
        <v>110</v>
      </c>
      <c r="G328" s="52" t="s">
        <v>126</v>
      </c>
      <c r="H328" s="51" t="s">
        <v>76</v>
      </c>
      <c r="I328" s="51" t="s">
        <v>77</v>
      </c>
      <c r="J328" s="52"/>
      <c r="K328" s="53" t="str">
        <f>IF(G328="","",IFERROR(INDEX(Stammdaten!$P$10:$P$69,MATCH(G328,Stammdaten!$N$10:$N$69,0)),"–"))</f>
        <v>Vertrieb</v>
      </c>
      <c r="L328" s="53" t="str">
        <f>IF(F328="","",IFERROR(INDEX(Stammdaten!$D$10:$D$49,MATCH(F328,Stammdaten!$B$10:$B$49,0)),"–"))</f>
        <v>Teamzone Nord</v>
      </c>
      <c r="M328" s="54" t="str">
        <f>IF(C328="","",IF(OR(F328="",G328="",I328=""),"unvollständig",IF(I328="Storniert","storniert",IF(WEEKDAY(C328,2)&gt;5,"Wochenende",IF(COUNTIF(Stammdaten!$AD$10:$AD$30,C328)&gt;0,"Feiertag",IF(IFERROR(INDEX(Stammdaten!$I$10:$I$49,MATCH(F328,Stammdaten!$B$10:$B$49,0)),"")="Gesperrt","Platz gesperrt",IF(AND(COUNTIF($P$6:$P$605,P328)&gt;1,NOT(AND(COUNTIF($P$6:$P$605,P328)=2,COUNTIFS($P$6:$P$605,P328,$H$6:$H$605,"Vormittag")=1,COUNTIFS($P$6:$P$605,P328,$H$6:$H$605,"Nachmittag")=1))),"Doppelbuchung",IF(AND(COUNTIF($R$6:$R$605,R328)&gt;1,NOT(AND(COUNTIF($R$6:$R$605,R328)=2,COUNTIFS($R$6:$R$605,R328,$H$6:$H$605,"Vormittag")=1,COUNTIFS($R$6:$R$605,R328,$H$6:$H$605,"Nachmittag")=1))),"Person doppelt","OK"))))))))</f>
        <v>OK</v>
      </c>
      <c r="O328" s="55">
        <f t="shared" si="38"/>
        <v>1</v>
      </c>
      <c r="P328" s="55" t="str">
        <f t="shared" si="39"/>
        <v>A-04|46317</v>
      </c>
      <c r="Q328" s="55" t="str">
        <f>IF(P328="","",P328&amp;"|"&amp;COUNTIF(P$6:P328,P328))</f>
        <v>A-04|46317|1</v>
      </c>
      <c r="R328" s="55" t="str">
        <f t="shared" si="40"/>
        <v>Jonas Weber|46317</v>
      </c>
      <c r="S328" s="55" t="str">
        <f>IF(R328="","",R328&amp;"|"&amp;COUNTIF(R$6:R328,R328))</f>
        <v>Jonas Weber|46317|1</v>
      </c>
      <c r="T328" s="55" t="str">
        <f>IF(G328="","",IFERROR(INDEX(Stammdaten!$O$10:$O$69,MATCH(G328,Stammdaten!$N$10:$N$69,0)),G328)&amp;IF(H328="Vormittag"," (VM)",IF(H328="Nachmittag"," (NM)",""))&amp;IF(I328="Angefragt"," ?",""))</f>
        <v>J. Weber</v>
      </c>
      <c r="U328" s="55" t="str">
        <f t="shared" si="41"/>
        <v>A-04</v>
      </c>
    </row>
    <row r="329" spans="2:21" ht="16.5" customHeight="1" x14ac:dyDescent="0.25">
      <c r="B329" s="47">
        <f t="shared" si="35"/>
        <v>324</v>
      </c>
      <c r="C329" s="48">
        <v>46317</v>
      </c>
      <c r="D329" s="49" t="str">
        <f t="shared" si="36"/>
        <v>Do</v>
      </c>
      <c r="E329" s="50">
        <f t="shared" si="37"/>
        <v>43</v>
      </c>
      <c r="F329" s="51" t="s">
        <v>80</v>
      </c>
      <c r="G329" s="52" t="s">
        <v>85</v>
      </c>
      <c r="H329" s="51" t="s">
        <v>76</v>
      </c>
      <c r="I329" s="51" t="s">
        <v>147</v>
      </c>
      <c r="J329" s="52"/>
      <c r="K329" s="53" t="str">
        <f>IF(G329="","",IFERROR(INDEX(Stammdaten!$P$10:$P$69,MATCH(G329,Stammdaten!$N$10:$N$69,0)),"–"))</f>
        <v>Vertrieb</v>
      </c>
      <c r="L329" s="53" t="str">
        <f>IF(F329="","",IFERROR(INDEX(Stammdaten!$D$10:$D$49,MATCH(F329,Stammdaten!$B$10:$B$49,0)),"–"))</f>
        <v>Teamzone Nord</v>
      </c>
      <c r="M329" s="54" t="str">
        <f>IF(C329="","",IF(OR(F329="",G329="",I329=""),"unvollständig",IF(I329="Storniert","storniert",IF(WEEKDAY(C329,2)&gt;5,"Wochenende",IF(COUNTIF(Stammdaten!$AD$10:$AD$30,C329)&gt;0,"Feiertag",IF(IFERROR(INDEX(Stammdaten!$I$10:$I$49,MATCH(F329,Stammdaten!$B$10:$B$49,0)),"")="Gesperrt","Platz gesperrt",IF(AND(COUNTIF($P$6:$P$605,P329)&gt;1,NOT(AND(COUNTIF($P$6:$P$605,P329)=2,COUNTIFS($P$6:$P$605,P329,$H$6:$H$605,"Vormittag")=1,COUNTIFS($P$6:$P$605,P329,$H$6:$H$605,"Nachmittag")=1))),"Doppelbuchung",IF(AND(COUNTIF($R$6:$R$605,R329)&gt;1,NOT(AND(COUNTIF($R$6:$R$605,R329)=2,COUNTIFS($R$6:$R$605,R329,$H$6:$H$605,"Vormittag")=1,COUNTIFS($R$6:$R$605,R329,$H$6:$H$605,"Nachmittag")=1))),"Person doppelt","OK"))))))))</f>
        <v>OK</v>
      </c>
      <c r="O329" s="55">
        <f t="shared" si="38"/>
        <v>0</v>
      </c>
      <c r="P329" s="55" t="str">
        <f t="shared" si="39"/>
        <v>A-05|46317</v>
      </c>
      <c r="Q329" s="55" t="str">
        <f>IF(P329="","",P329&amp;"|"&amp;COUNTIF(P$6:P329,P329))</f>
        <v>A-05|46317|1</v>
      </c>
      <c r="R329" s="55" t="str">
        <f t="shared" si="40"/>
        <v>Miriam Krause|46317</v>
      </c>
      <c r="S329" s="55" t="str">
        <f>IF(R329="","",R329&amp;"|"&amp;COUNTIF(R$6:R329,R329))</f>
        <v>Miriam Krause|46317|1</v>
      </c>
      <c r="T329" s="55" t="str">
        <f>IF(G329="","",IFERROR(INDEX(Stammdaten!$O$10:$O$69,MATCH(G329,Stammdaten!$N$10:$N$69,0)),G329)&amp;IF(H329="Vormittag"," (VM)",IF(H329="Nachmittag"," (NM)",""))&amp;IF(I329="Angefragt"," ?",""))</f>
        <v>M. Krause ?</v>
      </c>
      <c r="U329" s="55" t="str">
        <f t="shared" si="41"/>
        <v>A-05 ?</v>
      </c>
    </row>
    <row r="330" spans="2:21" ht="16.5" customHeight="1" x14ac:dyDescent="0.25">
      <c r="B330" s="47">
        <f t="shared" si="35"/>
        <v>325</v>
      </c>
      <c r="C330" s="48">
        <v>46317</v>
      </c>
      <c r="D330" s="49" t="str">
        <f t="shared" si="36"/>
        <v>Do</v>
      </c>
      <c r="E330" s="50">
        <f t="shared" si="37"/>
        <v>43</v>
      </c>
      <c r="F330" s="51" t="s">
        <v>84</v>
      </c>
      <c r="G330" s="52" t="s">
        <v>112</v>
      </c>
      <c r="H330" s="51" t="s">
        <v>76</v>
      </c>
      <c r="I330" s="51" t="s">
        <v>77</v>
      </c>
      <c r="J330" s="52"/>
      <c r="K330" s="53" t="str">
        <f>IF(G330="","",IFERROR(INDEX(Stammdaten!$P$10:$P$69,MATCH(G330,Stammdaten!$N$10:$N$69,0)),"–"))</f>
        <v>Marketing</v>
      </c>
      <c r="L330" s="53" t="str">
        <f>IF(F330="","",IFERROR(INDEX(Stammdaten!$D$10:$D$49,MATCH(F330,Stammdaten!$B$10:$B$49,0)),"–"))</f>
        <v>Teamzone Nord</v>
      </c>
      <c r="M330" s="54" t="str">
        <f>IF(C330="","",IF(OR(F330="",G330="",I330=""),"unvollständig",IF(I330="Storniert","storniert",IF(WEEKDAY(C330,2)&gt;5,"Wochenende",IF(COUNTIF(Stammdaten!$AD$10:$AD$30,C330)&gt;0,"Feiertag",IF(IFERROR(INDEX(Stammdaten!$I$10:$I$49,MATCH(F330,Stammdaten!$B$10:$B$49,0)),"")="Gesperrt","Platz gesperrt",IF(AND(COUNTIF($P$6:$P$605,P330)&gt;1,NOT(AND(COUNTIF($P$6:$P$605,P330)=2,COUNTIFS($P$6:$P$605,P330,$H$6:$H$605,"Vormittag")=1,COUNTIFS($P$6:$P$605,P330,$H$6:$H$605,"Nachmittag")=1))),"Doppelbuchung",IF(AND(COUNTIF($R$6:$R$605,R330)&gt;1,NOT(AND(COUNTIF($R$6:$R$605,R330)=2,COUNTIFS($R$6:$R$605,R330,$H$6:$H$605,"Vormittag")=1,COUNTIFS($R$6:$R$605,R330,$H$6:$H$605,"Nachmittag")=1))),"Person doppelt","OK"))))))))</f>
        <v>OK</v>
      </c>
      <c r="O330" s="55">
        <f t="shared" si="38"/>
        <v>1</v>
      </c>
      <c r="P330" s="55" t="str">
        <f t="shared" si="39"/>
        <v>A-07|46317</v>
      </c>
      <c r="Q330" s="55" t="str">
        <f>IF(P330="","",P330&amp;"|"&amp;COUNTIF(P$6:P330,P330))</f>
        <v>A-07|46317|1</v>
      </c>
      <c r="R330" s="55" t="str">
        <f t="shared" si="40"/>
        <v>Clara Vogt|46317</v>
      </c>
      <c r="S330" s="55" t="str">
        <f>IF(R330="","",R330&amp;"|"&amp;COUNTIF(R$6:R330,R330))</f>
        <v>Clara Vogt|46317|1</v>
      </c>
      <c r="T330" s="55" t="str">
        <f>IF(G330="","",IFERROR(INDEX(Stammdaten!$O$10:$O$69,MATCH(G330,Stammdaten!$N$10:$N$69,0)),G330)&amp;IF(H330="Vormittag"," (VM)",IF(H330="Nachmittag"," (NM)",""))&amp;IF(I330="Angefragt"," ?",""))</f>
        <v>C. Vogt</v>
      </c>
      <c r="U330" s="55" t="str">
        <f t="shared" si="41"/>
        <v>A-07</v>
      </c>
    </row>
    <row r="331" spans="2:21" ht="16.5" customHeight="1" x14ac:dyDescent="0.25">
      <c r="B331" s="47">
        <f t="shared" si="35"/>
        <v>326</v>
      </c>
      <c r="C331" s="48">
        <v>46317</v>
      </c>
      <c r="D331" s="49" t="str">
        <f t="shared" si="36"/>
        <v>Do</v>
      </c>
      <c r="E331" s="50">
        <f t="shared" si="37"/>
        <v>43</v>
      </c>
      <c r="F331" s="51" t="s">
        <v>86</v>
      </c>
      <c r="G331" s="52" t="s">
        <v>111</v>
      </c>
      <c r="H331" s="51" t="s">
        <v>76</v>
      </c>
      <c r="I331" s="51" t="s">
        <v>77</v>
      </c>
      <c r="J331" s="52"/>
      <c r="K331" s="53" t="str">
        <f>IF(G331="","",IFERROR(INDEX(Stammdaten!$P$10:$P$69,MATCH(G331,Stammdaten!$N$10:$N$69,0)),"–"))</f>
        <v>Vertrieb</v>
      </c>
      <c r="L331" s="53" t="str">
        <f>IF(F331="","",IFERROR(INDEX(Stammdaten!$D$10:$D$49,MATCH(F331,Stammdaten!$B$10:$B$49,0)),"–"))</f>
        <v>Teamzone Nord</v>
      </c>
      <c r="M331" s="54" t="str">
        <f>IF(C331="","",IF(OR(F331="",G331="",I331=""),"unvollständig",IF(I331="Storniert","storniert",IF(WEEKDAY(C331,2)&gt;5,"Wochenende",IF(COUNTIF(Stammdaten!$AD$10:$AD$30,C331)&gt;0,"Feiertag",IF(IFERROR(INDEX(Stammdaten!$I$10:$I$49,MATCH(F331,Stammdaten!$B$10:$B$49,0)),"")="Gesperrt","Platz gesperrt",IF(AND(COUNTIF($P$6:$P$605,P331)&gt;1,NOT(AND(COUNTIF($P$6:$P$605,P331)=2,COUNTIFS($P$6:$P$605,P331,$H$6:$H$605,"Vormittag")=1,COUNTIFS($P$6:$P$605,P331,$H$6:$H$605,"Nachmittag")=1))),"Doppelbuchung",IF(AND(COUNTIF($R$6:$R$605,R331)&gt;1,NOT(AND(COUNTIF($R$6:$R$605,R331)=2,COUNTIFS($R$6:$R$605,R331,$H$6:$H$605,"Vormittag")=1,COUNTIFS($R$6:$R$605,R331,$H$6:$H$605,"Nachmittag")=1))),"Person doppelt","OK"))))))))</f>
        <v>OK</v>
      </c>
      <c r="O331" s="55">
        <f t="shared" si="38"/>
        <v>1</v>
      </c>
      <c r="P331" s="55" t="str">
        <f t="shared" si="39"/>
        <v>A-08|46317</v>
      </c>
      <c r="Q331" s="55" t="str">
        <f>IF(P331="","",P331&amp;"|"&amp;COUNTIF(P$6:P331,P331))</f>
        <v>A-08|46317|1</v>
      </c>
      <c r="R331" s="55" t="str">
        <f t="shared" si="40"/>
        <v>Sophie Brandt|46317</v>
      </c>
      <c r="S331" s="55" t="str">
        <f>IF(R331="","",R331&amp;"|"&amp;COUNTIF(R$6:R331,R331))</f>
        <v>Sophie Brandt|46317|1</v>
      </c>
      <c r="T331" s="55" t="str">
        <f>IF(G331="","",IFERROR(INDEX(Stammdaten!$O$10:$O$69,MATCH(G331,Stammdaten!$N$10:$N$69,0)),G331)&amp;IF(H331="Vormittag"," (VM)",IF(H331="Nachmittag"," (NM)",""))&amp;IF(I331="Angefragt"," ?",""))</f>
        <v>S. Brandt</v>
      </c>
      <c r="U331" s="55" t="str">
        <f t="shared" si="41"/>
        <v>A-08</v>
      </c>
    </row>
    <row r="332" spans="2:21" ht="16.5" customHeight="1" x14ac:dyDescent="0.25">
      <c r="B332" s="47">
        <f t="shared" si="35"/>
        <v>327</v>
      </c>
      <c r="C332" s="48">
        <v>46317</v>
      </c>
      <c r="D332" s="49" t="str">
        <f t="shared" si="36"/>
        <v>Do</v>
      </c>
      <c r="E332" s="50">
        <f t="shared" si="37"/>
        <v>43</v>
      </c>
      <c r="F332" s="51" t="s">
        <v>113</v>
      </c>
      <c r="G332" s="52" t="s">
        <v>114</v>
      </c>
      <c r="H332" s="51" t="s">
        <v>76</v>
      </c>
      <c r="I332" s="51" t="s">
        <v>77</v>
      </c>
      <c r="J332" s="52"/>
      <c r="K332" s="53" t="str">
        <f>IF(G332="","",IFERROR(INDEX(Stammdaten!$P$10:$P$69,MATCH(G332,Stammdaten!$N$10:$N$69,0)),"–"))</f>
        <v>Projektmanagement</v>
      </c>
      <c r="L332" s="53" t="str">
        <f>IF(F332="","",IFERROR(INDEX(Stammdaten!$D$10:$D$49,MATCH(F332,Stammdaten!$B$10:$B$49,0)),"–"))</f>
        <v>Fokuszone</v>
      </c>
      <c r="M332" s="54" t="str">
        <f>IF(C332="","",IF(OR(F332="",G332="",I332=""),"unvollständig",IF(I332="Storniert","storniert",IF(WEEKDAY(C332,2)&gt;5,"Wochenende",IF(COUNTIF(Stammdaten!$AD$10:$AD$30,C332)&gt;0,"Feiertag",IF(IFERROR(INDEX(Stammdaten!$I$10:$I$49,MATCH(F332,Stammdaten!$B$10:$B$49,0)),"")="Gesperrt","Platz gesperrt",IF(AND(COUNTIF($P$6:$P$605,P332)&gt;1,NOT(AND(COUNTIF($P$6:$P$605,P332)=2,COUNTIFS($P$6:$P$605,P332,$H$6:$H$605,"Vormittag")=1,COUNTIFS($P$6:$P$605,P332,$H$6:$H$605,"Nachmittag")=1))),"Doppelbuchung",IF(AND(COUNTIF($R$6:$R$605,R332)&gt;1,NOT(AND(COUNTIF($R$6:$R$605,R332)=2,COUNTIFS($R$6:$R$605,R332,$H$6:$H$605,"Vormittag")=1,COUNTIFS($R$6:$R$605,R332,$H$6:$H$605,"Nachmittag")=1))),"Person doppelt","OK"))))))))</f>
        <v>OK</v>
      </c>
      <c r="O332" s="55">
        <f t="shared" si="38"/>
        <v>1</v>
      </c>
      <c r="P332" s="55" t="str">
        <f t="shared" si="39"/>
        <v>A-10|46317</v>
      </c>
      <c r="Q332" s="55" t="str">
        <f>IF(P332="","",P332&amp;"|"&amp;COUNTIF(P$6:P332,P332))</f>
        <v>A-10|46317|1</v>
      </c>
      <c r="R332" s="55" t="str">
        <f t="shared" si="40"/>
        <v>Isabel Marx|46317</v>
      </c>
      <c r="S332" s="55" t="str">
        <f>IF(R332="","",R332&amp;"|"&amp;COUNTIF(R$6:R332,R332))</f>
        <v>Isabel Marx|46317|1</v>
      </c>
      <c r="T332" s="55" t="str">
        <f>IF(G332="","",IFERROR(INDEX(Stammdaten!$O$10:$O$69,MATCH(G332,Stammdaten!$N$10:$N$69,0)),G332)&amp;IF(H332="Vormittag"," (VM)",IF(H332="Nachmittag"," (NM)",""))&amp;IF(I332="Angefragt"," ?",""))</f>
        <v>I. Marx</v>
      </c>
      <c r="U332" s="55" t="str">
        <f t="shared" si="41"/>
        <v>A-10</v>
      </c>
    </row>
    <row r="333" spans="2:21" ht="16.5" customHeight="1" x14ac:dyDescent="0.25">
      <c r="B333" s="47">
        <f t="shared" si="35"/>
        <v>328</v>
      </c>
      <c r="C333" s="48">
        <v>46317</v>
      </c>
      <c r="D333" s="49" t="str">
        <f t="shared" si="36"/>
        <v>Do</v>
      </c>
      <c r="E333" s="50">
        <f t="shared" si="37"/>
        <v>43</v>
      </c>
      <c r="F333" s="51" t="s">
        <v>88</v>
      </c>
      <c r="G333" s="52" t="s">
        <v>89</v>
      </c>
      <c r="H333" s="51" t="s">
        <v>76</v>
      </c>
      <c r="I333" s="51" t="s">
        <v>77</v>
      </c>
      <c r="J333" s="52"/>
      <c r="K333" s="53" t="str">
        <f>IF(G333="","",IFERROR(INDEX(Stammdaten!$P$10:$P$69,MATCH(G333,Stammdaten!$N$10:$N$69,0)),"–"))</f>
        <v>Projektmanagement</v>
      </c>
      <c r="L333" s="53" t="str">
        <f>IF(F333="","",IFERROR(INDEX(Stammdaten!$D$10:$D$49,MATCH(F333,Stammdaten!$B$10:$B$49,0)),"–"))</f>
        <v>Fokuszone</v>
      </c>
      <c r="M333" s="54" t="str">
        <f>IF(C333="","",IF(OR(F333="",G333="",I333=""),"unvollständig",IF(I333="Storniert","storniert",IF(WEEKDAY(C333,2)&gt;5,"Wochenende",IF(COUNTIF(Stammdaten!$AD$10:$AD$30,C333)&gt;0,"Feiertag",IF(IFERROR(INDEX(Stammdaten!$I$10:$I$49,MATCH(F333,Stammdaten!$B$10:$B$49,0)),"")="Gesperrt","Platz gesperrt",IF(AND(COUNTIF($P$6:$P$605,P333)&gt;1,NOT(AND(COUNTIF($P$6:$P$605,P333)=2,COUNTIFS($P$6:$P$605,P333,$H$6:$H$605,"Vormittag")=1,COUNTIFS($P$6:$P$605,P333,$H$6:$H$605,"Nachmittag")=1))),"Doppelbuchung",IF(AND(COUNTIF($R$6:$R$605,R333)&gt;1,NOT(AND(COUNTIF($R$6:$R$605,R333)=2,COUNTIFS($R$6:$R$605,R333,$H$6:$H$605,"Vormittag")=1,COUNTIFS($R$6:$R$605,R333,$H$6:$H$605,"Nachmittag")=1))),"Person doppelt","OK"))))))))</f>
        <v>OK</v>
      </c>
      <c r="O333" s="55">
        <f t="shared" si="38"/>
        <v>1</v>
      </c>
      <c r="P333" s="55" t="str">
        <f t="shared" si="39"/>
        <v>A-11|46317</v>
      </c>
      <c r="Q333" s="55" t="str">
        <f>IF(P333="","",P333&amp;"|"&amp;COUNTIF(P$6:P333,P333))</f>
        <v>A-11|46317|1</v>
      </c>
      <c r="R333" s="55" t="str">
        <f t="shared" si="40"/>
        <v>Theresa Jung|46317</v>
      </c>
      <c r="S333" s="55" t="str">
        <f>IF(R333="","",R333&amp;"|"&amp;COUNTIF(R$6:R333,R333))</f>
        <v>Theresa Jung|46317|1</v>
      </c>
      <c r="T333" s="55" t="str">
        <f>IF(G333="","",IFERROR(INDEX(Stammdaten!$O$10:$O$69,MATCH(G333,Stammdaten!$N$10:$N$69,0)),G333)&amp;IF(H333="Vormittag"," (VM)",IF(H333="Nachmittag"," (NM)",""))&amp;IF(I333="Angefragt"," ?",""))</f>
        <v>T. Jung</v>
      </c>
      <c r="U333" s="55" t="str">
        <f t="shared" si="41"/>
        <v>A-11</v>
      </c>
    </row>
    <row r="334" spans="2:21" ht="16.5" customHeight="1" x14ac:dyDescent="0.25">
      <c r="B334" s="47">
        <f t="shared" si="35"/>
        <v>329</v>
      </c>
      <c r="C334" s="48">
        <v>46317</v>
      </c>
      <c r="D334" s="49" t="str">
        <f t="shared" si="36"/>
        <v>Do</v>
      </c>
      <c r="E334" s="50">
        <f t="shared" si="37"/>
        <v>43</v>
      </c>
      <c r="F334" s="51" t="s">
        <v>90</v>
      </c>
      <c r="G334" s="52" t="s">
        <v>115</v>
      </c>
      <c r="H334" s="51" t="s">
        <v>76</v>
      </c>
      <c r="I334" s="51" t="s">
        <v>77</v>
      </c>
      <c r="J334" s="52" t="s">
        <v>139</v>
      </c>
      <c r="K334" s="53" t="str">
        <f>IF(G334="","",IFERROR(INDEX(Stammdaten!$P$10:$P$69,MATCH(G334,Stammdaten!$N$10:$N$69,0)),"–"))</f>
        <v>Projektmanagement</v>
      </c>
      <c r="L334" s="53" t="str">
        <f>IF(F334="","",IFERROR(INDEX(Stammdaten!$D$10:$D$49,MATCH(F334,Stammdaten!$B$10:$B$49,0)),"–"))</f>
        <v>Fokuszone</v>
      </c>
      <c r="M334" s="54" t="str">
        <f>IF(C334="","",IF(OR(F334="",G334="",I334=""),"unvollständig",IF(I334="Storniert","storniert",IF(WEEKDAY(C334,2)&gt;5,"Wochenende",IF(COUNTIF(Stammdaten!$AD$10:$AD$30,C334)&gt;0,"Feiertag",IF(IFERROR(INDEX(Stammdaten!$I$10:$I$49,MATCH(F334,Stammdaten!$B$10:$B$49,0)),"")="Gesperrt","Platz gesperrt",IF(AND(COUNTIF($P$6:$P$605,P334)&gt;1,NOT(AND(COUNTIF($P$6:$P$605,P334)=2,COUNTIFS($P$6:$P$605,P334,$H$6:$H$605,"Vormittag")=1,COUNTIFS($P$6:$P$605,P334,$H$6:$H$605,"Nachmittag")=1))),"Doppelbuchung",IF(AND(COUNTIF($R$6:$R$605,R334)&gt;1,NOT(AND(COUNTIF($R$6:$R$605,R334)=2,COUNTIFS($R$6:$R$605,R334,$H$6:$H$605,"Vormittag")=1,COUNTIFS($R$6:$R$605,R334,$H$6:$H$605,"Nachmittag")=1))),"Person doppelt","OK"))))))))</f>
        <v>OK</v>
      </c>
      <c r="O334" s="55">
        <f t="shared" si="38"/>
        <v>1</v>
      </c>
      <c r="P334" s="55" t="str">
        <f t="shared" si="39"/>
        <v>A-12|46317</v>
      </c>
      <c r="Q334" s="55" t="str">
        <f>IF(P334="","",P334&amp;"|"&amp;COUNTIF(P$6:P334,P334))</f>
        <v>A-12|46317|1</v>
      </c>
      <c r="R334" s="55" t="str">
        <f t="shared" si="40"/>
        <v>Jan Peters|46317</v>
      </c>
      <c r="S334" s="55" t="str">
        <f>IF(R334="","",R334&amp;"|"&amp;COUNTIF(R$6:R334,R334))</f>
        <v>Jan Peters|46317|1</v>
      </c>
      <c r="T334" s="55" t="str">
        <f>IF(G334="","",IFERROR(INDEX(Stammdaten!$O$10:$O$69,MATCH(G334,Stammdaten!$N$10:$N$69,0)),G334)&amp;IF(H334="Vormittag"," (VM)",IF(H334="Nachmittag"," (NM)",""))&amp;IF(I334="Angefragt"," ?",""))</f>
        <v>J. Peters</v>
      </c>
      <c r="U334" s="55" t="str">
        <f t="shared" si="41"/>
        <v>A-12</v>
      </c>
    </row>
    <row r="335" spans="2:21" ht="16.5" customHeight="1" x14ac:dyDescent="0.25">
      <c r="B335" s="47">
        <f t="shared" si="35"/>
        <v>330</v>
      </c>
      <c r="C335" s="48">
        <v>46317</v>
      </c>
      <c r="D335" s="49" t="str">
        <f t="shared" si="36"/>
        <v>Do</v>
      </c>
      <c r="E335" s="50">
        <f t="shared" si="37"/>
        <v>43</v>
      </c>
      <c r="F335" s="51" t="s">
        <v>92</v>
      </c>
      <c r="G335" s="52" t="s">
        <v>95</v>
      </c>
      <c r="H335" s="51" t="s">
        <v>76</v>
      </c>
      <c r="I335" s="51" t="s">
        <v>77</v>
      </c>
      <c r="J335" s="52"/>
      <c r="K335" s="53" t="str">
        <f>IF(G335="","",IFERROR(INDEX(Stammdaten!$P$10:$P$69,MATCH(G335,Stammdaten!$N$10:$N$69,0)),"–"))</f>
        <v>Finanzen</v>
      </c>
      <c r="L335" s="53" t="str">
        <f>IF(F335="","",IFERROR(INDEX(Stammdaten!$D$10:$D$49,MATCH(F335,Stammdaten!$B$10:$B$49,0)),"–"))</f>
        <v>Teamzone Süd</v>
      </c>
      <c r="M335" s="54" t="str">
        <f>IF(C335="","",IF(OR(F335="",G335="",I335=""),"unvollständig",IF(I335="Storniert","storniert",IF(WEEKDAY(C335,2)&gt;5,"Wochenende",IF(COUNTIF(Stammdaten!$AD$10:$AD$30,C335)&gt;0,"Feiertag",IF(IFERROR(INDEX(Stammdaten!$I$10:$I$49,MATCH(F335,Stammdaten!$B$10:$B$49,0)),"")="Gesperrt","Platz gesperrt",IF(AND(COUNTIF($P$6:$P$605,P335)&gt;1,NOT(AND(COUNTIF($P$6:$P$605,P335)=2,COUNTIFS($P$6:$P$605,P335,$H$6:$H$605,"Vormittag")=1,COUNTIFS($P$6:$P$605,P335,$H$6:$H$605,"Nachmittag")=1))),"Doppelbuchung",IF(AND(COUNTIF($R$6:$R$605,R335)&gt;1,NOT(AND(COUNTIF($R$6:$R$605,R335)=2,COUNTIFS($R$6:$R$605,R335,$H$6:$H$605,"Vormittag")=1,COUNTIFS($R$6:$R$605,R335,$H$6:$H$605,"Nachmittag")=1))),"Person doppelt","OK"))))))))</f>
        <v>OK</v>
      </c>
      <c r="O335" s="55">
        <f t="shared" si="38"/>
        <v>1</v>
      </c>
      <c r="P335" s="55" t="str">
        <f t="shared" si="39"/>
        <v>B-01|46317</v>
      </c>
      <c r="Q335" s="55" t="str">
        <f>IF(P335="","",P335&amp;"|"&amp;COUNTIF(P$6:P335,P335))</f>
        <v>B-01|46317|1</v>
      </c>
      <c r="R335" s="55" t="str">
        <f t="shared" si="40"/>
        <v>Hanna Roth|46317</v>
      </c>
      <c r="S335" s="55" t="str">
        <f>IF(R335="","",R335&amp;"|"&amp;COUNTIF(R$6:R335,R335))</f>
        <v>Hanna Roth|46317|1</v>
      </c>
      <c r="T335" s="55" t="str">
        <f>IF(G335="","",IFERROR(INDEX(Stammdaten!$O$10:$O$69,MATCH(G335,Stammdaten!$N$10:$N$69,0)),G335)&amp;IF(H335="Vormittag"," (VM)",IF(H335="Nachmittag"," (NM)",""))&amp;IF(I335="Angefragt"," ?",""))</f>
        <v>H. Roth</v>
      </c>
      <c r="U335" s="55" t="str">
        <f t="shared" si="41"/>
        <v>B-01</v>
      </c>
    </row>
    <row r="336" spans="2:21" ht="16.5" customHeight="1" x14ac:dyDescent="0.25">
      <c r="B336" s="47">
        <f t="shared" si="35"/>
        <v>331</v>
      </c>
      <c r="C336" s="48">
        <v>46317</v>
      </c>
      <c r="D336" s="49" t="str">
        <f t="shared" si="36"/>
        <v>Do</v>
      </c>
      <c r="E336" s="50">
        <f t="shared" si="37"/>
        <v>43</v>
      </c>
      <c r="F336" s="51" t="s">
        <v>94</v>
      </c>
      <c r="G336" s="52" t="s">
        <v>118</v>
      </c>
      <c r="H336" s="51" t="s">
        <v>76</v>
      </c>
      <c r="I336" s="51" t="s">
        <v>77</v>
      </c>
      <c r="J336" s="52"/>
      <c r="K336" s="53" t="str">
        <f>IF(G336="","",IFERROR(INDEX(Stammdaten!$P$10:$P$69,MATCH(G336,Stammdaten!$N$10:$N$69,0)),"–"))</f>
        <v>Personal</v>
      </c>
      <c r="L336" s="53" t="str">
        <f>IF(F336="","",IFERROR(INDEX(Stammdaten!$D$10:$D$49,MATCH(F336,Stammdaten!$B$10:$B$49,0)),"–"))</f>
        <v>Teamzone Süd</v>
      </c>
      <c r="M336" s="54" t="str">
        <f>IF(C336="","",IF(OR(F336="",G336="",I336=""),"unvollständig",IF(I336="Storniert","storniert",IF(WEEKDAY(C336,2)&gt;5,"Wochenende",IF(COUNTIF(Stammdaten!$AD$10:$AD$30,C336)&gt;0,"Feiertag",IF(IFERROR(INDEX(Stammdaten!$I$10:$I$49,MATCH(F336,Stammdaten!$B$10:$B$49,0)),"")="Gesperrt","Platz gesperrt",IF(AND(COUNTIF($P$6:$P$605,P336)&gt;1,NOT(AND(COUNTIF($P$6:$P$605,P336)=2,COUNTIFS($P$6:$P$605,P336,$H$6:$H$605,"Vormittag")=1,COUNTIFS($P$6:$P$605,P336,$H$6:$H$605,"Nachmittag")=1))),"Doppelbuchung",IF(AND(COUNTIF($R$6:$R$605,R336)&gt;1,NOT(AND(COUNTIF($R$6:$R$605,R336)=2,COUNTIFS($R$6:$R$605,R336,$H$6:$H$605,"Vormittag")=1,COUNTIFS($R$6:$R$605,R336,$H$6:$H$605,"Nachmittag")=1))),"Person doppelt","OK"))))))))</f>
        <v>OK</v>
      </c>
      <c r="O336" s="55">
        <f t="shared" si="38"/>
        <v>1</v>
      </c>
      <c r="P336" s="55" t="str">
        <f t="shared" si="39"/>
        <v>B-02|46317</v>
      </c>
      <c r="Q336" s="55" t="str">
        <f>IF(P336="","",P336&amp;"|"&amp;COUNTIF(P$6:P336,P336))</f>
        <v>B-02|46317|1</v>
      </c>
      <c r="R336" s="55" t="str">
        <f t="shared" si="40"/>
        <v>Anna Lorenz|46317</v>
      </c>
      <c r="S336" s="55" t="str">
        <f>IF(R336="","",R336&amp;"|"&amp;COUNTIF(R$6:R336,R336))</f>
        <v>Anna Lorenz|46317|1</v>
      </c>
      <c r="T336" s="55" t="str">
        <f>IF(G336="","",IFERROR(INDEX(Stammdaten!$O$10:$O$69,MATCH(G336,Stammdaten!$N$10:$N$69,0)),G336)&amp;IF(H336="Vormittag"," (VM)",IF(H336="Nachmittag"," (NM)",""))&amp;IF(I336="Angefragt"," ?",""))</f>
        <v>A. Lorenz</v>
      </c>
      <c r="U336" s="55" t="str">
        <f t="shared" si="41"/>
        <v>B-02</v>
      </c>
    </row>
    <row r="337" spans="2:21" ht="16.5" customHeight="1" x14ac:dyDescent="0.25">
      <c r="B337" s="47">
        <f t="shared" si="35"/>
        <v>332</v>
      </c>
      <c r="C337" s="48">
        <v>46317</v>
      </c>
      <c r="D337" s="49" t="str">
        <f t="shared" si="36"/>
        <v>Do</v>
      </c>
      <c r="E337" s="50">
        <f t="shared" si="37"/>
        <v>43</v>
      </c>
      <c r="F337" s="51" t="s">
        <v>117</v>
      </c>
      <c r="G337" s="52" t="s">
        <v>93</v>
      </c>
      <c r="H337" s="51" t="s">
        <v>76</v>
      </c>
      <c r="I337" s="51" t="s">
        <v>147</v>
      </c>
      <c r="J337" s="52"/>
      <c r="K337" s="53" t="str">
        <f>IF(G337="","",IFERROR(INDEX(Stammdaten!$P$10:$P$69,MATCH(G337,Stammdaten!$N$10:$N$69,0)),"–"))</f>
        <v>Finanzen</v>
      </c>
      <c r="L337" s="53" t="str">
        <f>IF(F337="","",IFERROR(INDEX(Stammdaten!$D$10:$D$49,MATCH(F337,Stammdaten!$B$10:$B$49,0)),"–"))</f>
        <v>Teamzone Süd</v>
      </c>
      <c r="M337" s="54" t="str">
        <f>IF(C337="","",IF(OR(F337="",G337="",I337=""),"unvollständig",IF(I337="Storniert","storniert",IF(WEEKDAY(C337,2)&gt;5,"Wochenende",IF(COUNTIF(Stammdaten!$AD$10:$AD$30,C337)&gt;0,"Feiertag",IF(IFERROR(INDEX(Stammdaten!$I$10:$I$49,MATCH(F337,Stammdaten!$B$10:$B$49,0)),"")="Gesperrt","Platz gesperrt",IF(AND(COUNTIF($P$6:$P$605,P337)&gt;1,NOT(AND(COUNTIF($P$6:$P$605,P337)=2,COUNTIFS($P$6:$P$605,P337,$H$6:$H$605,"Vormittag")=1,COUNTIFS($P$6:$P$605,P337,$H$6:$H$605,"Nachmittag")=1))),"Doppelbuchung",IF(AND(COUNTIF($R$6:$R$605,R337)&gt;1,NOT(AND(COUNTIF($R$6:$R$605,R337)=2,COUNTIFS($R$6:$R$605,R337,$H$6:$H$605,"Vormittag")=1,COUNTIFS($R$6:$R$605,R337,$H$6:$H$605,"Nachmittag")=1))),"Person doppelt","OK"))))))))</f>
        <v>OK</v>
      </c>
      <c r="O337" s="55">
        <f t="shared" si="38"/>
        <v>0</v>
      </c>
      <c r="P337" s="55" t="str">
        <f t="shared" si="39"/>
        <v>B-03|46317</v>
      </c>
      <c r="Q337" s="55" t="str">
        <f>IF(P337="","",P337&amp;"|"&amp;COUNTIF(P$6:P337,P337))</f>
        <v>B-03|46317|1</v>
      </c>
      <c r="R337" s="55" t="str">
        <f t="shared" si="40"/>
        <v>Sarah Böhm|46317</v>
      </c>
      <c r="S337" s="55" t="str">
        <f>IF(R337="","",R337&amp;"|"&amp;COUNTIF(R$6:R337,R337))</f>
        <v>Sarah Böhm|46317|1</v>
      </c>
      <c r="T337" s="55" t="str">
        <f>IF(G337="","",IFERROR(INDEX(Stammdaten!$O$10:$O$69,MATCH(G337,Stammdaten!$N$10:$N$69,0)),G337)&amp;IF(H337="Vormittag"," (VM)",IF(H337="Nachmittag"," (NM)",""))&amp;IF(I337="Angefragt"," ?",""))</f>
        <v>S. Böhm ?</v>
      </c>
      <c r="U337" s="55" t="str">
        <f t="shared" si="41"/>
        <v>B-03 ?</v>
      </c>
    </row>
    <row r="338" spans="2:21" ht="16.5" customHeight="1" x14ac:dyDescent="0.25">
      <c r="B338" s="47">
        <f t="shared" si="35"/>
        <v>333</v>
      </c>
      <c r="C338" s="48">
        <v>46317</v>
      </c>
      <c r="D338" s="49" t="str">
        <f t="shared" si="36"/>
        <v>Do</v>
      </c>
      <c r="E338" s="50">
        <f t="shared" si="37"/>
        <v>43</v>
      </c>
      <c r="F338" s="51" t="s">
        <v>119</v>
      </c>
      <c r="G338" s="52" t="s">
        <v>116</v>
      </c>
      <c r="H338" s="51" t="s">
        <v>76</v>
      </c>
      <c r="I338" s="51" t="s">
        <v>77</v>
      </c>
      <c r="J338" s="52"/>
      <c r="K338" s="53" t="str">
        <f>IF(G338="","",IFERROR(INDEX(Stammdaten!$P$10:$P$69,MATCH(G338,Stammdaten!$N$10:$N$69,0)),"–"))</f>
        <v>Finanzen</v>
      </c>
      <c r="L338" s="53" t="str">
        <f>IF(F338="","",IFERROR(INDEX(Stammdaten!$D$10:$D$49,MATCH(F338,Stammdaten!$B$10:$B$49,0)),"–"))</f>
        <v>Teamzone Süd</v>
      </c>
      <c r="M338" s="54" t="str">
        <f>IF(C338="","",IF(OR(F338="",G338="",I338=""),"unvollständig",IF(I338="Storniert","storniert",IF(WEEKDAY(C338,2)&gt;5,"Wochenende",IF(COUNTIF(Stammdaten!$AD$10:$AD$30,C338)&gt;0,"Feiertag",IF(IFERROR(INDEX(Stammdaten!$I$10:$I$49,MATCH(F338,Stammdaten!$B$10:$B$49,0)),"")="Gesperrt","Platz gesperrt",IF(AND(COUNTIF($P$6:$P$605,P338)&gt;1,NOT(AND(COUNTIF($P$6:$P$605,P338)=2,COUNTIFS($P$6:$P$605,P338,$H$6:$H$605,"Vormittag")=1,COUNTIFS($P$6:$P$605,P338,$H$6:$H$605,"Nachmittag")=1))),"Doppelbuchung",IF(AND(COUNTIF($R$6:$R$605,R338)&gt;1,NOT(AND(COUNTIF($R$6:$R$605,R338)=2,COUNTIFS($R$6:$R$605,R338,$H$6:$H$605,"Vormittag")=1,COUNTIFS($R$6:$R$605,R338,$H$6:$H$605,"Nachmittag")=1))),"Person doppelt","OK"))))))))</f>
        <v>OK</v>
      </c>
      <c r="O338" s="55">
        <f t="shared" si="38"/>
        <v>1</v>
      </c>
      <c r="P338" s="55" t="str">
        <f t="shared" si="39"/>
        <v>B-04|46317</v>
      </c>
      <c r="Q338" s="55" t="str">
        <f>IF(P338="","",P338&amp;"|"&amp;COUNTIF(P$6:P338,P338))</f>
        <v>B-04|46317|1</v>
      </c>
      <c r="R338" s="55" t="str">
        <f t="shared" si="40"/>
        <v>Julia Herrmann|46317</v>
      </c>
      <c r="S338" s="55" t="str">
        <f>IF(R338="","",R338&amp;"|"&amp;COUNTIF(R$6:R338,R338))</f>
        <v>Julia Herrmann|46317|1</v>
      </c>
      <c r="T338" s="55" t="str">
        <f>IF(G338="","",IFERROR(INDEX(Stammdaten!$O$10:$O$69,MATCH(G338,Stammdaten!$N$10:$N$69,0)),G338)&amp;IF(H338="Vormittag"," (VM)",IF(H338="Nachmittag"," (NM)",""))&amp;IF(I338="Angefragt"," ?",""))</f>
        <v>J. Herrmann</v>
      </c>
      <c r="U338" s="55" t="str">
        <f t="shared" si="41"/>
        <v>B-04</v>
      </c>
    </row>
    <row r="339" spans="2:21" ht="16.5" customHeight="1" x14ac:dyDescent="0.25">
      <c r="B339" s="47">
        <f t="shared" si="35"/>
        <v>334</v>
      </c>
      <c r="C339" s="48">
        <v>46317</v>
      </c>
      <c r="D339" s="49" t="str">
        <f t="shared" si="36"/>
        <v>Do</v>
      </c>
      <c r="E339" s="50">
        <f t="shared" si="37"/>
        <v>43</v>
      </c>
      <c r="F339" s="51" t="s">
        <v>121</v>
      </c>
      <c r="G339" s="52" t="s">
        <v>122</v>
      </c>
      <c r="H339" s="51" t="s">
        <v>76</v>
      </c>
      <c r="I339" s="51" t="s">
        <v>147</v>
      </c>
      <c r="J339" s="52"/>
      <c r="K339" s="53" t="str">
        <f>IF(G339="","",IFERROR(INDEX(Stammdaten!$P$10:$P$69,MATCH(G339,Stammdaten!$N$10:$N$69,0)),"–"))</f>
        <v>Personal</v>
      </c>
      <c r="L339" s="53" t="str">
        <f>IF(F339="","",IFERROR(INDEX(Stammdaten!$D$10:$D$49,MATCH(F339,Stammdaten!$B$10:$B$49,0)),"–"))</f>
        <v>Teamzone Süd</v>
      </c>
      <c r="M339" s="54" t="str">
        <f>IF(C339="","",IF(OR(F339="",G339="",I339=""),"unvollständig",IF(I339="Storniert","storniert",IF(WEEKDAY(C339,2)&gt;5,"Wochenende",IF(COUNTIF(Stammdaten!$AD$10:$AD$30,C339)&gt;0,"Feiertag",IF(IFERROR(INDEX(Stammdaten!$I$10:$I$49,MATCH(F339,Stammdaten!$B$10:$B$49,0)),"")="Gesperrt","Platz gesperrt",IF(AND(COUNTIF($P$6:$P$605,P339)&gt;1,NOT(AND(COUNTIF($P$6:$P$605,P339)=2,COUNTIFS($P$6:$P$605,P339,$H$6:$H$605,"Vormittag")=1,COUNTIFS($P$6:$P$605,P339,$H$6:$H$605,"Nachmittag")=1))),"Doppelbuchung",IF(AND(COUNTIF($R$6:$R$605,R339)&gt;1,NOT(AND(COUNTIF($R$6:$R$605,R339)=2,COUNTIFS($R$6:$R$605,R339,$H$6:$H$605,"Vormittag")=1,COUNTIFS($R$6:$R$605,R339,$H$6:$H$605,"Nachmittag")=1))),"Person doppelt","OK"))))))))</f>
        <v>OK</v>
      </c>
      <c r="O339" s="55">
        <f t="shared" si="38"/>
        <v>0</v>
      </c>
      <c r="P339" s="55" t="str">
        <f t="shared" si="39"/>
        <v>B-05|46317</v>
      </c>
      <c r="Q339" s="55" t="str">
        <f>IF(P339="","",P339&amp;"|"&amp;COUNTIF(P$6:P339,P339))</f>
        <v>B-05|46317|1</v>
      </c>
      <c r="R339" s="55" t="str">
        <f t="shared" si="40"/>
        <v>Niklas Wolf|46317</v>
      </c>
      <c r="S339" s="55" t="str">
        <f>IF(R339="","",R339&amp;"|"&amp;COUNTIF(R$6:R339,R339))</f>
        <v>Niklas Wolf|46317|1</v>
      </c>
      <c r="T339" s="55" t="str">
        <f>IF(G339="","",IFERROR(INDEX(Stammdaten!$O$10:$O$69,MATCH(G339,Stammdaten!$N$10:$N$69,0)),G339)&amp;IF(H339="Vormittag"," (VM)",IF(H339="Nachmittag"," (NM)",""))&amp;IF(I339="Angefragt"," ?",""))</f>
        <v>N. Wolf ?</v>
      </c>
      <c r="U339" s="55" t="str">
        <f t="shared" si="41"/>
        <v>B-05 ?</v>
      </c>
    </row>
    <row r="340" spans="2:21" ht="16.5" customHeight="1" x14ac:dyDescent="0.25">
      <c r="B340" s="47">
        <f t="shared" si="35"/>
        <v>335</v>
      </c>
      <c r="C340" s="48">
        <v>46317</v>
      </c>
      <c r="D340" s="49" t="str">
        <f t="shared" si="36"/>
        <v>Do</v>
      </c>
      <c r="E340" s="50">
        <f t="shared" si="37"/>
        <v>43</v>
      </c>
      <c r="F340" s="51" t="s">
        <v>96</v>
      </c>
      <c r="G340" s="52" t="s">
        <v>99</v>
      </c>
      <c r="H340" s="51" t="s">
        <v>76</v>
      </c>
      <c r="I340" s="51" t="s">
        <v>77</v>
      </c>
      <c r="J340" s="52"/>
      <c r="K340" s="53" t="str">
        <f>IF(G340="","",IFERROR(INDEX(Stammdaten!$P$10:$P$69,MATCH(G340,Stammdaten!$N$10:$N$69,0)),"–"))</f>
        <v>Finanzen</v>
      </c>
      <c r="L340" s="53" t="str">
        <f>IF(F340="","",IFERROR(INDEX(Stammdaten!$D$10:$D$49,MATCH(F340,Stammdaten!$B$10:$B$49,0)),"–"))</f>
        <v>Teamzone Süd</v>
      </c>
      <c r="M340" s="54" t="str">
        <f>IF(C340="","",IF(OR(F340="",G340="",I340=""),"unvollständig",IF(I340="Storniert","storniert",IF(WEEKDAY(C340,2)&gt;5,"Wochenende",IF(COUNTIF(Stammdaten!$AD$10:$AD$30,C340)&gt;0,"Feiertag",IF(IFERROR(INDEX(Stammdaten!$I$10:$I$49,MATCH(F340,Stammdaten!$B$10:$B$49,0)),"")="Gesperrt","Platz gesperrt",IF(AND(COUNTIF($P$6:$P$605,P340)&gt;1,NOT(AND(COUNTIF($P$6:$P$605,P340)=2,COUNTIFS($P$6:$P$605,P340,$H$6:$H$605,"Vormittag")=1,COUNTIFS($P$6:$P$605,P340,$H$6:$H$605,"Nachmittag")=1))),"Doppelbuchung",IF(AND(COUNTIF($R$6:$R$605,R340)&gt;1,NOT(AND(COUNTIF($R$6:$R$605,R340)=2,COUNTIFS($R$6:$R$605,R340,$H$6:$H$605,"Vormittag")=1,COUNTIFS($R$6:$R$605,R340,$H$6:$H$605,"Nachmittag")=1))),"Person doppelt","OK"))))))))</f>
        <v>OK</v>
      </c>
      <c r="O340" s="55">
        <f t="shared" si="38"/>
        <v>1</v>
      </c>
      <c r="P340" s="55" t="str">
        <f t="shared" si="39"/>
        <v>B-06|46317</v>
      </c>
      <c r="Q340" s="55" t="str">
        <f>IF(P340="","",P340&amp;"|"&amp;COUNTIF(P$6:P340,P340))</f>
        <v>B-06|46317|1</v>
      </c>
      <c r="R340" s="55" t="str">
        <f t="shared" si="40"/>
        <v>Erik Neumann|46317</v>
      </c>
      <c r="S340" s="55" t="str">
        <f>IF(R340="","",R340&amp;"|"&amp;COUNTIF(R$6:R340,R340))</f>
        <v>Erik Neumann|46317|1</v>
      </c>
      <c r="T340" s="55" t="str">
        <f>IF(G340="","",IFERROR(INDEX(Stammdaten!$O$10:$O$69,MATCH(G340,Stammdaten!$N$10:$N$69,0)),G340)&amp;IF(H340="Vormittag"," (VM)",IF(H340="Nachmittag"," (NM)",""))&amp;IF(I340="Angefragt"," ?",""))</f>
        <v>E. Neumann</v>
      </c>
      <c r="U340" s="55" t="str">
        <f t="shared" si="41"/>
        <v>B-06</v>
      </c>
    </row>
    <row r="341" spans="2:21" ht="16.5" customHeight="1" x14ac:dyDescent="0.25">
      <c r="B341" s="47">
        <f t="shared" si="35"/>
        <v>336</v>
      </c>
      <c r="C341" s="48">
        <v>46317</v>
      </c>
      <c r="D341" s="49" t="str">
        <f t="shared" si="36"/>
        <v>Do</v>
      </c>
      <c r="E341" s="50">
        <f t="shared" si="37"/>
        <v>43</v>
      </c>
      <c r="F341" s="51" t="s">
        <v>98</v>
      </c>
      <c r="G341" s="52" t="s">
        <v>120</v>
      </c>
      <c r="H341" s="51" t="s">
        <v>76</v>
      </c>
      <c r="I341" s="51" t="s">
        <v>77</v>
      </c>
      <c r="J341" s="52"/>
      <c r="K341" s="53" t="str">
        <f>IF(G341="","",IFERROR(INDEX(Stammdaten!$P$10:$P$69,MATCH(G341,Stammdaten!$N$10:$N$69,0)),"–"))</f>
        <v>Personal</v>
      </c>
      <c r="L341" s="53" t="str">
        <f>IF(F341="","",IFERROR(INDEX(Stammdaten!$D$10:$D$49,MATCH(F341,Stammdaten!$B$10:$B$49,0)),"–"))</f>
        <v>Teamzone Süd</v>
      </c>
      <c r="M341" s="54" t="str">
        <f>IF(C341="","",IF(OR(F341="",G341="",I341=""),"unvollständig",IF(I341="Storniert","storniert",IF(WEEKDAY(C341,2)&gt;5,"Wochenende",IF(COUNTIF(Stammdaten!$AD$10:$AD$30,C341)&gt;0,"Feiertag",IF(IFERROR(INDEX(Stammdaten!$I$10:$I$49,MATCH(F341,Stammdaten!$B$10:$B$49,0)),"")="Gesperrt","Platz gesperrt",IF(AND(COUNTIF($P$6:$P$605,P341)&gt;1,NOT(AND(COUNTIF($P$6:$P$605,P341)=2,COUNTIFS($P$6:$P$605,P341,$H$6:$H$605,"Vormittag")=1,COUNTIFS($P$6:$P$605,P341,$H$6:$H$605,"Nachmittag")=1))),"Doppelbuchung",IF(AND(COUNTIF($R$6:$R$605,R341)&gt;1,NOT(AND(COUNTIF($R$6:$R$605,R341)=2,COUNTIFS($R$6:$R$605,R341,$H$6:$H$605,"Vormittag")=1,COUNTIFS($R$6:$R$605,R341,$H$6:$H$605,"Nachmittag")=1))),"Person doppelt","OK"))))))))</f>
        <v>OK</v>
      </c>
      <c r="O341" s="55">
        <f t="shared" si="38"/>
        <v>1</v>
      </c>
      <c r="P341" s="55" t="str">
        <f t="shared" si="39"/>
        <v>B-08|46317</v>
      </c>
      <c r="Q341" s="55" t="str">
        <f>IF(P341="","",P341&amp;"|"&amp;COUNTIF(P$6:P341,P341))</f>
        <v>B-08|46317|1</v>
      </c>
      <c r="R341" s="55" t="str">
        <f t="shared" si="40"/>
        <v>Elif Yilmaz|46317</v>
      </c>
      <c r="S341" s="55" t="str">
        <f>IF(R341="","",R341&amp;"|"&amp;COUNTIF(R$6:R341,R341))</f>
        <v>Elif Yilmaz|46317|1</v>
      </c>
      <c r="T341" s="55" t="str">
        <f>IF(G341="","",IFERROR(INDEX(Stammdaten!$O$10:$O$69,MATCH(G341,Stammdaten!$N$10:$N$69,0)),G341)&amp;IF(H341="Vormittag"," (VM)",IF(H341="Nachmittag"," (NM)",""))&amp;IF(I341="Angefragt"," ?",""))</f>
        <v>E. Yilmaz</v>
      </c>
      <c r="U341" s="55" t="str">
        <f t="shared" si="41"/>
        <v>B-08</v>
      </c>
    </row>
    <row r="342" spans="2:21" ht="16.5" customHeight="1" x14ac:dyDescent="0.25">
      <c r="B342" s="47">
        <f t="shared" si="35"/>
        <v>337</v>
      </c>
      <c r="C342" s="48">
        <v>46317</v>
      </c>
      <c r="D342" s="49" t="str">
        <f t="shared" si="36"/>
        <v>Do</v>
      </c>
      <c r="E342" s="50">
        <f t="shared" si="37"/>
        <v>43</v>
      </c>
      <c r="F342" s="51" t="s">
        <v>100</v>
      </c>
      <c r="G342" s="52" t="s">
        <v>131</v>
      </c>
      <c r="H342" s="51" t="s">
        <v>76</v>
      </c>
      <c r="I342" s="51" t="s">
        <v>77</v>
      </c>
      <c r="J342" s="52"/>
      <c r="K342" s="53" t="str">
        <f>IF(G342="","",IFERROR(INDEX(Stammdaten!$P$10:$P$69,MATCH(G342,Stammdaten!$N$10:$N$69,0)),"–"))</f>
        <v>Finanzen</v>
      </c>
      <c r="L342" s="53" t="str">
        <f>IF(F342="","",IFERROR(INDEX(Stammdaten!$D$10:$D$49,MATCH(F342,Stammdaten!$B$10:$B$49,0)),"–"))</f>
        <v>Projektfläche</v>
      </c>
      <c r="M342" s="54" t="str">
        <f>IF(C342="","",IF(OR(F342="",G342="",I342=""),"unvollständig",IF(I342="Storniert","storniert",IF(WEEKDAY(C342,2)&gt;5,"Wochenende",IF(COUNTIF(Stammdaten!$AD$10:$AD$30,C342)&gt;0,"Feiertag",IF(IFERROR(INDEX(Stammdaten!$I$10:$I$49,MATCH(F342,Stammdaten!$B$10:$B$49,0)),"")="Gesperrt","Platz gesperrt",IF(AND(COUNTIF($P$6:$P$605,P342)&gt;1,NOT(AND(COUNTIF($P$6:$P$605,P342)=2,COUNTIFS($P$6:$P$605,P342,$H$6:$H$605,"Vormittag")=1,COUNTIFS($P$6:$P$605,P342,$H$6:$H$605,"Nachmittag")=1))),"Doppelbuchung",IF(AND(COUNTIF($R$6:$R$605,R342)&gt;1,NOT(AND(COUNTIF($R$6:$R$605,R342)=2,COUNTIFS($R$6:$R$605,R342,$H$6:$H$605,"Vormittag")=1,COUNTIFS($R$6:$R$605,R342,$H$6:$H$605,"Nachmittag")=1))),"Person doppelt","OK"))))))))</f>
        <v>OK</v>
      </c>
      <c r="O342" s="55">
        <f t="shared" si="38"/>
        <v>1</v>
      </c>
      <c r="P342" s="55" t="str">
        <f t="shared" si="39"/>
        <v>B-09|46317</v>
      </c>
      <c r="Q342" s="55" t="str">
        <f>IF(P342="","",P342&amp;"|"&amp;COUNTIF(P$6:P342,P342))</f>
        <v>B-09|46317|1</v>
      </c>
      <c r="R342" s="55" t="str">
        <f t="shared" si="40"/>
        <v>Leon Fuchs|46317</v>
      </c>
      <c r="S342" s="55" t="str">
        <f>IF(R342="","",R342&amp;"|"&amp;COUNTIF(R$6:R342,R342))</f>
        <v>Leon Fuchs|46317|1</v>
      </c>
      <c r="T342" s="55" t="str">
        <f>IF(G342="","",IFERROR(INDEX(Stammdaten!$O$10:$O$69,MATCH(G342,Stammdaten!$N$10:$N$69,0)),G342)&amp;IF(H342="Vormittag"," (VM)",IF(H342="Nachmittag"," (NM)",""))&amp;IF(I342="Angefragt"," ?",""))</f>
        <v>L. Fuchs</v>
      </c>
      <c r="U342" s="55" t="str">
        <f t="shared" si="41"/>
        <v>B-09</v>
      </c>
    </row>
    <row r="343" spans="2:21" ht="16.5" customHeight="1" x14ac:dyDescent="0.25">
      <c r="B343" s="47">
        <f t="shared" si="35"/>
        <v>338</v>
      </c>
      <c r="C343" s="48">
        <v>46317</v>
      </c>
      <c r="D343" s="49" t="str">
        <f t="shared" si="36"/>
        <v>Do</v>
      </c>
      <c r="E343" s="50">
        <f t="shared" si="37"/>
        <v>43</v>
      </c>
      <c r="F343" s="51" t="s">
        <v>102</v>
      </c>
      <c r="G343" s="52" t="s">
        <v>107</v>
      </c>
      <c r="H343" s="51" t="s">
        <v>76</v>
      </c>
      <c r="I343" s="51" t="s">
        <v>147</v>
      </c>
      <c r="J343" s="52"/>
      <c r="K343" s="53" t="str">
        <f>IF(G343="","",IFERROR(INDEX(Stammdaten!$P$10:$P$69,MATCH(G343,Stammdaten!$N$10:$N$69,0)),"–"))</f>
        <v>IT</v>
      </c>
      <c r="L343" s="53" t="str">
        <f>IF(F343="","",IFERROR(INDEX(Stammdaten!$D$10:$D$49,MATCH(F343,Stammdaten!$B$10:$B$49,0)),"–"))</f>
        <v>Projektfläche</v>
      </c>
      <c r="M343" s="54" t="str">
        <f>IF(C343="","",IF(OR(F343="",G343="",I343=""),"unvollständig",IF(I343="Storniert","storniert",IF(WEEKDAY(C343,2)&gt;5,"Wochenende",IF(COUNTIF(Stammdaten!$AD$10:$AD$30,C343)&gt;0,"Feiertag",IF(IFERROR(INDEX(Stammdaten!$I$10:$I$49,MATCH(F343,Stammdaten!$B$10:$B$49,0)),"")="Gesperrt","Platz gesperrt",IF(AND(COUNTIF($P$6:$P$605,P343)&gt;1,NOT(AND(COUNTIF($P$6:$P$605,P343)=2,COUNTIFS($P$6:$P$605,P343,$H$6:$H$605,"Vormittag")=1,COUNTIFS($P$6:$P$605,P343,$H$6:$H$605,"Nachmittag")=1))),"Doppelbuchung",IF(AND(COUNTIF($R$6:$R$605,R343)&gt;1,NOT(AND(COUNTIF($R$6:$R$605,R343)=2,COUNTIFS($R$6:$R$605,R343,$H$6:$H$605,"Vormittag")=1,COUNTIFS($R$6:$R$605,R343,$H$6:$H$605,"Nachmittag")=1))),"Person doppelt","OK"))))))))</f>
        <v>OK</v>
      </c>
      <c r="O343" s="55">
        <f t="shared" si="38"/>
        <v>0</v>
      </c>
      <c r="P343" s="55" t="str">
        <f t="shared" si="39"/>
        <v>B-10|46317</v>
      </c>
      <c r="Q343" s="55" t="str">
        <f>IF(P343="","",P343&amp;"|"&amp;COUNTIF(P$6:P343,P343))</f>
        <v>B-10|46317|1</v>
      </c>
      <c r="R343" s="55" t="str">
        <f t="shared" si="40"/>
        <v>Katharina Busch|46317</v>
      </c>
      <c r="S343" s="55" t="str">
        <f>IF(R343="","",R343&amp;"|"&amp;COUNTIF(R$6:R343,R343))</f>
        <v>Katharina Busch|46317|1</v>
      </c>
      <c r="T343" s="55" t="str">
        <f>IF(G343="","",IFERROR(INDEX(Stammdaten!$O$10:$O$69,MATCH(G343,Stammdaten!$N$10:$N$69,0)),G343)&amp;IF(H343="Vormittag"," (VM)",IF(H343="Nachmittag"," (NM)",""))&amp;IF(I343="Angefragt"," ?",""))</f>
        <v>K. Busch ?</v>
      </c>
      <c r="U343" s="55" t="str">
        <f t="shared" si="41"/>
        <v>B-10 ?</v>
      </c>
    </row>
    <row r="344" spans="2:21" ht="16.5" customHeight="1" x14ac:dyDescent="0.25">
      <c r="B344" s="47">
        <f t="shared" si="35"/>
        <v>339</v>
      </c>
      <c r="C344" s="48">
        <v>46317</v>
      </c>
      <c r="D344" s="49" t="str">
        <f t="shared" si="36"/>
        <v>Do</v>
      </c>
      <c r="E344" s="50">
        <f t="shared" si="37"/>
        <v>43</v>
      </c>
      <c r="F344" s="51" t="s">
        <v>104</v>
      </c>
      <c r="G344" s="52" t="s">
        <v>105</v>
      </c>
      <c r="H344" s="51" t="s">
        <v>76</v>
      </c>
      <c r="I344" s="51" t="s">
        <v>77</v>
      </c>
      <c r="J344" s="52"/>
      <c r="K344" s="53" t="str">
        <f>IF(G344="","",IFERROR(INDEX(Stammdaten!$P$10:$P$69,MATCH(G344,Stammdaten!$N$10:$N$69,0)),"–"))</f>
        <v>Projektmanagement</v>
      </c>
      <c r="L344" s="53" t="str">
        <f>IF(F344="","",IFERROR(INDEX(Stammdaten!$D$10:$D$49,MATCH(F344,Stammdaten!$B$10:$B$49,0)),"–"))</f>
        <v>Projektfläche</v>
      </c>
      <c r="M344" s="54" t="str">
        <f>IF(C344="","",IF(OR(F344="",G344="",I344=""),"unvollständig",IF(I344="Storniert","storniert",IF(WEEKDAY(C344,2)&gt;5,"Wochenende",IF(COUNTIF(Stammdaten!$AD$10:$AD$30,C344)&gt;0,"Feiertag",IF(IFERROR(INDEX(Stammdaten!$I$10:$I$49,MATCH(F344,Stammdaten!$B$10:$B$49,0)),"")="Gesperrt","Platz gesperrt",IF(AND(COUNTIF($P$6:$P$605,P344)&gt;1,NOT(AND(COUNTIF($P$6:$P$605,P344)=2,COUNTIFS($P$6:$P$605,P344,$H$6:$H$605,"Vormittag")=1,COUNTIFS($P$6:$P$605,P344,$H$6:$H$605,"Nachmittag")=1))),"Doppelbuchung",IF(AND(COUNTIF($R$6:$R$605,R344)&gt;1,NOT(AND(COUNTIF($R$6:$R$605,R344)=2,COUNTIFS($R$6:$R$605,R344,$H$6:$H$605,"Vormittag")=1,COUNTIFS($R$6:$R$605,R344,$H$6:$H$605,"Nachmittag")=1))),"Person doppelt","OK"))))))))</f>
        <v>OK</v>
      </c>
      <c r="O344" s="55">
        <f t="shared" si="38"/>
        <v>1</v>
      </c>
      <c r="P344" s="55" t="str">
        <f t="shared" si="39"/>
        <v>B-11|46317</v>
      </c>
      <c r="Q344" s="55" t="str">
        <f>IF(P344="","",P344&amp;"|"&amp;COUNTIF(P$6:P344,P344))</f>
        <v>B-11|46317|1</v>
      </c>
      <c r="R344" s="55" t="str">
        <f t="shared" si="40"/>
        <v>Philipp Haas|46317</v>
      </c>
      <c r="S344" s="55" t="str">
        <f>IF(R344="","",R344&amp;"|"&amp;COUNTIF(R$6:R344,R344))</f>
        <v>Philipp Haas|46317|1</v>
      </c>
      <c r="T344" s="55" t="str">
        <f>IF(G344="","",IFERROR(INDEX(Stammdaten!$O$10:$O$69,MATCH(G344,Stammdaten!$N$10:$N$69,0)),G344)&amp;IF(H344="Vormittag"," (VM)",IF(H344="Nachmittag"," (NM)",""))&amp;IF(I344="Angefragt"," ?",""))</f>
        <v>P. Haas</v>
      </c>
      <c r="U344" s="55" t="str">
        <f t="shared" si="41"/>
        <v>B-11</v>
      </c>
    </row>
    <row r="345" spans="2:21" ht="16.5" customHeight="1" x14ac:dyDescent="0.25">
      <c r="B345" s="47">
        <f t="shared" si="35"/>
        <v>340</v>
      </c>
      <c r="C345" s="48">
        <v>46317</v>
      </c>
      <c r="D345" s="49" t="str">
        <f t="shared" si="36"/>
        <v>Do</v>
      </c>
      <c r="E345" s="50">
        <f t="shared" si="37"/>
        <v>43</v>
      </c>
      <c r="F345" s="51" t="s">
        <v>106</v>
      </c>
      <c r="G345" s="52" t="s">
        <v>132</v>
      </c>
      <c r="H345" s="51" t="s">
        <v>133</v>
      </c>
      <c r="I345" s="51" t="s">
        <v>77</v>
      </c>
      <c r="J345" s="52" t="s">
        <v>128</v>
      </c>
      <c r="K345" s="53" t="str">
        <f>IF(G345="","",IFERROR(INDEX(Stammdaten!$P$10:$P$69,MATCH(G345,Stammdaten!$N$10:$N$69,0)),"–"))</f>
        <v>Projektmanagement</v>
      </c>
      <c r="L345" s="53" t="str">
        <f>IF(F345="","",IFERROR(INDEX(Stammdaten!$D$10:$D$49,MATCH(F345,Stammdaten!$B$10:$B$49,0)),"–"))</f>
        <v>Projektfläche</v>
      </c>
      <c r="M345" s="54" t="str">
        <f>IF(C345="","",IF(OR(F345="",G345="",I345=""),"unvollständig",IF(I345="Storniert","storniert",IF(WEEKDAY(C345,2)&gt;5,"Wochenende",IF(COUNTIF(Stammdaten!$AD$10:$AD$30,C345)&gt;0,"Feiertag",IF(IFERROR(INDEX(Stammdaten!$I$10:$I$49,MATCH(F345,Stammdaten!$B$10:$B$49,0)),"")="Gesperrt","Platz gesperrt",IF(AND(COUNTIF($P$6:$P$605,P345)&gt;1,NOT(AND(COUNTIF($P$6:$P$605,P345)=2,COUNTIFS($P$6:$P$605,P345,$H$6:$H$605,"Vormittag")=1,COUNTIFS($P$6:$P$605,P345,$H$6:$H$605,"Nachmittag")=1))),"Doppelbuchung",IF(AND(COUNTIF($R$6:$R$605,R345)&gt;1,NOT(AND(COUNTIF($R$6:$R$605,R345)=2,COUNTIFS($R$6:$R$605,R345,$H$6:$H$605,"Vormittag")=1,COUNTIFS($R$6:$R$605,R345,$H$6:$H$605,"Nachmittag")=1))),"Person doppelt","OK"))))))))</f>
        <v>OK</v>
      </c>
      <c r="O345" s="55">
        <f t="shared" si="38"/>
        <v>0.5</v>
      </c>
      <c r="P345" s="55" t="str">
        <f t="shared" si="39"/>
        <v>B-12|46317</v>
      </c>
      <c r="Q345" s="55" t="str">
        <f>IF(P345="","",P345&amp;"|"&amp;COUNTIF(P$6:P345,P345))</f>
        <v>B-12|46317|1</v>
      </c>
      <c r="R345" s="55" t="str">
        <f t="shared" si="40"/>
        <v>Vanessa Kraft|46317</v>
      </c>
      <c r="S345" s="55" t="str">
        <f>IF(R345="","",R345&amp;"|"&amp;COUNTIF(R$6:R345,R345))</f>
        <v>Vanessa Kraft|46317|1</v>
      </c>
      <c r="T345" s="55" t="str">
        <f>IF(G345="","",IFERROR(INDEX(Stammdaten!$O$10:$O$69,MATCH(G345,Stammdaten!$N$10:$N$69,0)),G345)&amp;IF(H345="Vormittag"," (VM)",IF(H345="Nachmittag"," (NM)",""))&amp;IF(I345="Angefragt"," ?",""))</f>
        <v>V. Kraft (VM)</v>
      </c>
      <c r="U345" s="55" t="str">
        <f t="shared" si="41"/>
        <v>B-12 (VM)</v>
      </c>
    </row>
    <row r="346" spans="2:21" ht="16.5" customHeight="1" x14ac:dyDescent="0.25">
      <c r="B346" s="47">
        <f t="shared" si="35"/>
        <v>341</v>
      </c>
      <c r="C346" s="48">
        <v>46317</v>
      </c>
      <c r="D346" s="49" t="str">
        <f t="shared" si="36"/>
        <v>Do</v>
      </c>
      <c r="E346" s="50">
        <f t="shared" si="37"/>
        <v>43</v>
      </c>
      <c r="F346" s="51" t="s">
        <v>106</v>
      </c>
      <c r="G346" s="52" t="s">
        <v>101</v>
      </c>
      <c r="H346" s="51" t="s">
        <v>134</v>
      </c>
      <c r="I346" s="51" t="s">
        <v>77</v>
      </c>
      <c r="J346" s="52" t="s">
        <v>135</v>
      </c>
      <c r="K346" s="53" t="str">
        <f>IF(G346="","",IFERROR(INDEX(Stammdaten!$P$10:$P$69,MATCH(G346,Stammdaten!$N$10:$N$69,0)),"–"))</f>
        <v>IT</v>
      </c>
      <c r="L346" s="53" t="str">
        <f>IF(F346="","",IFERROR(INDEX(Stammdaten!$D$10:$D$49,MATCH(F346,Stammdaten!$B$10:$B$49,0)),"–"))</f>
        <v>Projektfläche</v>
      </c>
      <c r="M346" s="54" t="str">
        <f>IF(C346="","",IF(OR(F346="",G346="",I346=""),"unvollständig",IF(I346="Storniert","storniert",IF(WEEKDAY(C346,2)&gt;5,"Wochenende",IF(COUNTIF(Stammdaten!$AD$10:$AD$30,C346)&gt;0,"Feiertag",IF(IFERROR(INDEX(Stammdaten!$I$10:$I$49,MATCH(F346,Stammdaten!$B$10:$B$49,0)),"")="Gesperrt","Platz gesperrt",IF(AND(COUNTIF($P$6:$P$605,P346)&gt;1,NOT(AND(COUNTIF($P$6:$P$605,P346)=2,COUNTIFS($P$6:$P$605,P346,$H$6:$H$605,"Vormittag")=1,COUNTIFS($P$6:$P$605,P346,$H$6:$H$605,"Nachmittag")=1))),"Doppelbuchung",IF(AND(COUNTIF($R$6:$R$605,R346)&gt;1,NOT(AND(COUNTIF($R$6:$R$605,R346)=2,COUNTIFS($R$6:$R$605,R346,$H$6:$H$605,"Vormittag")=1,COUNTIFS($R$6:$R$605,R346,$H$6:$H$605,"Nachmittag")=1))),"Person doppelt","OK"))))))))</f>
        <v>OK</v>
      </c>
      <c r="O346" s="55">
        <f t="shared" si="38"/>
        <v>0.5</v>
      </c>
      <c r="P346" s="55" t="str">
        <f t="shared" si="39"/>
        <v>B-12|46317</v>
      </c>
      <c r="Q346" s="55" t="str">
        <f>IF(P346="","",P346&amp;"|"&amp;COUNTIF(P$6:P346,P346))</f>
        <v>B-12|46317|2</v>
      </c>
      <c r="R346" s="55" t="str">
        <f t="shared" si="40"/>
        <v>Daniel Ritter|46317</v>
      </c>
      <c r="S346" s="55" t="str">
        <f>IF(R346="","",R346&amp;"|"&amp;COUNTIF(R$6:R346,R346))</f>
        <v>Daniel Ritter|46317|1</v>
      </c>
      <c r="T346" s="55" t="str">
        <f>IF(G346="","",IFERROR(INDEX(Stammdaten!$O$10:$O$69,MATCH(G346,Stammdaten!$N$10:$N$69,0)),G346)&amp;IF(H346="Vormittag"," (VM)",IF(H346="Nachmittag"," (NM)",""))&amp;IF(I346="Angefragt"," ?",""))</f>
        <v>D. Ritter (NM)</v>
      </c>
      <c r="U346" s="55" t="str">
        <f t="shared" si="41"/>
        <v>B-12 (NM)</v>
      </c>
    </row>
    <row r="347" spans="2:21" ht="16.5" customHeight="1" x14ac:dyDescent="0.25">
      <c r="B347" s="47">
        <f t="shared" si="35"/>
        <v>342</v>
      </c>
      <c r="C347" s="48">
        <v>46318</v>
      </c>
      <c r="D347" s="49" t="str">
        <f t="shared" si="36"/>
        <v>Fr</v>
      </c>
      <c r="E347" s="50">
        <f t="shared" si="37"/>
        <v>43</v>
      </c>
      <c r="F347" s="51" t="s">
        <v>74</v>
      </c>
      <c r="G347" s="52" t="s">
        <v>75</v>
      </c>
      <c r="H347" s="51" t="s">
        <v>76</v>
      </c>
      <c r="I347" s="51" t="s">
        <v>77</v>
      </c>
      <c r="J347" s="52"/>
      <c r="K347" s="53" t="str">
        <f>IF(G347="","",IFERROR(INDEX(Stammdaten!$P$10:$P$69,MATCH(G347,Stammdaten!$N$10:$N$69,0)),"–"))</f>
        <v>Marketing</v>
      </c>
      <c r="L347" s="53" t="str">
        <f>IF(F347="","",IFERROR(INDEX(Stammdaten!$D$10:$D$49,MATCH(F347,Stammdaten!$B$10:$B$49,0)),"–"))</f>
        <v>Teamzone Nord</v>
      </c>
      <c r="M347" s="54" t="str">
        <f>IF(C347="","",IF(OR(F347="",G347="",I347=""),"unvollständig",IF(I347="Storniert","storniert",IF(WEEKDAY(C347,2)&gt;5,"Wochenende",IF(COUNTIF(Stammdaten!$AD$10:$AD$30,C347)&gt;0,"Feiertag",IF(IFERROR(INDEX(Stammdaten!$I$10:$I$49,MATCH(F347,Stammdaten!$B$10:$B$49,0)),"")="Gesperrt","Platz gesperrt",IF(AND(COUNTIF($P$6:$P$605,P347)&gt;1,NOT(AND(COUNTIF($P$6:$P$605,P347)=2,COUNTIFS($P$6:$P$605,P347,$H$6:$H$605,"Vormittag")=1,COUNTIFS($P$6:$P$605,P347,$H$6:$H$605,"Nachmittag")=1))),"Doppelbuchung",IF(AND(COUNTIF($R$6:$R$605,R347)&gt;1,NOT(AND(COUNTIF($R$6:$R$605,R347)=2,COUNTIFS($R$6:$R$605,R347,$H$6:$H$605,"Vormittag")=1,COUNTIFS($R$6:$R$605,R347,$H$6:$H$605,"Nachmittag")=1))),"Person doppelt","OK"))))))))</f>
        <v>OK</v>
      </c>
      <c r="O347" s="55">
        <f t="shared" si="38"/>
        <v>1</v>
      </c>
      <c r="P347" s="55" t="str">
        <f t="shared" si="39"/>
        <v>A-01|46318</v>
      </c>
      <c r="Q347" s="55" t="str">
        <f>IF(P347="","",P347&amp;"|"&amp;COUNTIF(P$6:P347,P347))</f>
        <v>A-01|46318|1</v>
      </c>
      <c r="R347" s="55" t="str">
        <f t="shared" si="40"/>
        <v>Marco Seidel|46318</v>
      </c>
      <c r="S347" s="55" t="str">
        <f>IF(R347="","",R347&amp;"|"&amp;COUNTIF(R$6:R347,R347))</f>
        <v>Marco Seidel|46318|1</v>
      </c>
      <c r="T347" s="55" t="str">
        <f>IF(G347="","",IFERROR(INDEX(Stammdaten!$O$10:$O$69,MATCH(G347,Stammdaten!$N$10:$N$69,0)),G347)&amp;IF(H347="Vormittag"," (VM)",IF(H347="Nachmittag"," (NM)",""))&amp;IF(I347="Angefragt"," ?",""))</f>
        <v>M. Seidel</v>
      </c>
      <c r="U347" s="55" t="str">
        <f t="shared" si="41"/>
        <v>A-01</v>
      </c>
    </row>
    <row r="348" spans="2:21" ht="16.5" customHeight="1" x14ac:dyDescent="0.25">
      <c r="B348" s="47">
        <f t="shared" si="35"/>
        <v>343</v>
      </c>
      <c r="C348" s="48">
        <v>46318</v>
      </c>
      <c r="D348" s="49" t="str">
        <f t="shared" si="36"/>
        <v>Fr</v>
      </c>
      <c r="E348" s="50">
        <f t="shared" si="37"/>
        <v>43</v>
      </c>
      <c r="F348" s="51" t="s">
        <v>78</v>
      </c>
      <c r="G348" s="52" t="s">
        <v>83</v>
      </c>
      <c r="H348" s="51" t="s">
        <v>76</v>
      </c>
      <c r="I348" s="51" t="s">
        <v>77</v>
      </c>
      <c r="J348" s="52"/>
      <c r="K348" s="53" t="str">
        <f>IF(G348="","",IFERROR(INDEX(Stammdaten!$P$10:$P$69,MATCH(G348,Stammdaten!$N$10:$N$69,0)),"–"))</f>
        <v>Marketing</v>
      </c>
      <c r="L348" s="53" t="str">
        <f>IF(F348="","",IFERROR(INDEX(Stammdaten!$D$10:$D$49,MATCH(F348,Stammdaten!$B$10:$B$49,0)),"–"))</f>
        <v>Teamzone Nord</v>
      </c>
      <c r="M348" s="54" t="str">
        <f>IF(C348="","",IF(OR(F348="",G348="",I348=""),"unvollständig",IF(I348="Storniert","storniert",IF(WEEKDAY(C348,2)&gt;5,"Wochenende",IF(COUNTIF(Stammdaten!$AD$10:$AD$30,C348)&gt;0,"Feiertag",IF(IFERROR(INDEX(Stammdaten!$I$10:$I$49,MATCH(F348,Stammdaten!$B$10:$B$49,0)),"")="Gesperrt","Platz gesperrt",IF(AND(COUNTIF($P$6:$P$605,P348)&gt;1,NOT(AND(COUNTIF($P$6:$P$605,P348)=2,COUNTIFS($P$6:$P$605,P348,$H$6:$H$605,"Vormittag")=1,COUNTIFS($P$6:$P$605,P348,$H$6:$H$605,"Nachmittag")=1))),"Doppelbuchung",IF(AND(COUNTIF($R$6:$R$605,R348)&gt;1,NOT(AND(COUNTIF($R$6:$R$605,R348)=2,COUNTIFS($R$6:$R$605,R348,$H$6:$H$605,"Vormittag")=1,COUNTIFS($R$6:$R$605,R348,$H$6:$H$605,"Nachmittag")=1))),"Person doppelt","OK"))))))))</f>
        <v>OK</v>
      </c>
      <c r="O348" s="55">
        <f t="shared" si="38"/>
        <v>1</v>
      </c>
      <c r="P348" s="55" t="str">
        <f t="shared" si="39"/>
        <v>A-02|46318</v>
      </c>
      <c r="Q348" s="55" t="str">
        <f>IF(P348="","",P348&amp;"|"&amp;COUNTIF(P$6:P348,P348))</f>
        <v>A-02|46318|1</v>
      </c>
      <c r="R348" s="55" t="str">
        <f t="shared" si="40"/>
        <v>Felix Engel|46318</v>
      </c>
      <c r="S348" s="55" t="str">
        <f>IF(R348="","",R348&amp;"|"&amp;COUNTIF(R$6:R348,R348))</f>
        <v>Felix Engel|46318|1</v>
      </c>
      <c r="T348" s="55" t="str">
        <f>IF(G348="","",IFERROR(INDEX(Stammdaten!$O$10:$O$69,MATCH(G348,Stammdaten!$N$10:$N$69,0)),G348)&amp;IF(H348="Vormittag"," (VM)",IF(H348="Nachmittag"," (NM)",""))&amp;IF(I348="Angefragt"," ?",""))</f>
        <v>F. Engel</v>
      </c>
      <c r="U348" s="55" t="str">
        <f t="shared" si="41"/>
        <v>A-02</v>
      </c>
    </row>
    <row r="349" spans="2:21" ht="16.5" customHeight="1" x14ac:dyDescent="0.25">
      <c r="B349" s="47">
        <f t="shared" si="35"/>
        <v>344</v>
      </c>
      <c r="C349" s="48">
        <v>46318</v>
      </c>
      <c r="D349" s="49" t="str">
        <f t="shared" si="36"/>
        <v>Fr</v>
      </c>
      <c r="E349" s="50">
        <f t="shared" si="37"/>
        <v>43</v>
      </c>
      <c r="F349" s="51" t="s">
        <v>110</v>
      </c>
      <c r="G349" s="52" t="s">
        <v>111</v>
      </c>
      <c r="H349" s="51" t="s">
        <v>76</v>
      </c>
      <c r="I349" s="51" t="s">
        <v>77</v>
      </c>
      <c r="J349" s="52"/>
      <c r="K349" s="53" t="str">
        <f>IF(G349="","",IFERROR(INDEX(Stammdaten!$P$10:$P$69,MATCH(G349,Stammdaten!$N$10:$N$69,0)),"–"))</f>
        <v>Vertrieb</v>
      </c>
      <c r="L349" s="53" t="str">
        <f>IF(F349="","",IFERROR(INDEX(Stammdaten!$D$10:$D$49,MATCH(F349,Stammdaten!$B$10:$B$49,0)),"–"))</f>
        <v>Teamzone Nord</v>
      </c>
      <c r="M349" s="54" t="str">
        <f>IF(C349="","",IF(OR(F349="",G349="",I349=""),"unvollständig",IF(I349="Storniert","storniert",IF(WEEKDAY(C349,2)&gt;5,"Wochenende",IF(COUNTIF(Stammdaten!$AD$10:$AD$30,C349)&gt;0,"Feiertag",IF(IFERROR(INDEX(Stammdaten!$I$10:$I$49,MATCH(F349,Stammdaten!$B$10:$B$49,0)),"")="Gesperrt","Platz gesperrt",IF(AND(COUNTIF($P$6:$P$605,P349)&gt;1,NOT(AND(COUNTIF($P$6:$P$605,P349)=2,COUNTIFS($P$6:$P$605,P349,$H$6:$H$605,"Vormittag")=1,COUNTIFS($P$6:$P$605,P349,$H$6:$H$605,"Nachmittag")=1))),"Doppelbuchung",IF(AND(COUNTIF($R$6:$R$605,R349)&gt;1,NOT(AND(COUNTIF($R$6:$R$605,R349)=2,COUNTIFS($R$6:$R$605,R349,$H$6:$H$605,"Vormittag")=1,COUNTIFS($R$6:$R$605,R349,$H$6:$H$605,"Nachmittag")=1))),"Person doppelt","OK"))))))))</f>
        <v>OK</v>
      </c>
      <c r="O349" s="55">
        <f t="shared" si="38"/>
        <v>1</v>
      </c>
      <c r="P349" s="55" t="str">
        <f t="shared" si="39"/>
        <v>A-04|46318</v>
      </c>
      <c r="Q349" s="55" t="str">
        <f>IF(P349="","",P349&amp;"|"&amp;COUNTIF(P$6:P349,P349))</f>
        <v>A-04|46318|1</v>
      </c>
      <c r="R349" s="55" t="str">
        <f t="shared" si="40"/>
        <v>Sophie Brandt|46318</v>
      </c>
      <c r="S349" s="55" t="str">
        <f>IF(R349="","",R349&amp;"|"&amp;COUNTIF(R$6:R349,R349))</f>
        <v>Sophie Brandt|46318|1</v>
      </c>
      <c r="T349" s="55" t="str">
        <f>IF(G349="","",IFERROR(INDEX(Stammdaten!$O$10:$O$69,MATCH(G349,Stammdaten!$N$10:$N$69,0)),G349)&amp;IF(H349="Vormittag"," (VM)",IF(H349="Nachmittag"," (NM)",""))&amp;IF(I349="Angefragt"," ?",""))</f>
        <v>S. Brandt</v>
      </c>
      <c r="U349" s="55" t="str">
        <f t="shared" si="41"/>
        <v>A-04</v>
      </c>
    </row>
    <row r="350" spans="2:21" ht="16.5" customHeight="1" x14ac:dyDescent="0.25">
      <c r="B350" s="47">
        <f t="shared" si="35"/>
        <v>345</v>
      </c>
      <c r="C350" s="48">
        <v>46318</v>
      </c>
      <c r="D350" s="49" t="str">
        <f t="shared" si="36"/>
        <v>Fr</v>
      </c>
      <c r="E350" s="50">
        <f t="shared" si="37"/>
        <v>43</v>
      </c>
      <c r="F350" s="51" t="s">
        <v>80</v>
      </c>
      <c r="G350" s="52" t="s">
        <v>112</v>
      </c>
      <c r="H350" s="51" t="s">
        <v>76</v>
      </c>
      <c r="I350" s="51" t="s">
        <v>147</v>
      </c>
      <c r="J350" s="52"/>
      <c r="K350" s="53" t="str">
        <f>IF(G350="","",IFERROR(INDEX(Stammdaten!$P$10:$P$69,MATCH(G350,Stammdaten!$N$10:$N$69,0)),"–"))</f>
        <v>Marketing</v>
      </c>
      <c r="L350" s="53" t="str">
        <f>IF(F350="","",IFERROR(INDEX(Stammdaten!$D$10:$D$49,MATCH(F350,Stammdaten!$B$10:$B$49,0)),"–"))</f>
        <v>Teamzone Nord</v>
      </c>
      <c r="M350" s="54" t="str">
        <f>IF(C350="","",IF(OR(F350="",G350="",I350=""),"unvollständig",IF(I350="Storniert","storniert",IF(WEEKDAY(C350,2)&gt;5,"Wochenende",IF(COUNTIF(Stammdaten!$AD$10:$AD$30,C350)&gt;0,"Feiertag",IF(IFERROR(INDEX(Stammdaten!$I$10:$I$49,MATCH(F350,Stammdaten!$B$10:$B$49,0)),"")="Gesperrt","Platz gesperrt",IF(AND(COUNTIF($P$6:$P$605,P350)&gt;1,NOT(AND(COUNTIF($P$6:$P$605,P350)=2,COUNTIFS($P$6:$P$605,P350,$H$6:$H$605,"Vormittag")=1,COUNTIFS($P$6:$P$605,P350,$H$6:$H$605,"Nachmittag")=1))),"Doppelbuchung",IF(AND(COUNTIF($R$6:$R$605,R350)&gt;1,NOT(AND(COUNTIF($R$6:$R$605,R350)=2,COUNTIFS($R$6:$R$605,R350,$H$6:$H$605,"Vormittag")=1,COUNTIFS($R$6:$R$605,R350,$H$6:$H$605,"Nachmittag")=1))),"Person doppelt","OK"))))))))</f>
        <v>OK</v>
      </c>
      <c r="O350" s="55">
        <f t="shared" si="38"/>
        <v>0</v>
      </c>
      <c r="P350" s="55" t="str">
        <f t="shared" si="39"/>
        <v>A-05|46318</v>
      </c>
      <c r="Q350" s="55" t="str">
        <f>IF(P350="","",P350&amp;"|"&amp;COUNTIF(P$6:P350,P350))</f>
        <v>A-05|46318|1</v>
      </c>
      <c r="R350" s="55" t="str">
        <f t="shared" si="40"/>
        <v>Clara Vogt|46318</v>
      </c>
      <c r="S350" s="55" t="str">
        <f>IF(R350="","",R350&amp;"|"&amp;COUNTIF(R$6:R350,R350))</f>
        <v>Clara Vogt|46318|1</v>
      </c>
      <c r="T350" s="55" t="str">
        <f>IF(G350="","",IFERROR(INDEX(Stammdaten!$O$10:$O$69,MATCH(G350,Stammdaten!$N$10:$N$69,0)),G350)&amp;IF(H350="Vormittag"," (VM)",IF(H350="Nachmittag"," (NM)",""))&amp;IF(I350="Angefragt"," ?",""))</f>
        <v>C. Vogt ?</v>
      </c>
      <c r="U350" s="55" t="str">
        <f t="shared" si="41"/>
        <v>A-05 ?</v>
      </c>
    </row>
    <row r="351" spans="2:21" ht="16.5" customHeight="1" x14ac:dyDescent="0.25">
      <c r="B351" s="47">
        <f t="shared" si="35"/>
        <v>346</v>
      </c>
      <c r="C351" s="48">
        <v>46318</v>
      </c>
      <c r="D351" s="49" t="str">
        <f t="shared" si="36"/>
        <v>Fr</v>
      </c>
      <c r="E351" s="50">
        <f t="shared" si="37"/>
        <v>43</v>
      </c>
      <c r="F351" s="51" t="s">
        <v>84</v>
      </c>
      <c r="G351" s="52" t="s">
        <v>87</v>
      </c>
      <c r="H351" s="51" t="s">
        <v>76</v>
      </c>
      <c r="I351" s="51" t="s">
        <v>77</v>
      </c>
      <c r="J351" s="52"/>
      <c r="K351" s="53" t="str">
        <f>IF(G351="","",IFERROR(INDEX(Stammdaten!$P$10:$P$69,MATCH(G351,Stammdaten!$N$10:$N$69,0)),"–"))</f>
        <v>Marketing</v>
      </c>
      <c r="L351" s="53" t="str">
        <f>IF(F351="","",IFERROR(INDEX(Stammdaten!$D$10:$D$49,MATCH(F351,Stammdaten!$B$10:$B$49,0)),"–"))</f>
        <v>Teamzone Nord</v>
      </c>
      <c r="M351" s="54" t="str">
        <f>IF(C351="","",IF(OR(F351="",G351="",I351=""),"unvollständig",IF(I351="Storniert","storniert",IF(WEEKDAY(C351,2)&gt;5,"Wochenende",IF(COUNTIF(Stammdaten!$AD$10:$AD$30,C351)&gt;0,"Feiertag",IF(IFERROR(INDEX(Stammdaten!$I$10:$I$49,MATCH(F351,Stammdaten!$B$10:$B$49,0)),"")="Gesperrt","Platz gesperrt",IF(AND(COUNTIF($P$6:$P$605,P351)&gt;1,NOT(AND(COUNTIF($P$6:$P$605,P351)=2,COUNTIFS($P$6:$P$605,P351,$H$6:$H$605,"Vormittag")=1,COUNTIFS($P$6:$P$605,P351,$H$6:$H$605,"Nachmittag")=1))),"Doppelbuchung",IF(AND(COUNTIF($R$6:$R$605,R351)&gt;1,NOT(AND(COUNTIF($R$6:$R$605,R351)=2,COUNTIFS($R$6:$R$605,R351,$H$6:$H$605,"Vormittag")=1,COUNTIFS($R$6:$R$605,R351,$H$6:$H$605,"Nachmittag")=1))),"Person doppelt","OK"))))))))</f>
        <v>OK</v>
      </c>
      <c r="O351" s="55">
        <f t="shared" si="38"/>
        <v>1</v>
      </c>
      <c r="P351" s="55" t="str">
        <f t="shared" si="39"/>
        <v>A-07|46318</v>
      </c>
      <c r="Q351" s="55" t="str">
        <f>IF(P351="","",P351&amp;"|"&amp;COUNTIF(P$6:P351,P351))</f>
        <v>A-07|46318|1</v>
      </c>
      <c r="R351" s="55" t="str">
        <f t="shared" si="40"/>
        <v>Paul Schreiber|46318</v>
      </c>
      <c r="S351" s="55" t="str">
        <f>IF(R351="","",R351&amp;"|"&amp;COUNTIF(R$6:R351,R351))</f>
        <v>Paul Schreiber|46318|1</v>
      </c>
      <c r="T351" s="55" t="str">
        <f>IF(G351="","",IFERROR(INDEX(Stammdaten!$O$10:$O$69,MATCH(G351,Stammdaten!$N$10:$N$69,0)),G351)&amp;IF(H351="Vormittag"," (VM)",IF(H351="Nachmittag"," (NM)",""))&amp;IF(I351="Angefragt"," ?",""))</f>
        <v>P. Schreiber</v>
      </c>
      <c r="U351" s="55" t="str">
        <f t="shared" si="41"/>
        <v>A-07</v>
      </c>
    </row>
    <row r="352" spans="2:21" ht="16.5" customHeight="1" x14ac:dyDescent="0.25">
      <c r="B352" s="47">
        <f t="shared" si="35"/>
        <v>347</v>
      </c>
      <c r="C352" s="48">
        <v>46318</v>
      </c>
      <c r="D352" s="49" t="str">
        <f t="shared" si="36"/>
        <v>Fr</v>
      </c>
      <c r="E352" s="50">
        <f t="shared" si="37"/>
        <v>43</v>
      </c>
      <c r="F352" s="51" t="s">
        <v>113</v>
      </c>
      <c r="G352" s="52" t="s">
        <v>103</v>
      </c>
      <c r="H352" s="51" t="s">
        <v>76</v>
      </c>
      <c r="I352" s="51" t="s">
        <v>147</v>
      </c>
      <c r="J352" s="52"/>
      <c r="K352" s="53" t="str">
        <f>IF(G352="","",IFERROR(INDEX(Stammdaten!$P$10:$P$69,MATCH(G352,Stammdaten!$N$10:$N$69,0)),"–"))</f>
        <v>Projektmanagement</v>
      </c>
      <c r="L352" s="53" t="str">
        <f>IF(F352="","",IFERROR(INDEX(Stammdaten!$D$10:$D$49,MATCH(F352,Stammdaten!$B$10:$B$49,0)),"–"))</f>
        <v>Fokuszone</v>
      </c>
      <c r="M352" s="54" t="str">
        <f>IF(C352="","",IF(OR(F352="",G352="",I352=""),"unvollständig",IF(I352="Storniert","storniert",IF(WEEKDAY(C352,2)&gt;5,"Wochenende",IF(COUNTIF(Stammdaten!$AD$10:$AD$30,C352)&gt;0,"Feiertag",IF(IFERROR(INDEX(Stammdaten!$I$10:$I$49,MATCH(F352,Stammdaten!$B$10:$B$49,0)),"")="Gesperrt","Platz gesperrt",IF(AND(COUNTIF($P$6:$P$605,P352)&gt;1,NOT(AND(COUNTIF($P$6:$P$605,P352)=2,COUNTIFS($P$6:$P$605,P352,$H$6:$H$605,"Vormittag")=1,COUNTIFS($P$6:$P$605,P352,$H$6:$H$605,"Nachmittag")=1))),"Doppelbuchung",IF(AND(COUNTIF($R$6:$R$605,R352)&gt;1,NOT(AND(COUNTIF($R$6:$R$605,R352)=2,COUNTIFS($R$6:$R$605,R352,$H$6:$H$605,"Vormittag")=1,COUNTIFS($R$6:$R$605,R352,$H$6:$H$605,"Nachmittag")=1))),"Person doppelt","OK"))))))))</f>
        <v>OK</v>
      </c>
      <c r="O352" s="55">
        <f t="shared" si="38"/>
        <v>0</v>
      </c>
      <c r="P352" s="55" t="str">
        <f t="shared" si="39"/>
        <v>A-10|46318</v>
      </c>
      <c r="Q352" s="55" t="str">
        <f>IF(P352="","",P352&amp;"|"&amp;COUNTIF(P$6:P352,P352))</f>
        <v>A-10|46318|1</v>
      </c>
      <c r="R352" s="55" t="str">
        <f t="shared" si="40"/>
        <v>Kevin Brandl|46318</v>
      </c>
      <c r="S352" s="55" t="str">
        <f>IF(R352="","",R352&amp;"|"&amp;COUNTIF(R$6:R352,R352))</f>
        <v>Kevin Brandl|46318|1</v>
      </c>
      <c r="T352" s="55" t="str">
        <f>IF(G352="","",IFERROR(INDEX(Stammdaten!$O$10:$O$69,MATCH(G352,Stammdaten!$N$10:$N$69,0)),G352)&amp;IF(H352="Vormittag"," (VM)",IF(H352="Nachmittag"," (NM)",""))&amp;IF(I352="Angefragt"," ?",""))</f>
        <v>K. Brandl ?</v>
      </c>
      <c r="U352" s="55" t="str">
        <f t="shared" si="41"/>
        <v>A-10 ?</v>
      </c>
    </row>
    <row r="353" spans="2:21" ht="16.5" customHeight="1" x14ac:dyDescent="0.25">
      <c r="B353" s="47">
        <f t="shared" si="35"/>
        <v>348</v>
      </c>
      <c r="C353" s="48">
        <v>46318</v>
      </c>
      <c r="D353" s="49" t="str">
        <f t="shared" si="36"/>
        <v>Fr</v>
      </c>
      <c r="E353" s="50">
        <f t="shared" si="37"/>
        <v>43</v>
      </c>
      <c r="F353" s="51" t="s">
        <v>90</v>
      </c>
      <c r="G353" s="52" t="s">
        <v>91</v>
      </c>
      <c r="H353" s="51" t="s">
        <v>76</v>
      </c>
      <c r="I353" s="51" t="s">
        <v>77</v>
      </c>
      <c r="J353" s="52"/>
      <c r="K353" s="53" t="str">
        <f>IF(G353="","",IFERROR(INDEX(Stammdaten!$P$10:$P$69,MATCH(G353,Stammdaten!$N$10:$N$69,0)),"–"))</f>
        <v>IT</v>
      </c>
      <c r="L353" s="53" t="str">
        <f>IF(F353="","",IFERROR(INDEX(Stammdaten!$D$10:$D$49,MATCH(F353,Stammdaten!$B$10:$B$49,0)),"–"))</f>
        <v>Fokuszone</v>
      </c>
      <c r="M353" s="54" t="str">
        <f>IF(C353="","",IF(OR(F353="",G353="",I353=""),"unvollständig",IF(I353="Storniert","storniert",IF(WEEKDAY(C353,2)&gt;5,"Wochenende",IF(COUNTIF(Stammdaten!$AD$10:$AD$30,C353)&gt;0,"Feiertag",IF(IFERROR(INDEX(Stammdaten!$I$10:$I$49,MATCH(F353,Stammdaten!$B$10:$B$49,0)),"")="Gesperrt","Platz gesperrt",IF(AND(COUNTIF($P$6:$P$605,P353)&gt;1,NOT(AND(COUNTIF($P$6:$P$605,P353)=2,COUNTIFS($P$6:$P$605,P353,$H$6:$H$605,"Vormittag")=1,COUNTIFS($P$6:$P$605,P353,$H$6:$H$605,"Nachmittag")=1))),"Doppelbuchung",IF(AND(COUNTIF($R$6:$R$605,R353)&gt;1,NOT(AND(COUNTIF($R$6:$R$605,R353)=2,COUNTIFS($R$6:$R$605,R353,$H$6:$H$605,"Vormittag")=1,COUNTIFS($R$6:$R$605,R353,$H$6:$H$605,"Nachmittag")=1))),"Person doppelt","OK"))))))))</f>
        <v>OK</v>
      </c>
      <c r="O353" s="55">
        <f t="shared" si="38"/>
        <v>1</v>
      </c>
      <c r="P353" s="55" t="str">
        <f t="shared" si="39"/>
        <v>A-12|46318</v>
      </c>
      <c r="Q353" s="55" t="str">
        <f>IF(P353="","",P353&amp;"|"&amp;COUNTIF(P$6:P353,P353))</f>
        <v>A-12|46318|1</v>
      </c>
      <c r="R353" s="55" t="str">
        <f t="shared" si="40"/>
        <v>Mara Winter|46318</v>
      </c>
      <c r="S353" s="55" t="str">
        <f>IF(R353="","",R353&amp;"|"&amp;COUNTIF(R$6:R353,R353))</f>
        <v>Mara Winter|46318|1</v>
      </c>
      <c r="T353" s="55" t="str">
        <f>IF(G353="","",IFERROR(INDEX(Stammdaten!$O$10:$O$69,MATCH(G353,Stammdaten!$N$10:$N$69,0)),G353)&amp;IF(H353="Vormittag"," (VM)",IF(H353="Nachmittag"," (NM)",""))&amp;IF(I353="Angefragt"," ?",""))</f>
        <v>M. Winter</v>
      </c>
      <c r="U353" s="55" t="str">
        <f t="shared" si="41"/>
        <v>A-12</v>
      </c>
    </row>
    <row r="354" spans="2:21" ht="16.5" customHeight="1" x14ac:dyDescent="0.25">
      <c r="B354" s="47">
        <f t="shared" si="35"/>
        <v>349</v>
      </c>
      <c r="C354" s="48">
        <v>46318</v>
      </c>
      <c r="D354" s="49" t="str">
        <f t="shared" si="36"/>
        <v>Fr</v>
      </c>
      <c r="E354" s="50">
        <f t="shared" si="37"/>
        <v>43</v>
      </c>
      <c r="F354" s="51" t="s">
        <v>92</v>
      </c>
      <c r="G354" s="52" t="s">
        <v>99</v>
      </c>
      <c r="H354" s="51" t="s">
        <v>76</v>
      </c>
      <c r="I354" s="51" t="s">
        <v>77</v>
      </c>
      <c r="J354" s="52"/>
      <c r="K354" s="53" t="str">
        <f>IF(G354="","",IFERROR(INDEX(Stammdaten!$P$10:$P$69,MATCH(G354,Stammdaten!$N$10:$N$69,0)),"–"))</f>
        <v>Finanzen</v>
      </c>
      <c r="L354" s="53" t="str">
        <f>IF(F354="","",IFERROR(INDEX(Stammdaten!$D$10:$D$49,MATCH(F354,Stammdaten!$B$10:$B$49,0)),"–"))</f>
        <v>Teamzone Süd</v>
      </c>
      <c r="M354" s="54" t="str">
        <f>IF(C354="","",IF(OR(F354="",G354="",I354=""),"unvollständig",IF(I354="Storniert","storniert",IF(WEEKDAY(C354,2)&gt;5,"Wochenende",IF(COUNTIF(Stammdaten!$AD$10:$AD$30,C354)&gt;0,"Feiertag",IF(IFERROR(INDEX(Stammdaten!$I$10:$I$49,MATCH(F354,Stammdaten!$B$10:$B$49,0)),"")="Gesperrt","Platz gesperrt",IF(AND(COUNTIF($P$6:$P$605,P354)&gt;1,NOT(AND(COUNTIF($P$6:$P$605,P354)=2,COUNTIFS($P$6:$P$605,P354,$H$6:$H$605,"Vormittag")=1,COUNTIFS($P$6:$P$605,P354,$H$6:$H$605,"Nachmittag")=1))),"Doppelbuchung",IF(AND(COUNTIF($R$6:$R$605,R354)&gt;1,NOT(AND(COUNTIF($R$6:$R$605,R354)=2,COUNTIFS($R$6:$R$605,R354,$H$6:$H$605,"Vormittag")=1,COUNTIFS($R$6:$R$605,R354,$H$6:$H$605,"Nachmittag")=1))),"Person doppelt","OK"))))))))</f>
        <v>OK</v>
      </c>
      <c r="O354" s="55">
        <f t="shared" si="38"/>
        <v>1</v>
      </c>
      <c r="P354" s="55" t="str">
        <f t="shared" si="39"/>
        <v>B-01|46318</v>
      </c>
      <c r="Q354" s="55" t="str">
        <f>IF(P354="","",P354&amp;"|"&amp;COUNTIF(P$6:P354,P354))</f>
        <v>B-01|46318|1</v>
      </c>
      <c r="R354" s="55" t="str">
        <f t="shared" si="40"/>
        <v>Erik Neumann|46318</v>
      </c>
      <c r="S354" s="55" t="str">
        <f>IF(R354="","",R354&amp;"|"&amp;COUNTIF(R$6:R354,R354))</f>
        <v>Erik Neumann|46318|1</v>
      </c>
      <c r="T354" s="55" t="str">
        <f>IF(G354="","",IFERROR(INDEX(Stammdaten!$O$10:$O$69,MATCH(G354,Stammdaten!$N$10:$N$69,0)),G354)&amp;IF(H354="Vormittag"," (VM)",IF(H354="Nachmittag"," (NM)",""))&amp;IF(I354="Angefragt"," ?",""))</f>
        <v>E. Neumann</v>
      </c>
      <c r="U354" s="55" t="str">
        <f t="shared" si="41"/>
        <v>B-01</v>
      </c>
    </row>
    <row r="355" spans="2:21" ht="16.5" customHeight="1" x14ac:dyDescent="0.25">
      <c r="B355" s="47">
        <f t="shared" si="35"/>
        <v>350</v>
      </c>
      <c r="C355" s="48">
        <v>46318</v>
      </c>
      <c r="D355" s="49" t="str">
        <f t="shared" si="36"/>
        <v>Fr</v>
      </c>
      <c r="E355" s="50">
        <f t="shared" si="37"/>
        <v>43</v>
      </c>
      <c r="F355" s="51" t="s">
        <v>94</v>
      </c>
      <c r="G355" s="52" t="s">
        <v>95</v>
      </c>
      <c r="H355" s="51" t="s">
        <v>76</v>
      </c>
      <c r="I355" s="51" t="s">
        <v>77</v>
      </c>
      <c r="J355" s="52" t="s">
        <v>123</v>
      </c>
      <c r="K355" s="53" t="str">
        <f>IF(G355="","",IFERROR(INDEX(Stammdaten!$P$10:$P$69,MATCH(G355,Stammdaten!$N$10:$N$69,0)),"–"))</f>
        <v>Finanzen</v>
      </c>
      <c r="L355" s="53" t="str">
        <f>IF(F355="","",IFERROR(INDEX(Stammdaten!$D$10:$D$49,MATCH(F355,Stammdaten!$B$10:$B$49,0)),"–"))</f>
        <v>Teamzone Süd</v>
      </c>
      <c r="M355" s="54" t="str">
        <f>IF(C355="","",IF(OR(F355="",G355="",I355=""),"unvollständig",IF(I355="Storniert","storniert",IF(WEEKDAY(C355,2)&gt;5,"Wochenende",IF(COUNTIF(Stammdaten!$AD$10:$AD$30,C355)&gt;0,"Feiertag",IF(IFERROR(INDEX(Stammdaten!$I$10:$I$49,MATCH(F355,Stammdaten!$B$10:$B$49,0)),"")="Gesperrt","Platz gesperrt",IF(AND(COUNTIF($P$6:$P$605,P355)&gt;1,NOT(AND(COUNTIF($P$6:$P$605,P355)=2,COUNTIFS($P$6:$P$605,P355,$H$6:$H$605,"Vormittag")=1,COUNTIFS($P$6:$P$605,P355,$H$6:$H$605,"Nachmittag")=1))),"Doppelbuchung",IF(AND(COUNTIF($R$6:$R$605,R355)&gt;1,NOT(AND(COUNTIF($R$6:$R$605,R355)=2,COUNTIFS($R$6:$R$605,R355,$H$6:$H$605,"Vormittag")=1,COUNTIFS($R$6:$R$605,R355,$H$6:$H$605,"Nachmittag")=1))),"Person doppelt","OK"))))))))</f>
        <v>OK</v>
      </c>
      <c r="O355" s="55">
        <f t="shared" si="38"/>
        <v>1</v>
      </c>
      <c r="P355" s="55" t="str">
        <f t="shared" si="39"/>
        <v>B-02|46318</v>
      </c>
      <c r="Q355" s="55" t="str">
        <f>IF(P355="","",P355&amp;"|"&amp;COUNTIF(P$6:P355,P355))</f>
        <v>B-02|46318|1</v>
      </c>
      <c r="R355" s="55" t="str">
        <f t="shared" si="40"/>
        <v>Hanna Roth|46318</v>
      </c>
      <c r="S355" s="55" t="str">
        <f>IF(R355="","",R355&amp;"|"&amp;COUNTIF(R$6:R355,R355))</f>
        <v>Hanna Roth|46318|1</v>
      </c>
      <c r="T355" s="55" t="str">
        <f>IF(G355="","",IFERROR(INDEX(Stammdaten!$O$10:$O$69,MATCH(G355,Stammdaten!$N$10:$N$69,0)),G355)&amp;IF(H355="Vormittag"," (VM)",IF(H355="Nachmittag"," (NM)",""))&amp;IF(I355="Angefragt"," ?",""))</f>
        <v>H. Roth</v>
      </c>
      <c r="U355" s="55" t="str">
        <f t="shared" si="41"/>
        <v>B-02</v>
      </c>
    </row>
    <row r="356" spans="2:21" ht="16.5" customHeight="1" x14ac:dyDescent="0.25">
      <c r="B356" s="47">
        <f t="shared" si="35"/>
        <v>351</v>
      </c>
      <c r="C356" s="48">
        <v>46318</v>
      </c>
      <c r="D356" s="49" t="str">
        <f t="shared" si="36"/>
        <v>Fr</v>
      </c>
      <c r="E356" s="50">
        <f t="shared" si="37"/>
        <v>43</v>
      </c>
      <c r="F356" s="51" t="s">
        <v>117</v>
      </c>
      <c r="G356" s="52" t="s">
        <v>131</v>
      </c>
      <c r="H356" s="51" t="s">
        <v>76</v>
      </c>
      <c r="I356" s="51" t="s">
        <v>77</v>
      </c>
      <c r="J356" s="52"/>
      <c r="K356" s="53" t="str">
        <f>IF(G356="","",IFERROR(INDEX(Stammdaten!$P$10:$P$69,MATCH(G356,Stammdaten!$N$10:$N$69,0)),"–"))</f>
        <v>Finanzen</v>
      </c>
      <c r="L356" s="53" t="str">
        <f>IF(F356="","",IFERROR(INDEX(Stammdaten!$D$10:$D$49,MATCH(F356,Stammdaten!$B$10:$B$49,0)),"–"))</f>
        <v>Teamzone Süd</v>
      </c>
      <c r="M356" s="54" t="str">
        <f>IF(C356="","",IF(OR(F356="",G356="",I356=""),"unvollständig",IF(I356="Storniert","storniert",IF(WEEKDAY(C356,2)&gt;5,"Wochenende",IF(COUNTIF(Stammdaten!$AD$10:$AD$30,C356)&gt;0,"Feiertag",IF(IFERROR(INDEX(Stammdaten!$I$10:$I$49,MATCH(F356,Stammdaten!$B$10:$B$49,0)),"")="Gesperrt","Platz gesperrt",IF(AND(COUNTIF($P$6:$P$605,P356)&gt;1,NOT(AND(COUNTIF($P$6:$P$605,P356)=2,COUNTIFS($P$6:$P$605,P356,$H$6:$H$605,"Vormittag")=1,COUNTIFS($P$6:$P$605,P356,$H$6:$H$605,"Nachmittag")=1))),"Doppelbuchung",IF(AND(COUNTIF($R$6:$R$605,R356)&gt;1,NOT(AND(COUNTIF($R$6:$R$605,R356)=2,COUNTIFS($R$6:$R$605,R356,$H$6:$H$605,"Vormittag")=1,COUNTIFS($R$6:$R$605,R356,$H$6:$H$605,"Nachmittag")=1))),"Person doppelt","OK"))))))))</f>
        <v>OK</v>
      </c>
      <c r="O356" s="55">
        <f t="shared" si="38"/>
        <v>1</v>
      </c>
      <c r="P356" s="55" t="str">
        <f t="shared" si="39"/>
        <v>B-03|46318</v>
      </c>
      <c r="Q356" s="55" t="str">
        <f>IF(P356="","",P356&amp;"|"&amp;COUNTIF(P$6:P356,P356))</f>
        <v>B-03|46318|1</v>
      </c>
      <c r="R356" s="55" t="str">
        <f t="shared" si="40"/>
        <v>Leon Fuchs|46318</v>
      </c>
      <c r="S356" s="55" t="str">
        <f>IF(R356="","",R356&amp;"|"&amp;COUNTIF(R$6:R356,R356))</f>
        <v>Leon Fuchs|46318|1</v>
      </c>
      <c r="T356" s="55" t="str">
        <f>IF(G356="","",IFERROR(INDEX(Stammdaten!$O$10:$O$69,MATCH(G356,Stammdaten!$N$10:$N$69,0)),G356)&amp;IF(H356="Vormittag"," (VM)",IF(H356="Nachmittag"," (NM)",""))&amp;IF(I356="Angefragt"," ?",""))</f>
        <v>L. Fuchs</v>
      </c>
      <c r="U356" s="55" t="str">
        <f t="shared" si="41"/>
        <v>B-03</v>
      </c>
    </row>
    <row r="357" spans="2:21" ht="16.5" customHeight="1" x14ac:dyDescent="0.25">
      <c r="B357" s="47">
        <f t="shared" si="35"/>
        <v>352</v>
      </c>
      <c r="C357" s="48">
        <v>46318</v>
      </c>
      <c r="D357" s="49" t="str">
        <f t="shared" si="36"/>
        <v>Fr</v>
      </c>
      <c r="E357" s="50">
        <f t="shared" si="37"/>
        <v>43</v>
      </c>
      <c r="F357" s="51" t="s">
        <v>121</v>
      </c>
      <c r="G357" s="52" t="s">
        <v>122</v>
      </c>
      <c r="H357" s="51" t="s">
        <v>76</v>
      </c>
      <c r="I357" s="51" t="s">
        <v>147</v>
      </c>
      <c r="J357" s="52"/>
      <c r="K357" s="53" t="str">
        <f>IF(G357="","",IFERROR(INDEX(Stammdaten!$P$10:$P$69,MATCH(G357,Stammdaten!$N$10:$N$69,0)),"–"))</f>
        <v>Personal</v>
      </c>
      <c r="L357" s="53" t="str">
        <f>IF(F357="","",IFERROR(INDEX(Stammdaten!$D$10:$D$49,MATCH(F357,Stammdaten!$B$10:$B$49,0)),"–"))</f>
        <v>Teamzone Süd</v>
      </c>
      <c r="M357" s="54" t="str">
        <f>IF(C357="","",IF(OR(F357="",G357="",I357=""),"unvollständig",IF(I357="Storniert","storniert",IF(WEEKDAY(C357,2)&gt;5,"Wochenende",IF(COUNTIF(Stammdaten!$AD$10:$AD$30,C357)&gt;0,"Feiertag",IF(IFERROR(INDEX(Stammdaten!$I$10:$I$49,MATCH(F357,Stammdaten!$B$10:$B$49,0)),"")="Gesperrt","Platz gesperrt",IF(AND(COUNTIF($P$6:$P$605,P357)&gt;1,NOT(AND(COUNTIF($P$6:$P$605,P357)=2,COUNTIFS($P$6:$P$605,P357,$H$6:$H$605,"Vormittag")=1,COUNTIFS($P$6:$P$605,P357,$H$6:$H$605,"Nachmittag")=1))),"Doppelbuchung",IF(AND(COUNTIF($R$6:$R$605,R357)&gt;1,NOT(AND(COUNTIF($R$6:$R$605,R357)=2,COUNTIFS($R$6:$R$605,R357,$H$6:$H$605,"Vormittag")=1,COUNTIFS($R$6:$R$605,R357,$H$6:$H$605,"Nachmittag")=1))),"Person doppelt","OK"))))))))</f>
        <v>OK</v>
      </c>
      <c r="O357" s="55">
        <f t="shared" si="38"/>
        <v>0</v>
      </c>
      <c r="P357" s="55" t="str">
        <f t="shared" si="39"/>
        <v>B-05|46318</v>
      </c>
      <c r="Q357" s="55" t="str">
        <f>IF(P357="","",P357&amp;"|"&amp;COUNTIF(P$6:P357,P357))</f>
        <v>B-05|46318|1</v>
      </c>
      <c r="R357" s="55" t="str">
        <f t="shared" si="40"/>
        <v>Niklas Wolf|46318</v>
      </c>
      <c r="S357" s="55" t="str">
        <f>IF(R357="","",R357&amp;"|"&amp;COUNTIF(R$6:R357,R357))</f>
        <v>Niklas Wolf|46318|1</v>
      </c>
      <c r="T357" s="55" t="str">
        <f>IF(G357="","",IFERROR(INDEX(Stammdaten!$O$10:$O$69,MATCH(G357,Stammdaten!$N$10:$N$69,0)),G357)&amp;IF(H357="Vormittag"," (VM)",IF(H357="Nachmittag"," (NM)",""))&amp;IF(I357="Angefragt"," ?",""))</f>
        <v>N. Wolf ?</v>
      </c>
      <c r="U357" s="55" t="str">
        <f t="shared" si="41"/>
        <v>B-05 ?</v>
      </c>
    </row>
    <row r="358" spans="2:21" ht="16.5" customHeight="1" x14ac:dyDescent="0.25">
      <c r="B358" s="47">
        <f t="shared" si="35"/>
        <v>353</v>
      </c>
      <c r="C358" s="48">
        <v>46318</v>
      </c>
      <c r="D358" s="49" t="str">
        <f t="shared" si="36"/>
        <v>Fr</v>
      </c>
      <c r="E358" s="50">
        <f t="shared" si="37"/>
        <v>43</v>
      </c>
      <c r="F358" s="51" t="s">
        <v>100</v>
      </c>
      <c r="G358" s="52" t="s">
        <v>132</v>
      </c>
      <c r="H358" s="51" t="s">
        <v>76</v>
      </c>
      <c r="I358" s="51" t="s">
        <v>147</v>
      </c>
      <c r="J358" s="52"/>
      <c r="K358" s="53" t="str">
        <f>IF(G358="","",IFERROR(INDEX(Stammdaten!$P$10:$P$69,MATCH(G358,Stammdaten!$N$10:$N$69,0)),"–"))</f>
        <v>Projektmanagement</v>
      </c>
      <c r="L358" s="53" t="str">
        <f>IF(F358="","",IFERROR(INDEX(Stammdaten!$D$10:$D$49,MATCH(F358,Stammdaten!$B$10:$B$49,0)),"–"))</f>
        <v>Projektfläche</v>
      </c>
      <c r="M358" s="54" t="str">
        <f>IF(C358="","",IF(OR(F358="",G358="",I358=""),"unvollständig",IF(I358="Storniert","storniert",IF(WEEKDAY(C358,2)&gt;5,"Wochenende",IF(COUNTIF(Stammdaten!$AD$10:$AD$30,C358)&gt;0,"Feiertag",IF(IFERROR(INDEX(Stammdaten!$I$10:$I$49,MATCH(F358,Stammdaten!$B$10:$B$49,0)),"")="Gesperrt","Platz gesperrt",IF(AND(COUNTIF($P$6:$P$605,P358)&gt;1,NOT(AND(COUNTIF($P$6:$P$605,P358)=2,COUNTIFS($P$6:$P$605,P358,$H$6:$H$605,"Vormittag")=1,COUNTIFS($P$6:$P$605,P358,$H$6:$H$605,"Nachmittag")=1))),"Doppelbuchung",IF(AND(COUNTIF($R$6:$R$605,R358)&gt;1,NOT(AND(COUNTIF($R$6:$R$605,R358)=2,COUNTIFS($R$6:$R$605,R358,$H$6:$H$605,"Vormittag")=1,COUNTIFS($R$6:$R$605,R358,$H$6:$H$605,"Nachmittag")=1))),"Person doppelt","OK"))))))))</f>
        <v>OK</v>
      </c>
      <c r="O358" s="55">
        <f t="shared" si="38"/>
        <v>0</v>
      </c>
      <c r="P358" s="55" t="str">
        <f t="shared" si="39"/>
        <v>B-09|46318</v>
      </c>
      <c r="Q358" s="55" t="str">
        <f>IF(P358="","",P358&amp;"|"&amp;COUNTIF(P$6:P358,P358))</f>
        <v>B-09|46318|1</v>
      </c>
      <c r="R358" s="55" t="str">
        <f t="shared" si="40"/>
        <v>Vanessa Kraft|46318</v>
      </c>
      <c r="S358" s="55" t="str">
        <f>IF(R358="","",R358&amp;"|"&amp;COUNTIF(R$6:R358,R358))</f>
        <v>Vanessa Kraft|46318|1</v>
      </c>
      <c r="T358" s="55" t="str">
        <f>IF(G358="","",IFERROR(INDEX(Stammdaten!$O$10:$O$69,MATCH(G358,Stammdaten!$N$10:$N$69,0)),G358)&amp;IF(H358="Vormittag"," (VM)",IF(H358="Nachmittag"," (NM)",""))&amp;IF(I358="Angefragt"," ?",""))</f>
        <v>V. Kraft ?</v>
      </c>
      <c r="U358" s="55" t="str">
        <f t="shared" si="41"/>
        <v>B-09 ?</v>
      </c>
    </row>
    <row r="359" spans="2:21" ht="16.5" customHeight="1" x14ac:dyDescent="0.25">
      <c r="B359" s="47">
        <f t="shared" si="35"/>
        <v>354</v>
      </c>
      <c r="C359" s="48">
        <v>46318</v>
      </c>
      <c r="D359" s="49" t="str">
        <f t="shared" si="36"/>
        <v>Fr</v>
      </c>
      <c r="E359" s="50">
        <f t="shared" si="37"/>
        <v>43</v>
      </c>
      <c r="F359" s="51" t="s">
        <v>102</v>
      </c>
      <c r="G359" s="52" t="s">
        <v>101</v>
      </c>
      <c r="H359" s="51" t="s">
        <v>76</v>
      </c>
      <c r="I359" s="51" t="s">
        <v>77</v>
      </c>
      <c r="J359" s="52"/>
      <c r="K359" s="53" t="str">
        <f>IF(G359="","",IFERROR(INDEX(Stammdaten!$P$10:$P$69,MATCH(G359,Stammdaten!$N$10:$N$69,0)),"–"))</f>
        <v>IT</v>
      </c>
      <c r="L359" s="53" t="str">
        <f>IF(F359="","",IFERROR(INDEX(Stammdaten!$D$10:$D$49,MATCH(F359,Stammdaten!$B$10:$B$49,0)),"–"))</f>
        <v>Projektfläche</v>
      </c>
      <c r="M359" s="54" t="str">
        <f>IF(C359="","",IF(OR(F359="",G359="",I359=""),"unvollständig",IF(I359="Storniert","storniert",IF(WEEKDAY(C359,2)&gt;5,"Wochenende",IF(COUNTIF(Stammdaten!$AD$10:$AD$30,C359)&gt;0,"Feiertag",IF(IFERROR(INDEX(Stammdaten!$I$10:$I$49,MATCH(F359,Stammdaten!$B$10:$B$49,0)),"")="Gesperrt","Platz gesperrt",IF(AND(COUNTIF($P$6:$P$605,P359)&gt;1,NOT(AND(COUNTIF($P$6:$P$605,P359)=2,COUNTIFS($P$6:$P$605,P359,$H$6:$H$605,"Vormittag")=1,COUNTIFS($P$6:$P$605,P359,$H$6:$H$605,"Nachmittag")=1))),"Doppelbuchung",IF(AND(COUNTIF($R$6:$R$605,R359)&gt;1,NOT(AND(COUNTIF($R$6:$R$605,R359)=2,COUNTIFS($R$6:$R$605,R359,$H$6:$H$605,"Vormittag")=1,COUNTIFS($R$6:$R$605,R359,$H$6:$H$605,"Nachmittag")=1))),"Person doppelt","OK"))))))))</f>
        <v>OK</v>
      </c>
      <c r="O359" s="55">
        <f t="shared" si="38"/>
        <v>1</v>
      </c>
      <c r="P359" s="55" t="str">
        <f t="shared" si="39"/>
        <v>B-10|46318</v>
      </c>
      <c r="Q359" s="55" t="str">
        <f>IF(P359="","",P359&amp;"|"&amp;COUNTIF(P$6:P359,P359))</f>
        <v>B-10|46318|1</v>
      </c>
      <c r="R359" s="55" t="str">
        <f t="shared" si="40"/>
        <v>Daniel Ritter|46318</v>
      </c>
      <c r="S359" s="55" t="str">
        <f>IF(R359="","",R359&amp;"|"&amp;COUNTIF(R$6:R359,R359))</f>
        <v>Daniel Ritter|46318|1</v>
      </c>
      <c r="T359" s="55" t="str">
        <f>IF(G359="","",IFERROR(INDEX(Stammdaten!$O$10:$O$69,MATCH(G359,Stammdaten!$N$10:$N$69,0)),G359)&amp;IF(H359="Vormittag"," (VM)",IF(H359="Nachmittag"," (NM)",""))&amp;IF(I359="Angefragt"," ?",""))</f>
        <v>D. Ritter</v>
      </c>
      <c r="U359" s="55" t="str">
        <f t="shared" si="41"/>
        <v>B-10</v>
      </c>
    </row>
    <row r="360" spans="2:21" ht="16.5" customHeight="1" x14ac:dyDescent="0.25">
      <c r="B360" s="47">
        <f t="shared" si="35"/>
        <v>355</v>
      </c>
      <c r="C360" s="48">
        <v>46318</v>
      </c>
      <c r="D360" s="49" t="str">
        <f t="shared" si="36"/>
        <v>Fr</v>
      </c>
      <c r="E360" s="50">
        <f t="shared" si="37"/>
        <v>43</v>
      </c>
      <c r="F360" s="51" t="s">
        <v>104</v>
      </c>
      <c r="G360" s="52" t="s">
        <v>124</v>
      </c>
      <c r="H360" s="51" t="s">
        <v>76</v>
      </c>
      <c r="I360" s="51" t="s">
        <v>77</v>
      </c>
      <c r="J360" s="52"/>
      <c r="K360" s="53" t="str">
        <f>IF(G360="","",IFERROR(INDEX(Stammdaten!$P$10:$P$69,MATCH(G360,Stammdaten!$N$10:$N$69,0)),"–"))</f>
        <v>IT</v>
      </c>
      <c r="L360" s="53" t="str">
        <f>IF(F360="","",IFERROR(INDEX(Stammdaten!$D$10:$D$49,MATCH(F360,Stammdaten!$B$10:$B$49,0)),"–"))</f>
        <v>Projektfläche</v>
      </c>
      <c r="M360" s="54" t="str">
        <f>IF(C360="","",IF(OR(F360="",G360="",I360=""),"unvollständig",IF(I360="Storniert","storniert",IF(WEEKDAY(C360,2)&gt;5,"Wochenende",IF(COUNTIF(Stammdaten!$AD$10:$AD$30,C360)&gt;0,"Feiertag",IF(IFERROR(INDEX(Stammdaten!$I$10:$I$49,MATCH(F360,Stammdaten!$B$10:$B$49,0)),"")="Gesperrt","Platz gesperrt",IF(AND(COUNTIF($P$6:$P$605,P360)&gt;1,NOT(AND(COUNTIF($P$6:$P$605,P360)=2,COUNTIFS($P$6:$P$605,P360,$H$6:$H$605,"Vormittag")=1,COUNTIFS($P$6:$P$605,P360,$H$6:$H$605,"Nachmittag")=1))),"Doppelbuchung",IF(AND(COUNTIF($R$6:$R$605,R360)&gt;1,NOT(AND(COUNTIF($R$6:$R$605,R360)=2,COUNTIFS($R$6:$R$605,R360,$H$6:$H$605,"Vormittag")=1,COUNTIFS($R$6:$R$605,R360,$H$6:$H$605,"Nachmittag")=1))),"Person doppelt","OK"))))))))</f>
        <v>OK</v>
      </c>
      <c r="O360" s="55">
        <f t="shared" si="38"/>
        <v>1</v>
      </c>
      <c r="P360" s="55" t="str">
        <f t="shared" si="39"/>
        <v>B-11|46318</v>
      </c>
      <c r="Q360" s="55" t="str">
        <f>IF(P360="","",P360&amp;"|"&amp;COUNTIF(P$6:P360,P360))</f>
        <v>B-11|46318|1</v>
      </c>
      <c r="R360" s="55" t="str">
        <f t="shared" si="40"/>
        <v>Laura Sommer|46318</v>
      </c>
      <c r="S360" s="55" t="str">
        <f>IF(R360="","",R360&amp;"|"&amp;COUNTIF(R$6:R360,R360))</f>
        <v>Laura Sommer|46318|1</v>
      </c>
      <c r="T360" s="55" t="str">
        <f>IF(G360="","",IFERROR(INDEX(Stammdaten!$O$10:$O$69,MATCH(G360,Stammdaten!$N$10:$N$69,0)),G360)&amp;IF(H360="Vormittag"," (VM)",IF(H360="Nachmittag"," (NM)",""))&amp;IF(I360="Angefragt"," ?",""))</f>
        <v>L. Sommer</v>
      </c>
      <c r="U360" s="55" t="str">
        <f t="shared" si="41"/>
        <v>B-11</v>
      </c>
    </row>
    <row r="361" spans="2:21" ht="16.5" customHeight="1" x14ac:dyDescent="0.25">
      <c r="B361" s="47">
        <f t="shared" si="35"/>
        <v>356</v>
      </c>
      <c r="C361" s="48">
        <v>46318</v>
      </c>
      <c r="D361" s="49" t="str">
        <f t="shared" si="36"/>
        <v>Fr</v>
      </c>
      <c r="E361" s="50">
        <f t="shared" si="37"/>
        <v>43</v>
      </c>
      <c r="F361" s="51" t="s">
        <v>106</v>
      </c>
      <c r="G361" s="52" t="s">
        <v>107</v>
      </c>
      <c r="H361" s="51" t="s">
        <v>76</v>
      </c>
      <c r="I361" s="51" t="s">
        <v>77</v>
      </c>
      <c r="J361" s="52" t="s">
        <v>146</v>
      </c>
      <c r="K361" s="53" t="str">
        <f>IF(G361="","",IFERROR(INDEX(Stammdaten!$P$10:$P$69,MATCH(G361,Stammdaten!$N$10:$N$69,0)),"–"))</f>
        <v>IT</v>
      </c>
      <c r="L361" s="53" t="str">
        <f>IF(F361="","",IFERROR(INDEX(Stammdaten!$D$10:$D$49,MATCH(F361,Stammdaten!$B$10:$B$49,0)),"–"))</f>
        <v>Projektfläche</v>
      </c>
      <c r="M361" s="54" t="str">
        <f>IF(C361="","",IF(OR(F361="",G361="",I361=""),"unvollständig",IF(I361="Storniert","storniert",IF(WEEKDAY(C361,2)&gt;5,"Wochenende",IF(COUNTIF(Stammdaten!$AD$10:$AD$30,C361)&gt;0,"Feiertag",IF(IFERROR(INDEX(Stammdaten!$I$10:$I$49,MATCH(F361,Stammdaten!$B$10:$B$49,0)),"")="Gesperrt","Platz gesperrt",IF(AND(COUNTIF($P$6:$P$605,P361)&gt;1,NOT(AND(COUNTIF($P$6:$P$605,P361)=2,COUNTIFS($P$6:$P$605,P361,$H$6:$H$605,"Vormittag")=1,COUNTIFS($P$6:$P$605,P361,$H$6:$H$605,"Nachmittag")=1))),"Doppelbuchung",IF(AND(COUNTIF($R$6:$R$605,R361)&gt;1,NOT(AND(COUNTIF($R$6:$R$605,R361)=2,COUNTIFS($R$6:$R$605,R361,$H$6:$H$605,"Vormittag")=1,COUNTIFS($R$6:$R$605,R361,$H$6:$H$605,"Nachmittag")=1))),"Person doppelt","OK"))))))))</f>
        <v>OK</v>
      </c>
      <c r="O361" s="55">
        <f t="shared" si="38"/>
        <v>1</v>
      </c>
      <c r="P361" s="55" t="str">
        <f t="shared" si="39"/>
        <v>B-12|46318</v>
      </c>
      <c r="Q361" s="55" t="str">
        <f>IF(P361="","",P361&amp;"|"&amp;COUNTIF(P$6:P361,P361))</f>
        <v>B-12|46318|1</v>
      </c>
      <c r="R361" s="55" t="str">
        <f t="shared" si="40"/>
        <v>Katharina Busch|46318</v>
      </c>
      <c r="S361" s="55" t="str">
        <f>IF(R361="","",R361&amp;"|"&amp;COUNTIF(R$6:R361,R361))</f>
        <v>Katharina Busch|46318|1</v>
      </c>
      <c r="T361" s="55" t="str">
        <f>IF(G361="","",IFERROR(INDEX(Stammdaten!$O$10:$O$69,MATCH(G361,Stammdaten!$N$10:$N$69,0)),G361)&amp;IF(H361="Vormittag"," (VM)",IF(H361="Nachmittag"," (NM)",""))&amp;IF(I361="Angefragt"," ?",""))</f>
        <v>K. Busch</v>
      </c>
      <c r="U361" s="55" t="str">
        <f t="shared" si="41"/>
        <v>B-12</v>
      </c>
    </row>
    <row r="362" spans="2:21" ht="16.5" customHeight="1" x14ac:dyDescent="0.25">
      <c r="B362" s="47" t="str">
        <f t="shared" si="35"/>
        <v/>
      </c>
      <c r="C362" s="48"/>
      <c r="D362" s="49" t="str">
        <f t="shared" si="36"/>
        <v/>
      </c>
      <c r="E362" s="50" t="str">
        <f t="shared" si="37"/>
        <v/>
      </c>
      <c r="F362" s="51"/>
      <c r="G362" s="52"/>
      <c r="H362" s="51"/>
      <c r="I362" s="51"/>
      <c r="J362" s="52"/>
      <c r="K362" s="53" t="str">
        <f>IF(G362="","",IFERROR(INDEX(Stammdaten!$P$10:$P$69,MATCH(G362,Stammdaten!$N$10:$N$69,0)),"–"))</f>
        <v/>
      </c>
      <c r="L362" s="53" t="str">
        <f>IF(F362="","",IFERROR(INDEX(Stammdaten!$D$10:$D$49,MATCH(F362,Stammdaten!$B$10:$B$49,0)),"–"))</f>
        <v/>
      </c>
      <c r="M362" s="54" t="str">
        <f>IF(C362="","",IF(OR(F362="",G362="",I362=""),"unvollständig",IF(I362="Storniert","storniert",IF(WEEKDAY(C362,2)&gt;5,"Wochenende",IF(COUNTIF(Stammdaten!$AD$10:$AD$30,C362)&gt;0,"Feiertag",IF(IFERROR(INDEX(Stammdaten!$I$10:$I$49,MATCH(F362,Stammdaten!$B$10:$B$49,0)),"")="Gesperrt","Platz gesperrt",IF(AND(COUNTIF($P$6:$P$605,P362)&gt;1,NOT(AND(COUNTIF($P$6:$P$605,P362)=2,COUNTIFS($P$6:$P$605,P362,$H$6:$H$605,"Vormittag")=1,COUNTIFS($P$6:$P$605,P362,$H$6:$H$605,"Nachmittag")=1))),"Doppelbuchung",IF(AND(COUNTIF($R$6:$R$605,R362)&gt;1,NOT(AND(COUNTIF($R$6:$R$605,R362)=2,COUNTIFS($R$6:$R$605,R362,$H$6:$H$605,"Vormittag")=1,COUNTIFS($R$6:$R$605,R362,$H$6:$H$605,"Nachmittag")=1))),"Person doppelt","OK"))))))))</f>
        <v/>
      </c>
      <c r="O362" s="55">
        <f t="shared" si="38"/>
        <v>0</v>
      </c>
      <c r="P362" s="55" t="str">
        <f t="shared" si="39"/>
        <v/>
      </c>
      <c r="Q362" s="55" t="str">
        <f>IF(P362="","",P362&amp;"|"&amp;COUNTIF(P$6:P362,P362))</f>
        <v/>
      </c>
      <c r="R362" s="55" t="str">
        <f t="shared" si="40"/>
        <v/>
      </c>
      <c r="S362" s="55" t="str">
        <f>IF(R362="","",R362&amp;"|"&amp;COUNTIF(R$6:R362,R362))</f>
        <v/>
      </c>
      <c r="T362" s="55" t="str">
        <f>IF(G362="","",IFERROR(INDEX(Stammdaten!$O$10:$O$69,MATCH(G362,Stammdaten!$N$10:$N$69,0)),G362)&amp;IF(H362="Vormittag"," (VM)",IF(H362="Nachmittag"," (NM)",""))&amp;IF(I362="Angefragt"," ?",""))</f>
        <v/>
      </c>
      <c r="U362" s="55" t="str">
        <f t="shared" si="41"/>
        <v/>
      </c>
    </row>
    <row r="363" spans="2:21" ht="16.5" customHeight="1" x14ac:dyDescent="0.25">
      <c r="B363" s="47" t="str">
        <f t="shared" si="35"/>
        <v/>
      </c>
      <c r="C363" s="48"/>
      <c r="D363" s="49" t="str">
        <f t="shared" si="36"/>
        <v/>
      </c>
      <c r="E363" s="50" t="str">
        <f t="shared" si="37"/>
        <v/>
      </c>
      <c r="F363" s="51"/>
      <c r="G363" s="52"/>
      <c r="H363" s="51"/>
      <c r="I363" s="51"/>
      <c r="J363" s="52"/>
      <c r="K363" s="53" t="str">
        <f>IF(G363="","",IFERROR(INDEX(Stammdaten!$P$10:$P$69,MATCH(G363,Stammdaten!$N$10:$N$69,0)),"–"))</f>
        <v/>
      </c>
      <c r="L363" s="53" t="str">
        <f>IF(F363="","",IFERROR(INDEX(Stammdaten!$D$10:$D$49,MATCH(F363,Stammdaten!$B$10:$B$49,0)),"–"))</f>
        <v/>
      </c>
      <c r="M363" s="54" t="str">
        <f>IF(C363="","",IF(OR(F363="",G363="",I363=""),"unvollständig",IF(I363="Storniert","storniert",IF(WEEKDAY(C363,2)&gt;5,"Wochenende",IF(COUNTIF(Stammdaten!$AD$10:$AD$30,C363)&gt;0,"Feiertag",IF(IFERROR(INDEX(Stammdaten!$I$10:$I$49,MATCH(F363,Stammdaten!$B$10:$B$49,0)),"")="Gesperrt","Platz gesperrt",IF(AND(COUNTIF($P$6:$P$605,P363)&gt;1,NOT(AND(COUNTIF($P$6:$P$605,P363)=2,COUNTIFS($P$6:$P$605,P363,$H$6:$H$605,"Vormittag")=1,COUNTIFS($P$6:$P$605,P363,$H$6:$H$605,"Nachmittag")=1))),"Doppelbuchung",IF(AND(COUNTIF($R$6:$R$605,R363)&gt;1,NOT(AND(COUNTIF($R$6:$R$605,R363)=2,COUNTIFS($R$6:$R$605,R363,$H$6:$H$605,"Vormittag")=1,COUNTIFS($R$6:$R$605,R363,$H$6:$H$605,"Nachmittag")=1))),"Person doppelt","OK"))))))))</f>
        <v/>
      </c>
      <c r="O363" s="55">
        <f t="shared" si="38"/>
        <v>0</v>
      </c>
      <c r="P363" s="55" t="str">
        <f t="shared" si="39"/>
        <v/>
      </c>
      <c r="Q363" s="55" t="str">
        <f>IF(P363="","",P363&amp;"|"&amp;COUNTIF(P$6:P363,P363))</f>
        <v/>
      </c>
      <c r="R363" s="55" t="str">
        <f t="shared" si="40"/>
        <v/>
      </c>
      <c r="S363" s="55" t="str">
        <f>IF(R363="","",R363&amp;"|"&amp;COUNTIF(R$6:R363,R363))</f>
        <v/>
      </c>
      <c r="T363" s="55" t="str">
        <f>IF(G363="","",IFERROR(INDEX(Stammdaten!$O$10:$O$69,MATCH(G363,Stammdaten!$N$10:$N$69,0)),G363)&amp;IF(H363="Vormittag"," (VM)",IF(H363="Nachmittag"," (NM)",""))&amp;IF(I363="Angefragt"," ?",""))</f>
        <v/>
      </c>
      <c r="U363" s="55" t="str">
        <f t="shared" si="41"/>
        <v/>
      </c>
    </row>
    <row r="364" spans="2:21" ht="16.5" customHeight="1" x14ac:dyDescent="0.25">
      <c r="B364" s="47" t="str">
        <f t="shared" si="35"/>
        <v/>
      </c>
      <c r="C364" s="48"/>
      <c r="D364" s="49" t="str">
        <f t="shared" si="36"/>
        <v/>
      </c>
      <c r="E364" s="50" t="str">
        <f t="shared" si="37"/>
        <v/>
      </c>
      <c r="F364" s="51"/>
      <c r="G364" s="52"/>
      <c r="H364" s="51"/>
      <c r="I364" s="51"/>
      <c r="J364" s="52"/>
      <c r="K364" s="53" t="str">
        <f>IF(G364="","",IFERROR(INDEX(Stammdaten!$P$10:$P$69,MATCH(G364,Stammdaten!$N$10:$N$69,0)),"–"))</f>
        <v/>
      </c>
      <c r="L364" s="53" t="str">
        <f>IF(F364="","",IFERROR(INDEX(Stammdaten!$D$10:$D$49,MATCH(F364,Stammdaten!$B$10:$B$49,0)),"–"))</f>
        <v/>
      </c>
      <c r="M364" s="54" t="str">
        <f>IF(C364="","",IF(OR(F364="",G364="",I364=""),"unvollständig",IF(I364="Storniert","storniert",IF(WEEKDAY(C364,2)&gt;5,"Wochenende",IF(COUNTIF(Stammdaten!$AD$10:$AD$30,C364)&gt;0,"Feiertag",IF(IFERROR(INDEX(Stammdaten!$I$10:$I$49,MATCH(F364,Stammdaten!$B$10:$B$49,0)),"")="Gesperrt","Platz gesperrt",IF(AND(COUNTIF($P$6:$P$605,P364)&gt;1,NOT(AND(COUNTIF($P$6:$P$605,P364)=2,COUNTIFS($P$6:$P$605,P364,$H$6:$H$605,"Vormittag")=1,COUNTIFS($P$6:$P$605,P364,$H$6:$H$605,"Nachmittag")=1))),"Doppelbuchung",IF(AND(COUNTIF($R$6:$R$605,R364)&gt;1,NOT(AND(COUNTIF($R$6:$R$605,R364)=2,COUNTIFS($R$6:$R$605,R364,$H$6:$H$605,"Vormittag")=1,COUNTIFS($R$6:$R$605,R364,$H$6:$H$605,"Nachmittag")=1))),"Person doppelt","OK"))))))))</f>
        <v/>
      </c>
      <c r="O364" s="55">
        <f t="shared" si="38"/>
        <v>0</v>
      </c>
      <c r="P364" s="55" t="str">
        <f t="shared" si="39"/>
        <v/>
      </c>
      <c r="Q364" s="55" t="str">
        <f>IF(P364="","",P364&amp;"|"&amp;COUNTIF(P$6:P364,P364))</f>
        <v/>
      </c>
      <c r="R364" s="55" t="str">
        <f t="shared" si="40"/>
        <v/>
      </c>
      <c r="S364" s="55" t="str">
        <f>IF(R364="","",R364&amp;"|"&amp;COUNTIF(R$6:R364,R364))</f>
        <v/>
      </c>
      <c r="T364" s="55" t="str">
        <f>IF(G364="","",IFERROR(INDEX(Stammdaten!$O$10:$O$69,MATCH(G364,Stammdaten!$N$10:$N$69,0)),G364)&amp;IF(H364="Vormittag"," (VM)",IF(H364="Nachmittag"," (NM)",""))&amp;IF(I364="Angefragt"," ?",""))</f>
        <v/>
      </c>
      <c r="U364" s="55" t="str">
        <f t="shared" si="41"/>
        <v/>
      </c>
    </row>
    <row r="365" spans="2:21" ht="16.5" customHeight="1" x14ac:dyDescent="0.25">
      <c r="B365" s="47" t="str">
        <f t="shared" si="35"/>
        <v/>
      </c>
      <c r="C365" s="48"/>
      <c r="D365" s="49" t="str">
        <f t="shared" si="36"/>
        <v/>
      </c>
      <c r="E365" s="50" t="str">
        <f t="shared" si="37"/>
        <v/>
      </c>
      <c r="F365" s="51"/>
      <c r="G365" s="52"/>
      <c r="H365" s="51"/>
      <c r="I365" s="51"/>
      <c r="J365" s="52"/>
      <c r="K365" s="53" t="str">
        <f>IF(G365="","",IFERROR(INDEX(Stammdaten!$P$10:$P$69,MATCH(G365,Stammdaten!$N$10:$N$69,0)),"–"))</f>
        <v/>
      </c>
      <c r="L365" s="53" t="str">
        <f>IF(F365="","",IFERROR(INDEX(Stammdaten!$D$10:$D$49,MATCH(F365,Stammdaten!$B$10:$B$49,0)),"–"))</f>
        <v/>
      </c>
      <c r="M365" s="54" t="str">
        <f>IF(C365="","",IF(OR(F365="",G365="",I365=""),"unvollständig",IF(I365="Storniert","storniert",IF(WEEKDAY(C365,2)&gt;5,"Wochenende",IF(COUNTIF(Stammdaten!$AD$10:$AD$30,C365)&gt;0,"Feiertag",IF(IFERROR(INDEX(Stammdaten!$I$10:$I$49,MATCH(F365,Stammdaten!$B$10:$B$49,0)),"")="Gesperrt","Platz gesperrt",IF(AND(COUNTIF($P$6:$P$605,P365)&gt;1,NOT(AND(COUNTIF($P$6:$P$605,P365)=2,COUNTIFS($P$6:$P$605,P365,$H$6:$H$605,"Vormittag")=1,COUNTIFS($P$6:$P$605,P365,$H$6:$H$605,"Nachmittag")=1))),"Doppelbuchung",IF(AND(COUNTIF($R$6:$R$605,R365)&gt;1,NOT(AND(COUNTIF($R$6:$R$605,R365)=2,COUNTIFS($R$6:$R$605,R365,$H$6:$H$605,"Vormittag")=1,COUNTIFS($R$6:$R$605,R365,$H$6:$H$605,"Nachmittag")=1))),"Person doppelt","OK"))))))))</f>
        <v/>
      </c>
      <c r="O365" s="55">
        <f t="shared" si="38"/>
        <v>0</v>
      </c>
      <c r="P365" s="55" t="str">
        <f t="shared" si="39"/>
        <v/>
      </c>
      <c r="Q365" s="55" t="str">
        <f>IF(P365="","",P365&amp;"|"&amp;COUNTIF(P$6:P365,P365))</f>
        <v/>
      </c>
      <c r="R365" s="55" t="str">
        <f t="shared" si="40"/>
        <v/>
      </c>
      <c r="S365" s="55" t="str">
        <f>IF(R365="","",R365&amp;"|"&amp;COUNTIF(R$6:R365,R365))</f>
        <v/>
      </c>
      <c r="T365" s="55" t="str">
        <f>IF(G365="","",IFERROR(INDEX(Stammdaten!$O$10:$O$69,MATCH(G365,Stammdaten!$N$10:$N$69,0)),G365)&amp;IF(H365="Vormittag"," (VM)",IF(H365="Nachmittag"," (NM)",""))&amp;IF(I365="Angefragt"," ?",""))</f>
        <v/>
      </c>
      <c r="U365" s="55" t="str">
        <f t="shared" si="41"/>
        <v/>
      </c>
    </row>
    <row r="366" spans="2:21" ht="16.5" customHeight="1" x14ac:dyDescent="0.25">
      <c r="B366" s="47" t="str">
        <f t="shared" si="35"/>
        <v/>
      </c>
      <c r="C366" s="48"/>
      <c r="D366" s="49" t="str">
        <f t="shared" si="36"/>
        <v/>
      </c>
      <c r="E366" s="50" t="str">
        <f t="shared" si="37"/>
        <v/>
      </c>
      <c r="F366" s="51"/>
      <c r="G366" s="52"/>
      <c r="H366" s="51"/>
      <c r="I366" s="51"/>
      <c r="J366" s="52"/>
      <c r="K366" s="53" t="str">
        <f>IF(G366="","",IFERROR(INDEX(Stammdaten!$P$10:$P$69,MATCH(G366,Stammdaten!$N$10:$N$69,0)),"–"))</f>
        <v/>
      </c>
      <c r="L366" s="53" t="str">
        <f>IF(F366="","",IFERROR(INDEX(Stammdaten!$D$10:$D$49,MATCH(F366,Stammdaten!$B$10:$B$49,0)),"–"))</f>
        <v/>
      </c>
      <c r="M366" s="54" t="str">
        <f>IF(C366="","",IF(OR(F366="",G366="",I366=""),"unvollständig",IF(I366="Storniert","storniert",IF(WEEKDAY(C366,2)&gt;5,"Wochenende",IF(COUNTIF(Stammdaten!$AD$10:$AD$30,C366)&gt;0,"Feiertag",IF(IFERROR(INDEX(Stammdaten!$I$10:$I$49,MATCH(F366,Stammdaten!$B$10:$B$49,0)),"")="Gesperrt","Platz gesperrt",IF(AND(COUNTIF($P$6:$P$605,P366)&gt;1,NOT(AND(COUNTIF($P$6:$P$605,P366)=2,COUNTIFS($P$6:$P$605,P366,$H$6:$H$605,"Vormittag")=1,COUNTIFS($P$6:$P$605,P366,$H$6:$H$605,"Nachmittag")=1))),"Doppelbuchung",IF(AND(COUNTIF($R$6:$R$605,R366)&gt;1,NOT(AND(COUNTIF($R$6:$R$605,R366)=2,COUNTIFS($R$6:$R$605,R366,$H$6:$H$605,"Vormittag")=1,COUNTIFS($R$6:$R$605,R366,$H$6:$H$605,"Nachmittag")=1))),"Person doppelt","OK"))))))))</f>
        <v/>
      </c>
      <c r="O366" s="55">
        <f t="shared" si="38"/>
        <v>0</v>
      </c>
      <c r="P366" s="55" t="str">
        <f t="shared" si="39"/>
        <v/>
      </c>
      <c r="Q366" s="55" t="str">
        <f>IF(P366="","",P366&amp;"|"&amp;COUNTIF(P$6:P366,P366))</f>
        <v/>
      </c>
      <c r="R366" s="55" t="str">
        <f t="shared" si="40"/>
        <v/>
      </c>
      <c r="S366" s="55" t="str">
        <f>IF(R366="","",R366&amp;"|"&amp;COUNTIF(R$6:R366,R366))</f>
        <v/>
      </c>
      <c r="T366" s="55" t="str">
        <f>IF(G366="","",IFERROR(INDEX(Stammdaten!$O$10:$O$69,MATCH(G366,Stammdaten!$N$10:$N$69,0)),G366)&amp;IF(H366="Vormittag"," (VM)",IF(H366="Nachmittag"," (NM)",""))&amp;IF(I366="Angefragt"," ?",""))</f>
        <v/>
      </c>
      <c r="U366" s="55" t="str">
        <f t="shared" si="41"/>
        <v/>
      </c>
    </row>
    <row r="367" spans="2:21" ht="16.5" customHeight="1" x14ac:dyDescent="0.25">
      <c r="B367" s="47" t="str">
        <f t="shared" si="35"/>
        <v/>
      </c>
      <c r="C367" s="48"/>
      <c r="D367" s="49" t="str">
        <f t="shared" si="36"/>
        <v/>
      </c>
      <c r="E367" s="50" t="str">
        <f t="shared" si="37"/>
        <v/>
      </c>
      <c r="F367" s="51"/>
      <c r="G367" s="52"/>
      <c r="H367" s="51"/>
      <c r="I367" s="51"/>
      <c r="J367" s="52"/>
      <c r="K367" s="53" t="str">
        <f>IF(G367="","",IFERROR(INDEX(Stammdaten!$P$10:$P$69,MATCH(G367,Stammdaten!$N$10:$N$69,0)),"–"))</f>
        <v/>
      </c>
      <c r="L367" s="53" t="str">
        <f>IF(F367="","",IFERROR(INDEX(Stammdaten!$D$10:$D$49,MATCH(F367,Stammdaten!$B$10:$B$49,0)),"–"))</f>
        <v/>
      </c>
      <c r="M367" s="54" t="str">
        <f>IF(C367="","",IF(OR(F367="",G367="",I367=""),"unvollständig",IF(I367="Storniert","storniert",IF(WEEKDAY(C367,2)&gt;5,"Wochenende",IF(COUNTIF(Stammdaten!$AD$10:$AD$30,C367)&gt;0,"Feiertag",IF(IFERROR(INDEX(Stammdaten!$I$10:$I$49,MATCH(F367,Stammdaten!$B$10:$B$49,0)),"")="Gesperrt","Platz gesperrt",IF(AND(COUNTIF($P$6:$P$605,P367)&gt;1,NOT(AND(COUNTIF($P$6:$P$605,P367)=2,COUNTIFS($P$6:$P$605,P367,$H$6:$H$605,"Vormittag")=1,COUNTIFS($P$6:$P$605,P367,$H$6:$H$605,"Nachmittag")=1))),"Doppelbuchung",IF(AND(COUNTIF($R$6:$R$605,R367)&gt;1,NOT(AND(COUNTIF($R$6:$R$605,R367)=2,COUNTIFS($R$6:$R$605,R367,$H$6:$H$605,"Vormittag")=1,COUNTIFS($R$6:$R$605,R367,$H$6:$H$605,"Nachmittag")=1))),"Person doppelt","OK"))))))))</f>
        <v/>
      </c>
      <c r="O367" s="55">
        <f t="shared" si="38"/>
        <v>0</v>
      </c>
      <c r="P367" s="55" t="str">
        <f t="shared" si="39"/>
        <v/>
      </c>
      <c r="Q367" s="55" t="str">
        <f>IF(P367="","",P367&amp;"|"&amp;COUNTIF(P$6:P367,P367))</f>
        <v/>
      </c>
      <c r="R367" s="55" t="str">
        <f t="shared" si="40"/>
        <v/>
      </c>
      <c r="S367" s="55" t="str">
        <f>IF(R367="","",R367&amp;"|"&amp;COUNTIF(R$6:R367,R367))</f>
        <v/>
      </c>
      <c r="T367" s="55" t="str">
        <f>IF(G367="","",IFERROR(INDEX(Stammdaten!$O$10:$O$69,MATCH(G367,Stammdaten!$N$10:$N$69,0)),G367)&amp;IF(H367="Vormittag"," (VM)",IF(H367="Nachmittag"," (NM)",""))&amp;IF(I367="Angefragt"," ?",""))</f>
        <v/>
      </c>
      <c r="U367" s="55" t="str">
        <f t="shared" si="41"/>
        <v/>
      </c>
    </row>
    <row r="368" spans="2:21" ht="16.5" customHeight="1" x14ac:dyDescent="0.25">
      <c r="B368" s="47" t="str">
        <f t="shared" si="35"/>
        <v/>
      </c>
      <c r="C368" s="48"/>
      <c r="D368" s="49" t="str">
        <f t="shared" si="36"/>
        <v/>
      </c>
      <c r="E368" s="50" t="str">
        <f t="shared" si="37"/>
        <v/>
      </c>
      <c r="F368" s="51"/>
      <c r="G368" s="52"/>
      <c r="H368" s="51"/>
      <c r="I368" s="51"/>
      <c r="J368" s="52"/>
      <c r="K368" s="53" t="str">
        <f>IF(G368="","",IFERROR(INDEX(Stammdaten!$P$10:$P$69,MATCH(G368,Stammdaten!$N$10:$N$69,0)),"–"))</f>
        <v/>
      </c>
      <c r="L368" s="53" t="str">
        <f>IF(F368="","",IFERROR(INDEX(Stammdaten!$D$10:$D$49,MATCH(F368,Stammdaten!$B$10:$B$49,0)),"–"))</f>
        <v/>
      </c>
      <c r="M368" s="54" t="str">
        <f>IF(C368="","",IF(OR(F368="",G368="",I368=""),"unvollständig",IF(I368="Storniert","storniert",IF(WEEKDAY(C368,2)&gt;5,"Wochenende",IF(COUNTIF(Stammdaten!$AD$10:$AD$30,C368)&gt;0,"Feiertag",IF(IFERROR(INDEX(Stammdaten!$I$10:$I$49,MATCH(F368,Stammdaten!$B$10:$B$49,0)),"")="Gesperrt","Platz gesperrt",IF(AND(COUNTIF($P$6:$P$605,P368)&gt;1,NOT(AND(COUNTIF($P$6:$P$605,P368)=2,COUNTIFS($P$6:$P$605,P368,$H$6:$H$605,"Vormittag")=1,COUNTIFS($P$6:$P$605,P368,$H$6:$H$605,"Nachmittag")=1))),"Doppelbuchung",IF(AND(COUNTIF($R$6:$R$605,R368)&gt;1,NOT(AND(COUNTIF($R$6:$R$605,R368)=2,COUNTIFS($R$6:$R$605,R368,$H$6:$H$605,"Vormittag")=1,COUNTIFS($R$6:$R$605,R368,$H$6:$H$605,"Nachmittag")=1))),"Person doppelt","OK"))))))))</f>
        <v/>
      </c>
      <c r="O368" s="55">
        <f t="shared" si="38"/>
        <v>0</v>
      </c>
      <c r="P368" s="55" t="str">
        <f t="shared" si="39"/>
        <v/>
      </c>
      <c r="Q368" s="55" t="str">
        <f>IF(P368="","",P368&amp;"|"&amp;COUNTIF(P$6:P368,P368))</f>
        <v/>
      </c>
      <c r="R368" s="55" t="str">
        <f t="shared" si="40"/>
        <v/>
      </c>
      <c r="S368" s="55" t="str">
        <f>IF(R368="","",R368&amp;"|"&amp;COUNTIF(R$6:R368,R368))</f>
        <v/>
      </c>
      <c r="T368" s="55" t="str">
        <f>IF(G368="","",IFERROR(INDEX(Stammdaten!$O$10:$O$69,MATCH(G368,Stammdaten!$N$10:$N$69,0)),G368)&amp;IF(H368="Vormittag"," (VM)",IF(H368="Nachmittag"," (NM)",""))&amp;IF(I368="Angefragt"," ?",""))</f>
        <v/>
      </c>
      <c r="U368" s="55" t="str">
        <f t="shared" si="41"/>
        <v/>
      </c>
    </row>
    <row r="369" spans="2:21" ht="16.5" customHeight="1" x14ac:dyDescent="0.25">
      <c r="B369" s="47" t="str">
        <f t="shared" si="35"/>
        <v/>
      </c>
      <c r="C369" s="48"/>
      <c r="D369" s="49" t="str">
        <f t="shared" si="36"/>
        <v/>
      </c>
      <c r="E369" s="50" t="str">
        <f t="shared" si="37"/>
        <v/>
      </c>
      <c r="F369" s="51"/>
      <c r="G369" s="52"/>
      <c r="H369" s="51"/>
      <c r="I369" s="51"/>
      <c r="J369" s="52"/>
      <c r="K369" s="53" t="str">
        <f>IF(G369="","",IFERROR(INDEX(Stammdaten!$P$10:$P$69,MATCH(G369,Stammdaten!$N$10:$N$69,0)),"–"))</f>
        <v/>
      </c>
      <c r="L369" s="53" t="str">
        <f>IF(F369="","",IFERROR(INDEX(Stammdaten!$D$10:$D$49,MATCH(F369,Stammdaten!$B$10:$B$49,0)),"–"))</f>
        <v/>
      </c>
      <c r="M369" s="54" t="str">
        <f>IF(C369="","",IF(OR(F369="",G369="",I369=""),"unvollständig",IF(I369="Storniert","storniert",IF(WEEKDAY(C369,2)&gt;5,"Wochenende",IF(COUNTIF(Stammdaten!$AD$10:$AD$30,C369)&gt;0,"Feiertag",IF(IFERROR(INDEX(Stammdaten!$I$10:$I$49,MATCH(F369,Stammdaten!$B$10:$B$49,0)),"")="Gesperrt","Platz gesperrt",IF(AND(COUNTIF($P$6:$P$605,P369)&gt;1,NOT(AND(COUNTIF($P$6:$P$605,P369)=2,COUNTIFS($P$6:$P$605,P369,$H$6:$H$605,"Vormittag")=1,COUNTIFS($P$6:$P$605,P369,$H$6:$H$605,"Nachmittag")=1))),"Doppelbuchung",IF(AND(COUNTIF($R$6:$R$605,R369)&gt;1,NOT(AND(COUNTIF($R$6:$R$605,R369)=2,COUNTIFS($R$6:$R$605,R369,$H$6:$H$605,"Vormittag")=1,COUNTIFS($R$6:$R$605,R369,$H$6:$H$605,"Nachmittag")=1))),"Person doppelt","OK"))))))))</f>
        <v/>
      </c>
      <c r="O369" s="55">
        <f t="shared" si="38"/>
        <v>0</v>
      </c>
      <c r="P369" s="55" t="str">
        <f t="shared" si="39"/>
        <v/>
      </c>
      <c r="Q369" s="55" t="str">
        <f>IF(P369="","",P369&amp;"|"&amp;COUNTIF(P$6:P369,P369))</f>
        <v/>
      </c>
      <c r="R369" s="55" t="str">
        <f t="shared" si="40"/>
        <v/>
      </c>
      <c r="S369" s="55" t="str">
        <f>IF(R369="","",R369&amp;"|"&amp;COUNTIF(R$6:R369,R369))</f>
        <v/>
      </c>
      <c r="T369" s="55" t="str">
        <f>IF(G369="","",IFERROR(INDEX(Stammdaten!$O$10:$O$69,MATCH(G369,Stammdaten!$N$10:$N$69,0)),G369)&amp;IF(H369="Vormittag"," (VM)",IF(H369="Nachmittag"," (NM)",""))&amp;IF(I369="Angefragt"," ?",""))</f>
        <v/>
      </c>
      <c r="U369" s="55" t="str">
        <f t="shared" si="41"/>
        <v/>
      </c>
    </row>
    <row r="370" spans="2:21" ht="16.5" customHeight="1" x14ac:dyDescent="0.25">
      <c r="B370" s="47" t="str">
        <f t="shared" si="35"/>
        <v/>
      </c>
      <c r="C370" s="48"/>
      <c r="D370" s="49" t="str">
        <f t="shared" si="36"/>
        <v/>
      </c>
      <c r="E370" s="50" t="str">
        <f t="shared" si="37"/>
        <v/>
      </c>
      <c r="F370" s="51"/>
      <c r="G370" s="52"/>
      <c r="H370" s="51"/>
      <c r="I370" s="51"/>
      <c r="J370" s="52"/>
      <c r="K370" s="53" t="str">
        <f>IF(G370="","",IFERROR(INDEX(Stammdaten!$P$10:$P$69,MATCH(G370,Stammdaten!$N$10:$N$69,0)),"–"))</f>
        <v/>
      </c>
      <c r="L370" s="53" t="str">
        <f>IF(F370="","",IFERROR(INDEX(Stammdaten!$D$10:$D$49,MATCH(F370,Stammdaten!$B$10:$B$49,0)),"–"))</f>
        <v/>
      </c>
      <c r="M370" s="54" t="str">
        <f>IF(C370="","",IF(OR(F370="",G370="",I370=""),"unvollständig",IF(I370="Storniert","storniert",IF(WEEKDAY(C370,2)&gt;5,"Wochenende",IF(COUNTIF(Stammdaten!$AD$10:$AD$30,C370)&gt;0,"Feiertag",IF(IFERROR(INDEX(Stammdaten!$I$10:$I$49,MATCH(F370,Stammdaten!$B$10:$B$49,0)),"")="Gesperrt","Platz gesperrt",IF(AND(COUNTIF($P$6:$P$605,P370)&gt;1,NOT(AND(COUNTIF($P$6:$P$605,P370)=2,COUNTIFS($P$6:$P$605,P370,$H$6:$H$605,"Vormittag")=1,COUNTIFS($P$6:$P$605,P370,$H$6:$H$605,"Nachmittag")=1))),"Doppelbuchung",IF(AND(COUNTIF($R$6:$R$605,R370)&gt;1,NOT(AND(COUNTIF($R$6:$R$605,R370)=2,COUNTIFS($R$6:$R$605,R370,$H$6:$H$605,"Vormittag")=1,COUNTIFS($R$6:$R$605,R370,$H$6:$H$605,"Nachmittag")=1))),"Person doppelt","OK"))))))))</f>
        <v/>
      </c>
      <c r="O370" s="55">
        <f t="shared" si="38"/>
        <v>0</v>
      </c>
      <c r="P370" s="55" t="str">
        <f t="shared" si="39"/>
        <v/>
      </c>
      <c r="Q370" s="55" t="str">
        <f>IF(P370="","",P370&amp;"|"&amp;COUNTIF(P$6:P370,P370))</f>
        <v/>
      </c>
      <c r="R370" s="55" t="str">
        <f t="shared" si="40"/>
        <v/>
      </c>
      <c r="S370" s="55" t="str">
        <f>IF(R370="","",R370&amp;"|"&amp;COUNTIF(R$6:R370,R370))</f>
        <v/>
      </c>
      <c r="T370" s="55" t="str">
        <f>IF(G370="","",IFERROR(INDEX(Stammdaten!$O$10:$O$69,MATCH(G370,Stammdaten!$N$10:$N$69,0)),G370)&amp;IF(H370="Vormittag"," (VM)",IF(H370="Nachmittag"," (NM)",""))&amp;IF(I370="Angefragt"," ?",""))</f>
        <v/>
      </c>
      <c r="U370" s="55" t="str">
        <f t="shared" si="41"/>
        <v/>
      </c>
    </row>
    <row r="371" spans="2:21" ht="16.5" customHeight="1" x14ac:dyDescent="0.25">
      <c r="B371" s="47" t="str">
        <f t="shared" si="35"/>
        <v/>
      </c>
      <c r="C371" s="48"/>
      <c r="D371" s="49" t="str">
        <f t="shared" si="36"/>
        <v/>
      </c>
      <c r="E371" s="50" t="str">
        <f t="shared" si="37"/>
        <v/>
      </c>
      <c r="F371" s="51"/>
      <c r="G371" s="52"/>
      <c r="H371" s="51"/>
      <c r="I371" s="51"/>
      <c r="J371" s="52"/>
      <c r="K371" s="53" t="str">
        <f>IF(G371="","",IFERROR(INDEX(Stammdaten!$P$10:$P$69,MATCH(G371,Stammdaten!$N$10:$N$69,0)),"–"))</f>
        <v/>
      </c>
      <c r="L371" s="53" t="str">
        <f>IF(F371="","",IFERROR(INDEX(Stammdaten!$D$10:$D$49,MATCH(F371,Stammdaten!$B$10:$B$49,0)),"–"))</f>
        <v/>
      </c>
      <c r="M371" s="54" t="str">
        <f>IF(C371="","",IF(OR(F371="",G371="",I371=""),"unvollständig",IF(I371="Storniert","storniert",IF(WEEKDAY(C371,2)&gt;5,"Wochenende",IF(COUNTIF(Stammdaten!$AD$10:$AD$30,C371)&gt;0,"Feiertag",IF(IFERROR(INDEX(Stammdaten!$I$10:$I$49,MATCH(F371,Stammdaten!$B$10:$B$49,0)),"")="Gesperrt","Platz gesperrt",IF(AND(COUNTIF($P$6:$P$605,P371)&gt;1,NOT(AND(COUNTIF($P$6:$P$605,P371)=2,COUNTIFS($P$6:$P$605,P371,$H$6:$H$605,"Vormittag")=1,COUNTIFS($P$6:$P$605,P371,$H$6:$H$605,"Nachmittag")=1))),"Doppelbuchung",IF(AND(COUNTIF($R$6:$R$605,R371)&gt;1,NOT(AND(COUNTIF($R$6:$R$605,R371)=2,COUNTIFS($R$6:$R$605,R371,$H$6:$H$605,"Vormittag")=1,COUNTIFS($R$6:$R$605,R371,$H$6:$H$605,"Nachmittag")=1))),"Person doppelt","OK"))))))))</f>
        <v/>
      </c>
      <c r="O371" s="55">
        <f t="shared" si="38"/>
        <v>0</v>
      </c>
      <c r="P371" s="55" t="str">
        <f t="shared" si="39"/>
        <v/>
      </c>
      <c r="Q371" s="55" t="str">
        <f>IF(P371="","",P371&amp;"|"&amp;COUNTIF(P$6:P371,P371))</f>
        <v/>
      </c>
      <c r="R371" s="55" t="str">
        <f t="shared" si="40"/>
        <v/>
      </c>
      <c r="S371" s="55" t="str">
        <f>IF(R371="","",R371&amp;"|"&amp;COUNTIF(R$6:R371,R371))</f>
        <v/>
      </c>
      <c r="T371" s="55" t="str">
        <f>IF(G371="","",IFERROR(INDEX(Stammdaten!$O$10:$O$69,MATCH(G371,Stammdaten!$N$10:$N$69,0)),G371)&amp;IF(H371="Vormittag"," (VM)",IF(H371="Nachmittag"," (NM)",""))&amp;IF(I371="Angefragt"," ?",""))</f>
        <v/>
      </c>
      <c r="U371" s="55" t="str">
        <f t="shared" si="41"/>
        <v/>
      </c>
    </row>
    <row r="372" spans="2:21" ht="16.5" customHeight="1" x14ac:dyDescent="0.25">
      <c r="B372" s="47" t="str">
        <f t="shared" si="35"/>
        <v/>
      </c>
      <c r="C372" s="48"/>
      <c r="D372" s="49" t="str">
        <f t="shared" si="36"/>
        <v/>
      </c>
      <c r="E372" s="50" t="str">
        <f t="shared" si="37"/>
        <v/>
      </c>
      <c r="F372" s="51"/>
      <c r="G372" s="52"/>
      <c r="H372" s="51"/>
      <c r="I372" s="51"/>
      <c r="J372" s="52"/>
      <c r="K372" s="53" t="str">
        <f>IF(G372="","",IFERROR(INDEX(Stammdaten!$P$10:$P$69,MATCH(G372,Stammdaten!$N$10:$N$69,0)),"–"))</f>
        <v/>
      </c>
      <c r="L372" s="53" t="str">
        <f>IF(F372="","",IFERROR(INDEX(Stammdaten!$D$10:$D$49,MATCH(F372,Stammdaten!$B$10:$B$49,0)),"–"))</f>
        <v/>
      </c>
      <c r="M372" s="54" t="str">
        <f>IF(C372="","",IF(OR(F372="",G372="",I372=""),"unvollständig",IF(I372="Storniert","storniert",IF(WEEKDAY(C372,2)&gt;5,"Wochenende",IF(COUNTIF(Stammdaten!$AD$10:$AD$30,C372)&gt;0,"Feiertag",IF(IFERROR(INDEX(Stammdaten!$I$10:$I$49,MATCH(F372,Stammdaten!$B$10:$B$49,0)),"")="Gesperrt","Platz gesperrt",IF(AND(COUNTIF($P$6:$P$605,P372)&gt;1,NOT(AND(COUNTIF($P$6:$P$605,P372)=2,COUNTIFS($P$6:$P$605,P372,$H$6:$H$605,"Vormittag")=1,COUNTIFS($P$6:$P$605,P372,$H$6:$H$605,"Nachmittag")=1))),"Doppelbuchung",IF(AND(COUNTIF($R$6:$R$605,R372)&gt;1,NOT(AND(COUNTIF($R$6:$R$605,R372)=2,COUNTIFS($R$6:$R$605,R372,$H$6:$H$605,"Vormittag")=1,COUNTIFS($R$6:$R$605,R372,$H$6:$H$605,"Nachmittag")=1))),"Person doppelt","OK"))))))))</f>
        <v/>
      </c>
      <c r="O372" s="55">
        <f t="shared" si="38"/>
        <v>0</v>
      </c>
      <c r="P372" s="55" t="str">
        <f t="shared" si="39"/>
        <v/>
      </c>
      <c r="Q372" s="55" t="str">
        <f>IF(P372="","",P372&amp;"|"&amp;COUNTIF(P$6:P372,P372))</f>
        <v/>
      </c>
      <c r="R372" s="55" t="str">
        <f t="shared" si="40"/>
        <v/>
      </c>
      <c r="S372" s="55" t="str">
        <f>IF(R372="","",R372&amp;"|"&amp;COUNTIF(R$6:R372,R372))</f>
        <v/>
      </c>
      <c r="T372" s="55" t="str">
        <f>IF(G372="","",IFERROR(INDEX(Stammdaten!$O$10:$O$69,MATCH(G372,Stammdaten!$N$10:$N$69,0)),G372)&amp;IF(H372="Vormittag"," (VM)",IF(H372="Nachmittag"," (NM)",""))&amp;IF(I372="Angefragt"," ?",""))</f>
        <v/>
      </c>
      <c r="U372" s="55" t="str">
        <f t="shared" si="41"/>
        <v/>
      </c>
    </row>
    <row r="373" spans="2:21" ht="16.5" customHeight="1" x14ac:dyDescent="0.25">
      <c r="B373" s="47" t="str">
        <f t="shared" si="35"/>
        <v/>
      </c>
      <c r="C373" s="48"/>
      <c r="D373" s="49" t="str">
        <f t="shared" si="36"/>
        <v/>
      </c>
      <c r="E373" s="50" t="str">
        <f t="shared" si="37"/>
        <v/>
      </c>
      <c r="F373" s="51"/>
      <c r="G373" s="52"/>
      <c r="H373" s="51"/>
      <c r="I373" s="51"/>
      <c r="J373" s="52"/>
      <c r="K373" s="53" t="str">
        <f>IF(G373="","",IFERROR(INDEX(Stammdaten!$P$10:$P$69,MATCH(G373,Stammdaten!$N$10:$N$69,0)),"–"))</f>
        <v/>
      </c>
      <c r="L373" s="53" t="str">
        <f>IF(F373="","",IFERROR(INDEX(Stammdaten!$D$10:$D$49,MATCH(F373,Stammdaten!$B$10:$B$49,0)),"–"))</f>
        <v/>
      </c>
      <c r="M373" s="54" t="str">
        <f>IF(C373="","",IF(OR(F373="",G373="",I373=""),"unvollständig",IF(I373="Storniert","storniert",IF(WEEKDAY(C373,2)&gt;5,"Wochenende",IF(COUNTIF(Stammdaten!$AD$10:$AD$30,C373)&gt;0,"Feiertag",IF(IFERROR(INDEX(Stammdaten!$I$10:$I$49,MATCH(F373,Stammdaten!$B$10:$B$49,0)),"")="Gesperrt","Platz gesperrt",IF(AND(COUNTIF($P$6:$P$605,P373)&gt;1,NOT(AND(COUNTIF($P$6:$P$605,P373)=2,COUNTIFS($P$6:$P$605,P373,$H$6:$H$605,"Vormittag")=1,COUNTIFS($P$6:$P$605,P373,$H$6:$H$605,"Nachmittag")=1))),"Doppelbuchung",IF(AND(COUNTIF($R$6:$R$605,R373)&gt;1,NOT(AND(COUNTIF($R$6:$R$605,R373)=2,COUNTIFS($R$6:$R$605,R373,$H$6:$H$605,"Vormittag")=1,COUNTIFS($R$6:$R$605,R373,$H$6:$H$605,"Nachmittag")=1))),"Person doppelt","OK"))))))))</f>
        <v/>
      </c>
      <c r="O373" s="55">
        <f t="shared" si="38"/>
        <v>0</v>
      </c>
      <c r="P373" s="55" t="str">
        <f t="shared" si="39"/>
        <v/>
      </c>
      <c r="Q373" s="55" t="str">
        <f>IF(P373="","",P373&amp;"|"&amp;COUNTIF(P$6:P373,P373))</f>
        <v/>
      </c>
      <c r="R373" s="55" t="str">
        <f t="shared" si="40"/>
        <v/>
      </c>
      <c r="S373" s="55" t="str">
        <f>IF(R373="","",R373&amp;"|"&amp;COUNTIF(R$6:R373,R373))</f>
        <v/>
      </c>
      <c r="T373" s="55" t="str">
        <f>IF(G373="","",IFERROR(INDEX(Stammdaten!$O$10:$O$69,MATCH(G373,Stammdaten!$N$10:$N$69,0)),G373)&amp;IF(H373="Vormittag"," (VM)",IF(H373="Nachmittag"," (NM)",""))&amp;IF(I373="Angefragt"," ?",""))</f>
        <v/>
      </c>
      <c r="U373" s="55" t="str">
        <f t="shared" si="41"/>
        <v/>
      </c>
    </row>
    <row r="374" spans="2:21" ht="16.5" customHeight="1" x14ac:dyDescent="0.25">
      <c r="B374" s="47" t="str">
        <f t="shared" si="35"/>
        <v/>
      </c>
      <c r="C374" s="48"/>
      <c r="D374" s="49" t="str">
        <f t="shared" si="36"/>
        <v/>
      </c>
      <c r="E374" s="50" t="str">
        <f t="shared" si="37"/>
        <v/>
      </c>
      <c r="F374" s="51"/>
      <c r="G374" s="52"/>
      <c r="H374" s="51"/>
      <c r="I374" s="51"/>
      <c r="J374" s="52"/>
      <c r="K374" s="53" t="str">
        <f>IF(G374="","",IFERROR(INDEX(Stammdaten!$P$10:$P$69,MATCH(G374,Stammdaten!$N$10:$N$69,0)),"–"))</f>
        <v/>
      </c>
      <c r="L374" s="53" t="str">
        <f>IF(F374="","",IFERROR(INDEX(Stammdaten!$D$10:$D$49,MATCH(F374,Stammdaten!$B$10:$B$49,0)),"–"))</f>
        <v/>
      </c>
      <c r="M374" s="54" t="str">
        <f>IF(C374="","",IF(OR(F374="",G374="",I374=""),"unvollständig",IF(I374="Storniert","storniert",IF(WEEKDAY(C374,2)&gt;5,"Wochenende",IF(COUNTIF(Stammdaten!$AD$10:$AD$30,C374)&gt;0,"Feiertag",IF(IFERROR(INDEX(Stammdaten!$I$10:$I$49,MATCH(F374,Stammdaten!$B$10:$B$49,0)),"")="Gesperrt","Platz gesperrt",IF(AND(COUNTIF($P$6:$P$605,P374)&gt;1,NOT(AND(COUNTIF($P$6:$P$605,P374)=2,COUNTIFS($P$6:$P$605,P374,$H$6:$H$605,"Vormittag")=1,COUNTIFS($P$6:$P$605,P374,$H$6:$H$605,"Nachmittag")=1))),"Doppelbuchung",IF(AND(COUNTIF($R$6:$R$605,R374)&gt;1,NOT(AND(COUNTIF($R$6:$R$605,R374)=2,COUNTIFS($R$6:$R$605,R374,$H$6:$H$605,"Vormittag")=1,COUNTIFS($R$6:$R$605,R374,$H$6:$H$605,"Nachmittag")=1))),"Person doppelt","OK"))))))))</f>
        <v/>
      </c>
      <c r="O374" s="55">
        <f t="shared" si="38"/>
        <v>0</v>
      </c>
      <c r="P374" s="55" t="str">
        <f t="shared" si="39"/>
        <v/>
      </c>
      <c r="Q374" s="55" t="str">
        <f>IF(P374="","",P374&amp;"|"&amp;COUNTIF(P$6:P374,P374))</f>
        <v/>
      </c>
      <c r="R374" s="55" t="str">
        <f t="shared" si="40"/>
        <v/>
      </c>
      <c r="S374" s="55" t="str">
        <f>IF(R374="","",R374&amp;"|"&amp;COUNTIF(R$6:R374,R374))</f>
        <v/>
      </c>
      <c r="T374" s="55" t="str">
        <f>IF(G374="","",IFERROR(INDEX(Stammdaten!$O$10:$O$69,MATCH(G374,Stammdaten!$N$10:$N$69,0)),G374)&amp;IF(H374="Vormittag"," (VM)",IF(H374="Nachmittag"," (NM)",""))&amp;IF(I374="Angefragt"," ?",""))</f>
        <v/>
      </c>
      <c r="U374" s="55" t="str">
        <f t="shared" si="41"/>
        <v/>
      </c>
    </row>
    <row r="375" spans="2:21" ht="16.5" customHeight="1" x14ac:dyDescent="0.25">
      <c r="B375" s="47" t="str">
        <f t="shared" si="35"/>
        <v/>
      </c>
      <c r="C375" s="48"/>
      <c r="D375" s="49" t="str">
        <f t="shared" si="36"/>
        <v/>
      </c>
      <c r="E375" s="50" t="str">
        <f t="shared" si="37"/>
        <v/>
      </c>
      <c r="F375" s="51"/>
      <c r="G375" s="52"/>
      <c r="H375" s="51"/>
      <c r="I375" s="51"/>
      <c r="J375" s="52"/>
      <c r="K375" s="53" t="str">
        <f>IF(G375="","",IFERROR(INDEX(Stammdaten!$P$10:$P$69,MATCH(G375,Stammdaten!$N$10:$N$69,0)),"–"))</f>
        <v/>
      </c>
      <c r="L375" s="53" t="str">
        <f>IF(F375="","",IFERROR(INDEX(Stammdaten!$D$10:$D$49,MATCH(F375,Stammdaten!$B$10:$B$49,0)),"–"))</f>
        <v/>
      </c>
      <c r="M375" s="54" t="str">
        <f>IF(C375="","",IF(OR(F375="",G375="",I375=""),"unvollständig",IF(I375="Storniert","storniert",IF(WEEKDAY(C375,2)&gt;5,"Wochenende",IF(COUNTIF(Stammdaten!$AD$10:$AD$30,C375)&gt;0,"Feiertag",IF(IFERROR(INDEX(Stammdaten!$I$10:$I$49,MATCH(F375,Stammdaten!$B$10:$B$49,0)),"")="Gesperrt","Platz gesperrt",IF(AND(COUNTIF($P$6:$P$605,P375)&gt;1,NOT(AND(COUNTIF($P$6:$P$605,P375)=2,COUNTIFS($P$6:$P$605,P375,$H$6:$H$605,"Vormittag")=1,COUNTIFS($P$6:$P$605,P375,$H$6:$H$605,"Nachmittag")=1))),"Doppelbuchung",IF(AND(COUNTIF($R$6:$R$605,R375)&gt;1,NOT(AND(COUNTIF($R$6:$R$605,R375)=2,COUNTIFS($R$6:$R$605,R375,$H$6:$H$605,"Vormittag")=1,COUNTIFS($R$6:$R$605,R375,$H$6:$H$605,"Nachmittag")=1))),"Person doppelt","OK"))))))))</f>
        <v/>
      </c>
      <c r="O375" s="55">
        <f t="shared" si="38"/>
        <v>0</v>
      </c>
      <c r="P375" s="55" t="str">
        <f t="shared" si="39"/>
        <v/>
      </c>
      <c r="Q375" s="55" t="str">
        <f>IF(P375="","",P375&amp;"|"&amp;COUNTIF(P$6:P375,P375))</f>
        <v/>
      </c>
      <c r="R375" s="55" t="str">
        <f t="shared" si="40"/>
        <v/>
      </c>
      <c r="S375" s="55" t="str">
        <f>IF(R375="","",R375&amp;"|"&amp;COUNTIF(R$6:R375,R375))</f>
        <v/>
      </c>
      <c r="T375" s="55" t="str">
        <f>IF(G375="","",IFERROR(INDEX(Stammdaten!$O$10:$O$69,MATCH(G375,Stammdaten!$N$10:$N$69,0)),G375)&amp;IF(H375="Vormittag"," (VM)",IF(H375="Nachmittag"," (NM)",""))&amp;IF(I375="Angefragt"," ?",""))</f>
        <v/>
      </c>
      <c r="U375" s="55" t="str">
        <f t="shared" si="41"/>
        <v/>
      </c>
    </row>
    <row r="376" spans="2:21" ht="16.5" customHeight="1" x14ac:dyDescent="0.25">
      <c r="B376" s="47" t="str">
        <f t="shared" si="35"/>
        <v/>
      </c>
      <c r="C376" s="48"/>
      <c r="D376" s="49" t="str">
        <f t="shared" si="36"/>
        <v/>
      </c>
      <c r="E376" s="50" t="str">
        <f t="shared" si="37"/>
        <v/>
      </c>
      <c r="F376" s="51"/>
      <c r="G376" s="52"/>
      <c r="H376" s="51"/>
      <c r="I376" s="51"/>
      <c r="J376" s="52"/>
      <c r="K376" s="53" t="str">
        <f>IF(G376="","",IFERROR(INDEX(Stammdaten!$P$10:$P$69,MATCH(G376,Stammdaten!$N$10:$N$69,0)),"–"))</f>
        <v/>
      </c>
      <c r="L376" s="53" t="str">
        <f>IF(F376="","",IFERROR(INDEX(Stammdaten!$D$10:$D$49,MATCH(F376,Stammdaten!$B$10:$B$49,0)),"–"))</f>
        <v/>
      </c>
      <c r="M376" s="54" t="str">
        <f>IF(C376="","",IF(OR(F376="",G376="",I376=""),"unvollständig",IF(I376="Storniert","storniert",IF(WEEKDAY(C376,2)&gt;5,"Wochenende",IF(COUNTIF(Stammdaten!$AD$10:$AD$30,C376)&gt;0,"Feiertag",IF(IFERROR(INDEX(Stammdaten!$I$10:$I$49,MATCH(F376,Stammdaten!$B$10:$B$49,0)),"")="Gesperrt","Platz gesperrt",IF(AND(COUNTIF($P$6:$P$605,P376)&gt;1,NOT(AND(COUNTIF($P$6:$P$605,P376)=2,COUNTIFS($P$6:$P$605,P376,$H$6:$H$605,"Vormittag")=1,COUNTIFS($P$6:$P$605,P376,$H$6:$H$605,"Nachmittag")=1))),"Doppelbuchung",IF(AND(COUNTIF($R$6:$R$605,R376)&gt;1,NOT(AND(COUNTIF($R$6:$R$605,R376)=2,COUNTIFS($R$6:$R$605,R376,$H$6:$H$605,"Vormittag")=1,COUNTIFS($R$6:$R$605,R376,$H$6:$H$605,"Nachmittag")=1))),"Person doppelt","OK"))))))))</f>
        <v/>
      </c>
      <c r="O376" s="55">
        <f t="shared" si="38"/>
        <v>0</v>
      </c>
      <c r="P376" s="55" t="str">
        <f t="shared" si="39"/>
        <v/>
      </c>
      <c r="Q376" s="55" t="str">
        <f>IF(P376="","",P376&amp;"|"&amp;COUNTIF(P$6:P376,P376))</f>
        <v/>
      </c>
      <c r="R376" s="55" t="str">
        <f t="shared" si="40"/>
        <v/>
      </c>
      <c r="S376" s="55" t="str">
        <f>IF(R376="","",R376&amp;"|"&amp;COUNTIF(R$6:R376,R376))</f>
        <v/>
      </c>
      <c r="T376" s="55" t="str">
        <f>IF(G376="","",IFERROR(INDEX(Stammdaten!$O$10:$O$69,MATCH(G376,Stammdaten!$N$10:$N$69,0)),G376)&amp;IF(H376="Vormittag"," (VM)",IF(H376="Nachmittag"," (NM)",""))&amp;IF(I376="Angefragt"," ?",""))</f>
        <v/>
      </c>
      <c r="U376" s="55" t="str">
        <f t="shared" si="41"/>
        <v/>
      </c>
    </row>
    <row r="377" spans="2:21" ht="16.5" customHeight="1" x14ac:dyDescent="0.25">
      <c r="B377" s="47" t="str">
        <f t="shared" si="35"/>
        <v/>
      </c>
      <c r="C377" s="48"/>
      <c r="D377" s="49" t="str">
        <f t="shared" si="36"/>
        <v/>
      </c>
      <c r="E377" s="50" t="str">
        <f t="shared" si="37"/>
        <v/>
      </c>
      <c r="F377" s="51"/>
      <c r="G377" s="52"/>
      <c r="H377" s="51"/>
      <c r="I377" s="51"/>
      <c r="J377" s="52"/>
      <c r="K377" s="53" t="str">
        <f>IF(G377="","",IFERROR(INDEX(Stammdaten!$P$10:$P$69,MATCH(G377,Stammdaten!$N$10:$N$69,0)),"–"))</f>
        <v/>
      </c>
      <c r="L377" s="53" t="str">
        <f>IF(F377="","",IFERROR(INDEX(Stammdaten!$D$10:$D$49,MATCH(F377,Stammdaten!$B$10:$B$49,0)),"–"))</f>
        <v/>
      </c>
      <c r="M377" s="54" t="str">
        <f>IF(C377="","",IF(OR(F377="",G377="",I377=""),"unvollständig",IF(I377="Storniert","storniert",IF(WEEKDAY(C377,2)&gt;5,"Wochenende",IF(COUNTIF(Stammdaten!$AD$10:$AD$30,C377)&gt;0,"Feiertag",IF(IFERROR(INDEX(Stammdaten!$I$10:$I$49,MATCH(F377,Stammdaten!$B$10:$B$49,0)),"")="Gesperrt","Platz gesperrt",IF(AND(COUNTIF($P$6:$P$605,P377)&gt;1,NOT(AND(COUNTIF($P$6:$P$605,P377)=2,COUNTIFS($P$6:$P$605,P377,$H$6:$H$605,"Vormittag")=1,COUNTIFS($P$6:$P$605,P377,$H$6:$H$605,"Nachmittag")=1))),"Doppelbuchung",IF(AND(COUNTIF($R$6:$R$605,R377)&gt;1,NOT(AND(COUNTIF($R$6:$R$605,R377)=2,COUNTIFS($R$6:$R$605,R377,$H$6:$H$605,"Vormittag")=1,COUNTIFS($R$6:$R$605,R377,$H$6:$H$605,"Nachmittag")=1))),"Person doppelt","OK"))))))))</f>
        <v/>
      </c>
      <c r="O377" s="55">
        <f t="shared" si="38"/>
        <v>0</v>
      </c>
      <c r="P377" s="55" t="str">
        <f t="shared" si="39"/>
        <v/>
      </c>
      <c r="Q377" s="55" t="str">
        <f>IF(P377="","",P377&amp;"|"&amp;COUNTIF(P$6:P377,P377))</f>
        <v/>
      </c>
      <c r="R377" s="55" t="str">
        <f t="shared" si="40"/>
        <v/>
      </c>
      <c r="S377" s="55" t="str">
        <f>IF(R377="","",R377&amp;"|"&amp;COUNTIF(R$6:R377,R377))</f>
        <v/>
      </c>
      <c r="T377" s="55" t="str">
        <f>IF(G377="","",IFERROR(INDEX(Stammdaten!$O$10:$O$69,MATCH(G377,Stammdaten!$N$10:$N$69,0)),G377)&amp;IF(H377="Vormittag"," (VM)",IF(H377="Nachmittag"," (NM)",""))&amp;IF(I377="Angefragt"," ?",""))</f>
        <v/>
      </c>
      <c r="U377" s="55" t="str">
        <f t="shared" si="41"/>
        <v/>
      </c>
    </row>
    <row r="378" spans="2:21" ht="16.5" customHeight="1" x14ac:dyDescent="0.25">
      <c r="B378" s="47" t="str">
        <f t="shared" si="35"/>
        <v/>
      </c>
      <c r="C378" s="48"/>
      <c r="D378" s="49" t="str">
        <f t="shared" si="36"/>
        <v/>
      </c>
      <c r="E378" s="50" t="str">
        <f t="shared" si="37"/>
        <v/>
      </c>
      <c r="F378" s="51"/>
      <c r="G378" s="52"/>
      <c r="H378" s="51"/>
      <c r="I378" s="51"/>
      <c r="J378" s="52"/>
      <c r="K378" s="53" t="str">
        <f>IF(G378="","",IFERROR(INDEX(Stammdaten!$P$10:$P$69,MATCH(G378,Stammdaten!$N$10:$N$69,0)),"–"))</f>
        <v/>
      </c>
      <c r="L378" s="53" t="str">
        <f>IF(F378="","",IFERROR(INDEX(Stammdaten!$D$10:$D$49,MATCH(F378,Stammdaten!$B$10:$B$49,0)),"–"))</f>
        <v/>
      </c>
      <c r="M378" s="54" t="str">
        <f>IF(C378="","",IF(OR(F378="",G378="",I378=""),"unvollständig",IF(I378="Storniert","storniert",IF(WEEKDAY(C378,2)&gt;5,"Wochenende",IF(COUNTIF(Stammdaten!$AD$10:$AD$30,C378)&gt;0,"Feiertag",IF(IFERROR(INDEX(Stammdaten!$I$10:$I$49,MATCH(F378,Stammdaten!$B$10:$B$49,0)),"")="Gesperrt","Platz gesperrt",IF(AND(COUNTIF($P$6:$P$605,P378)&gt;1,NOT(AND(COUNTIF($P$6:$P$605,P378)=2,COUNTIFS($P$6:$P$605,P378,$H$6:$H$605,"Vormittag")=1,COUNTIFS($P$6:$P$605,P378,$H$6:$H$605,"Nachmittag")=1))),"Doppelbuchung",IF(AND(COUNTIF($R$6:$R$605,R378)&gt;1,NOT(AND(COUNTIF($R$6:$R$605,R378)=2,COUNTIFS($R$6:$R$605,R378,$H$6:$H$605,"Vormittag")=1,COUNTIFS($R$6:$R$605,R378,$H$6:$H$605,"Nachmittag")=1))),"Person doppelt","OK"))))))))</f>
        <v/>
      </c>
      <c r="O378" s="55">
        <f t="shared" si="38"/>
        <v>0</v>
      </c>
      <c r="P378" s="55" t="str">
        <f t="shared" si="39"/>
        <v/>
      </c>
      <c r="Q378" s="55" t="str">
        <f>IF(P378="","",P378&amp;"|"&amp;COUNTIF(P$6:P378,P378))</f>
        <v/>
      </c>
      <c r="R378" s="55" t="str">
        <f t="shared" si="40"/>
        <v/>
      </c>
      <c r="S378" s="55" t="str">
        <f>IF(R378="","",R378&amp;"|"&amp;COUNTIF(R$6:R378,R378))</f>
        <v/>
      </c>
      <c r="T378" s="55" t="str">
        <f>IF(G378="","",IFERROR(INDEX(Stammdaten!$O$10:$O$69,MATCH(G378,Stammdaten!$N$10:$N$69,0)),G378)&amp;IF(H378="Vormittag"," (VM)",IF(H378="Nachmittag"," (NM)",""))&amp;IF(I378="Angefragt"," ?",""))</f>
        <v/>
      </c>
      <c r="U378" s="55" t="str">
        <f t="shared" si="41"/>
        <v/>
      </c>
    </row>
    <row r="379" spans="2:21" ht="16.5" customHeight="1" x14ac:dyDescent="0.25">
      <c r="B379" s="47" t="str">
        <f t="shared" si="35"/>
        <v/>
      </c>
      <c r="C379" s="48"/>
      <c r="D379" s="49" t="str">
        <f t="shared" si="36"/>
        <v/>
      </c>
      <c r="E379" s="50" t="str">
        <f t="shared" si="37"/>
        <v/>
      </c>
      <c r="F379" s="51"/>
      <c r="G379" s="52"/>
      <c r="H379" s="51"/>
      <c r="I379" s="51"/>
      <c r="J379" s="52"/>
      <c r="K379" s="53" t="str">
        <f>IF(G379="","",IFERROR(INDEX(Stammdaten!$P$10:$P$69,MATCH(G379,Stammdaten!$N$10:$N$69,0)),"–"))</f>
        <v/>
      </c>
      <c r="L379" s="53" t="str">
        <f>IF(F379="","",IFERROR(INDEX(Stammdaten!$D$10:$D$49,MATCH(F379,Stammdaten!$B$10:$B$49,0)),"–"))</f>
        <v/>
      </c>
      <c r="M379" s="54" t="str">
        <f>IF(C379="","",IF(OR(F379="",G379="",I379=""),"unvollständig",IF(I379="Storniert","storniert",IF(WEEKDAY(C379,2)&gt;5,"Wochenende",IF(COUNTIF(Stammdaten!$AD$10:$AD$30,C379)&gt;0,"Feiertag",IF(IFERROR(INDEX(Stammdaten!$I$10:$I$49,MATCH(F379,Stammdaten!$B$10:$B$49,0)),"")="Gesperrt","Platz gesperrt",IF(AND(COUNTIF($P$6:$P$605,P379)&gt;1,NOT(AND(COUNTIF($P$6:$P$605,P379)=2,COUNTIFS($P$6:$P$605,P379,$H$6:$H$605,"Vormittag")=1,COUNTIFS($P$6:$P$605,P379,$H$6:$H$605,"Nachmittag")=1))),"Doppelbuchung",IF(AND(COUNTIF($R$6:$R$605,R379)&gt;1,NOT(AND(COUNTIF($R$6:$R$605,R379)=2,COUNTIFS($R$6:$R$605,R379,$H$6:$H$605,"Vormittag")=1,COUNTIFS($R$6:$R$605,R379,$H$6:$H$605,"Nachmittag")=1))),"Person doppelt","OK"))))))))</f>
        <v/>
      </c>
      <c r="O379" s="55">
        <f t="shared" si="38"/>
        <v>0</v>
      </c>
      <c r="P379" s="55" t="str">
        <f t="shared" si="39"/>
        <v/>
      </c>
      <c r="Q379" s="55" t="str">
        <f>IF(P379="","",P379&amp;"|"&amp;COUNTIF(P$6:P379,P379))</f>
        <v/>
      </c>
      <c r="R379" s="55" t="str">
        <f t="shared" si="40"/>
        <v/>
      </c>
      <c r="S379" s="55" t="str">
        <f>IF(R379="","",R379&amp;"|"&amp;COUNTIF(R$6:R379,R379))</f>
        <v/>
      </c>
      <c r="T379" s="55" t="str">
        <f>IF(G379="","",IFERROR(INDEX(Stammdaten!$O$10:$O$69,MATCH(G379,Stammdaten!$N$10:$N$69,0)),G379)&amp;IF(H379="Vormittag"," (VM)",IF(H379="Nachmittag"," (NM)",""))&amp;IF(I379="Angefragt"," ?",""))</f>
        <v/>
      </c>
      <c r="U379" s="55" t="str">
        <f t="shared" si="41"/>
        <v/>
      </c>
    </row>
    <row r="380" spans="2:21" ht="16.5" customHeight="1" x14ac:dyDescent="0.25">
      <c r="B380" s="47" t="str">
        <f t="shared" si="35"/>
        <v/>
      </c>
      <c r="C380" s="48"/>
      <c r="D380" s="49" t="str">
        <f t="shared" si="36"/>
        <v/>
      </c>
      <c r="E380" s="50" t="str">
        <f t="shared" si="37"/>
        <v/>
      </c>
      <c r="F380" s="51"/>
      <c r="G380" s="52"/>
      <c r="H380" s="51"/>
      <c r="I380" s="51"/>
      <c r="J380" s="52"/>
      <c r="K380" s="53" t="str">
        <f>IF(G380="","",IFERROR(INDEX(Stammdaten!$P$10:$P$69,MATCH(G380,Stammdaten!$N$10:$N$69,0)),"–"))</f>
        <v/>
      </c>
      <c r="L380" s="53" t="str">
        <f>IF(F380="","",IFERROR(INDEX(Stammdaten!$D$10:$D$49,MATCH(F380,Stammdaten!$B$10:$B$49,0)),"–"))</f>
        <v/>
      </c>
      <c r="M380" s="54" t="str">
        <f>IF(C380="","",IF(OR(F380="",G380="",I380=""),"unvollständig",IF(I380="Storniert","storniert",IF(WEEKDAY(C380,2)&gt;5,"Wochenende",IF(COUNTIF(Stammdaten!$AD$10:$AD$30,C380)&gt;0,"Feiertag",IF(IFERROR(INDEX(Stammdaten!$I$10:$I$49,MATCH(F380,Stammdaten!$B$10:$B$49,0)),"")="Gesperrt","Platz gesperrt",IF(AND(COUNTIF($P$6:$P$605,P380)&gt;1,NOT(AND(COUNTIF($P$6:$P$605,P380)=2,COUNTIFS($P$6:$P$605,P380,$H$6:$H$605,"Vormittag")=1,COUNTIFS($P$6:$P$605,P380,$H$6:$H$605,"Nachmittag")=1))),"Doppelbuchung",IF(AND(COUNTIF($R$6:$R$605,R380)&gt;1,NOT(AND(COUNTIF($R$6:$R$605,R380)=2,COUNTIFS($R$6:$R$605,R380,$H$6:$H$605,"Vormittag")=1,COUNTIFS($R$6:$R$605,R380,$H$6:$H$605,"Nachmittag")=1))),"Person doppelt","OK"))))))))</f>
        <v/>
      </c>
      <c r="O380" s="55">
        <f t="shared" si="38"/>
        <v>0</v>
      </c>
      <c r="P380" s="55" t="str">
        <f t="shared" si="39"/>
        <v/>
      </c>
      <c r="Q380" s="55" t="str">
        <f>IF(P380="","",P380&amp;"|"&amp;COUNTIF(P$6:P380,P380))</f>
        <v/>
      </c>
      <c r="R380" s="55" t="str">
        <f t="shared" si="40"/>
        <v/>
      </c>
      <c r="S380" s="55" t="str">
        <f>IF(R380="","",R380&amp;"|"&amp;COUNTIF(R$6:R380,R380))</f>
        <v/>
      </c>
      <c r="T380" s="55" t="str">
        <f>IF(G380="","",IFERROR(INDEX(Stammdaten!$O$10:$O$69,MATCH(G380,Stammdaten!$N$10:$N$69,0)),G380)&amp;IF(H380="Vormittag"," (VM)",IF(H380="Nachmittag"," (NM)",""))&amp;IF(I380="Angefragt"," ?",""))</f>
        <v/>
      </c>
      <c r="U380" s="55" t="str">
        <f t="shared" si="41"/>
        <v/>
      </c>
    </row>
    <row r="381" spans="2:21" ht="16.5" customHeight="1" x14ac:dyDescent="0.25">
      <c r="B381" s="47" t="str">
        <f t="shared" si="35"/>
        <v/>
      </c>
      <c r="C381" s="48"/>
      <c r="D381" s="49" t="str">
        <f t="shared" si="36"/>
        <v/>
      </c>
      <c r="E381" s="50" t="str">
        <f t="shared" si="37"/>
        <v/>
      </c>
      <c r="F381" s="51"/>
      <c r="G381" s="52"/>
      <c r="H381" s="51"/>
      <c r="I381" s="51"/>
      <c r="J381" s="52"/>
      <c r="K381" s="53" t="str">
        <f>IF(G381="","",IFERROR(INDEX(Stammdaten!$P$10:$P$69,MATCH(G381,Stammdaten!$N$10:$N$69,0)),"–"))</f>
        <v/>
      </c>
      <c r="L381" s="53" t="str">
        <f>IF(F381="","",IFERROR(INDEX(Stammdaten!$D$10:$D$49,MATCH(F381,Stammdaten!$B$10:$B$49,0)),"–"))</f>
        <v/>
      </c>
      <c r="M381" s="54" t="str">
        <f>IF(C381="","",IF(OR(F381="",G381="",I381=""),"unvollständig",IF(I381="Storniert","storniert",IF(WEEKDAY(C381,2)&gt;5,"Wochenende",IF(COUNTIF(Stammdaten!$AD$10:$AD$30,C381)&gt;0,"Feiertag",IF(IFERROR(INDEX(Stammdaten!$I$10:$I$49,MATCH(F381,Stammdaten!$B$10:$B$49,0)),"")="Gesperrt","Platz gesperrt",IF(AND(COUNTIF($P$6:$P$605,P381)&gt;1,NOT(AND(COUNTIF($P$6:$P$605,P381)=2,COUNTIFS($P$6:$P$605,P381,$H$6:$H$605,"Vormittag")=1,COUNTIFS($P$6:$P$605,P381,$H$6:$H$605,"Nachmittag")=1))),"Doppelbuchung",IF(AND(COUNTIF($R$6:$R$605,R381)&gt;1,NOT(AND(COUNTIF($R$6:$R$605,R381)=2,COUNTIFS($R$6:$R$605,R381,$H$6:$H$605,"Vormittag")=1,COUNTIFS($R$6:$R$605,R381,$H$6:$H$605,"Nachmittag")=1))),"Person doppelt","OK"))))))))</f>
        <v/>
      </c>
      <c r="O381" s="55">
        <f t="shared" si="38"/>
        <v>0</v>
      </c>
      <c r="P381" s="55" t="str">
        <f t="shared" si="39"/>
        <v/>
      </c>
      <c r="Q381" s="55" t="str">
        <f>IF(P381="","",P381&amp;"|"&amp;COUNTIF(P$6:P381,P381))</f>
        <v/>
      </c>
      <c r="R381" s="55" t="str">
        <f t="shared" si="40"/>
        <v/>
      </c>
      <c r="S381" s="55" t="str">
        <f>IF(R381="","",R381&amp;"|"&amp;COUNTIF(R$6:R381,R381))</f>
        <v/>
      </c>
      <c r="T381" s="55" t="str">
        <f>IF(G381="","",IFERROR(INDEX(Stammdaten!$O$10:$O$69,MATCH(G381,Stammdaten!$N$10:$N$69,0)),G381)&amp;IF(H381="Vormittag"," (VM)",IF(H381="Nachmittag"," (NM)",""))&amp;IF(I381="Angefragt"," ?",""))</f>
        <v/>
      </c>
      <c r="U381" s="55" t="str">
        <f t="shared" si="41"/>
        <v/>
      </c>
    </row>
    <row r="382" spans="2:21" ht="16.5" customHeight="1" x14ac:dyDescent="0.25">
      <c r="B382" s="47" t="str">
        <f t="shared" si="35"/>
        <v/>
      </c>
      <c r="C382" s="48"/>
      <c r="D382" s="49" t="str">
        <f t="shared" si="36"/>
        <v/>
      </c>
      <c r="E382" s="50" t="str">
        <f t="shared" si="37"/>
        <v/>
      </c>
      <c r="F382" s="51"/>
      <c r="G382" s="52"/>
      <c r="H382" s="51"/>
      <c r="I382" s="51"/>
      <c r="J382" s="52"/>
      <c r="K382" s="53" t="str">
        <f>IF(G382="","",IFERROR(INDEX(Stammdaten!$P$10:$P$69,MATCH(G382,Stammdaten!$N$10:$N$69,0)),"–"))</f>
        <v/>
      </c>
      <c r="L382" s="53" t="str">
        <f>IF(F382="","",IFERROR(INDEX(Stammdaten!$D$10:$D$49,MATCH(F382,Stammdaten!$B$10:$B$49,0)),"–"))</f>
        <v/>
      </c>
      <c r="M382" s="54" t="str">
        <f>IF(C382="","",IF(OR(F382="",G382="",I382=""),"unvollständig",IF(I382="Storniert","storniert",IF(WEEKDAY(C382,2)&gt;5,"Wochenende",IF(COUNTIF(Stammdaten!$AD$10:$AD$30,C382)&gt;0,"Feiertag",IF(IFERROR(INDEX(Stammdaten!$I$10:$I$49,MATCH(F382,Stammdaten!$B$10:$B$49,0)),"")="Gesperrt","Platz gesperrt",IF(AND(COUNTIF($P$6:$P$605,P382)&gt;1,NOT(AND(COUNTIF($P$6:$P$605,P382)=2,COUNTIFS($P$6:$P$605,P382,$H$6:$H$605,"Vormittag")=1,COUNTIFS($P$6:$P$605,P382,$H$6:$H$605,"Nachmittag")=1))),"Doppelbuchung",IF(AND(COUNTIF($R$6:$R$605,R382)&gt;1,NOT(AND(COUNTIF($R$6:$R$605,R382)=2,COUNTIFS($R$6:$R$605,R382,$H$6:$H$605,"Vormittag")=1,COUNTIFS($R$6:$R$605,R382,$H$6:$H$605,"Nachmittag")=1))),"Person doppelt","OK"))))))))</f>
        <v/>
      </c>
      <c r="O382" s="55">
        <f t="shared" si="38"/>
        <v>0</v>
      </c>
      <c r="P382" s="55" t="str">
        <f t="shared" si="39"/>
        <v/>
      </c>
      <c r="Q382" s="55" t="str">
        <f>IF(P382="","",P382&amp;"|"&amp;COUNTIF(P$6:P382,P382))</f>
        <v/>
      </c>
      <c r="R382" s="55" t="str">
        <f t="shared" si="40"/>
        <v/>
      </c>
      <c r="S382" s="55" t="str">
        <f>IF(R382="","",R382&amp;"|"&amp;COUNTIF(R$6:R382,R382))</f>
        <v/>
      </c>
      <c r="T382" s="55" t="str">
        <f>IF(G382="","",IFERROR(INDEX(Stammdaten!$O$10:$O$69,MATCH(G382,Stammdaten!$N$10:$N$69,0)),G382)&amp;IF(H382="Vormittag"," (VM)",IF(H382="Nachmittag"," (NM)",""))&amp;IF(I382="Angefragt"," ?",""))</f>
        <v/>
      </c>
      <c r="U382" s="55" t="str">
        <f t="shared" si="41"/>
        <v/>
      </c>
    </row>
    <row r="383" spans="2:21" ht="16.5" customHeight="1" x14ac:dyDescent="0.25">
      <c r="B383" s="47" t="str">
        <f t="shared" si="35"/>
        <v/>
      </c>
      <c r="C383" s="48"/>
      <c r="D383" s="49" t="str">
        <f t="shared" si="36"/>
        <v/>
      </c>
      <c r="E383" s="50" t="str">
        <f t="shared" si="37"/>
        <v/>
      </c>
      <c r="F383" s="51"/>
      <c r="G383" s="52"/>
      <c r="H383" s="51"/>
      <c r="I383" s="51"/>
      <c r="J383" s="52"/>
      <c r="K383" s="53" t="str">
        <f>IF(G383="","",IFERROR(INDEX(Stammdaten!$P$10:$P$69,MATCH(G383,Stammdaten!$N$10:$N$69,0)),"–"))</f>
        <v/>
      </c>
      <c r="L383" s="53" t="str">
        <f>IF(F383="","",IFERROR(INDEX(Stammdaten!$D$10:$D$49,MATCH(F383,Stammdaten!$B$10:$B$49,0)),"–"))</f>
        <v/>
      </c>
      <c r="M383" s="54" t="str">
        <f>IF(C383="","",IF(OR(F383="",G383="",I383=""),"unvollständig",IF(I383="Storniert","storniert",IF(WEEKDAY(C383,2)&gt;5,"Wochenende",IF(COUNTIF(Stammdaten!$AD$10:$AD$30,C383)&gt;0,"Feiertag",IF(IFERROR(INDEX(Stammdaten!$I$10:$I$49,MATCH(F383,Stammdaten!$B$10:$B$49,0)),"")="Gesperrt","Platz gesperrt",IF(AND(COUNTIF($P$6:$P$605,P383)&gt;1,NOT(AND(COUNTIF($P$6:$P$605,P383)=2,COUNTIFS($P$6:$P$605,P383,$H$6:$H$605,"Vormittag")=1,COUNTIFS($P$6:$P$605,P383,$H$6:$H$605,"Nachmittag")=1))),"Doppelbuchung",IF(AND(COUNTIF($R$6:$R$605,R383)&gt;1,NOT(AND(COUNTIF($R$6:$R$605,R383)=2,COUNTIFS($R$6:$R$605,R383,$H$6:$H$605,"Vormittag")=1,COUNTIFS($R$6:$R$605,R383,$H$6:$H$605,"Nachmittag")=1))),"Person doppelt","OK"))))))))</f>
        <v/>
      </c>
      <c r="O383" s="55">
        <f t="shared" si="38"/>
        <v>0</v>
      </c>
      <c r="P383" s="55" t="str">
        <f t="shared" si="39"/>
        <v/>
      </c>
      <c r="Q383" s="55" t="str">
        <f>IF(P383="","",P383&amp;"|"&amp;COUNTIF(P$6:P383,P383))</f>
        <v/>
      </c>
      <c r="R383" s="55" t="str">
        <f t="shared" si="40"/>
        <v/>
      </c>
      <c r="S383" s="55" t="str">
        <f>IF(R383="","",R383&amp;"|"&amp;COUNTIF(R$6:R383,R383))</f>
        <v/>
      </c>
      <c r="T383" s="55" t="str">
        <f>IF(G383="","",IFERROR(INDEX(Stammdaten!$O$10:$O$69,MATCH(G383,Stammdaten!$N$10:$N$69,0)),G383)&amp;IF(H383="Vormittag"," (VM)",IF(H383="Nachmittag"," (NM)",""))&amp;IF(I383="Angefragt"," ?",""))</f>
        <v/>
      </c>
      <c r="U383" s="55" t="str">
        <f t="shared" si="41"/>
        <v/>
      </c>
    </row>
    <row r="384" spans="2:21" ht="16.5" customHeight="1" x14ac:dyDescent="0.25">
      <c r="B384" s="47" t="str">
        <f t="shared" si="35"/>
        <v/>
      </c>
      <c r="C384" s="48"/>
      <c r="D384" s="49" t="str">
        <f t="shared" si="36"/>
        <v/>
      </c>
      <c r="E384" s="50" t="str">
        <f t="shared" si="37"/>
        <v/>
      </c>
      <c r="F384" s="51"/>
      <c r="G384" s="52"/>
      <c r="H384" s="51"/>
      <c r="I384" s="51"/>
      <c r="J384" s="52"/>
      <c r="K384" s="53" t="str">
        <f>IF(G384="","",IFERROR(INDEX(Stammdaten!$P$10:$P$69,MATCH(G384,Stammdaten!$N$10:$N$69,0)),"–"))</f>
        <v/>
      </c>
      <c r="L384" s="53" t="str">
        <f>IF(F384="","",IFERROR(INDEX(Stammdaten!$D$10:$D$49,MATCH(F384,Stammdaten!$B$10:$B$49,0)),"–"))</f>
        <v/>
      </c>
      <c r="M384" s="54" t="str">
        <f>IF(C384="","",IF(OR(F384="",G384="",I384=""),"unvollständig",IF(I384="Storniert","storniert",IF(WEEKDAY(C384,2)&gt;5,"Wochenende",IF(COUNTIF(Stammdaten!$AD$10:$AD$30,C384)&gt;0,"Feiertag",IF(IFERROR(INDEX(Stammdaten!$I$10:$I$49,MATCH(F384,Stammdaten!$B$10:$B$49,0)),"")="Gesperrt","Platz gesperrt",IF(AND(COUNTIF($P$6:$P$605,P384)&gt;1,NOT(AND(COUNTIF($P$6:$P$605,P384)=2,COUNTIFS($P$6:$P$605,P384,$H$6:$H$605,"Vormittag")=1,COUNTIFS($P$6:$P$605,P384,$H$6:$H$605,"Nachmittag")=1))),"Doppelbuchung",IF(AND(COUNTIF($R$6:$R$605,R384)&gt;1,NOT(AND(COUNTIF($R$6:$R$605,R384)=2,COUNTIFS($R$6:$R$605,R384,$H$6:$H$605,"Vormittag")=1,COUNTIFS($R$6:$R$605,R384,$H$6:$H$605,"Nachmittag")=1))),"Person doppelt","OK"))))))))</f>
        <v/>
      </c>
      <c r="O384" s="55">
        <f t="shared" si="38"/>
        <v>0</v>
      </c>
      <c r="P384" s="55" t="str">
        <f t="shared" si="39"/>
        <v/>
      </c>
      <c r="Q384" s="55" t="str">
        <f>IF(P384="","",P384&amp;"|"&amp;COUNTIF(P$6:P384,P384))</f>
        <v/>
      </c>
      <c r="R384" s="55" t="str">
        <f t="shared" si="40"/>
        <v/>
      </c>
      <c r="S384" s="55" t="str">
        <f>IF(R384="","",R384&amp;"|"&amp;COUNTIF(R$6:R384,R384))</f>
        <v/>
      </c>
      <c r="T384" s="55" t="str">
        <f>IF(G384="","",IFERROR(INDEX(Stammdaten!$O$10:$O$69,MATCH(G384,Stammdaten!$N$10:$N$69,0)),G384)&amp;IF(H384="Vormittag"," (VM)",IF(H384="Nachmittag"," (NM)",""))&amp;IF(I384="Angefragt"," ?",""))</f>
        <v/>
      </c>
      <c r="U384" s="55" t="str">
        <f t="shared" si="41"/>
        <v/>
      </c>
    </row>
    <row r="385" spans="2:21" ht="16.5" customHeight="1" x14ac:dyDescent="0.25">
      <c r="B385" s="47" t="str">
        <f t="shared" si="35"/>
        <v/>
      </c>
      <c r="C385" s="48"/>
      <c r="D385" s="49" t="str">
        <f t="shared" si="36"/>
        <v/>
      </c>
      <c r="E385" s="50" t="str">
        <f t="shared" si="37"/>
        <v/>
      </c>
      <c r="F385" s="51"/>
      <c r="G385" s="52"/>
      <c r="H385" s="51"/>
      <c r="I385" s="51"/>
      <c r="J385" s="52"/>
      <c r="K385" s="53" t="str">
        <f>IF(G385="","",IFERROR(INDEX(Stammdaten!$P$10:$P$69,MATCH(G385,Stammdaten!$N$10:$N$69,0)),"–"))</f>
        <v/>
      </c>
      <c r="L385" s="53" t="str">
        <f>IF(F385="","",IFERROR(INDEX(Stammdaten!$D$10:$D$49,MATCH(F385,Stammdaten!$B$10:$B$49,0)),"–"))</f>
        <v/>
      </c>
      <c r="M385" s="54" t="str">
        <f>IF(C385="","",IF(OR(F385="",G385="",I385=""),"unvollständig",IF(I385="Storniert","storniert",IF(WEEKDAY(C385,2)&gt;5,"Wochenende",IF(COUNTIF(Stammdaten!$AD$10:$AD$30,C385)&gt;0,"Feiertag",IF(IFERROR(INDEX(Stammdaten!$I$10:$I$49,MATCH(F385,Stammdaten!$B$10:$B$49,0)),"")="Gesperrt","Platz gesperrt",IF(AND(COUNTIF($P$6:$P$605,P385)&gt;1,NOT(AND(COUNTIF($P$6:$P$605,P385)=2,COUNTIFS($P$6:$P$605,P385,$H$6:$H$605,"Vormittag")=1,COUNTIFS($P$6:$P$605,P385,$H$6:$H$605,"Nachmittag")=1))),"Doppelbuchung",IF(AND(COUNTIF($R$6:$R$605,R385)&gt;1,NOT(AND(COUNTIF($R$6:$R$605,R385)=2,COUNTIFS($R$6:$R$605,R385,$H$6:$H$605,"Vormittag")=1,COUNTIFS($R$6:$R$605,R385,$H$6:$H$605,"Nachmittag")=1))),"Person doppelt","OK"))))))))</f>
        <v/>
      </c>
      <c r="O385" s="55">
        <f t="shared" si="38"/>
        <v>0</v>
      </c>
      <c r="P385" s="55" t="str">
        <f t="shared" si="39"/>
        <v/>
      </c>
      <c r="Q385" s="55" t="str">
        <f>IF(P385="","",P385&amp;"|"&amp;COUNTIF(P$6:P385,P385))</f>
        <v/>
      </c>
      <c r="R385" s="55" t="str">
        <f t="shared" si="40"/>
        <v/>
      </c>
      <c r="S385" s="55" t="str">
        <f>IF(R385="","",R385&amp;"|"&amp;COUNTIF(R$6:R385,R385))</f>
        <v/>
      </c>
      <c r="T385" s="55" t="str">
        <f>IF(G385="","",IFERROR(INDEX(Stammdaten!$O$10:$O$69,MATCH(G385,Stammdaten!$N$10:$N$69,0)),G385)&amp;IF(H385="Vormittag"," (VM)",IF(H385="Nachmittag"," (NM)",""))&amp;IF(I385="Angefragt"," ?",""))</f>
        <v/>
      </c>
      <c r="U385" s="55" t="str">
        <f t="shared" si="41"/>
        <v/>
      </c>
    </row>
    <row r="386" spans="2:21" ht="16.5" customHeight="1" x14ac:dyDescent="0.25">
      <c r="B386" s="47" t="str">
        <f t="shared" si="35"/>
        <v/>
      </c>
      <c r="C386" s="48"/>
      <c r="D386" s="49" t="str">
        <f t="shared" si="36"/>
        <v/>
      </c>
      <c r="E386" s="50" t="str">
        <f t="shared" si="37"/>
        <v/>
      </c>
      <c r="F386" s="51"/>
      <c r="G386" s="52"/>
      <c r="H386" s="51"/>
      <c r="I386" s="51"/>
      <c r="J386" s="52"/>
      <c r="K386" s="53" t="str">
        <f>IF(G386="","",IFERROR(INDEX(Stammdaten!$P$10:$P$69,MATCH(G386,Stammdaten!$N$10:$N$69,0)),"–"))</f>
        <v/>
      </c>
      <c r="L386" s="53" t="str">
        <f>IF(F386="","",IFERROR(INDEX(Stammdaten!$D$10:$D$49,MATCH(F386,Stammdaten!$B$10:$B$49,0)),"–"))</f>
        <v/>
      </c>
      <c r="M386" s="54" t="str">
        <f>IF(C386="","",IF(OR(F386="",G386="",I386=""),"unvollständig",IF(I386="Storniert","storniert",IF(WEEKDAY(C386,2)&gt;5,"Wochenende",IF(COUNTIF(Stammdaten!$AD$10:$AD$30,C386)&gt;0,"Feiertag",IF(IFERROR(INDEX(Stammdaten!$I$10:$I$49,MATCH(F386,Stammdaten!$B$10:$B$49,0)),"")="Gesperrt","Platz gesperrt",IF(AND(COUNTIF($P$6:$P$605,P386)&gt;1,NOT(AND(COUNTIF($P$6:$P$605,P386)=2,COUNTIFS($P$6:$P$605,P386,$H$6:$H$605,"Vormittag")=1,COUNTIFS($P$6:$P$605,P386,$H$6:$H$605,"Nachmittag")=1))),"Doppelbuchung",IF(AND(COUNTIF($R$6:$R$605,R386)&gt;1,NOT(AND(COUNTIF($R$6:$R$605,R386)=2,COUNTIFS($R$6:$R$605,R386,$H$6:$H$605,"Vormittag")=1,COUNTIFS($R$6:$R$605,R386,$H$6:$H$605,"Nachmittag")=1))),"Person doppelt","OK"))))))))</f>
        <v/>
      </c>
      <c r="O386" s="55">
        <f t="shared" si="38"/>
        <v>0</v>
      </c>
      <c r="P386" s="55" t="str">
        <f t="shared" si="39"/>
        <v/>
      </c>
      <c r="Q386" s="55" t="str">
        <f>IF(P386="","",P386&amp;"|"&amp;COUNTIF(P$6:P386,P386))</f>
        <v/>
      </c>
      <c r="R386" s="55" t="str">
        <f t="shared" si="40"/>
        <v/>
      </c>
      <c r="S386" s="55" t="str">
        <f>IF(R386="","",R386&amp;"|"&amp;COUNTIF(R$6:R386,R386))</f>
        <v/>
      </c>
      <c r="T386" s="55" t="str">
        <f>IF(G386="","",IFERROR(INDEX(Stammdaten!$O$10:$O$69,MATCH(G386,Stammdaten!$N$10:$N$69,0)),G386)&amp;IF(H386="Vormittag"," (VM)",IF(H386="Nachmittag"," (NM)",""))&amp;IF(I386="Angefragt"," ?",""))</f>
        <v/>
      </c>
      <c r="U386" s="55" t="str">
        <f t="shared" si="41"/>
        <v/>
      </c>
    </row>
    <row r="387" spans="2:21" ht="16.5" customHeight="1" x14ac:dyDescent="0.25">
      <c r="B387" s="47" t="str">
        <f t="shared" si="35"/>
        <v/>
      </c>
      <c r="C387" s="48"/>
      <c r="D387" s="49" t="str">
        <f t="shared" si="36"/>
        <v/>
      </c>
      <c r="E387" s="50" t="str">
        <f t="shared" si="37"/>
        <v/>
      </c>
      <c r="F387" s="51"/>
      <c r="G387" s="52"/>
      <c r="H387" s="51"/>
      <c r="I387" s="51"/>
      <c r="J387" s="52"/>
      <c r="K387" s="53" t="str">
        <f>IF(G387="","",IFERROR(INDEX(Stammdaten!$P$10:$P$69,MATCH(G387,Stammdaten!$N$10:$N$69,0)),"–"))</f>
        <v/>
      </c>
      <c r="L387" s="53" t="str">
        <f>IF(F387="","",IFERROR(INDEX(Stammdaten!$D$10:$D$49,MATCH(F387,Stammdaten!$B$10:$B$49,0)),"–"))</f>
        <v/>
      </c>
      <c r="M387" s="54" t="str">
        <f>IF(C387="","",IF(OR(F387="",G387="",I387=""),"unvollständig",IF(I387="Storniert","storniert",IF(WEEKDAY(C387,2)&gt;5,"Wochenende",IF(COUNTIF(Stammdaten!$AD$10:$AD$30,C387)&gt;0,"Feiertag",IF(IFERROR(INDEX(Stammdaten!$I$10:$I$49,MATCH(F387,Stammdaten!$B$10:$B$49,0)),"")="Gesperrt","Platz gesperrt",IF(AND(COUNTIF($P$6:$P$605,P387)&gt;1,NOT(AND(COUNTIF($P$6:$P$605,P387)=2,COUNTIFS($P$6:$P$605,P387,$H$6:$H$605,"Vormittag")=1,COUNTIFS($P$6:$P$605,P387,$H$6:$H$605,"Nachmittag")=1))),"Doppelbuchung",IF(AND(COUNTIF($R$6:$R$605,R387)&gt;1,NOT(AND(COUNTIF($R$6:$R$605,R387)=2,COUNTIFS($R$6:$R$605,R387,$H$6:$H$605,"Vormittag")=1,COUNTIFS($R$6:$R$605,R387,$H$6:$H$605,"Nachmittag")=1))),"Person doppelt","OK"))))))))</f>
        <v/>
      </c>
      <c r="O387" s="55">
        <f t="shared" si="38"/>
        <v>0</v>
      </c>
      <c r="P387" s="55" t="str">
        <f t="shared" si="39"/>
        <v/>
      </c>
      <c r="Q387" s="55" t="str">
        <f>IF(P387="","",P387&amp;"|"&amp;COUNTIF(P$6:P387,P387))</f>
        <v/>
      </c>
      <c r="R387" s="55" t="str">
        <f t="shared" si="40"/>
        <v/>
      </c>
      <c r="S387" s="55" t="str">
        <f>IF(R387="","",R387&amp;"|"&amp;COUNTIF(R$6:R387,R387))</f>
        <v/>
      </c>
      <c r="T387" s="55" t="str">
        <f>IF(G387="","",IFERROR(INDEX(Stammdaten!$O$10:$O$69,MATCH(G387,Stammdaten!$N$10:$N$69,0)),G387)&amp;IF(H387="Vormittag"," (VM)",IF(H387="Nachmittag"," (NM)",""))&amp;IF(I387="Angefragt"," ?",""))</f>
        <v/>
      </c>
      <c r="U387" s="55" t="str">
        <f t="shared" si="41"/>
        <v/>
      </c>
    </row>
    <row r="388" spans="2:21" ht="16.5" customHeight="1" x14ac:dyDescent="0.25">
      <c r="B388" s="47" t="str">
        <f t="shared" si="35"/>
        <v/>
      </c>
      <c r="C388" s="48"/>
      <c r="D388" s="49" t="str">
        <f t="shared" si="36"/>
        <v/>
      </c>
      <c r="E388" s="50" t="str">
        <f t="shared" si="37"/>
        <v/>
      </c>
      <c r="F388" s="51"/>
      <c r="G388" s="52"/>
      <c r="H388" s="51"/>
      <c r="I388" s="51"/>
      <c r="J388" s="52"/>
      <c r="K388" s="53" t="str">
        <f>IF(G388="","",IFERROR(INDEX(Stammdaten!$P$10:$P$69,MATCH(G388,Stammdaten!$N$10:$N$69,0)),"–"))</f>
        <v/>
      </c>
      <c r="L388" s="53" t="str">
        <f>IF(F388="","",IFERROR(INDEX(Stammdaten!$D$10:$D$49,MATCH(F388,Stammdaten!$B$10:$B$49,0)),"–"))</f>
        <v/>
      </c>
      <c r="M388" s="54" t="str">
        <f>IF(C388="","",IF(OR(F388="",G388="",I388=""),"unvollständig",IF(I388="Storniert","storniert",IF(WEEKDAY(C388,2)&gt;5,"Wochenende",IF(COUNTIF(Stammdaten!$AD$10:$AD$30,C388)&gt;0,"Feiertag",IF(IFERROR(INDEX(Stammdaten!$I$10:$I$49,MATCH(F388,Stammdaten!$B$10:$B$49,0)),"")="Gesperrt","Platz gesperrt",IF(AND(COUNTIF($P$6:$P$605,P388)&gt;1,NOT(AND(COUNTIF($P$6:$P$605,P388)=2,COUNTIFS($P$6:$P$605,P388,$H$6:$H$605,"Vormittag")=1,COUNTIFS($P$6:$P$605,P388,$H$6:$H$605,"Nachmittag")=1))),"Doppelbuchung",IF(AND(COUNTIF($R$6:$R$605,R388)&gt;1,NOT(AND(COUNTIF($R$6:$R$605,R388)=2,COUNTIFS($R$6:$R$605,R388,$H$6:$H$605,"Vormittag")=1,COUNTIFS($R$6:$R$605,R388,$H$6:$H$605,"Nachmittag")=1))),"Person doppelt","OK"))))))))</f>
        <v/>
      </c>
      <c r="O388" s="55">
        <f t="shared" si="38"/>
        <v>0</v>
      </c>
      <c r="P388" s="55" t="str">
        <f t="shared" si="39"/>
        <v/>
      </c>
      <c r="Q388" s="55" t="str">
        <f>IF(P388="","",P388&amp;"|"&amp;COUNTIF(P$6:P388,P388))</f>
        <v/>
      </c>
      <c r="R388" s="55" t="str">
        <f t="shared" si="40"/>
        <v/>
      </c>
      <c r="S388" s="55" t="str">
        <f>IF(R388="","",R388&amp;"|"&amp;COUNTIF(R$6:R388,R388))</f>
        <v/>
      </c>
      <c r="T388" s="55" t="str">
        <f>IF(G388="","",IFERROR(INDEX(Stammdaten!$O$10:$O$69,MATCH(G388,Stammdaten!$N$10:$N$69,0)),G388)&amp;IF(H388="Vormittag"," (VM)",IF(H388="Nachmittag"," (NM)",""))&amp;IF(I388="Angefragt"," ?",""))</f>
        <v/>
      </c>
      <c r="U388" s="55" t="str">
        <f t="shared" si="41"/>
        <v/>
      </c>
    </row>
    <row r="389" spans="2:21" ht="16.5" customHeight="1" x14ac:dyDescent="0.25">
      <c r="B389" s="47" t="str">
        <f t="shared" si="35"/>
        <v/>
      </c>
      <c r="C389" s="48"/>
      <c r="D389" s="49" t="str">
        <f t="shared" si="36"/>
        <v/>
      </c>
      <c r="E389" s="50" t="str">
        <f t="shared" si="37"/>
        <v/>
      </c>
      <c r="F389" s="51"/>
      <c r="G389" s="52"/>
      <c r="H389" s="51"/>
      <c r="I389" s="51"/>
      <c r="J389" s="52"/>
      <c r="K389" s="53" t="str">
        <f>IF(G389="","",IFERROR(INDEX(Stammdaten!$P$10:$P$69,MATCH(G389,Stammdaten!$N$10:$N$69,0)),"–"))</f>
        <v/>
      </c>
      <c r="L389" s="53" t="str">
        <f>IF(F389="","",IFERROR(INDEX(Stammdaten!$D$10:$D$49,MATCH(F389,Stammdaten!$B$10:$B$49,0)),"–"))</f>
        <v/>
      </c>
      <c r="M389" s="54" t="str">
        <f>IF(C389="","",IF(OR(F389="",G389="",I389=""),"unvollständig",IF(I389="Storniert","storniert",IF(WEEKDAY(C389,2)&gt;5,"Wochenende",IF(COUNTIF(Stammdaten!$AD$10:$AD$30,C389)&gt;0,"Feiertag",IF(IFERROR(INDEX(Stammdaten!$I$10:$I$49,MATCH(F389,Stammdaten!$B$10:$B$49,0)),"")="Gesperrt","Platz gesperrt",IF(AND(COUNTIF($P$6:$P$605,P389)&gt;1,NOT(AND(COUNTIF($P$6:$P$605,P389)=2,COUNTIFS($P$6:$P$605,P389,$H$6:$H$605,"Vormittag")=1,COUNTIFS($P$6:$P$605,P389,$H$6:$H$605,"Nachmittag")=1))),"Doppelbuchung",IF(AND(COUNTIF($R$6:$R$605,R389)&gt;1,NOT(AND(COUNTIF($R$6:$R$605,R389)=2,COUNTIFS($R$6:$R$605,R389,$H$6:$H$605,"Vormittag")=1,COUNTIFS($R$6:$R$605,R389,$H$6:$H$605,"Nachmittag")=1))),"Person doppelt","OK"))))))))</f>
        <v/>
      </c>
      <c r="O389" s="55">
        <f t="shared" si="38"/>
        <v>0</v>
      </c>
      <c r="P389" s="55" t="str">
        <f t="shared" si="39"/>
        <v/>
      </c>
      <c r="Q389" s="55" t="str">
        <f>IF(P389="","",P389&amp;"|"&amp;COUNTIF(P$6:P389,P389))</f>
        <v/>
      </c>
      <c r="R389" s="55" t="str">
        <f t="shared" si="40"/>
        <v/>
      </c>
      <c r="S389" s="55" t="str">
        <f>IF(R389="","",R389&amp;"|"&amp;COUNTIF(R$6:R389,R389))</f>
        <v/>
      </c>
      <c r="T389" s="55" t="str">
        <f>IF(G389="","",IFERROR(INDEX(Stammdaten!$O$10:$O$69,MATCH(G389,Stammdaten!$N$10:$N$69,0)),G389)&amp;IF(H389="Vormittag"," (VM)",IF(H389="Nachmittag"," (NM)",""))&amp;IF(I389="Angefragt"," ?",""))</f>
        <v/>
      </c>
      <c r="U389" s="55" t="str">
        <f t="shared" si="41"/>
        <v/>
      </c>
    </row>
    <row r="390" spans="2:21" ht="16.5" customHeight="1" x14ac:dyDescent="0.25">
      <c r="B390" s="47" t="str">
        <f t="shared" ref="B390:B453" si="42">IF(C390="","",ROW()-5)</f>
        <v/>
      </c>
      <c r="C390" s="48"/>
      <c r="D390" s="49" t="str">
        <f t="shared" ref="D390:D453" si="43">IF(C390="","",CHOOSE(WEEKDAY(C390,2),"Mo","Di","Mi","Do","Fr","Sa","So"))</f>
        <v/>
      </c>
      <c r="E390" s="50" t="str">
        <f t="shared" ref="E390:E453" si="44">IF(C390="","",_xlfn.ISOWEEKNUM(C390))</f>
        <v/>
      </c>
      <c r="F390" s="51"/>
      <c r="G390" s="52"/>
      <c r="H390" s="51"/>
      <c r="I390" s="51"/>
      <c r="J390" s="52"/>
      <c r="K390" s="53" t="str">
        <f>IF(G390="","",IFERROR(INDEX(Stammdaten!$P$10:$P$69,MATCH(G390,Stammdaten!$N$10:$N$69,0)),"–"))</f>
        <v/>
      </c>
      <c r="L390" s="53" t="str">
        <f>IF(F390="","",IFERROR(INDEX(Stammdaten!$D$10:$D$49,MATCH(F390,Stammdaten!$B$10:$B$49,0)),"–"))</f>
        <v/>
      </c>
      <c r="M390" s="54" t="str">
        <f>IF(C390="","",IF(OR(F390="",G390="",I390=""),"unvollständig",IF(I390="Storniert","storniert",IF(WEEKDAY(C390,2)&gt;5,"Wochenende",IF(COUNTIF(Stammdaten!$AD$10:$AD$30,C390)&gt;0,"Feiertag",IF(IFERROR(INDEX(Stammdaten!$I$10:$I$49,MATCH(F390,Stammdaten!$B$10:$B$49,0)),"")="Gesperrt","Platz gesperrt",IF(AND(COUNTIF($P$6:$P$605,P390)&gt;1,NOT(AND(COUNTIF($P$6:$P$605,P390)=2,COUNTIFS($P$6:$P$605,P390,$H$6:$H$605,"Vormittag")=1,COUNTIFS($P$6:$P$605,P390,$H$6:$H$605,"Nachmittag")=1))),"Doppelbuchung",IF(AND(COUNTIF($R$6:$R$605,R390)&gt;1,NOT(AND(COUNTIF($R$6:$R$605,R390)=2,COUNTIFS($R$6:$R$605,R390,$H$6:$H$605,"Vormittag")=1,COUNTIFS($R$6:$R$605,R390,$H$6:$H$605,"Nachmittag")=1))),"Person doppelt","OK"))))))))</f>
        <v/>
      </c>
      <c r="O390" s="55">
        <f t="shared" ref="O390:O453" si="45">IF(OR(C390="",I390&lt;&gt;"Bestätigt",M390="Platz gesperrt"),0,IF(H390="Ganztägig",1,0.5))</f>
        <v>0</v>
      </c>
      <c r="P390" s="55" t="str">
        <f t="shared" ref="P390:P453" si="46">IF(OR(C390="",F390="",I390="Storniert"),"",F390&amp;"|"&amp;C390)</f>
        <v/>
      </c>
      <c r="Q390" s="55" t="str">
        <f>IF(P390="","",P390&amp;"|"&amp;COUNTIF(P$6:P390,P390))</f>
        <v/>
      </c>
      <c r="R390" s="55" t="str">
        <f t="shared" ref="R390:R453" si="47">IF(OR(C390="",G390="",I390="Storniert"),"",G390&amp;"|"&amp;C390)</f>
        <v/>
      </c>
      <c r="S390" s="55" t="str">
        <f>IF(R390="","",R390&amp;"|"&amp;COUNTIF(R$6:R390,R390))</f>
        <v/>
      </c>
      <c r="T390" s="55" t="str">
        <f>IF(G390="","",IFERROR(INDEX(Stammdaten!$O$10:$O$69,MATCH(G390,Stammdaten!$N$10:$N$69,0)),G390)&amp;IF(H390="Vormittag"," (VM)",IF(H390="Nachmittag"," (NM)",""))&amp;IF(I390="Angefragt"," ?",""))</f>
        <v/>
      </c>
      <c r="U390" s="55" t="str">
        <f t="shared" ref="U390:U453" si="48">IF(F390="","",F390&amp;IF(H390="Vormittag"," (VM)",IF(H390="Nachmittag"," (NM)",""))&amp;IF(I390="Angefragt"," ?",""))</f>
        <v/>
      </c>
    </row>
    <row r="391" spans="2:21" ht="16.5" customHeight="1" x14ac:dyDescent="0.25">
      <c r="B391" s="47" t="str">
        <f t="shared" si="42"/>
        <v/>
      </c>
      <c r="C391" s="48"/>
      <c r="D391" s="49" t="str">
        <f t="shared" si="43"/>
        <v/>
      </c>
      <c r="E391" s="50" t="str">
        <f t="shared" si="44"/>
        <v/>
      </c>
      <c r="F391" s="51"/>
      <c r="G391" s="52"/>
      <c r="H391" s="51"/>
      <c r="I391" s="51"/>
      <c r="J391" s="52"/>
      <c r="K391" s="53" t="str">
        <f>IF(G391="","",IFERROR(INDEX(Stammdaten!$P$10:$P$69,MATCH(G391,Stammdaten!$N$10:$N$69,0)),"–"))</f>
        <v/>
      </c>
      <c r="L391" s="53" t="str">
        <f>IF(F391="","",IFERROR(INDEX(Stammdaten!$D$10:$D$49,MATCH(F391,Stammdaten!$B$10:$B$49,0)),"–"))</f>
        <v/>
      </c>
      <c r="M391" s="54" t="str">
        <f>IF(C391="","",IF(OR(F391="",G391="",I391=""),"unvollständig",IF(I391="Storniert","storniert",IF(WEEKDAY(C391,2)&gt;5,"Wochenende",IF(COUNTIF(Stammdaten!$AD$10:$AD$30,C391)&gt;0,"Feiertag",IF(IFERROR(INDEX(Stammdaten!$I$10:$I$49,MATCH(F391,Stammdaten!$B$10:$B$49,0)),"")="Gesperrt","Platz gesperrt",IF(AND(COUNTIF($P$6:$P$605,P391)&gt;1,NOT(AND(COUNTIF($P$6:$P$605,P391)=2,COUNTIFS($P$6:$P$605,P391,$H$6:$H$605,"Vormittag")=1,COUNTIFS($P$6:$P$605,P391,$H$6:$H$605,"Nachmittag")=1))),"Doppelbuchung",IF(AND(COUNTIF($R$6:$R$605,R391)&gt;1,NOT(AND(COUNTIF($R$6:$R$605,R391)=2,COUNTIFS($R$6:$R$605,R391,$H$6:$H$605,"Vormittag")=1,COUNTIFS($R$6:$R$605,R391,$H$6:$H$605,"Nachmittag")=1))),"Person doppelt","OK"))))))))</f>
        <v/>
      </c>
      <c r="O391" s="55">
        <f t="shared" si="45"/>
        <v>0</v>
      </c>
      <c r="P391" s="55" t="str">
        <f t="shared" si="46"/>
        <v/>
      </c>
      <c r="Q391" s="55" t="str">
        <f>IF(P391="","",P391&amp;"|"&amp;COUNTIF(P$6:P391,P391))</f>
        <v/>
      </c>
      <c r="R391" s="55" t="str">
        <f t="shared" si="47"/>
        <v/>
      </c>
      <c r="S391" s="55" t="str">
        <f>IF(R391="","",R391&amp;"|"&amp;COUNTIF(R$6:R391,R391))</f>
        <v/>
      </c>
      <c r="T391" s="55" t="str">
        <f>IF(G391="","",IFERROR(INDEX(Stammdaten!$O$10:$O$69,MATCH(G391,Stammdaten!$N$10:$N$69,0)),G391)&amp;IF(H391="Vormittag"," (VM)",IF(H391="Nachmittag"," (NM)",""))&amp;IF(I391="Angefragt"," ?",""))</f>
        <v/>
      </c>
      <c r="U391" s="55" t="str">
        <f t="shared" si="48"/>
        <v/>
      </c>
    </row>
    <row r="392" spans="2:21" ht="16.5" customHeight="1" x14ac:dyDescent="0.25">
      <c r="B392" s="47" t="str">
        <f t="shared" si="42"/>
        <v/>
      </c>
      <c r="C392" s="48"/>
      <c r="D392" s="49" t="str">
        <f t="shared" si="43"/>
        <v/>
      </c>
      <c r="E392" s="50" t="str">
        <f t="shared" si="44"/>
        <v/>
      </c>
      <c r="F392" s="51"/>
      <c r="G392" s="52"/>
      <c r="H392" s="51"/>
      <c r="I392" s="51"/>
      <c r="J392" s="52"/>
      <c r="K392" s="53" t="str">
        <f>IF(G392="","",IFERROR(INDEX(Stammdaten!$P$10:$P$69,MATCH(G392,Stammdaten!$N$10:$N$69,0)),"–"))</f>
        <v/>
      </c>
      <c r="L392" s="53" t="str">
        <f>IF(F392="","",IFERROR(INDEX(Stammdaten!$D$10:$D$49,MATCH(F392,Stammdaten!$B$10:$B$49,0)),"–"))</f>
        <v/>
      </c>
      <c r="M392" s="54" t="str">
        <f>IF(C392="","",IF(OR(F392="",G392="",I392=""),"unvollständig",IF(I392="Storniert","storniert",IF(WEEKDAY(C392,2)&gt;5,"Wochenende",IF(COUNTIF(Stammdaten!$AD$10:$AD$30,C392)&gt;0,"Feiertag",IF(IFERROR(INDEX(Stammdaten!$I$10:$I$49,MATCH(F392,Stammdaten!$B$10:$B$49,0)),"")="Gesperrt","Platz gesperrt",IF(AND(COUNTIF($P$6:$P$605,P392)&gt;1,NOT(AND(COUNTIF($P$6:$P$605,P392)=2,COUNTIFS($P$6:$P$605,P392,$H$6:$H$605,"Vormittag")=1,COUNTIFS($P$6:$P$605,P392,$H$6:$H$605,"Nachmittag")=1))),"Doppelbuchung",IF(AND(COUNTIF($R$6:$R$605,R392)&gt;1,NOT(AND(COUNTIF($R$6:$R$605,R392)=2,COUNTIFS($R$6:$R$605,R392,$H$6:$H$605,"Vormittag")=1,COUNTIFS($R$6:$R$605,R392,$H$6:$H$605,"Nachmittag")=1))),"Person doppelt","OK"))))))))</f>
        <v/>
      </c>
      <c r="O392" s="55">
        <f t="shared" si="45"/>
        <v>0</v>
      </c>
      <c r="P392" s="55" t="str">
        <f t="shared" si="46"/>
        <v/>
      </c>
      <c r="Q392" s="55" t="str">
        <f>IF(P392="","",P392&amp;"|"&amp;COUNTIF(P$6:P392,P392))</f>
        <v/>
      </c>
      <c r="R392" s="55" t="str">
        <f t="shared" si="47"/>
        <v/>
      </c>
      <c r="S392" s="55" t="str">
        <f>IF(R392="","",R392&amp;"|"&amp;COUNTIF(R$6:R392,R392))</f>
        <v/>
      </c>
      <c r="T392" s="55" t="str">
        <f>IF(G392="","",IFERROR(INDEX(Stammdaten!$O$10:$O$69,MATCH(G392,Stammdaten!$N$10:$N$69,0)),G392)&amp;IF(H392="Vormittag"," (VM)",IF(H392="Nachmittag"," (NM)",""))&amp;IF(I392="Angefragt"," ?",""))</f>
        <v/>
      </c>
      <c r="U392" s="55" t="str">
        <f t="shared" si="48"/>
        <v/>
      </c>
    </row>
    <row r="393" spans="2:21" ht="16.5" customHeight="1" x14ac:dyDescent="0.25">
      <c r="B393" s="47" t="str">
        <f t="shared" si="42"/>
        <v/>
      </c>
      <c r="C393" s="48"/>
      <c r="D393" s="49" t="str">
        <f t="shared" si="43"/>
        <v/>
      </c>
      <c r="E393" s="50" t="str">
        <f t="shared" si="44"/>
        <v/>
      </c>
      <c r="F393" s="51"/>
      <c r="G393" s="52"/>
      <c r="H393" s="51"/>
      <c r="I393" s="51"/>
      <c r="J393" s="52"/>
      <c r="K393" s="53" t="str">
        <f>IF(G393="","",IFERROR(INDEX(Stammdaten!$P$10:$P$69,MATCH(G393,Stammdaten!$N$10:$N$69,0)),"–"))</f>
        <v/>
      </c>
      <c r="L393" s="53" t="str">
        <f>IF(F393="","",IFERROR(INDEX(Stammdaten!$D$10:$D$49,MATCH(F393,Stammdaten!$B$10:$B$49,0)),"–"))</f>
        <v/>
      </c>
      <c r="M393" s="54" t="str">
        <f>IF(C393="","",IF(OR(F393="",G393="",I393=""),"unvollständig",IF(I393="Storniert","storniert",IF(WEEKDAY(C393,2)&gt;5,"Wochenende",IF(COUNTIF(Stammdaten!$AD$10:$AD$30,C393)&gt;0,"Feiertag",IF(IFERROR(INDEX(Stammdaten!$I$10:$I$49,MATCH(F393,Stammdaten!$B$10:$B$49,0)),"")="Gesperrt","Platz gesperrt",IF(AND(COUNTIF($P$6:$P$605,P393)&gt;1,NOT(AND(COUNTIF($P$6:$P$605,P393)=2,COUNTIFS($P$6:$P$605,P393,$H$6:$H$605,"Vormittag")=1,COUNTIFS($P$6:$P$605,P393,$H$6:$H$605,"Nachmittag")=1))),"Doppelbuchung",IF(AND(COUNTIF($R$6:$R$605,R393)&gt;1,NOT(AND(COUNTIF($R$6:$R$605,R393)=2,COUNTIFS($R$6:$R$605,R393,$H$6:$H$605,"Vormittag")=1,COUNTIFS($R$6:$R$605,R393,$H$6:$H$605,"Nachmittag")=1))),"Person doppelt","OK"))))))))</f>
        <v/>
      </c>
      <c r="O393" s="55">
        <f t="shared" si="45"/>
        <v>0</v>
      </c>
      <c r="P393" s="55" t="str">
        <f t="shared" si="46"/>
        <v/>
      </c>
      <c r="Q393" s="55" t="str">
        <f>IF(P393="","",P393&amp;"|"&amp;COUNTIF(P$6:P393,P393))</f>
        <v/>
      </c>
      <c r="R393" s="55" t="str">
        <f t="shared" si="47"/>
        <v/>
      </c>
      <c r="S393" s="55" t="str">
        <f>IF(R393="","",R393&amp;"|"&amp;COUNTIF(R$6:R393,R393))</f>
        <v/>
      </c>
      <c r="T393" s="55" t="str">
        <f>IF(G393="","",IFERROR(INDEX(Stammdaten!$O$10:$O$69,MATCH(G393,Stammdaten!$N$10:$N$69,0)),G393)&amp;IF(H393="Vormittag"," (VM)",IF(H393="Nachmittag"," (NM)",""))&amp;IF(I393="Angefragt"," ?",""))</f>
        <v/>
      </c>
      <c r="U393" s="55" t="str">
        <f t="shared" si="48"/>
        <v/>
      </c>
    </row>
    <row r="394" spans="2:21" ht="16.5" customHeight="1" x14ac:dyDescent="0.25">
      <c r="B394" s="47" t="str">
        <f t="shared" si="42"/>
        <v/>
      </c>
      <c r="C394" s="48"/>
      <c r="D394" s="49" t="str">
        <f t="shared" si="43"/>
        <v/>
      </c>
      <c r="E394" s="50" t="str">
        <f t="shared" si="44"/>
        <v/>
      </c>
      <c r="F394" s="51"/>
      <c r="G394" s="52"/>
      <c r="H394" s="51"/>
      <c r="I394" s="51"/>
      <c r="J394" s="52"/>
      <c r="K394" s="53" t="str">
        <f>IF(G394="","",IFERROR(INDEX(Stammdaten!$P$10:$P$69,MATCH(G394,Stammdaten!$N$10:$N$69,0)),"–"))</f>
        <v/>
      </c>
      <c r="L394" s="53" t="str">
        <f>IF(F394="","",IFERROR(INDEX(Stammdaten!$D$10:$D$49,MATCH(F394,Stammdaten!$B$10:$B$49,0)),"–"))</f>
        <v/>
      </c>
      <c r="M394" s="54" t="str">
        <f>IF(C394="","",IF(OR(F394="",G394="",I394=""),"unvollständig",IF(I394="Storniert","storniert",IF(WEEKDAY(C394,2)&gt;5,"Wochenende",IF(COUNTIF(Stammdaten!$AD$10:$AD$30,C394)&gt;0,"Feiertag",IF(IFERROR(INDEX(Stammdaten!$I$10:$I$49,MATCH(F394,Stammdaten!$B$10:$B$49,0)),"")="Gesperrt","Platz gesperrt",IF(AND(COUNTIF($P$6:$P$605,P394)&gt;1,NOT(AND(COUNTIF($P$6:$P$605,P394)=2,COUNTIFS($P$6:$P$605,P394,$H$6:$H$605,"Vormittag")=1,COUNTIFS($P$6:$P$605,P394,$H$6:$H$605,"Nachmittag")=1))),"Doppelbuchung",IF(AND(COUNTIF($R$6:$R$605,R394)&gt;1,NOT(AND(COUNTIF($R$6:$R$605,R394)=2,COUNTIFS($R$6:$R$605,R394,$H$6:$H$605,"Vormittag")=1,COUNTIFS($R$6:$R$605,R394,$H$6:$H$605,"Nachmittag")=1))),"Person doppelt","OK"))))))))</f>
        <v/>
      </c>
      <c r="O394" s="55">
        <f t="shared" si="45"/>
        <v>0</v>
      </c>
      <c r="P394" s="55" t="str">
        <f t="shared" si="46"/>
        <v/>
      </c>
      <c r="Q394" s="55" t="str">
        <f>IF(P394="","",P394&amp;"|"&amp;COUNTIF(P$6:P394,P394))</f>
        <v/>
      </c>
      <c r="R394" s="55" t="str">
        <f t="shared" si="47"/>
        <v/>
      </c>
      <c r="S394" s="55" t="str">
        <f>IF(R394="","",R394&amp;"|"&amp;COUNTIF(R$6:R394,R394))</f>
        <v/>
      </c>
      <c r="T394" s="55" t="str">
        <f>IF(G394="","",IFERROR(INDEX(Stammdaten!$O$10:$O$69,MATCH(G394,Stammdaten!$N$10:$N$69,0)),G394)&amp;IF(H394="Vormittag"," (VM)",IF(H394="Nachmittag"," (NM)",""))&amp;IF(I394="Angefragt"," ?",""))</f>
        <v/>
      </c>
      <c r="U394" s="55" t="str">
        <f t="shared" si="48"/>
        <v/>
      </c>
    </row>
    <row r="395" spans="2:21" ht="16.5" customHeight="1" x14ac:dyDescent="0.25">
      <c r="B395" s="47" t="str">
        <f t="shared" si="42"/>
        <v/>
      </c>
      <c r="C395" s="48"/>
      <c r="D395" s="49" t="str">
        <f t="shared" si="43"/>
        <v/>
      </c>
      <c r="E395" s="50" t="str">
        <f t="shared" si="44"/>
        <v/>
      </c>
      <c r="F395" s="51"/>
      <c r="G395" s="52"/>
      <c r="H395" s="51"/>
      <c r="I395" s="51"/>
      <c r="J395" s="52"/>
      <c r="K395" s="53" t="str">
        <f>IF(G395="","",IFERROR(INDEX(Stammdaten!$P$10:$P$69,MATCH(G395,Stammdaten!$N$10:$N$69,0)),"–"))</f>
        <v/>
      </c>
      <c r="L395" s="53" t="str">
        <f>IF(F395="","",IFERROR(INDEX(Stammdaten!$D$10:$D$49,MATCH(F395,Stammdaten!$B$10:$B$49,0)),"–"))</f>
        <v/>
      </c>
      <c r="M395" s="54" t="str">
        <f>IF(C395="","",IF(OR(F395="",G395="",I395=""),"unvollständig",IF(I395="Storniert","storniert",IF(WEEKDAY(C395,2)&gt;5,"Wochenende",IF(COUNTIF(Stammdaten!$AD$10:$AD$30,C395)&gt;0,"Feiertag",IF(IFERROR(INDEX(Stammdaten!$I$10:$I$49,MATCH(F395,Stammdaten!$B$10:$B$49,0)),"")="Gesperrt","Platz gesperrt",IF(AND(COUNTIF($P$6:$P$605,P395)&gt;1,NOT(AND(COUNTIF($P$6:$P$605,P395)=2,COUNTIFS($P$6:$P$605,P395,$H$6:$H$605,"Vormittag")=1,COUNTIFS($P$6:$P$605,P395,$H$6:$H$605,"Nachmittag")=1))),"Doppelbuchung",IF(AND(COUNTIF($R$6:$R$605,R395)&gt;1,NOT(AND(COUNTIF($R$6:$R$605,R395)=2,COUNTIFS($R$6:$R$605,R395,$H$6:$H$605,"Vormittag")=1,COUNTIFS($R$6:$R$605,R395,$H$6:$H$605,"Nachmittag")=1))),"Person doppelt","OK"))))))))</f>
        <v/>
      </c>
      <c r="O395" s="55">
        <f t="shared" si="45"/>
        <v>0</v>
      </c>
      <c r="P395" s="55" t="str">
        <f t="shared" si="46"/>
        <v/>
      </c>
      <c r="Q395" s="55" t="str">
        <f>IF(P395="","",P395&amp;"|"&amp;COUNTIF(P$6:P395,P395))</f>
        <v/>
      </c>
      <c r="R395" s="55" t="str">
        <f t="shared" si="47"/>
        <v/>
      </c>
      <c r="S395" s="55" t="str">
        <f>IF(R395="","",R395&amp;"|"&amp;COUNTIF(R$6:R395,R395))</f>
        <v/>
      </c>
      <c r="T395" s="55" t="str">
        <f>IF(G395="","",IFERROR(INDEX(Stammdaten!$O$10:$O$69,MATCH(G395,Stammdaten!$N$10:$N$69,0)),G395)&amp;IF(H395="Vormittag"," (VM)",IF(H395="Nachmittag"," (NM)",""))&amp;IF(I395="Angefragt"," ?",""))</f>
        <v/>
      </c>
      <c r="U395" s="55" t="str">
        <f t="shared" si="48"/>
        <v/>
      </c>
    </row>
    <row r="396" spans="2:21" ht="16.5" customHeight="1" x14ac:dyDescent="0.25">
      <c r="B396" s="47" t="str">
        <f t="shared" si="42"/>
        <v/>
      </c>
      <c r="C396" s="48"/>
      <c r="D396" s="49" t="str">
        <f t="shared" si="43"/>
        <v/>
      </c>
      <c r="E396" s="50" t="str">
        <f t="shared" si="44"/>
        <v/>
      </c>
      <c r="F396" s="51"/>
      <c r="G396" s="52"/>
      <c r="H396" s="51"/>
      <c r="I396" s="51"/>
      <c r="J396" s="52"/>
      <c r="K396" s="53" t="str">
        <f>IF(G396="","",IFERROR(INDEX(Stammdaten!$P$10:$P$69,MATCH(G396,Stammdaten!$N$10:$N$69,0)),"–"))</f>
        <v/>
      </c>
      <c r="L396" s="53" t="str">
        <f>IF(F396="","",IFERROR(INDEX(Stammdaten!$D$10:$D$49,MATCH(F396,Stammdaten!$B$10:$B$49,0)),"–"))</f>
        <v/>
      </c>
      <c r="M396" s="54" t="str">
        <f>IF(C396="","",IF(OR(F396="",G396="",I396=""),"unvollständig",IF(I396="Storniert","storniert",IF(WEEKDAY(C396,2)&gt;5,"Wochenende",IF(COUNTIF(Stammdaten!$AD$10:$AD$30,C396)&gt;0,"Feiertag",IF(IFERROR(INDEX(Stammdaten!$I$10:$I$49,MATCH(F396,Stammdaten!$B$10:$B$49,0)),"")="Gesperrt","Platz gesperrt",IF(AND(COUNTIF($P$6:$P$605,P396)&gt;1,NOT(AND(COUNTIF($P$6:$P$605,P396)=2,COUNTIFS($P$6:$P$605,P396,$H$6:$H$605,"Vormittag")=1,COUNTIFS($P$6:$P$605,P396,$H$6:$H$605,"Nachmittag")=1))),"Doppelbuchung",IF(AND(COUNTIF($R$6:$R$605,R396)&gt;1,NOT(AND(COUNTIF($R$6:$R$605,R396)=2,COUNTIFS($R$6:$R$605,R396,$H$6:$H$605,"Vormittag")=1,COUNTIFS($R$6:$R$605,R396,$H$6:$H$605,"Nachmittag")=1))),"Person doppelt","OK"))))))))</f>
        <v/>
      </c>
      <c r="O396" s="55">
        <f t="shared" si="45"/>
        <v>0</v>
      </c>
      <c r="P396" s="55" t="str">
        <f t="shared" si="46"/>
        <v/>
      </c>
      <c r="Q396" s="55" t="str">
        <f>IF(P396="","",P396&amp;"|"&amp;COUNTIF(P$6:P396,P396))</f>
        <v/>
      </c>
      <c r="R396" s="55" t="str">
        <f t="shared" si="47"/>
        <v/>
      </c>
      <c r="S396" s="55" t="str">
        <f>IF(R396="","",R396&amp;"|"&amp;COUNTIF(R$6:R396,R396))</f>
        <v/>
      </c>
      <c r="T396" s="55" t="str">
        <f>IF(G396="","",IFERROR(INDEX(Stammdaten!$O$10:$O$69,MATCH(G396,Stammdaten!$N$10:$N$69,0)),G396)&amp;IF(H396="Vormittag"," (VM)",IF(H396="Nachmittag"," (NM)",""))&amp;IF(I396="Angefragt"," ?",""))</f>
        <v/>
      </c>
      <c r="U396" s="55" t="str">
        <f t="shared" si="48"/>
        <v/>
      </c>
    </row>
    <row r="397" spans="2:21" ht="16.5" customHeight="1" x14ac:dyDescent="0.25">
      <c r="B397" s="47" t="str">
        <f t="shared" si="42"/>
        <v/>
      </c>
      <c r="C397" s="48"/>
      <c r="D397" s="49" t="str">
        <f t="shared" si="43"/>
        <v/>
      </c>
      <c r="E397" s="50" t="str">
        <f t="shared" si="44"/>
        <v/>
      </c>
      <c r="F397" s="51"/>
      <c r="G397" s="52"/>
      <c r="H397" s="51"/>
      <c r="I397" s="51"/>
      <c r="J397" s="52"/>
      <c r="K397" s="53" t="str">
        <f>IF(G397="","",IFERROR(INDEX(Stammdaten!$P$10:$P$69,MATCH(G397,Stammdaten!$N$10:$N$69,0)),"–"))</f>
        <v/>
      </c>
      <c r="L397" s="53" t="str">
        <f>IF(F397="","",IFERROR(INDEX(Stammdaten!$D$10:$D$49,MATCH(F397,Stammdaten!$B$10:$B$49,0)),"–"))</f>
        <v/>
      </c>
      <c r="M397" s="54" t="str">
        <f>IF(C397="","",IF(OR(F397="",G397="",I397=""),"unvollständig",IF(I397="Storniert","storniert",IF(WEEKDAY(C397,2)&gt;5,"Wochenende",IF(COUNTIF(Stammdaten!$AD$10:$AD$30,C397)&gt;0,"Feiertag",IF(IFERROR(INDEX(Stammdaten!$I$10:$I$49,MATCH(F397,Stammdaten!$B$10:$B$49,0)),"")="Gesperrt","Platz gesperrt",IF(AND(COUNTIF($P$6:$P$605,P397)&gt;1,NOT(AND(COUNTIF($P$6:$P$605,P397)=2,COUNTIFS($P$6:$P$605,P397,$H$6:$H$605,"Vormittag")=1,COUNTIFS($P$6:$P$605,P397,$H$6:$H$605,"Nachmittag")=1))),"Doppelbuchung",IF(AND(COUNTIF($R$6:$R$605,R397)&gt;1,NOT(AND(COUNTIF($R$6:$R$605,R397)=2,COUNTIFS($R$6:$R$605,R397,$H$6:$H$605,"Vormittag")=1,COUNTIFS($R$6:$R$605,R397,$H$6:$H$605,"Nachmittag")=1))),"Person doppelt","OK"))))))))</f>
        <v/>
      </c>
      <c r="O397" s="55">
        <f t="shared" si="45"/>
        <v>0</v>
      </c>
      <c r="P397" s="55" t="str">
        <f t="shared" si="46"/>
        <v/>
      </c>
      <c r="Q397" s="55" t="str">
        <f>IF(P397="","",P397&amp;"|"&amp;COUNTIF(P$6:P397,P397))</f>
        <v/>
      </c>
      <c r="R397" s="55" t="str">
        <f t="shared" si="47"/>
        <v/>
      </c>
      <c r="S397" s="55" t="str">
        <f>IF(R397="","",R397&amp;"|"&amp;COUNTIF(R$6:R397,R397))</f>
        <v/>
      </c>
      <c r="T397" s="55" t="str">
        <f>IF(G397="","",IFERROR(INDEX(Stammdaten!$O$10:$O$69,MATCH(G397,Stammdaten!$N$10:$N$69,0)),G397)&amp;IF(H397="Vormittag"," (VM)",IF(H397="Nachmittag"," (NM)",""))&amp;IF(I397="Angefragt"," ?",""))</f>
        <v/>
      </c>
      <c r="U397" s="55" t="str">
        <f t="shared" si="48"/>
        <v/>
      </c>
    </row>
    <row r="398" spans="2:21" ht="16.5" customHeight="1" x14ac:dyDescent="0.25">
      <c r="B398" s="47" t="str">
        <f t="shared" si="42"/>
        <v/>
      </c>
      <c r="C398" s="48"/>
      <c r="D398" s="49" t="str">
        <f t="shared" si="43"/>
        <v/>
      </c>
      <c r="E398" s="50" t="str">
        <f t="shared" si="44"/>
        <v/>
      </c>
      <c r="F398" s="51"/>
      <c r="G398" s="52"/>
      <c r="H398" s="51"/>
      <c r="I398" s="51"/>
      <c r="J398" s="52"/>
      <c r="K398" s="53" t="str">
        <f>IF(G398="","",IFERROR(INDEX(Stammdaten!$P$10:$P$69,MATCH(G398,Stammdaten!$N$10:$N$69,0)),"–"))</f>
        <v/>
      </c>
      <c r="L398" s="53" t="str">
        <f>IF(F398="","",IFERROR(INDEX(Stammdaten!$D$10:$D$49,MATCH(F398,Stammdaten!$B$10:$B$49,0)),"–"))</f>
        <v/>
      </c>
      <c r="M398" s="54" t="str">
        <f>IF(C398="","",IF(OR(F398="",G398="",I398=""),"unvollständig",IF(I398="Storniert","storniert",IF(WEEKDAY(C398,2)&gt;5,"Wochenende",IF(COUNTIF(Stammdaten!$AD$10:$AD$30,C398)&gt;0,"Feiertag",IF(IFERROR(INDEX(Stammdaten!$I$10:$I$49,MATCH(F398,Stammdaten!$B$10:$B$49,0)),"")="Gesperrt","Platz gesperrt",IF(AND(COUNTIF($P$6:$P$605,P398)&gt;1,NOT(AND(COUNTIF($P$6:$P$605,P398)=2,COUNTIFS($P$6:$P$605,P398,$H$6:$H$605,"Vormittag")=1,COUNTIFS($P$6:$P$605,P398,$H$6:$H$605,"Nachmittag")=1))),"Doppelbuchung",IF(AND(COUNTIF($R$6:$R$605,R398)&gt;1,NOT(AND(COUNTIF($R$6:$R$605,R398)=2,COUNTIFS($R$6:$R$605,R398,$H$6:$H$605,"Vormittag")=1,COUNTIFS($R$6:$R$605,R398,$H$6:$H$605,"Nachmittag")=1))),"Person doppelt","OK"))))))))</f>
        <v/>
      </c>
      <c r="O398" s="55">
        <f t="shared" si="45"/>
        <v>0</v>
      </c>
      <c r="P398" s="55" t="str">
        <f t="shared" si="46"/>
        <v/>
      </c>
      <c r="Q398" s="55" t="str">
        <f>IF(P398="","",P398&amp;"|"&amp;COUNTIF(P$6:P398,P398))</f>
        <v/>
      </c>
      <c r="R398" s="55" t="str">
        <f t="shared" si="47"/>
        <v/>
      </c>
      <c r="S398" s="55" t="str">
        <f>IF(R398="","",R398&amp;"|"&amp;COUNTIF(R$6:R398,R398))</f>
        <v/>
      </c>
      <c r="T398" s="55" t="str">
        <f>IF(G398="","",IFERROR(INDEX(Stammdaten!$O$10:$O$69,MATCH(G398,Stammdaten!$N$10:$N$69,0)),G398)&amp;IF(H398="Vormittag"," (VM)",IF(H398="Nachmittag"," (NM)",""))&amp;IF(I398="Angefragt"," ?",""))</f>
        <v/>
      </c>
      <c r="U398" s="55" t="str">
        <f t="shared" si="48"/>
        <v/>
      </c>
    </row>
    <row r="399" spans="2:21" ht="16.5" customHeight="1" x14ac:dyDescent="0.25">
      <c r="B399" s="47" t="str">
        <f t="shared" si="42"/>
        <v/>
      </c>
      <c r="C399" s="48"/>
      <c r="D399" s="49" t="str">
        <f t="shared" si="43"/>
        <v/>
      </c>
      <c r="E399" s="50" t="str">
        <f t="shared" si="44"/>
        <v/>
      </c>
      <c r="F399" s="51"/>
      <c r="G399" s="52"/>
      <c r="H399" s="51"/>
      <c r="I399" s="51"/>
      <c r="J399" s="52"/>
      <c r="K399" s="53" t="str">
        <f>IF(G399="","",IFERROR(INDEX(Stammdaten!$P$10:$P$69,MATCH(G399,Stammdaten!$N$10:$N$69,0)),"–"))</f>
        <v/>
      </c>
      <c r="L399" s="53" t="str">
        <f>IF(F399="","",IFERROR(INDEX(Stammdaten!$D$10:$D$49,MATCH(F399,Stammdaten!$B$10:$B$49,0)),"–"))</f>
        <v/>
      </c>
      <c r="M399" s="54" t="str">
        <f>IF(C399="","",IF(OR(F399="",G399="",I399=""),"unvollständig",IF(I399="Storniert","storniert",IF(WEEKDAY(C399,2)&gt;5,"Wochenende",IF(COUNTIF(Stammdaten!$AD$10:$AD$30,C399)&gt;0,"Feiertag",IF(IFERROR(INDEX(Stammdaten!$I$10:$I$49,MATCH(F399,Stammdaten!$B$10:$B$49,0)),"")="Gesperrt","Platz gesperrt",IF(AND(COUNTIF($P$6:$P$605,P399)&gt;1,NOT(AND(COUNTIF($P$6:$P$605,P399)=2,COUNTIFS($P$6:$P$605,P399,$H$6:$H$605,"Vormittag")=1,COUNTIFS($P$6:$P$605,P399,$H$6:$H$605,"Nachmittag")=1))),"Doppelbuchung",IF(AND(COUNTIF($R$6:$R$605,R399)&gt;1,NOT(AND(COUNTIF($R$6:$R$605,R399)=2,COUNTIFS($R$6:$R$605,R399,$H$6:$H$605,"Vormittag")=1,COUNTIFS($R$6:$R$605,R399,$H$6:$H$605,"Nachmittag")=1))),"Person doppelt","OK"))))))))</f>
        <v/>
      </c>
      <c r="O399" s="55">
        <f t="shared" si="45"/>
        <v>0</v>
      </c>
      <c r="P399" s="55" t="str">
        <f t="shared" si="46"/>
        <v/>
      </c>
      <c r="Q399" s="55" t="str">
        <f>IF(P399="","",P399&amp;"|"&amp;COUNTIF(P$6:P399,P399))</f>
        <v/>
      </c>
      <c r="R399" s="55" t="str">
        <f t="shared" si="47"/>
        <v/>
      </c>
      <c r="S399" s="55" t="str">
        <f>IF(R399="","",R399&amp;"|"&amp;COUNTIF(R$6:R399,R399))</f>
        <v/>
      </c>
      <c r="T399" s="55" t="str">
        <f>IF(G399="","",IFERROR(INDEX(Stammdaten!$O$10:$O$69,MATCH(G399,Stammdaten!$N$10:$N$69,0)),G399)&amp;IF(H399="Vormittag"," (VM)",IF(H399="Nachmittag"," (NM)",""))&amp;IF(I399="Angefragt"," ?",""))</f>
        <v/>
      </c>
      <c r="U399" s="55" t="str">
        <f t="shared" si="48"/>
        <v/>
      </c>
    </row>
    <row r="400" spans="2:21" ht="16.5" customHeight="1" x14ac:dyDescent="0.25">
      <c r="B400" s="47" t="str">
        <f t="shared" si="42"/>
        <v/>
      </c>
      <c r="C400" s="48"/>
      <c r="D400" s="49" t="str">
        <f t="shared" si="43"/>
        <v/>
      </c>
      <c r="E400" s="50" t="str">
        <f t="shared" si="44"/>
        <v/>
      </c>
      <c r="F400" s="51"/>
      <c r="G400" s="52"/>
      <c r="H400" s="51"/>
      <c r="I400" s="51"/>
      <c r="J400" s="52"/>
      <c r="K400" s="53" t="str">
        <f>IF(G400="","",IFERROR(INDEX(Stammdaten!$P$10:$P$69,MATCH(G400,Stammdaten!$N$10:$N$69,0)),"–"))</f>
        <v/>
      </c>
      <c r="L400" s="53" t="str">
        <f>IF(F400="","",IFERROR(INDEX(Stammdaten!$D$10:$D$49,MATCH(F400,Stammdaten!$B$10:$B$49,0)),"–"))</f>
        <v/>
      </c>
      <c r="M400" s="54" t="str">
        <f>IF(C400="","",IF(OR(F400="",G400="",I400=""),"unvollständig",IF(I400="Storniert","storniert",IF(WEEKDAY(C400,2)&gt;5,"Wochenende",IF(COUNTIF(Stammdaten!$AD$10:$AD$30,C400)&gt;0,"Feiertag",IF(IFERROR(INDEX(Stammdaten!$I$10:$I$49,MATCH(F400,Stammdaten!$B$10:$B$49,0)),"")="Gesperrt","Platz gesperrt",IF(AND(COUNTIF($P$6:$P$605,P400)&gt;1,NOT(AND(COUNTIF($P$6:$P$605,P400)=2,COUNTIFS($P$6:$P$605,P400,$H$6:$H$605,"Vormittag")=1,COUNTIFS($P$6:$P$605,P400,$H$6:$H$605,"Nachmittag")=1))),"Doppelbuchung",IF(AND(COUNTIF($R$6:$R$605,R400)&gt;1,NOT(AND(COUNTIF($R$6:$R$605,R400)=2,COUNTIFS($R$6:$R$605,R400,$H$6:$H$605,"Vormittag")=1,COUNTIFS($R$6:$R$605,R400,$H$6:$H$605,"Nachmittag")=1))),"Person doppelt","OK"))))))))</f>
        <v/>
      </c>
      <c r="O400" s="55">
        <f t="shared" si="45"/>
        <v>0</v>
      </c>
      <c r="P400" s="55" t="str">
        <f t="shared" si="46"/>
        <v/>
      </c>
      <c r="Q400" s="55" t="str">
        <f>IF(P400="","",P400&amp;"|"&amp;COUNTIF(P$6:P400,P400))</f>
        <v/>
      </c>
      <c r="R400" s="55" t="str">
        <f t="shared" si="47"/>
        <v/>
      </c>
      <c r="S400" s="55" t="str">
        <f>IF(R400="","",R400&amp;"|"&amp;COUNTIF(R$6:R400,R400))</f>
        <v/>
      </c>
      <c r="T400" s="55" t="str">
        <f>IF(G400="","",IFERROR(INDEX(Stammdaten!$O$10:$O$69,MATCH(G400,Stammdaten!$N$10:$N$69,0)),G400)&amp;IF(H400="Vormittag"," (VM)",IF(H400="Nachmittag"," (NM)",""))&amp;IF(I400="Angefragt"," ?",""))</f>
        <v/>
      </c>
      <c r="U400" s="55" t="str">
        <f t="shared" si="48"/>
        <v/>
      </c>
    </row>
    <row r="401" spans="2:21" ht="16.5" customHeight="1" x14ac:dyDescent="0.25">
      <c r="B401" s="47" t="str">
        <f t="shared" si="42"/>
        <v/>
      </c>
      <c r="C401" s="48"/>
      <c r="D401" s="49" t="str">
        <f t="shared" si="43"/>
        <v/>
      </c>
      <c r="E401" s="50" t="str">
        <f t="shared" si="44"/>
        <v/>
      </c>
      <c r="F401" s="51"/>
      <c r="G401" s="52"/>
      <c r="H401" s="51"/>
      <c r="I401" s="51"/>
      <c r="J401" s="52"/>
      <c r="K401" s="53" t="str">
        <f>IF(G401="","",IFERROR(INDEX(Stammdaten!$P$10:$P$69,MATCH(G401,Stammdaten!$N$10:$N$69,0)),"–"))</f>
        <v/>
      </c>
      <c r="L401" s="53" t="str">
        <f>IF(F401="","",IFERROR(INDEX(Stammdaten!$D$10:$D$49,MATCH(F401,Stammdaten!$B$10:$B$49,0)),"–"))</f>
        <v/>
      </c>
      <c r="M401" s="54" t="str">
        <f>IF(C401="","",IF(OR(F401="",G401="",I401=""),"unvollständig",IF(I401="Storniert","storniert",IF(WEEKDAY(C401,2)&gt;5,"Wochenende",IF(COUNTIF(Stammdaten!$AD$10:$AD$30,C401)&gt;0,"Feiertag",IF(IFERROR(INDEX(Stammdaten!$I$10:$I$49,MATCH(F401,Stammdaten!$B$10:$B$49,0)),"")="Gesperrt","Platz gesperrt",IF(AND(COUNTIF($P$6:$P$605,P401)&gt;1,NOT(AND(COUNTIF($P$6:$P$605,P401)=2,COUNTIFS($P$6:$P$605,P401,$H$6:$H$605,"Vormittag")=1,COUNTIFS($P$6:$P$605,P401,$H$6:$H$605,"Nachmittag")=1))),"Doppelbuchung",IF(AND(COUNTIF($R$6:$R$605,R401)&gt;1,NOT(AND(COUNTIF($R$6:$R$605,R401)=2,COUNTIFS($R$6:$R$605,R401,$H$6:$H$605,"Vormittag")=1,COUNTIFS($R$6:$R$605,R401,$H$6:$H$605,"Nachmittag")=1))),"Person doppelt","OK"))))))))</f>
        <v/>
      </c>
      <c r="O401" s="55">
        <f t="shared" si="45"/>
        <v>0</v>
      </c>
      <c r="P401" s="55" t="str">
        <f t="shared" si="46"/>
        <v/>
      </c>
      <c r="Q401" s="55" t="str">
        <f>IF(P401="","",P401&amp;"|"&amp;COUNTIF(P$6:P401,P401))</f>
        <v/>
      </c>
      <c r="R401" s="55" t="str">
        <f t="shared" si="47"/>
        <v/>
      </c>
      <c r="S401" s="55" t="str">
        <f>IF(R401="","",R401&amp;"|"&amp;COUNTIF(R$6:R401,R401))</f>
        <v/>
      </c>
      <c r="T401" s="55" t="str">
        <f>IF(G401="","",IFERROR(INDEX(Stammdaten!$O$10:$O$69,MATCH(G401,Stammdaten!$N$10:$N$69,0)),G401)&amp;IF(H401="Vormittag"," (VM)",IF(H401="Nachmittag"," (NM)",""))&amp;IF(I401="Angefragt"," ?",""))</f>
        <v/>
      </c>
      <c r="U401" s="55" t="str">
        <f t="shared" si="48"/>
        <v/>
      </c>
    </row>
    <row r="402" spans="2:21" ht="16.5" customHeight="1" x14ac:dyDescent="0.25">
      <c r="B402" s="47" t="str">
        <f t="shared" si="42"/>
        <v/>
      </c>
      <c r="C402" s="48"/>
      <c r="D402" s="49" t="str">
        <f t="shared" si="43"/>
        <v/>
      </c>
      <c r="E402" s="50" t="str">
        <f t="shared" si="44"/>
        <v/>
      </c>
      <c r="F402" s="51"/>
      <c r="G402" s="52"/>
      <c r="H402" s="51"/>
      <c r="I402" s="51"/>
      <c r="J402" s="52"/>
      <c r="K402" s="53" t="str">
        <f>IF(G402="","",IFERROR(INDEX(Stammdaten!$P$10:$P$69,MATCH(G402,Stammdaten!$N$10:$N$69,0)),"–"))</f>
        <v/>
      </c>
      <c r="L402" s="53" t="str">
        <f>IF(F402="","",IFERROR(INDEX(Stammdaten!$D$10:$D$49,MATCH(F402,Stammdaten!$B$10:$B$49,0)),"–"))</f>
        <v/>
      </c>
      <c r="M402" s="54" t="str">
        <f>IF(C402="","",IF(OR(F402="",G402="",I402=""),"unvollständig",IF(I402="Storniert","storniert",IF(WEEKDAY(C402,2)&gt;5,"Wochenende",IF(COUNTIF(Stammdaten!$AD$10:$AD$30,C402)&gt;0,"Feiertag",IF(IFERROR(INDEX(Stammdaten!$I$10:$I$49,MATCH(F402,Stammdaten!$B$10:$B$49,0)),"")="Gesperrt","Platz gesperrt",IF(AND(COUNTIF($P$6:$P$605,P402)&gt;1,NOT(AND(COUNTIF($P$6:$P$605,P402)=2,COUNTIFS($P$6:$P$605,P402,$H$6:$H$605,"Vormittag")=1,COUNTIFS($P$6:$P$605,P402,$H$6:$H$605,"Nachmittag")=1))),"Doppelbuchung",IF(AND(COUNTIF($R$6:$R$605,R402)&gt;1,NOT(AND(COUNTIF($R$6:$R$605,R402)=2,COUNTIFS($R$6:$R$605,R402,$H$6:$H$605,"Vormittag")=1,COUNTIFS($R$6:$R$605,R402,$H$6:$H$605,"Nachmittag")=1))),"Person doppelt","OK"))))))))</f>
        <v/>
      </c>
      <c r="O402" s="55">
        <f t="shared" si="45"/>
        <v>0</v>
      </c>
      <c r="P402" s="55" t="str">
        <f t="shared" si="46"/>
        <v/>
      </c>
      <c r="Q402" s="55" t="str">
        <f>IF(P402="","",P402&amp;"|"&amp;COUNTIF(P$6:P402,P402))</f>
        <v/>
      </c>
      <c r="R402" s="55" t="str">
        <f t="shared" si="47"/>
        <v/>
      </c>
      <c r="S402" s="55" t="str">
        <f>IF(R402="","",R402&amp;"|"&amp;COUNTIF(R$6:R402,R402))</f>
        <v/>
      </c>
      <c r="T402" s="55" t="str">
        <f>IF(G402="","",IFERROR(INDEX(Stammdaten!$O$10:$O$69,MATCH(G402,Stammdaten!$N$10:$N$69,0)),G402)&amp;IF(H402="Vormittag"," (VM)",IF(H402="Nachmittag"," (NM)",""))&amp;IF(I402="Angefragt"," ?",""))</f>
        <v/>
      </c>
      <c r="U402" s="55" t="str">
        <f t="shared" si="48"/>
        <v/>
      </c>
    </row>
    <row r="403" spans="2:21" ht="16.5" customHeight="1" x14ac:dyDescent="0.25">
      <c r="B403" s="47" t="str">
        <f t="shared" si="42"/>
        <v/>
      </c>
      <c r="C403" s="48"/>
      <c r="D403" s="49" t="str">
        <f t="shared" si="43"/>
        <v/>
      </c>
      <c r="E403" s="50" t="str">
        <f t="shared" si="44"/>
        <v/>
      </c>
      <c r="F403" s="51"/>
      <c r="G403" s="52"/>
      <c r="H403" s="51"/>
      <c r="I403" s="51"/>
      <c r="J403" s="52"/>
      <c r="K403" s="53" t="str">
        <f>IF(G403="","",IFERROR(INDEX(Stammdaten!$P$10:$P$69,MATCH(G403,Stammdaten!$N$10:$N$69,0)),"–"))</f>
        <v/>
      </c>
      <c r="L403" s="53" t="str">
        <f>IF(F403="","",IFERROR(INDEX(Stammdaten!$D$10:$D$49,MATCH(F403,Stammdaten!$B$10:$B$49,0)),"–"))</f>
        <v/>
      </c>
      <c r="M403" s="54" t="str">
        <f>IF(C403="","",IF(OR(F403="",G403="",I403=""),"unvollständig",IF(I403="Storniert","storniert",IF(WEEKDAY(C403,2)&gt;5,"Wochenende",IF(COUNTIF(Stammdaten!$AD$10:$AD$30,C403)&gt;0,"Feiertag",IF(IFERROR(INDEX(Stammdaten!$I$10:$I$49,MATCH(F403,Stammdaten!$B$10:$B$49,0)),"")="Gesperrt","Platz gesperrt",IF(AND(COUNTIF($P$6:$P$605,P403)&gt;1,NOT(AND(COUNTIF($P$6:$P$605,P403)=2,COUNTIFS($P$6:$P$605,P403,$H$6:$H$605,"Vormittag")=1,COUNTIFS($P$6:$P$605,P403,$H$6:$H$605,"Nachmittag")=1))),"Doppelbuchung",IF(AND(COUNTIF($R$6:$R$605,R403)&gt;1,NOT(AND(COUNTIF($R$6:$R$605,R403)=2,COUNTIFS($R$6:$R$605,R403,$H$6:$H$605,"Vormittag")=1,COUNTIFS($R$6:$R$605,R403,$H$6:$H$605,"Nachmittag")=1))),"Person doppelt","OK"))))))))</f>
        <v/>
      </c>
      <c r="O403" s="55">
        <f t="shared" si="45"/>
        <v>0</v>
      </c>
      <c r="P403" s="55" t="str">
        <f t="shared" si="46"/>
        <v/>
      </c>
      <c r="Q403" s="55" t="str">
        <f>IF(P403="","",P403&amp;"|"&amp;COUNTIF(P$6:P403,P403))</f>
        <v/>
      </c>
      <c r="R403" s="55" t="str">
        <f t="shared" si="47"/>
        <v/>
      </c>
      <c r="S403" s="55" t="str">
        <f>IF(R403="","",R403&amp;"|"&amp;COUNTIF(R$6:R403,R403))</f>
        <v/>
      </c>
      <c r="T403" s="55" t="str">
        <f>IF(G403="","",IFERROR(INDEX(Stammdaten!$O$10:$O$69,MATCH(G403,Stammdaten!$N$10:$N$69,0)),G403)&amp;IF(H403="Vormittag"," (VM)",IF(H403="Nachmittag"," (NM)",""))&amp;IF(I403="Angefragt"," ?",""))</f>
        <v/>
      </c>
      <c r="U403" s="55" t="str">
        <f t="shared" si="48"/>
        <v/>
      </c>
    </row>
    <row r="404" spans="2:21" ht="16.5" customHeight="1" x14ac:dyDescent="0.25">
      <c r="B404" s="47" t="str">
        <f t="shared" si="42"/>
        <v/>
      </c>
      <c r="C404" s="48"/>
      <c r="D404" s="49" t="str">
        <f t="shared" si="43"/>
        <v/>
      </c>
      <c r="E404" s="50" t="str">
        <f t="shared" si="44"/>
        <v/>
      </c>
      <c r="F404" s="51"/>
      <c r="G404" s="52"/>
      <c r="H404" s="51"/>
      <c r="I404" s="51"/>
      <c r="J404" s="52"/>
      <c r="K404" s="53" t="str">
        <f>IF(G404="","",IFERROR(INDEX(Stammdaten!$P$10:$P$69,MATCH(G404,Stammdaten!$N$10:$N$69,0)),"–"))</f>
        <v/>
      </c>
      <c r="L404" s="53" t="str">
        <f>IF(F404="","",IFERROR(INDEX(Stammdaten!$D$10:$D$49,MATCH(F404,Stammdaten!$B$10:$B$49,0)),"–"))</f>
        <v/>
      </c>
      <c r="M404" s="54" t="str">
        <f>IF(C404="","",IF(OR(F404="",G404="",I404=""),"unvollständig",IF(I404="Storniert","storniert",IF(WEEKDAY(C404,2)&gt;5,"Wochenende",IF(COUNTIF(Stammdaten!$AD$10:$AD$30,C404)&gt;0,"Feiertag",IF(IFERROR(INDEX(Stammdaten!$I$10:$I$49,MATCH(F404,Stammdaten!$B$10:$B$49,0)),"")="Gesperrt","Platz gesperrt",IF(AND(COUNTIF($P$6:$P$605,P404)&gt;1,NOT(AND(COUNTIF($P$6:$P$605,P404)=2,COUNTIFS($P$6:$P$605,P404,$H$6:$H$605,"Vormittag")=1,COUNTIFS($P$6:$P$605,P404,$H$6:$H$605,"Nachmittag")=1))),"Doppelbuchung",IF(AND(COUNTIF($R$6:$R$605,R404)&gt;1,NOT(AND(COUNTIF($R$6:$R$605,R404)=2,COUNTIFS($R$6:$R$605,R404,$H$6:$H$605,"Vormittag")=1,COUNTIFS($R$6:$R$605,R404,$H$6:$H$605,"Nachmittag")=1))),"Person doppelt","OK"))))))))</f>
        <v/>
      </c>
      <c r="O404" s="55">
        <f t="shared" si="45"/>
        <v>0</v>
      </c>
      <c r="P404" s="55" t="str">
        <f t="shared" si="46"/>
        <v/>
      </c>
      <c r="Q404" s="55" t="str">
        <f>IF(P404="","",P404&amp;"|"&amp;COUNTIF(P$6:P404,P404))</f>
        <v/>
      </c>
      <c r="R404" s="55" t="str">
        <f t="shared" si="47"/>
        <v/>
      </c>
      <c r="S404" s="55" t="str">
        <f>IF(R404="","",R404&amp;"|"&amp;COUNTIF(R$6:R404,R404))</f>
        <v/>
      </c>
      <c r="T404" s="55" t="str">
        <f>IF(G404="","",IFERROR(INDEX(Stammdaten!$O$10:$O$69,MATCH(G404,Stammdaten!$N$10:$N$69,0)),G404)&amp;IF(H404="Vormittag"," (VM)",IF(H404="Nachmittag"," (NM)",""))&amp;IF(I404="Angefragt"," ?",""))</f>
        <v/>
      </c>
      <c r="U404" s="55" t="str">
        <f t="shared" si="48"/>
        <v/>
      </c>
    </row>
    <row r="405" spans="2:21" ht="16.5" customHeight="1" x14ac:dyDescent="0.25">
      <c r="B405" s="47" t="str">
        <f t="shared" si="42"/>
        <v/>
      </c>
      <c r="C405" s="48"/>
      <c r="D405" s="49" t="str">
        <f t="shared" si="43"/>
        <v/>
      </c>
      <c r="E405" s="50" t="str">
        <f t="shared" si="44"/>
        <v/>
      </c>
      <c r="F405" s="51"/>
      <c r="G405" s="52"/>
      <c r="H405" s="51"/>
      <c r="I405" s="51"/>
      <c r="J405" s="52"/>
      <c r="K405" s="53" t="str">
        <f>IF(G405="","",IFERROR(INDEX(Stammdaten!$P$10:$P$69,MATCH(G405,Stammdaten!$N$10:$N$69,0)),"–"))</f>
        <v/>
      </c>
      <c r="L405" s="53" t="str">
        <f>IF(F405="","",IFERROR(INDEX(Stammdaten!$D$10:$D$49,MATCH(F405,Stammdaten!$B$10:$B$49,0)),"–"))</f>
        <v/>
      </c>
      <c r="M405" s="54" t="str">
        <f>IF(C405="","",IF(OR(F405="",G405="",I405=""),"unvollständig",IF(I405="Storniert","storniert",IF(WEEKDAY(C405,2)&gt;5,"Wochenende",IF(COUNTIF(Stammdaten!$AD$10:$AD$30,C405)&gt;0,"Feiertag",IF(IFERROR(INDEX(Stammdaten!$I$10:$I$49,MATCH(F405,Stammdaten!$B$10:$B$49,0)),"")="Gesperrt","Platz gesperrt",IF(AND(COUNTIF($P$6:$P$605,P405)&gt;1,NOT(AND(COUNTIF($P$6:$P$605,P405)=2,COUNTIFS($P$6:$P$605,P405,$H$6:$H$605,"Vormittag")=1,COUNTIFS($P$6:$P$605,P405,$H$6:$H$605,"Nachmittag")=1))),"Doppelbuchung",IF(AND(COUNTIF($R$6:$R$605,R405)&gt;1,NOT(AND(COUNTIF($R$6:$R$605,R405)=2,COUNTIFS($R$6:$R$605,R405,$H$6:$H$605,"Vormittag")=1,COUNTIFS($R$6:$R$605,R405,$H$6:$H$605,"Nachmittag")=1))),"Person doppelt","OK"))))))))</f>
        <v/>
      </c>
      <c r="O405" s="55">
        <f t="shared" si="45"/>
        <v>0</v>
      </c>
      <c r="P405" s="55" t="str">
        <f t="shared" si="46"/>
        <v/>
      </c>
      <c r="Q405" s="55" t="str">
        <f>IF(P405="","",P405&amp;"|"&amp;COUNTIF(P$6:P405,P405))</f>
        <v/>
      </c>
      <c r="R405" s="55" t="str">
        <f t="shared" si="47"/>
        <v/>
      </c>
      <c r="S405" s="55" t="str">
        <f>IF(R405="","",R405&amp;"|"&amp;COUNTIF(R$6:R405,R405))</f>
        <v/>
      </c>
      <c r="T405" s="55" t="str">
        <f>IF(G405="","",IFERROR(INDEX(Stammdaten!$O$10:$O$69,MATCH(G405,Stammdaten!$N$10:$N$69,0)),G405)&amp;IF(H405="Vormittag"," (VM)",IF(H405="Nachmittag"," (NM)",""))&amp;IF(I405="Angefragt"," ?",""))</f>
        <v/>
      </c>
      <c r="U405" s="55" t="str">
        <f t="shared" si="48"/>
        <v/>
      </c>
    </row>
    <row r="406" spans="2:21" ht="16.5" customHeight="1" x14ac:dyDescent="0.25">
      <c r="B406" s="47" t="str">
        <f t="shared" si="42"/>
        <v/>
      </c>
      <c r="C406" s="48"/>
      <c r="D406" s="49" t="str">
        <f t="shared" si="43"/>
        <v/>
      </c>
      <c r="E406" s="50" t="str">
        <f t="shared" si="44"/>
        <v/>
      </c>
      <c r="F406" s="51"/>
      <c r="G406" s="52"/>
      <c r="H406" s="51"/>
      <c r="I406" s="51"/>
      <c r="J406" s="52"/>
      <c r="K406" s="53" t="str">
        <f>IF(G406="","",IFERROR(INDEX(Stammdaten!$P$10:$P$69,MATCH(G406,Stammdaten!$N$10:$N$69,0)),"–"))</f>
        <v/>
      </c>
      <c r="L406" s="53" t="str">
        <f>IF(F406="","",IFERROR(INDEX(Stammdaten!$D$10:$D$49,MATCH(F406,Stammdaten!$B$10:$B$49,0)),"–"))</f>
        <v/>
      </c>
      <c r="M406" s="54" t="str">
        <f>IF(C406="","",IF(OR(F406="",G406="",I406=""),"unvollständig",IF(I406="Storniert","storniert",IF(WEEKDAY(C406,2)&gt;5,"Wochenende",IF(COUNTIF(Stammdaten!$AD$10:$AD$30,C406)&gt;0,"Feiertag",IF(IFERROR(INDEX(Stammdaten!$I$10:$I$49,MATCH(F406,Stammdaten!$B$10:$B$49,0)),"")="Gesperrt","Platz gesperrt",IF(AND(COUNTIF($P$6:$P$605,P406)&gt;1,NOT(AND(COUNTIF($P$6:$P$605,P406)=2,COUNTIFS($P$6:$P$605,P406,$H$6:$H$605,"Vormittag")=1,COUNTIFS($P$6:$P$605,P406,$H$6:$H$605,"Nachmittag")=1))),"Doppelbuchung",IF(AND(COUNTIF($R$6:$R$605,R406)&gt;1,NOT(AND(COUNTIF($R$6:$R$605,R406)=2,COUNTIFS($R$6:$R$605,R406,$H$6:$H$605,"Vormittag")=1,COUNTIFS($R$6:$R$605,R406,$H$6:$H$605,"Nachmittag")=1))),"Person doppelt","OK"))))))))</f>
        <v/>
      </c>
      <c r="O406" s="55">
        <f t="shared" si="45"/>
        <v>0</v>
      </c>
      <c r="P406" s="55" t="str">
        <f t="shared" si="46"/>
        <v/>
      </c>
      <c r="Q406" s="55" t="str">
        <f>IF(P406="","",P406&amp;"|"&amp;COUNTIF(P$6:P406,P406))</f>
        <v/>
      </c>
      <c r="R406" s="55" t="str">
        <f t="shared" si="47"/>
        <v/>
      </c>
      <c r="S406" s="55" t="str">
        <f>IF(R406="","",R406&amp;"|"&amp;COUNTIF(R$6:R406,R406))</f>
        <v/>
      </c>
      <c r="T406" s="55" t="str">
        <f>IF(G406="","",IFERROR(INDEX(Stammdaten!$O$10:$O$69,MATCH(G406,Stammdaten!$N$10:$N$69,0)),G406)&amp;IF(H406="Vormittag"," (VM)",IF(H406="Nachmittag"," (NM)",""))&amp;IF(I406="Angefragt"," ?",""))</f>
        <v/>
      </c>
      <c r="U406" s="55" t="str">
        <f t="shared" si="48"/>
        <v/>
      </c>
    </row>
    <row r="407" spans="2:21" ht="16.5" customHeight="1" x14ac:dyDescent="0.25">
      <c r="B407" s="47" t="str">
        <f t="shared" si="42"/>
        <v/>
      </c>
      <c r="C407" s="48"/>
      <c r="D407" s="49" t="str">
        <f t="shared" si="43"/>
        <v/>
      </c>
      <c r="E407" s="50" t="str">
        <f t="shared" si="44"/>
        <v/>
      </c>
      <c r="F407" s="51"/>
      <c r="G407" s="52"/>
      <c r="H407" s="51"/>
      <c r="I407" s="51"/>
      <c r="J407" s="52"/>
      <c r="K407" s="53" t="str">
        <f>IF(G407="","",IFERROR(INDEX(Stammdaten!$P$10:$P$69,MATCH(G407,Stammdaten!$N$10:$N$69,0)),"–"))</f>
        <v/>
      </c>
      <c r="L407" s="53" t="str">
        <f>IF(F407="","",IFERROR(INDEX(Stammdaten!$D$10:$D$49,MATCH(F407,Stammdaten!$B$10:$B$49,0)),"–"))</f>
        <v/>
      </c>
      <c r="M407" s="54" t="str">
        <f>IF(C407="","",IF(OR(F407="",G407="",I407=""),"unvollständig",IF(I407="Storniert","storniert",IF(WEEKDAY(C407,2)&gt;5,"Wochenende",IF(COUNTIF(Stammdaten!$AD$10:$AD$30,C407)&gt;0,"Feiertag",IF(IFERROR(INDEX(Stammdaten!$I$10:$I$49,MATCH(F407,Stammdaten!$B$10:$B$49,0)),"")="Gesperrt","Platz gesperrt",IF(AND(COUNTIF($P$6:$P$605,P407)&gt;1,NOT(AND(COUNTIF($P$6:$P$605,P407)=2,COUNTIFS($P$6:$P$605,P407,$H$6:$H$605,"Vormittag")=1,COUNTIFS($P$6:$P$605,P407,$H$6:$H$605,"Nachmittag")=1))),"Doppelbuchung",IF(AND(COUNTIF($R$6:$R$605,R407)&gt;1,NOT(AND(COUNTIF($R$6:$R$605,R407)=2,COUNTIFS($R$6:$R$605,R407,$H$6:$H$605,"Vormittag")=1,COUNTIFS($R$6:$R$605,R407,$H$6:$H$605,"Nachmittag")=1))),"Person doppelt","OK"))))))))</f>
        <v/>
      </c>
      <c r="O407" s="55">
        <f t="shared" si="45"/>
        <v>0</v>
      </c>
      <c r="P407" s="55" t="str">
        <f t="shared" si="46"/>
        <v/>
      </c>
      <c r="Q407" s="55" t="str">
        <f>IF(P407="","",P407&amp;"|"&amp;COUNTIF(P$6:P407,P407))</f>
        <v/>
      </c>
      <c r="R407" s="55" t="str">
        <f t="shared" si="47"/>
        <v/>
      </c>
      <c r="S407" s="55" t="str">
        <f>IF(R407="","",R407&amp;"|"&amp;COUNTIF(R$6:R407,R407))</f>
        <v/>
      </c>
      <c r="T407" s="55" t="str">
        <f>IF(G407="","",IFERROR(INDEX(Stammdaten!$O$10:$O$69,MATCH(G407,Stammdaten!$N$10:$N$69,0)),G407)&amp;IF(H407="Vormittag"," (VM)",IF(H407="Nachmittag"," (NM)",""))&amp;IF(I407="Angefragt"," ?",""))</f>
        <v/>
      </c>
      <c r="U407" s="55" t="str">
        <f t="shared" si="48"/>
        <v/>
      </c>
    </row>
    <row r="408" spans="2:21" ht="16.5" customHeight="1" x14ac:dyDescent="0.25">
      <c r="B408" s="47" t="str">
        <f t="shared" si="42"/>
        <v/>
      </c>
      <c r="C408" s="48"/>
      <c r="D408" s="49" t="str">
        <f t="shared" si="43"/>
        <v/>
      </c>
      <c r="E408" s="50" t="str">
        <f t="shared" si="44"/>
        <v/>
      </c>
      <c r="F408" s="51"/>
      <c r="G408" s="52"/>
      <c r="H408" s="51"/>
      <c r="I408" s="51"/>
      <c r="J408" s="52"/>
      <c r="K408" s="53" t="str">
        <f>IF(G408="","",IFERROR(INDEX(Stammdaten!$P$10:$P$69,MATCH(G408,Stammdaten!$N$10:$N$69,0)),"–"))</f>
        <v/>
      </c>
      <c r="L408" s="53" t="str">
        <f>IF(F408="","",IFERROR(INDEX(Stammdaten!$D$10:$D$49,MATCH(F408,Stammdaten!$B$10:$B$49,0)),"–"))</f>
        <v/>
      </c>
      <c r="M408" s="54" t="str">
        <f>IF(C408="","",IF(OR(F408="",G408="",I408=""),"unvollständig",IF(I408="Storniert","storniert",IF(WEEKDAY(C408,2)&gt;5,"Wochenende",IF(COUNTIF(Stammdaten!$AD$10:$AD$30,C408)&gt;0,"Feiertag",IF(IFERROR(INDEX(Stammdaten!$I$10:$I$49,MATCH(F408,Stammdaten!$B$10:$B$49,0)),"")="Gesperrt","Platz gesperrt",IF(AND(COUNTIF($P$6:$P$605,P408)&gt;1,NOT(AND(COUNTIF($P$6:$P$605,P408)=2,COUNTIFS($P$6:$P$605,P408,$H$6:$H$605,"Vormittag")=1,COUNTIFS($P$6:$P$605,P408,$H$6:$H$605,"Nachmittag")=1))),"Doppelbuchung",IF(AND(COUNTIF($R$6:$R$605,R408)&gt;1,NOT(AND(COUNTIF($R$6:$R$605,R408)=2,COUNTIFS($R$6:$R$605,R408,$H$6:$H$605,"Vormittag")=1,COUNTIFS($R$6:$R$605,R408,$H$6:$H$605,"Nachmittag")=1))),"Person doppelt","OK"))))))))</f>
        <v/>
      </c>
      <c r="O408" s="55">
        <f t="shared" si="45"/>
        <v>0</v>
      </c>
      <c r="P408" s="55" t="str">
        <f t="shared" si="46"/>
        <v/>
      </c>
      <c r="Q408" s="55" t="str">
        <f>IF(P408="","",P408&amp;"|"&amp;COUNTIF(P$6:P408,P408))</f>
        <v/>
      </c>
      <c r="R408" s="55" t="str">
        <f t="shared" si="47"/>
        <v/>
      </c>
      <c r="S408" s="55" t="str">
        <f>IF(R408="","",R408&amp;"|"&amp;COUNTIF(R$6:R408,R408))</f>
        <v/>
      </c>
      <c r="T408" s="55" t="str">
        <f>IF(G408="","",IFERROR(INDEX(Stammdaten!$O$10:$O$69,MATCH(G408,Stammdaten!$N$10:$N$69,0)),G408)&amp;IF(H408="Vormittag"," (VM)",IF(H408="Nachmittag"," (NM)",""))&amp;IF(I408="Angefragt"," ?",""))</f>
        <v/>
      </c>
      <c r="U408" s="55" t="str">
        <f t="shared" si="48"/>
        <v/>
      </c>
    </row>
    <row r="409" spans="2:21" ht="16.5" customHeight="1" x14ac:dyDescent="0.25">
      <c r="B409" s="47" t="str">
        <f t="shared" si="42"/>
        <v/>
      </c>
      <c r="C409" s="48"/>
      <c r="D409" s="49" t="str">
        <f t="shared" si="43"/>
        <v/>
      </c>
      <c r="E409" s="50" t="str">
        <f t="shared" si="44"/>
        <v/>
      </c>
      <c r="F409" s="51"/>
      <c r="G409" s="52"/>
      <c r="H409" s="51"/>
      <c r="I409" s="51"/>
      <c r="J409" s="52"/>
      <c r="K409" s="53" t="str">
        <f>IF(G409="","",IFERROR(INDEX(Stammdaten!$P$10:$P$69,MATCH(G409,Stammdaten!$N$10:$N$69,0)),"–"))</f>
        <v/>
      </c>
      <c r="L409" s="53" t="str">
        <f>IF(F409="","",IFERROR(INDEX(Stammdaten!$D$10:$D$49,MATCH(F409,Stammdaten!$B$10:$B$49,0)),"–"))</f>
        <v/>
      </c>
      <c r="M409" s="54" t="str">
        <f>IF(C409="","",IF(OR(F409="",G409="",I409=""),"unvollständig",IF(I409="Storniert","storniert",IF(WEEKDAY(C409,2)&gt;5,"Wochenende",IF(COUNTIF(Stammdaten!$AD$10:$AD$30,C409)&gt;0,"Feiertag",IF(IFERROR(INDEX(Stammdaten!$I$10:$I$49,MATCH(F409,Stammdaten!$B$10:$B$49,0)),"")="Gesperrt","Platz gesperrt",IF(AND(COUNTIF($P$6:$P$605,P409)&gt;1,NOT(AND(COUNTIF($P$6:$P$605,P409)=2,COUNTIFS($P$6:$P$605,P409,$H$6:$H$605,"Vormittag")=1,COUNTIFS($P$6:$P$605,P409,$H$6:$H$605,"Nachmittag")=1))),"Doppelbuchung",IF(AND(COUNTIF($R$6:$R$605,R409)&gt;1,NOT(AND(COUNTIF($R$6:$R$605,R409)=2,COUNTIFS($R$6:$R$605,R409,$H$6:$H$605,"Vormittag")=1,COUNTIFS($R$6:$R$605,R409,$H$6:$H$605,"Nachmittag")=1))),"Person doppelt","OK"))))))))</f>
        <v/>
      </c>
      <c r="O409" s="55">
        <f t="shared" si="45"/>
        <v>0</v>
      </c>
      <c r="P409" s="55" t="str">
        <f t="shared" si="46"/>
        <v/>
      </c>
      <c r="Q409" s="55" t="str">
        <f>IF(P409="","",P409&amp;"|"&amp;COUNTIF(P$6:P409,P409))</f>
        <v/>
      </c>
      <c r="R409" s="55" t="str">
        <f t="shared" si="47"/>
        <v/>
      </c>
      <c r="S409" s="55" t="str">
        <f>IF(R409="","",R409&amp;"|"&amp;COUNTIF(R$6:R409,R409))</f>
        <v/>
      </c>
      <c r="T409" s="55" t="str">
        <f>IF(G409="","",IFERROR(INDEX(Stammdaten!$O$10:$O$69,MATCH(G409,Stammdaten!$N$10:$N$69,0)),G409)&amp;IF(H409="Vormittag"," (VM)",IF(H409="Nachmittag"," (NM)",""))&amp;IF(I409="Angefragt"," ?",""))</f>
        <v/>
      </c>
      <c r="U409" s="55" t="str">
        <f t="shared" si="48"/>
        <v/>
      </c>
    </row>
    <row r="410" spans="2:21" ht="16.5" customHeight="1" x14ac:dyDescent="0.25">
      <c r="B410" s="47" t="str">
        <f t="shared" si="42"/>
        <v/>
      </c>
      <c r="C410" s="48"/>
      <c r="D410" s="49" t="str">
        <f t="shared" si="43"/>
        <v/>
      </c>
      <c r="E410" s="50" t="str">
        <f t="shared" si="44"/>
        <v/>
      </c>
      <c r="F410" s="51"/>
      <c r="G410" s="52"/>
      <c r="H410" s="51"/>
      <c r="I410" s="51"/>
      <c r="J410" s="52"/>
      <c r="K410" s="53" t="str">
        <f>IF(G410="","",IFERROR(INDEX(Stammdaten!$P$10:$P$69,MATCH(G410,Stammdaten!$N$10:$N$69,0)),"–"))</f>
        <v/>
      </c>
      <c r="L410" s="53" t="str">
        <f>IF(F410="","",IFERROR(INDEX(Stammdaten!$D$10:$D$49,MATCH(F410,Stammdaten!$B$10:$B$49,0)),"–"))</f>
        <v/>
      </c>
      <c r="M410" s="54" t="str">
        <f>IF(C410="","",IF(OR(F410="",G410="",I410=""),"unvollständig",IF(I410="Storniert","storniert",IF(WEEKDAY(C410,2)&gt;5,"Wochenende",IF(COUNTIF(Stammdaten!$AD$10:$AD$30,C410)&gt;0,"Feiertag",IF(IFERROR(INDEX(Stammdaten!$I$10:$I$49,MATCH(F410,Stammdaten!$B$10:$B$49,0)),"")="Gesperrt","Platz gesperrt",IF(AND(COUNTIF($P$6:$P$605,P410)&gt;1,NOT(AND(COUNTIF($P$6:$P$605,P410)=2,COUNTIFS($P$6:$P$605,P410,$H$6:$H$605,"Vormittag")=1,COUNTIFS($P$6:$P$605,P410,$H$6:$H$605,"Nachmittag")=1))),"Doppelbuchung",IF(AND(COUNTIF($R$6:$R$605,R410)&gt;1,NOT(AND(COUNTIF($R$6:$R$605,R410)=2,COUNTIFS($R$6:$R$605,R410,$H$6:$H$605,"Vormittag")=1,COUNTIFS($R$6:$R$605,R410,$H$6:$H$605,"Nachmittag")=1))),"Person doppelt","OK"))))))))</f>
        <v/>
      </c>
      <c r="O410" s="55">
        <f t="shared" si="45"/>
        <v>0</v>
      </c>
      <c r="P410" s="55" t="str">
        <f t="shared" si="46"/>
        <v/>
      </c>
      <c r="Q410" s="55" t="str">
        <f>IF(P410="","",P410&amp;"|"&amp;COUNTIF(P$6:P410,P410))</f>
        <v/>
      </c>
      <c r="R410" s="55" t="str">
        <f t="shared" si="47"/>
        <v/>
      </c>
      <c r="S410" s="55" t="str">
        <f>IF(R410="","",R410&amp;"|"&amp;COUNTIF(R$6:R410,R410))</f>
        <v/>
      </c>
      <c r="T410" s="55" t="str">
        <f>IF(G410="","",IFERROR(INDEX(Stammdaten!$O$10:$O$69,MATCH(G410,Stammdaten!$N$10:$N$69,0)),G410)&amp;IF(H410="Vormittag"," (VM)",IF(H410="Nachmittag"," (NM)",""))&amp;IF(I410="Angefragt"," ?",""))</f>
        <v/>
      </c>
      <c r="U410" s="55" t="str">
        <f t="shared" si="48"/>
        <v/>
      </c>
    </row>
    <row r="411" spans="2:21" ht="16.5" customHeight="1" x14ac:dyDescent="0.25">
      <c r="B411" s="47" t="str">
        <f t="shared" si="42"/>
        <v/>
      </c>
      <c r="C411" s="48"/>
      <c r="D411" s="49" t="str">
        <f t="shared" si="43"/>
        <v/>
      </c>
      <c r="E411" s="50" t="str">
        <f t="shared" si="44"/>
        <v/>
      </c>
      <c r="F411" s="51"/>
      <c r="G411" s="52"/>
      <c r="H411" s="51"/>
      <c r="I411" s="51"/>
      <c r="J411" s="52"/>
      <c r="K411" s="53" t="str">
        <f>IF(G411="","",IFERROR(INDEX(Stammdaten!$P$10:$P$69,MATCH(G411,Stammdaten!$N$10:$N$69,0)),"–"))</f>
        <v/>
      </c>
      <c r="L411" s="53" t="str">
        <f>IF(F411="","",IFERROR(INDEX(Stammdaten!$D$10:$D$49,MATCH(F411,Stammdaten!$B$10:$B$49,0)),"–"))</f>
        <v/>
      </c>
      <c r="M411" s="54" t="str">
        <f>IF(C411="","",IF(OR(F411="",G411="",I411=""),"unvollständig",IF(I411="Storniert","storniert",IF(WEEKDAY(C411,2)&gt;5,"Wochenende",IF(COUNTIF(Stammdaten!$AD$10:$AD$30,C411)&gt;0,"Feiertag",IF(IFERROR(INDEX(Stammdaten!$I$10:$I$49,MATCH(F411,Stammdaten!$B$10:$B$49,0)),"")="Gesperrt","Platz gesperrt",IF(AND(COUNTIF($P$6:$P$605,P411)&gt;1,NOT(AND(COUNTIF($P$6:$P$605,P411)=2,COUNTIFS($P$6:$P$605,P411,$H$6:$H$605,"Vormittag")=1,COUNTIFS($P$6:$P$605,P411,$H$6:$H$605,"Nachmittag")=1))),"Doppelbuchung",IF(AND(COUNTIF($R$6:$R$605,R411)&gt;1,NOT(AND(COUNTIF($R$6:$R$605,R411)=2,COUNTIFS($R$6:$R$605,R411,$H$6:$H$605,"Vormittag")=1,COUNTIFS($R$6:$R$605,R411,$H$6:$H$605,"Nachmittag")=1))),"Person doppelt","OK"))))))))</f>
        <v/>
      </c>
      <c r="O411" s="55">
        <f t="shared" si="45"/>
        <v>0</v>
      </c>
      <c r="P411" s="55" t="str">
        <f t="shared" si="46"/>
        <v/>
      </c>
      <c r="Q411" s="55" t="str">
        <f>IF(P411="","",P411&amp;"|"&amp;COUNTIF(P$6:P411,P411))</f>
        <v/>
      </c>
      <c r="R411" s="55" t="str">
        <f t="shared" si="47"/>
        <v/>
      </c>
      <c r="S411" s="55" t="str">
        <f>IF(R411="","",R411&amp;"|"&amp;COUNTIF(R$6:R411,R411))</f>
        <v/>
      </c>
      <c r="T411" s="55" t="str">
        <f>IF(G411="","",IFERROR(INDEX(Stammdaten!$O$10:$O$69,MATCH(G411,Stammdaten!$N$10:$N$69,0)),G411)&amp;IF(H411="Vormittag"," (VM)",IF(H411="Nachmittag"," (NM)",""))&amp;IF(I411="Angefragt"," ?",""))</f>
        <v/>
      </c>
      <c r="U411" s="55" t="str">
        <f t="shared" si="48"/>
        <v/>
      </c>
    </row>
    <row r="412" spans="2:21" ht="16.5" customHeight="1" x14ac:dyDescent="0.25">
      <c r="B412" s="47" t="str">
        <f t="shared" si="42"/>
        <v/>
      </c>
      <c r="C412" s="48"/>
      <c r="D412" s="49" t="str">
        <f t="shared" si="43"/>
        <v/>
      </c>
      <c r="E412" s="50" t="str">
        <f t="shared" si="44"/>
        <v/>
      </c>
      <c r="F412" s="51"/>
      <c r="G412" s="52"/>
      <c r="H412" s="51"/>
      <c r="I412" s="51"/>
      <c r="J412" s="52"/>
      <c r="K412" s="53" t="str">
        <f>IF(G412="","",IFERROR(INDEX(Stammdaten!$P$10:$P$69,MATCH(G412,Stammdaten!$N$10:$N$69,0)),"–"))</f>
        <v/>
      </c>
      <c r="L412" s="53" t="str">
        <f>IF(F412="","",IFERROR(INDEX(Stammdaten!$D$10:$D$49,MATCH(F412,Stammdaten!$B$10:$B$49,0)),"–"))</f>
        <v/>
      </c>
      <c r="M412" s="54" t="str">
        <f>IF(C412="","",IF(OR(F412="",G412="",I412=""),"unvollständig",IF(I412="Storniert","storniert",IF(WEEKDAY(C412,2)&gt;5,"Wochenende",IF(COUNTIF(Stammdaten!$AD$10:$AD$30,C412)&gt;0,"Feiertag",IF(IFERROR(INDEX(Stammdaten!$I$10:$I$49,MATCH(F412,Stammdaten!$B$10:$B$49,0)),"")="Gesperrt","Platz gesperrt",IF(AND(COUNTIF($P$6:$P$605,P412)&gt;1,NOT(AND(COUNTIF($P$6:$P$605,P412)=2,COUNTIFS($P$6:$P$605,P412,$H$6:$H$605,"Vormittag")=1,COUNTIFS($P$6:$P$605,P412,$H$6:$H$605,"Nachmittag")=1))),"Doppelbuchung",IF(AND(COUNTIF($R$6:$R$605,R412)&gt;1,NOT(AND(COUNTIF($R$6:$R$605,R412)=2,COUNTIFS($R$6:$R$605,R412,$H$6:$H$605,"Vormittag")=1,COUNTIFS($R$6:$R$605,R412,$H$6:$H$605,"Nachmittag")=1))),"Person doppelt","OK"))))))))</f>
        <v/>
      </c>
      <c r="O412" s="55">
        <f t="shared" si="45"/>
        <v>0</v>
      </c>
      <c r="P412" s="55" t="str">
        <f t="shared" si="46"/>
        <v/>
      </c>
      <c r="Q412" s="55" t="str">
        <f>IF(P412="","",P412&amp;"|"&amp;COUNTIF(P$6:P412,P412))</f>
        <v/>
      </c>
      <c r="R412" s="55" t="str">
        <f t="shared" si="47"/>
        <v/>
      </c>
      <c r="S412" s="55" t="str">
        <f>IF(R412="","",R412&amp;"|"&amp;COUNTIF(R$6:R412,R412))</f>
        <v/>
      </c>
      <c r="T412" s="55" t="str">
        <f>IF(G412="","",IFERROR(INDEX(Stammdaten!$O$10:$O$69,MATCH(G412,Stammdaten!$N$10:$N$69,0)),G412)&amp;IF(H412="Vormittag"," (VM)",IF(H412="Nachmittag"," (NM)",""))&amp;IF(I412="Angefragt"," ?",""))</f>
        <v/>
      </c>
      <c r="U412" s="55" t="str">
        <f t="shared" si="48"/>
        <v/>
      </c>
    </row>
    <row r="413" spans="2:21" ht="16.5" customHeight="1" x14ac:dyDescent="0.25">
      <c r="B413" s="47" t="str">
        <f t="shared" si="42"/>
        <v/>
      </c>
      <c r="C413" s="48"/>
      <c r="D413" s="49" t="str">
        <f t="shared" si="43"/>
        <v/>
      </c>
      <c r="E413" s="50" t="str">
        <f t="shared" si="44"/>
        <v/>
      </c>
      <c r="F413" s="51"/>
      <c r="G413" s="52"/>
      <c r="H413" s="51"/>
      <c r="I413" s="51"/>
      <c r="J413" s="52"/>
      <c r="K413" s="53" t="str">
        <f>IF(G413="","",IFERROR(INDEX(Stammdaten!$P$10:$P$69,MATCH(G413,Stammdaten!$N$10:$N$69,0)),"–"))</f>
        <v/>
      </c>
      <c r="L413" s="53" t="str">
        <f>IF(F413="","",IFERROR(INDEX(Stammdaten!$D$10:$D$49,MATCH(F413,Stammdaten!$B$10:$B$49,0)),"–"))</f>
        <v/>
      </c>
      <c r="M413" s="54" t="str">
        <f>IF(C413="","",IF(OR(F413="",G413="",I413=""),"unvollständig",IF(I413="Storniert","storniert",IF(WEEKDAY(C413,2)&gt;5,"Wochenende",IF(COUNTIF(Stammdaten!$AD$10:$AD$30,C413)&gt;0,"Feiertag",IF(IFERROR(INDEX(Stammdaten!$I$10:$I$49,MATCH(F413,Stammdaten!$B$10:$B$49,0)),"")="Gesperrt","Platz gesperrt",IF(AND(COUNTIF($P$6:$P$605,P413)&gt;1,NOT(AND(COUNTIF($P$6:$P$605,P413)=2,COUNTIFS($P$6:$P$605,P413,$H$6:$H$605,"Vormittag")=1,COUNTIFS($P$6:$P$605,P413,$H$6:$H$605,"Nachmittag")=1))),"Doppelbuchung",IF(AND(COUNTIF($R$6:$R$605,R413)&gt;1,NOT(AND(COUNTIF($R$6:$R$605,R413)=2,COUNTIFS($R$6:$R$605,R413,$H$6:$H$605,"Vormittag")=1,COUNTIFS($R$6:$R$605,R413,$H$6:$H$605,"Nachmittag")=1))),"Person doppelt","OK"))))))))</f>
        <v/>
      </c>
      <c r="O413" s="55">
        <f t="shared" si="45"/>
        <v>0</v>
      </c>
      <c r="P413" s="55" t="str">
        <f t="shared" si="46"/>
        <v/>
      </c>
      <c r="Q413" s="55" t="str">
        <f>IF(P413="","",P413&amp;"|"&amp;COUNTIF(P$6:P413,P413))</f>
        <v/>
      </c>
      <c r="R413" s="55" t="str">
        <f t="shared" si="47"/>
        <v/>
      </c>
      <c r="S413" s="55" t="str">
        <f>IF(R413="","",R413&amp;"|"&amp;COUNTIF(R$6:R413,R413))</f>
        <v/>
      </c>
      <c r="T413" s="55" t="str">
        <f>IF(G413="","",IFERROR(INDEX(Stammdaten!$O$10:$O$69,MATCH(G413,Stammdaten!$N$10:$N$69,0)),G413)&amp;IF(H413="Vormittag"," (VM)",IF(H413="Nachmittag"," (NM)",""))&amp;IF(I413="Angefragt"," ?",""))</f>
        <v/>
      </c>
      <c r="U413" s="55" t="str">
        <f t="shared" si="48"/>
        <v/>
      </c>
    </row>
    <row r="414" spans="2:21" ht="16.5" customHeight="1" x14ac:dyDescent="0.25">
      <c r="B414" s="47" t="str">
        <f t="shared" si="42"/>
        <v/>
      </c>
      <c r="C414" s="48"/>
      <c r="D414" s="49" t="str">
        <f t="shared" si="43"/>
        <v/>
      </c>
      <c r="E414" s="50" t="str">
        <f t="shared" si="44"/>
        <v/>
      </c>
      <c r="F414" s="51"/>
      <c r="G414" s="52"/>
      <c r="H414" s="51"/>
      <c r="I414" s="51"/>
      <c r="J414" s="52"/>
      <c r="K414" s="53" t="str">
        <f>IF(G414="","",IFERROR(INDEX(Stammdaten!$P$10:$P$69,MATCH(G414,Stammdaten!$N$10:$N$69,0)),"–"))</f>
        <v/>
      </c>
      <c r="L414" s="53" t="str">
        <f>IF(F414="","",IFERROR(INDEX(Stammdaten!$D$10:$D$49,MATCH(F414,Stammdaten!$B$10:$B$49,0)),"–"))</f>
        <v/>
      </c>
      <c r="M414" s="54" t="str">
        <f>IF(C414="","",IF(OR(F414="",G414="",I414=""),"unvollständig",IF(I414="Storniert","storniert",IF(WEEKDAY(C414,2)&gt;5,"Wochenende",IF(COUNTIF(Stammdaten!$AD$10:$AD$30,C414)&gt;0,"Feiertag",IF(IFERROR(INDEX(Stammdaten!$I$10:$I$49,MATCH(F414,Stammdaten!$B$10:$B$49,0)),"")="Gesperrt","Platz gesperrt",IF(AND(COUNTIF($P$6:$P$605,P414)&gt;1,NOT(AND(COUNTIF($P$6:$P$605,P414)=2,COUNTIFS($P$6:$P$605,P414,$H$6:$H$605,"Vormittag")=1,COUNTIFS($P$6:$P$605,P414,$H$6:$H$605,"Nachmittag")=1))),"Doppelbuchung",IF(AND(COUNTIF($R$6:$R$605,R414)&gt;1,NOT(AND(COUNTIF($R$6:$R$605,R414)=2,COUNTIFS($R$6:$R$605,R414,$H$6:$H$605,"Vormittag")=1,COUNTIFS($R$6:$R$605,R414,$H$6:$H$605,"Nachmittag")=1))),"Person doppelt","OK"))))))))</f>
        <v/>
      </c>
      <c r="O414" s="55">
        <f t="shared" si="45"/>
        <v>0</v>
      </c>
      <c r="P414" s="55" t="str">
        <f t="shared" si="46"/>
        <v/>
      </c>
      <c r="Q414" s="55" t="str">
        <f>IF(P414="","",P414&amp;"|"&amp;COUNTIF(P$6:P414,P414))</f>
        <v/>
      </c>
      <c r="R414" s="55" t="str">
        <f t="shared" si="47"/>
        <v/>
      </c>
      <c r="S414" s="55" t="str">
        <f>IF(R414="","",R414&amp;"|"&amp;COUNTIF(R$6:R414,R414))</f>
        <v/>
      </c>
      <c r="T414" s="55" t="str">
        <f>IF(G414="","",IFERROR(INDEX(Stammdaten!$O$10:$O$69,MATCH(G414,Stammdaten!$N$10:$N$69,0)),G414)&amp;IF(H414="Vormittag"," (VM)",IF(H414="Nachmittag"," (NM)",""))&amp;IF(I414="Angefragt"," ?",""))</f>
        <v/>
      </c>
      <c r="U414" s="55" t="str">
        <f t="shared" si="48"/>
        <v/>
      </c>
    </row>
    <row r="415" spans="2:21" ht="16.5" customHeight="1" x14ac:dyDescent="0.25">
      <c r="B415" s="47" t="str">
        <f t="shared" si="42"/>
        <v/>
      </c>
      <c r="C415" s="48"/>
      <c r="D415" s="49" t="str">
        <f t="shared" si="43"/>
        <v/>
      </c>
      <c r="E415" s="50" t="str">
        <f t="shared" si="44"/>
        <v/>
      </c>
      <c r="F415" s="51"/>
      <c r="G415" s="52"/>
      <c r="H415" s="51"/>
      <c r="I415" s="51"/>
      <c r="J415" s="52"/>
      <c r="K415" s="53" t="str">
        <f>IF(G415="","",IFERROR(INDEX(Stammdaten!$P$10:$P$69,MATCH(G415,Stammdaten!$N$10:$N$69,0)),"–"))</f>
        <v/>
      </c>
      <c r="L415" s="53" t="str">
        <f>IF(F415="","",IFERROR(INDEX(Stammdaten!$D$10:$D$49,MATCH(F415,Stammdaten!$B$10:$B$49,0)),"–"))</f>
        <v/>
      </c>
      <c r="M415" s="54" t="str">
        <f>IF(C415="","",IF(OR(F415="",G415="",I415=""),"unvollständig",IF(I415="Storniert","storniert",IF(WEEKDAY(C415,2)&gt;5,"Wochenende",IF(COUNTIF(Stammdaten!$AD$10:$AD$30,C415)&gt;0,"Feiertag",IF(IFERROR(INDEX(Stammdaten!$I$10:$I$49,MATCH(F415,Stammdaten!$B$10:$B$49,0)),"")="Gesperrt","Platz gesperrt",IF(AND(COUNTIF($P$6:$P$605,P415)&gt;1,NOT(AND(COUNTIF($P$6:$P$605,P415)=2,COUNTIFS($P$6:$P$605,P415,$H$6:$H$605,"Vormittag")=1,COUNTIFS($P$6:$P$605,P415,$H$6:$H$605,"Nachmittag")=1))),"Doppelbuchung",IF(AND(COUNTIF($R$6:$R$605,R415)&gt;1,NOT(AND(COUNTIF($R$6:$R$605,R415)=2,COUNTIFS($R$6:$R$605,R415,$H$6:$H$605,"Vormittag")=1,COUNTIFS($R$6:$R$605,R415,$H$6:$H$605,"Nachmittag")=1))),"Person doppelt","OK"))))))))</f>
        <v/>
      </c>
      <c r="O415" s="55">
        <f t="shared" si="45"/>
        <v>0</v>
      </c>
      <c r="P415" s="55" t="str">
        <f t="shared" si="46"/>
        <v/>
      </c>
      <c r="Q415" s="55" t="str">
        <f>IF(P415="","",P415&amp;"|"&amp;COUNTIF(P$6:P415,P415))</f>
        <v/>
      </c>
      <c r="R415" s="55" t="str">
        <f t="shared" si="47"/>
        <v/>
      </c>
      <c r="S415" s="55" t="str">
        <f>IF(R415="","",R415&amp;"|"&amp;COUNTIF(R$6:R415,R415))</f>
        <v/>
      </c>
      <c r="T415" s="55" t="str">
        <f>IF(G415="","",IFERROR(INDEX(Stammdaten!$O$10:$O$69,MATCH(G415,Stammdaten!$N$10:$N$69,0)),G415)&amp;IF(H415="Vormittag"," (VM)",IF(H415="Nachmittag"," (NM)",""))&amp;IF(I415="Angefragt"," ?",""))</f>
        <v/>
      </c>
      <c r="U415" s="55" t="str">
        <f t="shared" si="48"/>
        <v/>
      </c>
    </row>
    <row r="416" spans="2:21" ht="16.5" customHeight="1" x14ac:dyDescent="0.25">
      <c r="B416" s="47" t="str">
        <f t="shared" si="42"/>
        <v/>
      </c>
      <c r="C416" s="48"/>
      <c r="D416" s="49" t="str">
        <f t="shared" si="43"/>
        <v/>
      </c>
      <c r="E416" s="50" t="str">
        <f t="shared" si="44"/>
        <v/>
      </c>
      <c r="F416" s="51"/>
      <c r="G416" s="52"/>
      <c r="H416" s="51"/>
      <c r="I416" s="51"/>
      <c r="J416" s="52"/>
      <c r="K416" s="53" t="str">
        <f>IF(G416="","",IFERROR(INDEX(Stammdaten!$P$10:$P$69,MATCH(G416,Stammdaten!$N$10:$N$69,0)),"–"))</f>
        <v/>
      </c>
      <c r="L416" s="53" t="str">
        <f>IF(F416="","",IFERROR(INDEX(Stammdaten!$D$10:$D$49,MATCH(F416,Stammdaten!$B$10:$B$49,0)),"–"))</f>
        <v/>
      </c>
      <c r="M416" s="54" t="str">
        <f>IF(C416="","",IF(OR(F416="",G416="",I416=""),"unvollständig",IF(I416="Storniert","storniert",IF(WEEKDAY(C416,2)&gt;5,"Wochenende",IF(COUNTIF(Stammdaten!$AD$10:$AD$30,C416)&gt;0,"Feiertag",IF(IFERROR(INDEX(Stammdaten!$I$10:$I$49,MATCH(F416,Stammdaten!$B$10:$B$49,0)),"")="Gesperrt","Platz gesperrt",IF(AND(COUNTIF($P$6:$P$605,P416)&gt;1,NOT(AND(COUNTIF($P$6:$P$605,P416)=2,COUNTIFS($P$6:$P$605,P416,$H$6:$H$605,"Vormittag")=1,COUNTIFS($P$6:$P$605,P416,$H$6:$H$605,"Nachmittag")=1))),"Doppelbuchung",IF(AND(COUNTIF($R$6:$R$605,R416)&gt;1,NOT(AND(COUNTIF($R$6:$R$605,R416)=2,COUNTIFS($R$6:$R$605,R416,$H$6:$H$605,"Vormittag")=1,COUNTIFS($R$6:$R$605,R416,$H$6:$H$605,"Nachmittag")=1))),"Person doppelt","OK"))))))))</f>
        <v/>
      </c>
      <c r="O416" s="55">
        <f t="shared" si="45"/>
        <v>0</v>
      </c>
      <c r="P416" s="55" t="str">
        <f t="shared" si="46"/>
        <v/>
      </c>
      <c r="Q416" s="55" t="str">
        <f>IF(P416="","",P416&amp;"|"&amp;COUNTIF(P$6:P416,P416))</f>
        <v/>
      </c>
      <c r="R416" s="55" t="str">
        <f t="shared" si="47"/>
        <v/>
      </c>
      <c r="S416" s="55" t="str">
        <f>IF(R416="","",R416&amp;"|"&amp;COUNTIF(R$6:R416,R416))</f>
        <v/>
      </c>
      <c r="T416" s="55" t="str">
        <f>IF(G416="","",IFERROR(INDEX(Stammdaten!$O$10:$O$69,MATCH(G416,Stammdaten!$N$10:$N$69,0)),G416)&amp;IF(H416="Vormittag"," (VM)",IF(H416="Nachmittag"," (NM)",""))&amp;IF(I416="Angefragt"," ?",""))</f>
        <v/>
      </c>
      <c r="U416" s="55" t="str">
        <f t="shared" si="48"/>
        <v/>
      </c>
    </row>
    <row r="417" spans="2:21" ht="16.5" customHeight="1" x14ac:dyDescent="0.25">
      <c r="B417" s="47" t="str">
        <f t="shared" si="42"/>
        <v/>
      </c>
      <c r="C417" s="48"/>
      <c r="D417" s="49" t="str">
        <f t="shared" si="43"/>
        <v/>
      </c>
      <c r="E417" s="50" t="str">
        <f t="shared" si="44"/>
        <v/>
      </c>
      <c r="F417" s="51"/>
      <c r="G417" s="52"/>
      <c r="H417" s="51"/>
      <c r="I417" s="51"/>
      <c r="J417" s="52"/>
      <c r="K417" s="53" t="str">
        <f>IF(G417="","",IFERROR(INDEX(Stammdaten!$P$10:$P$69,MATCH(G417,Stammdaten!$N$10:$N$69,0)),"–"))</f>
        <v/>
      </c>
      <c r="L417" s="53" t="str">
        <f>IF(F417="","",IFERROR(INDEX(Stammdaten!$D$10:$D$49,MATCH(F417,Stammdaten!$B$10:$B$49,0)),"–"))</f>
        <v/>
      </c>
      <c r="M417" s="54" t="str">
        <f>IF(C417="","",IF(OR(F417="",G417="",I417=""),"unvollständig",IF(I417="Storniert","storniert",IF(WEEKDAY(C417,2)&gt;5,"Wochenende",IF(COUNTIF(Stammdaten!$AD$10:$AD$30,C417)&gt;0,"Feiertag",IF(IFERROR(INDEX(Stammdaten!$I$10:$I$49,MATCH(F417,Stammdaten!$B$10:$B$49,0)),"")="Gesperrt","Platz gesperrt",IF(AND(COUNTIF($P$6:$P$605,P417)&gt;1,NOT(AND(COUNTIF($P$6:$P$605,P417)=2,COUNTIFS($P$6:$P$605,P417,$H$6:$H$605,"Vormittag")=1,COUNTIFS($P$6:$P$605,P417,$H$6:$H$605,"Nachmittag")=1))),"Doppelbuchung",IF(AND(COUNTIF($R$6:$R$605,R417)&gt;1,NOT(AND(COUNTIF($R$6:$R$605,R417)=2,COUNTIFS($R$6:$R$605,R417,$H$6:$H$605,"Vormittag")=1,COUNTIFS($R$6:$R$605,R417,$H$6:$H$605,"Nachmittag")=1))),"Person doppelt","OK"))))))))</f>
        <v/>
      </c>
      <c r="O417" s="55">
        <f t="shared" si="45"/>
        <v>0</v>
      </c>
      <c r="P417" s="55" t="str">
        <f t="shared" si="46"/>
        <v/>
      </c>
      <c r="Q417" s="55" t="str">
        <f>IF(P417="","",P417&amp;"|"&amp;COUNTIF(P$6:P417,P417))</f>
        <v/>
      </c>
      <c r="R417" s="55" t="str">
        <f t="shared" si="47"/>
        <v/>
      </c>
      <c r="S417" s="55" t="str">
        <f>IF(R417="","",R417&amp;"|"&amp;COUNTIF(R$6:R417,R417))</f>
        <v/>
      </c>
      <c r="T417" s="55" t="str">
        <f>IF(G417="","",IFERROR(INDEX(Stammdaten!$O$10:$O$69,MATCH(G417,Stammdaten!$N$10:$N$69,0)),G417)&amp;IF(H417="Vormittag"," (VM)",IF(H417="Nachmittag"," (NM)",""))&amp;IF(I417="Angefragt"," ?",""))</f>
        <v/>
      </c>
      <c r="U417" s="55" t="str">
        <f t="shared" si="48"/>
        <v/>
      </c>
    </row>
    <row r="418" spans="2:21" ht="16.5" customHeight="1" x14ac:dyDescent="0.25">
      <c r="B418" s="47" t="str">
        <f t="shared" si="42"/>
        <v/>
      </c>
      <c r="C418" s="48"/>
      <c r="D418" s="49" t="str">
        <f t="shared" si="43"/>
        <v/>
      </c>
      <c r="E418" s="50" t="str">
        <f t="shared" si="44"/>
        <v/>
      </c>
      <c r="F418" s="51"/>
      <c r="G418" s="52"/>
      <c r="H418" s="51"/>
      <c r="I418" s="51"/>
      <c r="J418" s="52"/>
      <c r="K418" s="53" t="str">
        <f>IF(G418="","",IFERROR(INDEX(Stammdaten!$P$10:$P$69,MATCH(G418,Stammdaten!$N$10:$N$69,0)),"–"))</f>
        <v/>
      </c>
      <c r="L418" s="53" t="str">
        <f>IF(F418="","",IFERROR(INDEX(Stammdaten!$D$10:$D$49,MATCH(F418,Stammdaten!$B$10:$B$49,0)),"–"))</f>
        <v/>
      </c>
      <c r="M418" s="54" t="str">
        <f>IF(C418="","",IF(OR(F418="",G418="",I418=""),"unvollständig",IF(I418="Storniert","storniert",IF(WEEKDAY(C418,2)&gt;5,"Wochenende",IF(COUNTIF(Stammdaten!$AD$10:$AD$30,C418)&gt;0,"Feiertag",IF(IFERROR(INDEX(Stammdaten!$I$10:$I$49,MATCH(F418,Stammdaten!$B$10:$B$49,0)),"")="Gesperrt","Platz gesperrt",IF(AND(COUNTIF($P$6:$P$605,P418)&gt;1,NOT(AND(COUNTIF($P$6:$P$605,P418)=2,COUNTIFS($P$6:$P$605,P418,$H$6:$H$605,"Vormittag")=1,COUNTIFS($P$6:$P$605,P418,$H$6:$H$605,"Nachmittag")=1))),"Doppelbuchung",IF(AND(COUNTIF($R$6:$R$605,R418)&gt;1,NOT(AND(COUNTIF($R$6:$R$605,R418)=2,COUNTIFS($R$6:$R$605,R418,$H$6:$H$605,"Vormittag")=1,COUNTIFS($R$6:$R$605,R418,$H$6:$H$605,"Nachmittag")=1))),"Person doppelt","OK"))))))))</f>
        <v/>
      </c>
      <c r="O418" s="55">
        <f t="shared" si="45"/>
        <v>0</v>
      </c>
      <c r="P418" s="55" t="str">
        <f t="shared" si="46"/>
        <v/>
      </c>
      <c r="Q418" s="55" t="str">
        <f>IF(P418="","",P418&amp;"|"&amp;COUNTIF(P$6:P418,P418))</f>
        <v/>
      </c>
      <c r="R418" s="55" t="str">
        <f t="shared" si="47"/>
        <v/>
      </c>
      <c r="S418" s="55" t="str">
        <f>IF(R418="","",R418&amp;"|"&amp;COUNTIF(R$6:R418,R418))</f>
        <v/>
      </c>
      <c r="T418" s="55" t="str">
        <f>IF(G418="","",IFERROR(INDEX(Stammdaten!$O$10:$O$69,MATCH(G418,Stammdaten!$N$10:$N$69,0)),G418)&amp;IF(H418="Vormittag"," (VM)",IF(H418="Nachmittag"," (NM)",""))&amp;IF(I418="Angefragt"," ?",""))</f>
        <v/>
      </c>
      <c r="U418" s="55" t="str">
        <f t="shared" si="48"/>
        <v/>
      </c>
    </row>
    <row r="419" spans="2:21" ht="16.5" customHeight="1" x14ac:dyDescent="0.25">
      <c r="B419" s="47" t="str">
        <f t="shared" si="42"/>
        <v/>
      </c>
      <c r="C419" s="48"/>
      <c r="D419" s="49" t="str">
        <f t="shared" si="43"/>
        <v/>
      </c>
      <c r="E419" s="50" t="str">
        <f t="shared" si="44"/>
        <v/>
      </c>
      <c r="F419" s="51"/>
      <c r="G419" s="52"/>
      <c r="H419" s="51"/>
      <c r="I419" s="51"/>
      <c r="J419" s="52"/>
      <c r="K419" s="53" t="str">
        <f>IF(G419="","",IFERROR(INDEX(Stammdaten!$P$10:$P$69,MATCH(G419,Stammdaten!$N$10:$N$69,0)),"–"))</f>
        <v/>
      </c>
      <c r="L419" s="53" t="str">
        <f>IF(F419="","",IFERROR(INDEX(Stammdaten!$D$10:$D$49,MATCH(F419,Stammdaten!$B$10:$B$49,0)),"–"))</f>
        <v/>
      </c>
      <c r="M419" s="54" t="str">
        <f>IF(C419="","",IF(OR(F419="",G419="",I419=""),"unvollständig",IF(I419="Storniert","storniert",IF(WEEKDAY(C419,2)&gt;5,"Wochenende",IF(COUNTIF(Stammdaten!$AD$10:$AD$30,C419)&gt;0,"Feiertag",IF(IFERROR(INDEX(Stammdaten!$I$10:$I$49,MATCH(F419,Stammdaten!$B$10:$B$49,0)),"")="Gesperrt","Platz gesperrt",IF(AND(COUNTIF($P$6:$P$605,P419)&gt;1,NOT(AND(COUNTIF($P$6:$P$605,P419)=2,COUNTIFS($P$6:$P$605,P419,$H$6:$H$605,"Vormittag")=1,COUNTIFS($P$6:$P$605,P419,$H$6:$H$605,"Nachmittag")=1))),"Doppelbuchung",IF(AND(COUNTIF($R$6:$R$605,R419)&gt;1,NOT(AND(COUNTIF($R$6:$R$605,R419)=2,COUNTIFS($R$6:$R$605,R419,$H$6:$H$605,"Vormittag")=1,COUNTIFS($R$6:$R$605,R419,$H$6:$H$605,"Nachmittag")=1))),"Person doppelt","OK"))))))))</f>
        <v/>
      </c>
      <c r="O419" s="55">
        <f t="shared" si="45"/>
        <v>0</v>
      </c>
      <c r="P419" s="55" t="str">
        <f t="shared" si="46"/>
        <v/>
      </c>
      <c r="Q419" s="55" t="str">
        <f>IF(P419="","",P419&amp;"|"&amp;COUNTIF(P$6:P419,P419))</f>
        <v/>
      </c>
      <c r="R419" s="55" t="str">
        <f t="shared" si="47"/>
        <v/>
      </c>
      <c r="S419" s="55" t="str">
        <f>IF(R419="","",R419&amp;"|"&amp;COUNTIF(R$6:R419,R419))</f>
        <v/>
      </c>
      <c r="T419" s="55" t="str">
        <f>IF(G419="","",IFERROR(INDEX(Stammdaten!$O$10:$O$69,MATCH(G419,Stammdaten!$N$10:$N$69,0)),G419)&amp;IF(H419="Vormittag"," (VM)",IF(H419="Nachmittag"," (NM)",""))&amp;IF(I419="Angefragt"," ?",""))</f>
        <v/>
      </c>
      <c r="U419" s="55" t="str">
        <f t="shared" si="48"/>
        <v/>
      </c>
    </row>
    <row r="420" spans="2:21" ht="16.5" customHeight="1" x14ac:dyDescent="0.25">
      <c r="B420" s="47" t="str">
        <f t="shared" si="42"/>
        <v/>
      </c>
      <c r="C420" s="48"/>
      <c r="D420" s="49" t="str">
        <f t="shared" si="43"/>
        <v/>
      </c>
      <c r="E420" s="50" t="str">
        <f t="shared" si="44"/>
        <v/>
      </c>
      <c r="F420" s="51"/>
      <c r="G420" s="52"/>
      <c r="H420" s="51"/>
      <c r="I420" s="51"/>
      <c r="J420" s="52"/>
      <c r="K420" s="53" t="str">
        <f>IF(G420="","",IFERROR(INDEX(Stammdaten!$P$10:$P$69,MATCH(G420,Stammdaten!$N$10:$N$69,0)),"–"))</f>
        <v/>
      </c>
      <c r="L420" s="53" t="str">
        <f>IF(F420="","",IFERROR(INDEX(Stammdaten!$D$10:$D$49,MATCH(F420,Stammdaten!$B$10:$B$49,0)),"–"))</f>
        <v/>
      </c>
      <c r="M420" s="54" t="str">
        <f>IF(C420="","",IF(OR(F420="",G420="",I420=""),"unvollständig",IF(I420="Storniert","storniert",IF(WEEKDAY(C420,2)&gt;5,"Wochenende",IF(COUNTIF(Stammdaten!$AD$10:$AD$30,C420)&gt;0,"Feiertag",IF(IFERROR(INDEX(Stammdaten!$I$10:$I$49,MATCH(F420,Stammdaten!$B$10:$B$49,0)),"")="Gesperrt","Platz gesperrt",IF(AND(COUNTIF($P$6:$P$605,P420)&gt;1,NOT(AND(COUNTIF($P$6:$P$605,P420)=2,COUNTIFS($P$6:$P$605,P420,$H$6:$H$605,"Vormittag")=1,COUNTIFS($P$6:$P$605,P420,$H$6:$H$605,"Nachmittag")=1))),"Doppelbuchung",IF(AND(COUNTIF($R$6:$R$605,R420)&gt;1,NOT(AND(COUNTIF($R$6:$R$605,R420)=2,COUNTIFS($R$6:$R$605,R420,$H$6:$H$605,"Vormittag")=1,COUNTIFS($R$6:$R$605,R420,$H$6:$H$605,"Nachmittag")=1))),"Person doppelt","OK"))))))))</f>
        <v/>
      </c>
      <c r="O420" s="55">
        <f t="shared" si="45"/>
        <v>0</v>
      </c>
      <c r="P420" s="55" t="str">
        <f t="shared" si="46"/>
        <v/>
      </c>
      <c r="Q420" s="55" t="str">
        <f>IF(P420="","",P420&amp;"|"&amp;COUNTIF(P$6:P420,P420))</f>
        <v/>
      </c>
      <c r="R420" s="55" t="str">
        <f t="shared" si="47"/>
        <v/>
      </c>
      <c r="S420" s="55" t="str">
        <f>IF(R420="","",R420&amp;"|"&amp;COUNTIF(R$6:R420,R420))</f>
        <v/>
      </c>
      <c r="T420" s="55" t="str">
        <f>IF(G420="","",IFERROR(INDEX(Stammdaten!$O$10:$O$69,MATCH(G420,Stammdaten!$N$10:$N$69,0)),G420)&amp;IF(H420="Vormittag"," (VM)",IF(H420="Nachmittag"," (NM)",""))&amp;IF(I420="Angefragt"," ?",""))</f>
        <v/>
      </c>
      <c r="U420" s="55" t="str">
        <f t="shared" si="48"/>
        <v/>
      </c>
    </row>
    <row r="421" spans="2:21" ht="16.5" customHeight="1" x14ac:dyDescent="0.25">
      <c r="B421" s="47" t="str">
        <f t="shared" si="42"/>
        <v/>
      </c>
      <c r="C421" s="48"/>
      <c r="D421" s="49" t="str">
        <f t="shared" si="43"/>
        <v/>
      </c>
      <c r="E421" s="50" t="str">
        <f t="shared" si="44"/>
        <v/>
      </c>
      <c r="F421" s="51"/>
      <c r="G421" s="52"/>
      <c r="H421" s="51"/>
      <c r="I421" s="51"/>
      <c r="J421" s="52"/>
      <c r="K421" s="53" t="str">
        <f>IF(G421="","",IFERROR(INDEX(Stammdaten!$P$10:$P$69,MATCH(G421,Stammdaten!$N$10:$N$69,0)),"–"))</f>
        <v/>
      </c>
      <c r="L421" s="53" t="str">
        <f>IF(F421="","",IFERROR(INDEX(Stammdaten!$D$10:$D$49,MATCH(F421,Stammdaten!$B$10:$B$49,0)),"–"))</f>
        <v/>
      </c>
      <c r="M421" s="54" t="str">
        <f>IF(C421="","",IF(OR(F421="",G421="",I421=""),"unvollständig",IF(I421="Storniert","storniert",IF(WEEKDAY(C421,2)&gt;5,"Wochenende",IF(COUNTIF(Stammdaten!$AD$10:$AD$30,C421)&gt;0,"Feiertag",IF(IFERROR(INDEX(Stammdaten!$I$10:$I$49,MATCH(F421,Stammdaten!$B$10:$B$49,0)),"")="Gesperrt","Platz gesperrt",IF(AND(COUNTIF($P$6:$P$605,P421)&gt;1,NOT(AND(COUNTIF($P$6:$P$605,P421)=2,COUNTIFS($P$6:$P$605,P421,$H$6:$H$605,"Vormittag")=1,COUNTIFS($P$6:$P$605,P421,$H$6:$H$605,"Nachmittag")=1))),"Doppelbuchung",IF(AND(COUNTIF($R$6:$R$605,R421)&gt;1,NOT(AND(COUNTIF($R$6:$R$605,R421)=2,COUNTIFS($R$6:$R$605,R421,$H$6:$H$605,"Vormittag")=1,COUNTIFS($R$6:$R$605,R421,$H$6:$H$605,"Nachmittag")=1))),"Person doppelt","OK"))))))))</f>
        <v/>
      </c>
      <c r="O421" s="55">
        <f t="shared" si="45"/>
        <v>0</v>
      </c>
      <c r="P421" s="55" t="str">
        <f t="shared" si="46"/>
        <v/>
      </c>
      <c r="Q421" s="55" t="str">
        <f>IF(P421="","",P421&amp;"|"&amp;COUNTIF(P$6:P421,P421))</f>
        <v/>
      </c>
      <c r="R421" s="55" t="str">
        <f t="shared" si="47"/>
        <v/>
      </c>
      <c r="S421" s="55" t="str">
        <f>IF(R421="","",R421&amp;"|"&amp;COUNTIF(R$6:R421,R421))</f>
        <v/>
      </c>
      <c r="T421" s="55" t="str">
        <f>IF(G421="","",IFERROR(INDEX(Stammdaten!$O$10:$O$69,MATCH(G421,Stammdaten!$N$10:$N$69,0)),G421)&amp;IF(H421="Vormittag"," (VM)",IF(H421="Nachmittag"," (NM)",""))&amp;IF(I421="Angefragt"," ?",""))</f>
        <v/>
      </c>
      <c r="U421" s="55" t="str">
        <f t="shared" si="48"/>
        <v/>
      </c>
    </row>
    <row r="422" spans="2:21" ht="16.5" customHeight="1" x14ac:dyDescent="0.25">
      <c r="B422" s="47" t="str">
        <f t="shared" si="42"/>
        <v/>
      </c>
      <c r="C422" s="48"/>
      <c r="D422" s="49" t="str">
        <f t="shared" si="43"/>
        <v/>
      </c>
      <c r="E422" s="50" t="str">
        <f t="shared" si="44"/>
        <v/>
      </c>
      <c r="F422" s="51"/>
      <c r="G422" s="52"/>
      <c r="H422" s="51"/>
      <c r="I422" s="51"/>
      <c r="J422" s="52"/>
      <c r="K422" s="53" t="str">
        <f>IF(G422="","",IFERROR(INDEX(Stammdaten!$P$10:$P$69,MATCH(G422,Stammdaten!$N$10:$N$69,0)),"–"))</f>
        <v/>
      </c>
      <c r="L422" s="53" t="str">
        <f>IF(F422="","",IFERROR(INDEX(Stammdaten!$D$10:$D$49,MATCH(F422,Stammdaten!$B$10:$B$49,0)),"–"))</f>
        <v/>
      </c>
      <c r="M422" s="54" t="str">
        <f>IF(C422="","",IF(OR(F422="",G422="",I422=""),"unvollständig",IF(I422="Storniert","storniert",IF(WEEKDAY(C422,2)&gt;5,"Wochenende",IF(COUNTIF(Stammdaten!$AD$10:$AD$30,C422)&gt;0,"Feiertag",IF(IFERROR(INDEX(Stammdaten!$I$10:$I$49,MATCH(F422,Stammdaten!$B$10:$B$49,0)),"")="Gesperrt","Platz gesperrt",IF(AND(COUNTIF($P$6:$P$605,P422)&gt;1,NOT(AND(COUNTIF($P$6:$P$605,P422)=2,COUNTIFS($P$6:$P$605,P422,$H$6:$H$605,"Vormittag")=1,COUNTIFS($P$6:$P$605,P422,$H$6:$H$605,"Nachmittag")=1))),"Doppelbuchung",IF(AND(COUNTIF($R$6:$R$605,R422)&gt;1,NOT(AND(COUNTIF($R$6:$R$605,R422)=2,COUNTIFS($R$6:$R$605,R422,$H$6:$H$605,"Vormittag")=1,COUNTIFS($R$6:$R$605,R422,$H$6:$H$605,"Nachmittag")=1))),"Person doppelt","OK"))))))))</f>
        <v/>
      </c>
      <c r="O422" s="55">
        <f t="shared" si="45"/>
        <v>0</v>
      </c>
      <c r="P422" s="55" t="str">
        <f t="shared" si="46"/>
        <v/>
      </c>
      <c r="Q422" s="55" t="str">
        <f>IF(P422="","",P422&amp;"|"&amp;COUNTIF(P$6:P422,P422))</f>
        <v/>
      </c>
      <c r="R422" s="55" t="str">
        <f t="shared" si="47"/>
        <v/>
      </c>
      <c r="S422" s="55" t="str">
        <f>IF(R422="","",R422&amp;"|"&amp;COUNTIF(R$6:R422,R422))</f>
        <v/>
      </c>
      <c r="T422" s="55" t="str">
        <f>IF(G422="","",IFERROR(INDEX(Stammdaten!$O$10:$O$69,MATCH(G422,Stammdaten!$N$10:$N$69,0)),G422)&amp;IF(H422="Vormittag"," (VM)",IF(H422="Nachmittag"," (NM)",""))&amp;IF(I422="Angefragt"," ?",""))</f>
        <v/>
      </c>
      <c r="U422" s="55" t="str">
        <f t="shared" si="48"/>
        <v/>
      </c>
    </row>
    <row r="423" spans="2:21" ht="16.5" customHeight="1" x14ac:dyDescent="0.25">
      <c r="B423" s="47" t="str">
        <f t="shared" si="42"/>
        <v/>
      </c>
      <c r="C423" s="48"/>
      <c r="D423" s="49" t="str">
        <f t="shared" si="43"/>
        <v/>
      </c>
      <c r="E423" s="50" t="str">
        <f t="shared" si="44"/>
        <v/>
      </c>
      <c r="F423" s="51"/>
      <c r="G423" s="52"/>
      <c r="H423" s="51"/>
      <c r="I423" s="51"/>
      <c r="J423" s="52"/>
      <c r="K423" s="53" t="str">
        <f>IF(G423="","",IFERROR(INDEX(Stammdaten!$P$10:$P$69,MATCH(G423,Stammdaten!$N$10:$N$69,0)),"–"))</f>
        <v/>
      </c>
      <c r="L423" s="53" t="str">
        <f>IF(F423="","",IFERROR(INDEX(Stammdaten!$D$10:$D$49,MATCH(F423,Stammdaten!$B$10:$B$49,0)),"–"))</f>
        <v/>
      </c>
      <c r="M423" s="54" t="str">
        <f>IF(C423="","",IF(OR(F423="",G423="",I423=""),"unvollständig",IF(I423="Storniert","storniert",IF(WEEKDAY(C423,2)&gt;5,"Wochenende",IF(COUNTIF(Stammdaten!$AD$10:$AD$30,C423)&gt;0,"Feiertag",IF(IFERROR(INDEX(Stammdaten!$I$10:$I$49,MATCH(F423,Stammdaten!$B$10:$B$49,0)),"")="Gesperrt","Platz gesperrt",IF(AND(COUNTIF($P$6:$P$605,P423)&gt;1,NOT(AND(COUNTIF($P$6:$P$605,P423)=2,COUNTIFS($P$6:$P$605,P423,$H$6:$H$605,"Vormittag")=1,COUNTIFS($P$6:$P$605,P423,$H$6:$H$605,"Nachmittag")=1))),"Doppelbuchung",IF(AND(COUNTIF($R$6:$R$605,R423)&gt;1,NOT(AND(COUNTIF($R$6:$R$605,R423)=2,COUNTIFS($R$6:$R$605,R423,$H$6:$H$605,"Vormittag")=1,COUNTIFS($R$6:$R$605,R423,$H$6:$H$605,"Nachmittag")=1))),"Person doppelt","OK"))))))))</f>
        <v/>
      </c>
      <c r="O423" s="55">
        <f t="shared" si="45"/>
        <v>0</v>
      </c>
      <c r="P423" s="55" t="str">
        <f t="shared" si="46"/>
        <v/>
      </c>
      <c r="Q423" s="55" t="str">
        <f>IF(P423="","",P423&amp;"|"&amp;COUNTIF(P$6:P423,P423))</f>
        <v/>
      </c>
      <c r="R423" s="55" t="str">
        <f t="shared" si="47"/>
        <v/>
      </c>
      <c r="S423" s="55" t="str">
        <f>IF(R423="","",R423&amp;"|"&amp;COUNTIF(R$6:R423,R423))</f>
        <v/>
      </c>
      <c r="T423" s="55" t="str">
        <f>IF(G423="","",IFERROR(INDEX(Stammdaten!$O$10:$O$69,MATCH(G423,Stammdaten!$N$10:$N$69,0)),G423)&amp;IF(H423="Vormittag"," (VM)",IF(H423="Nachmittag"," (NM)",""))&amp;IF(I423="Angefragt"," ?",""))</f>
        <v/>
      </c>
      <c r="U423" s="55" t="str">
        <f t="shared" si="48"/>
        <v/>
      </c>
    </row>
    <row r="424" spans="2:21" ht="16.5" customHeight="1" x14ac:dyDescent="0.25">
      <c r="B424" s="47" t="str">
        <f t="shared" si="42"/>
        <v/>
      </c>
      <c r="C424" s="48"/>
      <c r="D424" s="49" t="str">
        <f t="shared" si="43"/>
        <v/>
      </c>
      <c r="E424" s="50" t="str">
        <f t="shared" si="44"/>
        <v/>
      </c>
      <c r="F424" s="51"/>
      <c r="G424" s="52"/>
      <c r="H424" s="51"/>
      <c r="I424" s="51"/>
      <c r="J424" s="52"/>
      <c r="K424" s="53" t="str">
        <f>IF(G424="","",IFERROR(INDEX(Stammdaten!$P$10:$P$69,MATCH(G424,Stammdaten!$N$10:$N$69,0)),"–"))</f>
        <v/>
      </c>
      <c r="L424" s="53" t="str">
        <f>IF(F424="","",IFERROR(INDEX(Stammdaten!$D$10:$D$49,MATCH(F424,Stammdaten!$B$10:$B$49,0)),"–"))</f>
        <v/>
      </c>
      <c r="M424" s="54" t="str">
        <f>IF(C424="","",IF(OR(F424="",G424="",I424=""),"unvollständig",IF(I424="Storniert","storniert",IF(WEEKDAY(C424,2)&gt;5,"Wochenende",IF(COUNTIF(Stammdaten!$AD$10:$AD$30,C424)&gt;0,"Feiertag",IF(IFERROR(INDEX(Stammdaten!$I$10:$I$49,MATCH(F424,Stammdaten!$B$10:$B$49,0)),"")="Gesperrt","Platz gesperrt",IF(AND(COUNTIF($P$6:$P$605,P424)&gt;1,NOT(AND(COUNTIF($P$6:$P$605,P424)=2,COUNTIFS($P$6:$P$605,P424,$H$6:$H$605,"Vormittag")=1,COUNTIFS($P$6:$P$605,P424,$H$6:$H$605,"Nachmittag")=1))),"Doppelbuchung",IF(AND(COUNTIF($R$6:$R$605,R424)&gt;1,NOT(AND(COUNTIF($R$6:$R$605,R424)=2,COUNTIFS($R$6:$R$605,R424,$H$6:$H$605,"Vormittag")=1,COUNTIFS($R$6:$R$605,R424,$H$6:$H$605,"Nachmittag")=1))),"Person doppelt","OK"))))))))</f>
        <v/>
      </c>
      <c r="O424" s="55">
        <f t="shared" si="45"/>
        <v>0</v>
      </c>
      <c r="P424" s="55" t="str">
        <f t="shared" si="46"/>
        <v/>
      </c>
      <c r="Q424" s="55" t="str">
        <f>IF(P424="","",P424&amp;"|"&amp;COUNTIF(P$6:P424,P424))</f>
        <v/>
      </c>
      <c r="R424" s="55" t="str">
        <f t="shared" si="47"/>
        <v/>
      </c>
      <c r="S424" s="55" t="str">
        <f>IF(R424="","",R424&amp;"|"&amp;COUNTIF(R$6:R424,R424))</f>
        <v/>
      </c>
      <c r="T424" s="55" t="str">
        <f>IF(G424="","",IFERROR(INDEX(Stammdaten!$O$10:$O$69,MATCH(G424,Stammdaten!$N$10:$N$69,0)),G424)&amp;IF(H424="Vormittag"," (VM)",IF(H424="Nachmittag"," (NM)",""))&amp;IF(I424="Angefragt"," ?",""))</f>
        <v/>
      </c>
      <c r="U424" s="55" t="str">
        <f t="shared" si="48"/>
        <v/>
      </c>
    </row>
    <row r="425" spans="2:21" ht="16.5" customHeight="1" x14ac:dyDescent="0.25">
      <c r="B425" s="47" t="str">
        <f t="shared" si="42"/>
        <v/>
      </c>
      <c r="C425" s="48"/>
      <c r="D425" s="49" t="str">
        <f t="shared" si="43"/>
        <v/>
      </c>
      <c r="E425" s="50" t="str">
        <f t="shared" si="44"/>
        <v/>
      </c>
      <c r="F425" s="51"/>
      <c r="G425" s="52"/>
      <c r="H425" s="51"/>
      <c r="I425" s="51"/>
      <c r="J425" s="52"/>
      <c r="K425" s="53" t="str">
        <f>IF(G425="","",IFERROR(INDEX(Stammdaten!$P$10:$P$69,MATCH(G425,Stammdaten!$N$10:$N$69,0)),"–"))</f>
        <v/>
      </c>
      <c r="L425" s="53" t="str">
        <f>IF(F425="","",IFERROR(INDEX(Stammdaten!$D$10:$D$49,MATCH(F425,Stammdaten!$B$10:$B$49,0)),"–"))</f>
        <v/>
      </c>
      <c r="M425" s="54" t="str">
        <f>IF(C425="","",IF(OR(F425="",G425="",I425=""),"unvollständig",IF(I425="Storniert","storniert",IF(WEEKDAY(C425,2)&gt;5,"Wochenende",IF(COUNTIF(Stammdaten!$AD$10:$AD$30,C425)&gt;0,"Feiertag",IF(IFERROR(INDEX(Stammdaten!$I$10:$I$49,MATCH(F425,Stammdaten!$B$10:$B$49,0)),"")="Gesperrt","Platz gesperrt",IF(AND(COUNTIF($P$6:$P$605,P425)&gt;1,NOT(AND(COUNTIF($P$6:$P$605,P425)=2,COUNTIFS($P$6:$P$605,P425,$H$6:$H$605,"Vormittag")=1,COUNTIFS($P$6:$P$605,P425,$H$6:$H$605,"Nachmittag")=1))),"Doppelbuchung",IF(AND(COUNTIF($R$6:$R$605,R425)&gt;1,NOT(AND(COUNTIF($R$6:$R$605,R425)=2,COUNTIFS($R$6:$R$605,R425,$H$6:$H$605,"Vormittag")=1,COUNTIFS($R$6:$R$605,R425,$H$6:$H$605,"Nachmittag")=1))),"Person doppelt","OK"))))))))</f>
        <v/>
      </c>
      <c r="O425" s="55">
        <f t="shared" si="45"/>
        <v>0</v>
      </c>
      <c r="P425" s="55" t="str">
        <f t="shared" si="46"/>
        <v/>
      </c>
      <c r="Q425" s="55" t="str">
        <f>IF(P425="","",P425&amp;"|"&amp;COUNTIF(P$6:P425,P425))</f>
        <v/>
      </c>
      <c r="R425" s="55" t="str">
        <f t="shared" si="47"/>
        <v/>
      </c>
      <c r="S425" s="55" t="str">
        <f>IF(R425="","",R425&amp;"|"&amp;COUNTIF(R$6:R425,R425))</f>
        <v/>
      </c>
      <c r="T425" s="55" t="str">
        <f>IF(G425="","",IFERROR(INDEX(Stammdaten!$O$10:$O$69,MATCH(G425,Stammdaten!$N$10:$N$69,0)),G425)&amp;IF(H425="Vormittag"," (VM)",IF(H425="Nachmittag"," (NM)",""))&amp;IF(I425="Angefragt"," ?",""))</f>
        <v/>
      </c>
      <c r="U425" s="55" t="str">
        <f t="shared" si="48"/>
        <v/>
      </c>
    </row>
    <row r="426" spans="2:21" ht="16.5" customHeight="1" x14ac:dyDescent="0.25">
      <c r="B426" s="47" t="str">
        <f t="shared" si="42"/>
        <v/>
      </c>
      <c r="C426" s="48"/>
      <c r="D426" s="49" t="str">
        <f t="shared" si="43"/>
        <v/>
      </c>
      <c r="E426" s="50" t="str">
        <f t="shared" si="44"/>
        <v/>
      </c>
      <c r="F426" s="51"/>
      <c r="G426" s="52"/>
      <c r="H426" s="51"/>
      <c r="I426" s="51"/>
      <c r="J426" s="52"/>
      <c r="K426" s="53" t="str">
        <f>IF(G426="","",IFERROR(INDEX(Stammdaten!$P$10:$P$69,MATCH(G426,Stammdaten!$N$10:$N$69,0)),"–"))</f>
        <v/>
      </c>
      <c r="L426" s="53" t="str">
        <f>IF(F426="","",IFERROR(INDEX(Stammdaten!$D$10:$D$49,MATCH(F426,Stammdaten!$B$10:$B$49,0)),"–"))</f>
        <v/>
      </c>
      <c r="M426" s="54" t="str">
        <f>IF(C426="","",IF(OR(F426="",G426="",I426=""),"unvollständig",IF(I426="Storniert","storniert",IF(WEEKDAY(C426,2)&gt;5,"Wochenende",IF(COUNTIF(Stammdaten!$AD$10:$AD$30,C426)&gt;0,"Feiertag",IF(IFERROR(INDEX(Stammdaten!$I$10:$I$49,MATCH(F426,Stammdaten!$B$10:$B$49,0)),"")="Gesperrt","Platz gesperrt",IF(AND(COUNTIF($P$6:$P$605,P426)&gt;1,NOT(AND(COUNTIF($P$6:$P$605,P426)=2,COUNTIFS($P$6:$P$605,P426,$H$6:$H$605,"Vormittag")=1,COUNTIFS($P$6:$P$605,P426,$H$6:$H$605,"Nachmittag")=1))),"Doppelbuchung",IF(AND(COUNTIF($R$6:$R$605,R426)&gt;1,NOT(AND(COUNTIF($R$6:$R$605,R426)=2,COUNTIFS($R$6:$R$605,R426,$H$6:$H$605,"Vormittag")=1,COUNTIFS($R$6:$R$605,R426,$H$6:$H$605,"Nachmittag")=1))),"Person doppelt","OK"))))))))</f>
        <v/>
      </c>
      <c r="O426" s="55">
        <f t="shared" si="45"/>
        <v>0</v>
      </c>
      <c r="P426" s="55" t="str">
        <f t="shared" si="46"/>
        <v/>
      </c>
      <c r="Q426" s="55" t="str">
        <f>IF(P426="","",P426&amp;"|"&amp;COUNTIF(P$6:P426,P426))</f>
        <v/>
      </c>
      <c r="R426" s="55" t="str">
        <f t="shared" si="47"/>
        <v/>
      </c>
      <c r="S426" s="55" t="str">
        <f>IF(R426="","",R426&amp;"|"&amp;COUNTIF(R$6:R426,R426))</f>
        <v/>
      </c>
      <c r="T426" s="55" t="str">
        <f>IF(G426="","",IFERROR(INDEX(Stammdaten!$O$10:$O$69,MATCH(G426,Stammdaten!$N$10:$N$69,0)),G426)&amp;IF(H426="Vormittag"," (VM)",IF(H426="Nachmittag"," (NM)",""))&amp;IF(I426="Angefragt"," ?",""))</f>
        <v/>
      </c>
      <c r="U426" s="55" t="str">
        <f t="shared" si="48"/>
        <v/>
      </c>
    </row>
    <row r="427" spans="2:21" ht="16.5" customHeight="1" x14ac:dyDescent="0.25">
      <c r="B427" s="47" t="str">
        <f t="shared" si="42"/>
        <v/>
      </c>
      <c r="C427" s="48"/>
      <c r="D427" s="49" t="str">
        <f t="shared" si="43"/>
        <v/>
      </c>
      <c r="E427" s="50" t="str">
        <f t="shared" si="44"/>
        <v/>
      </c>
      <c r="F427" s="51"/>
      <c r="G427" s="52"/>
      <c r="H427" s="51"/>
      <c r="I427" s="51"/>
      <c r="J427" s="52"/>
      <c r="K427" s="53" t="str">
        <f>IF(G427="","",IFERROR(INDEX(Stammdaten!$P$10:$P$69,MATCH(G427,Stammdaten!$N$10:$N$69,0)),"–"))</f>
        <v/>
      </c>
      <c r="L427" s="53" t="str">
        <f>IF(F427="","",IFERROR(INDEX(Stammdaten!$D$10:$D$49,MATCH(F427,Stammdaten!$B$10:$B$49,0)),"–"))</f>
        <v/>
      </c>
      <c r="M427" s="54" t="str">
        <f>IF(C427="","",IF(OR(F427="",G427="",I427=""),"unvollständig",IF(I427="Storniert","storniert",IF(WEEKDAY(C427,2)&gt;5,"Wochenende",IF(COUNTIF(Stammdaten!$AD$10:$AD$30,C427)&gt;0,"Feiertag",IF(IFERROR(INDEX(Stammdaten!$I$10:$I$49,MATCH(F427,Stammdaten!$B$10:$B$49,0)),"")="Gesperrt","Platz gesperrt",IF(AND(COUNTIF($P$6:$P$605,P427)&gt;1,NOT(AND(COUNTIF($P$6:$P$605,P427)=2,COUNTIFS($P$6:$P$605,P427,$H$6:$H$605,"Vormittag")=1,COUNTIFS($P$6:$P$605,P427,$H$6:$H$605,"Nachmittag")=1))),"Doppelbuchung",IF(AND(COUNTIF($R$6:$R$605,R427)&gt;1,NOT(AND(COUNTIF($R$6:$R$605,R427)=2,COUNTIFS($R$6:$R$605,R427,$H$6:$H$605,"Vormittag")=1,COUNTIFS($R$6:$R$605,R427,$H$6:$H$605,"Nachmittag")=1))),"Person doppelt","OK"))))))))</f>
        <v/>
      </c>
      <c r="O427" s="55">
        <f t="shared" si="45"/>
        <v>0</v>
      </c>
      <c r="P427" s="55" t="str">
        <f t="shared" si="46"/>
        <v/>
      </c>
      <c r="Q427" s="55" t="str">
        <f>IF(P427="","",P427&amp;"|"&amp;COUNTIF(P$6:P427,P427))</f>
        <v/>
      </c>
      <c r="R427" s="55" t="str">
        <f t="shared" si="47"/>
        <v/>
      </c>
      <c r="S427" s="55" t="str">
        <f>IF(R427="","",R427&amp;"|"&amp;COUNTIF(R$6:R427,R427))</f>
        <v/>
      </c>
      <c r="T427" s="55" t="str">
        <f>IF(G427="","",IFERROR(INDEX(Stammdaten!$O$10:$O$69,MATCH(G427,Stammdaten!$N$10:$N$69,0)),G427)&amp;IF(H427="Vormittag"," (VM)",IF(H427="Nachmittag"," (NM)",""))&amp;IF(I427="Angefragt"," ?",""))</f>
        <v/>
      </c>
      <c r="U427" s="55" t="str">
        <f t="shared" si="48"/>
        <v/>
      </c>
    </row>
    <row r="428" spans="2:21" ht="16.5" customHeight="1" x14ac:dyDescent="0.25">
      <c r="B428" s="47" t="str">
        <f t="shared" si="42"/>
        <v/>
      </c>
      <c r="C428" s="48"/>
      <c r="D428" s="49" t="str">
        <f t="shared" si="43"/>
        <v/>
      </c>
      <c r="E428" s="50" t="str">
        <f t="shared" si="44"/>
        <v/>
      </c>
      <c r="F428" s="51"/>
      <c r="G428" s="52"/>
      <c r="H428" s="51"/>
      <c r="I428" s="51"/>
      <c r="J428" s="52"/>
      <c r="K428" s="53" t="str">
        <f>IF(G428="","",IFERROR(INDEX(Stammdaten!$P$10:$P$69,MATCH(G428,Stammdaten!$N$10:$N$69,0)),"–"))</f>
        <v/>
      </c>
      <c r="L428" s="53" t="str">
        <f>IF(F428="","",IFERROR(INDEX(Stammdaten!$D$10:$D$49,MATCH(F428,Stammdaten!$B$10:$B$49,0)),"–"))</f>
        <v/>
      </c>
      <c r="M428" s="54" t="str">
        <f>IF(C428="","",IF(OR(F428="",G428="",I428=""),"unvollständig",IF(I428="Storniert","storniert",IF(WEEKDAY(C428,2)&gt;5,"Wochenende",IF(COUNTIF(Stammdaten!$AD$10:$AD$30,C428)&gt;0,"Feiertag",IF(IFERROR(INDEX(Stammdaten!$I$10:$I$49,MATCH(F428,Stammdaten!$B$10:$B$49,0)),"")="Gesperrt","Platz gesperrt",IF(AND(COUNTIF($P$6:$P$605,P428)&gt;1,NOT(AND(COUNTIF($P$6:$P$605,P428)=2,COUNTIFS($P$6:$P$605,P428,$H$6:$H$605,"Vormittag")=1,COUNTIFS($P$6:$P$605,P428,$H$6:$H$605,"Nachmittag")=1))),"Doppelbuchung",IF(AND(COUNTIF($R$6:$R$605,R428)&gt;1,NOT(AND(COUNTIF($R$6:$R$605,R428)=2,COUNTIFS($R$6:$R$605,R428,$H$6:$H$605,"Vormittag")=1,COUNTIFS($R$6:$R$605,R428,$H$6:$H$605,"Nachmittag")=1))),"Person doppelt","OK"))))))))</f>
        <v/>
      </c>
      <c r="O428" s="55">
        <f t="shared" si="45"/>
        <v>0</v>
      </c>
      <c r="P428" s="55" t="str">
        <f t="shared" si="46"/>
        <v/>
      </c>
      <c r="Q428" s="55" t="str">
        <f>IF(P428="","",P428&amp;"|"&amp;COUNTIF(P$6:P428,P428))</f>
        <v/>
      </c>
      <c r="R428" s="55" t="str">
        <f t="shared" si="47"/>
        <v/>
      </c>
      <c r="S428" s="55" t="str">
        <f>IF(R428="","",R428&amp;"|"&amp;COUNTIF(R$6:R428,R428))</f>
        <v/>
      </c>
      <c r="T428" s="55" t="str">
        <f>IF(G428="","",IFERROR(INDEX(Stammdaten!$O$10:$O$69,MATCH(G428,Stammdaten!$N$10:$N$69,0)),G428)&amp;IF(H428="Vormittag"," (VM)",IF(H428="Nachmittag"," (NM)",""))&amp;IF(I428="Angefragt"," ?",""))</f>
        <v/>
      </c>
      <c r="U428" s="55" t="str">
        <f t="shared" si="48"/>
        <v/>
      </c>
    </row>
    <row r="429" spans="2:21" ht="16.5" customHeight="1" x14ac:dyDescent="0.25">
      <c r="B429" s="47" t="str">
        <f t="shared" si="42"/>
        <v/>
      </c>
      <c r="C429" s="48"/>
      <c r="D429" s="49" t="str">
        <f t="shared" si="43"/>
        <v/>
      </c>
      <c r="E429" s="50" t="str">
        <f t="shared" si="44"/>
        <v/>
      </c>
      <c r="F429" s="51"/>
      <c r="G429" s="52"/>
      <c r="H429" s="51"/>
      <c r="I429" s="51"/>
      <c r="J429" s="52"/>
      <c r="K429" s="53" t="str">
        <f>IF(G429="","",IFERROR(INDEX(Stammdaten!$P$10:$P$69,MATCH(G429,Stammdaten!$N$10:$N$69,0)),"–"))</f>
        <v/>
      </c>
      <c r="L429" s="53" t="str">
        <f>IF(F429="","",IFERROR(INDEX(Stammdaten!$D$10:$D$49,MATCH(F429,Stammdaten!$B$10:$B$49,0)),"–"))</f>
        <v/>
      </c>
      <c r="M429" s="54" t="str">
        <f>IF(C429="","",IF(OR(F429="",G429="",I429=""),"unvollständig",IF(I429="Storniert","storniert",IF(WEEKDAY(C429,2)&gt;5,"Wochenende",IF(COUNTIF(Stammdaten!$AD$10:$AD$30,C429)&gt;0,"Feiertag",IF(IFERROR(INDEX(Stammdaten!$I$10:$I$49,MATCH(F429,Stammdaten!$B$10:$B$49,0)),"")="Gesperrt","Platz gesperrt",IF(AND(COUNTIF($P$6:$P$605,P429)&gt;1,NOT(AND(COUNTIF($P$6:$P$605,P429)=2,COUNTIFS($P$6:$P$605,P429,$H$6:$H$605,"Vormittag")=1,COUNTIFS($P$6:$P$605,P429,$H$6:$H$605,"Nachmittag")=1))),"Doppelbuchung",IF(AND(COUNTIF($R$6:$R$605,R429)&gt;1,NOT(AND(COUNTIF($R$6:$R$605,R429)=2,COUNTIFS($R$6:$R$605,R429,$H$6:$H$605,"Vormittag")=1,COUNTIFS($R$6:$R$605,R429,$H$6:$H$605,"Nachmittag")=1))),"Person doppelt","OK"))))))))</f>
        <v/>
      </c>
      <c r="O429" s="55">
        <f t="shared" si="45"/>
        <v>0</v>
      </c>
      <c r="P429" s="55" t="str">
        <f t="shared" si="46"/>
        <v/>
      </c>
      <c r="Q429" s="55" t="str">
        <f>IF(P429="","",P429&amp;"|"&amp;COUNTIF(P$6:P429,P429))</f>
        <v/>
      </c>
      <c r="R429" s="55" t="str">
        <f t="shared" si="47"/>
        <v/>
      </c>
      <c r="S429" s="55" t="str">
        <f>IF(R429="","",R429&amp;"|"&amp;COUNTIF(R$6:R429,R429))</f>
        <v/>
      </c>
      <c r="T429" s="55" t="str">
        <f>IF(G429="","",IFERROR(INDEX(Stammdaten!$O$10:$O$69,MATCH(G429,Stammdaten!$N$10:$N$69,0)),G429)&amp;IF(H429="Vormittag"," (VM)",IF(H429="Nachmittag"," (NM)",""))&amp;IF(I429="Angefragt"," ?",""))</f>
        <v/>
      </c>
      <c r="U429" s="55" t="str">
        <f t="shared" si="48"/>
        <v/>
      </c>
    </row>
    <row r="430" spans="2:21" ht="16.5" customHeight="1" x14ac:dyDescent="0.25">
      <c r="B430" s="47" t="str">
        <f t="shared" si="42"/>
        <v/>
      </c>
      <c r="C430" s="48"/>
      <c r="D430" s="49" t="str">
        <f t="shared" si="43"/>
        <v/>
      </c>
      <c r="E430" s="50" t="str">
        <f t="shared" si="44"/>
        <v/>
      </c>
      <c r="F430" s="51"/>
      <c r="G430" s="52"/>
      <c r="H430" s="51"/>
      <c r="I430" s="51"/>
      <c r="J430" s="52"/>
      <c r="K430" s="53" t="str">
        <f>IF(G430="","",IFERROR(INDEX(Stammdaten!$P$10:$P$69,MATCH(G430,Stammdaten!$N$10:$N$69,0)),"–"))</f>
        <v/>
      </c>
      <c r="L430" s="53" t="str">
        <f>IF(F430="","",IFERROR(INDEX(Stammdaten!$D$10:$D$49,MATCH(F430,Stammdaten!$B$10:$B$49,0)),"–"))</f>
        <v/>
      </c>
      <c r="M430" s="54" t="str">
        <f>IF(C430="","",IF(OR(F430="",G430="",I430=""),"unvollständig",IF(I430="Storniert","storniert",IF(WEEKDAY(C430,2)&gt;5,"Wochenende",IF(COUNTIF(Stammdaten!$AD$10:$AD$30,C430)&gt;0,"Feiertag",IF(IFERROR(INDEX(Stammdaten!$I$10:$I$49,MATCH(F430,Stammdaten!$B$10:$B$49,0)),"")="Gesperrt","Platz gesperrt",IF(AND(COUNTIF($P$6:$P$605,P430)&gt;1,NOT(AND(COUNTIF($P$6:$P$605,P430)=2,COUNTIFS($P$6:$P$605,P430,$H$6:$H$605,"Vormittag")=1,COUNTIFS($P$6:$P$605,P430,$H$6:$H$605,"Nachmittag")=1))),"Doppelbuchung",IF(AND(COUNTIF($R$6:$R$605,R430)&gt;1,NOT(AND(COUNTIF($R$6:$R$605,R430)=2,COUNTIFS($R$6:$R$605,R430,$H$6:$H$605,"Vormittag")=1,COUNTIFS($R$6:$R$605,R430,$H$6:$H$605,"Nachmittag")=1))),"Person doppelt","OK"))))))))</f>
        <v/>
      </c>
      <c r="O430" s="55">
        <f t="shared" si="45"/>
        <v>0</v>
      </c>
      <c r="P430" s="55" t="str">
        <f t="shared" si="46"/>
        <v/>
      </c>
      <c r="Q430" s="55" t="str">
        <f>IF(P430="","",P430&amp;"|"&amp;COUNTIF(P$6:P430,P430))</f>
        <v/>
      </c>
      <c r="R430" s="55" t="str">
        <f t="shared" si="47"/>
        <v/>
      </c>
      <c r="S430" s="55" t="str">
        <f>IF(R430="","",R430&amp;"|"&amp;COUNTIF(R$6:R430,R430))</f>
        <v/>
      </c>
      <c r="T430" s="55" t="str">
        <f>IF(G430="","",IFERROR(INDEX(Stammdaten!$O$10:$O$69,MATCH(G430,Stammdaten!$N$10:$N$69,0)),G430)&amp;IF(H430="Vormittag"," (VM)",IF(H430="Nachmittag"," (NM)",""))&amp;IF(I430="Angefragt"," ?",""))</f>
        <v/>
      </c>
      <c r="U430" s="55" t="str">
        <f t="shared" si="48"/>
        <v/>
      </c>
    </row>
    <row r="431" spans="2:21" ht="16.5" customHeight="1" x14ac:dyDescent="0.25">
      <c r="B431" s="47" t="str">
        <f t="shared" si="42"/>
        <v/>
      </c>
      <c r="C431" s="48"/>
      <c r="D431" s="49" t="str">
        <f t="shared" si="43"/>
        <v/>
      </c>
      <c r="E431" s="50" t="str">
        <f t="shared" si="44"/>
        <v/>
      </c>
      <c r="F431" s="51"/>
      <c r="G431" s="52"/>
      <c r="H431" s="51"/>
      <c r="I431" s="51"/>
      <c r="J431" s="52"/>
      <c r="K431" s="53" t="str">
        <f>IF(G431="","",IFERROR(INDEX(Stammdaten!$P$10:$P$69,MATCH(G431,Stammdaten!$N$10:$N$69,0)),"–"))</f>
        <v/>
      </c>
      <c r="L431" s="53" t="str">
        <f>IF(F431="","",IFERROR(INDEX(Stammdaten!$D$10:$D$49,MATCH(F431,Stammdaten!$B$10:$B$49,0)),"–"))</f>
        <v/>
      </c>
      <c r="M431" s="54" t="str">
        <f>IF(C431="","",IF(OR(F431="",G431="",I431=""),"unvollständig",IF(I431="Storniert","storniert",IF(WEEKDAY(C431,2)&gt;5,"Wochenende",IF(COUNTIF(Stammdaten!$AD$10:$AD$30,C431)&gt;0,"Feiertag",IF(IFERROR(INDEX(Stammdaten!$I$10:$I$49,MATCH(F431,Stammdaten!$B$10:$B$49,0)),"")="Gesperrt","Platz gesperrt",IF(AND(COUNTIF($P$6:$P$605,P431)&gt;1,NOT(AND(COUNTIF($P$6:$P$605,P431)=2,COUNTIFS($P$6:$P$605,P431,$H$6:$H$605,"Vormittag")=1,COUNTIFS($P$6:$P$605,P431,$H$6:$H$605,"Nachmittag")=1))),"Doppelbuchung",IF(AND(COUNTIF($R$6:$R$605,R431)&gt;1,NOT(AND(COUNTIF($R$6:$R$605,R431)=2,COUNTIFS($R$6:$R$605,R431,$H$6:$H$605,"Vormittag")=1,COUNTIFS($R$6:$R$605,R431,$H$6:$H$605,"Nachmittag")=1))),"Person doppelt","OK"))))))))</f>
        <v/>
      </c>
      <c r="O431" s="55">
        <f t="shared" si="45"/>
        <v>0</v>
      </c>
      <c r="P431" s="55" t="str">
        <f t="shared" si="46"/>
        <v/>
      </c>
      <c r="Q431" s="55" t="str">
        <f>IF(P431="","",P431&amp;"|"&amp;COUNTIF(P$6:P431,P431))</f>
        <v/>
      </c>
      <c r="R431" s="55" t="str">
        <f t="shared" si="47"/>
        <v/>
      </c>
      <c r="S431" s="55" t="str">
        <f>IF(R431="","",R431&amp;"|"&amp;COUNTIF(R$6:R431,R431))</f>
        <v/>
      </c>
      <c r="T431" s="55" t="str">
        <f>IF(G431="","",IFERROR(INDEX(Stammdaten!$O$10:$O$69,MATCH(G431,Stammdaten!$N$10:$N$69,0)),G431)&amp;IF(H431="Vormittag"," (VM)",IF(H431="Nachmittag"," (NM)",""))&amp;IF(I431="Angefragt"," ?",""))</f>
        <v/>
      </c>
      <c r="U431" s="55" t="str">
        <f t="shared" si="48"/>
        <v/>
      </c>
    </row>
    <row r="432" spans="2:21" ht="16.5" customHeight="1" x14ac:dyDescent="0.25">
      <c r="B432" s="47" t="str">
        <f t="shared" si="42"/>
        <v/>
      </c>
      <c r="C432" s="48"/>
      <c r="D432" s="49" t="str">
        <f t="shared" si="43"/>
        <v/>
      </c>
      <c r="E432" s="50" t="str">
        <f t="shared" si="44"/>
        <v/>
      </c>
      <c r="F432" s="51"/>
      <c r="G432" s="52"/>
      <c r="H432" s="51"/>
      <c r="I432" s="51"/>
      <c r="J432" s="52"/>
      <c r="K432" s="53" t="str">
        <f>IF(G432="","",IFERROR(INDEX(Stammdaten!$P$10:$P$69,MATCH(G432,Stammdaten!$N$10:$N$69,0)),"–"))</f>
        <v/>
      </c>
      <c r="L432" s="53" t="str">
        <f>IF(F432="","",IFERROR(INDEX(Stammdaten!$D$10:$D$49,MATCH(F432,Stammdaten!$B$10:$B$49,0)),"–"))</f>
        <v/>
      </c>
      <c r="M432" s="54" t="str">
        <f>IF(C432="","",IF(OR(F432="",G432="",I432=""),"unvollständig",IF(I432="Storniert","storniert",IF(WEEKDAY(C432,2)&gt;5,"Wochenende",IF(COUNTIF(Stammdaten!$AD$10:$AD$30,C432)&gt;0,"Feiertag",IF(IFERROR(INDEX(Stammdaten!$I$10:$I$49,MATCH(F432,Stammdaten!$B$10:$B$49,0)),"")="Gesperrt","Platz gesperrt",IF(AND(COUNTIF($P$6:$P$605,P432)&gt;1,NOT(AND(COUNTIF($P$6:$P$605,P432)=2,COUNTIFS($P$6:$P$605,P432,$H$6:$H$605,"Vormittag")=1,COUNTIFS($P$6:$P$605,P432,$H$6:$H$605,"Nachmittag")=1))),"Doppelbuchung",IF(AND(COUNTIF($R$6:$R$605,R432)&gt;1,NOT(AND(COUNTIF($R$6:$R$605,R432)=2,COUNTIFS($R$6:$R$605,R432,$H$6:$H$605,"Vormittag")=1,COUNTIFS($R$6:$R$605,R432,$H$6:$H$605,"Nachmittag")=1))),"Person doppelt","OK"))))))))</f>
        <v/>
      </c>
      <c r="O432" s="55">
        <f t="shared" si="45"/>
        <v>0</v>
      </c>
      <c r="P432" s="55" t="str">
        <f t="shared" si="46"/>
        <v/>
      </c>
      <c r="Q432" s="55" t="str">
        <f>IF(P432="","",P432&amp;"|"&amp;COUNTIF(P$6:P432,P432))</f>
        <v/>
      </c>
      <c r="R432" s="55" t="str">
        <f t="shared" si="47"/>
        <v/>
      </c>
      <c r="S432" s="55" t="str">
        <f>IF(R432="","",R432&amp;"|"&amp;COUNTIF(R$6:R432,R432))</f>
        <v/>
      </c>
      <c r="T432" s="55" t="str">
        <f>IF(G432="","",IFERROR(INDEX(Stammdaten!$O$10:$O$69,MATCH(G432,Stammdaten!$N$10:$N$69,0)),G432)&amp;IF(H432="Vormittag"," (VM)",IF(H432="Nachmittag"," (NM)",""))&amp;IF(I432="Angefragt"," ?",""))</f>
        <v/>
      </c>
      <c r="U432" s="55" t="str">
        <f t="shared" si="48"/>
        <v/>
      </c>
    </row>
    <row r="433" spans="2:21" ht="16.5" customHeight="1" x14ac:dyDescent="0.25">
      <c r="B433" s="47" t="str">
        <f t="shared" si="42"/>
        <v/>
      </c>
      <c r="C433" s="48"/>
      <c r="D433" s="49" t="str">
        <f t="shared" si="43"/>
        <v/>
      </c>
      <c r="E433" s="50" t="str">
        <f t="shared" si="44"/>
        <v/>
      </c>
      <c r="F433" s="51"/>
      <c r="G433" s="52"/>
      <c r="H433" s="51"/>
      <c r="I433" s="51"/>
      <c r="J433" s="52"/>
      <c r="K433" s="53" t="str">
        <f>IF(G433="","",IFERROR(INDEX(Stammdaten!$P$10:$P$69,MATCH(G433,Stammdaten!$N$10:$N$69,0)),"–"))</f>
        <v/>
      </c>
      <c r="L433" s="53" t="str">
        <f>IF(F433="","",IFERROR(INDEX(Stammdaten!$D$10:$D$49,MATCH(F433,Stammdaten!$B$10:$B$49,0)),"–"))</f>
        <v/>
      </c>
      <c r="M433" s="54" t="str">
        <f>IF(C433="","",IF(OR(F433="",G433="",I433=""),"unvollständig",IF(I433="Storniert","storniert",IF(WEEKDAY(C433,2)&gt;5,"Wochenende",IF(COUNTIF(Stammdaten!$AD$10:$AD$30,C433)&gt;0,"Feiertag",IF(IFERROR(INDEX(Stammdaten!$I$10:$I$49,MATCH(F433,Stammdaten!$B$10:$B$49,0)),"")="Gesperrt","Platz gesperrt",IF(AND(COUNTIF($P$6:$P$605,P433)&gt;1,NOT(AND(COUNTIF($P$6:$P$605,P433)=2,COUNTIFS($P$6:$P$605,P433,$H$6:$H$605,"Vormittag")=1,COUNTIFS($P$6:$P$605,P433,$H$6:$H$605,"Nachmittag")=1))),"Doppelbuchung",IF(AND(COUNTIF($R$6:$R$605,R433)&gt;1,NOT(AND(COUNTIF($R$6:$R$605,R433)=2,COUNTIFS($R$6:$R$605,R433,$H$6:$H$605,"Vormittag")=1,COUNTIFS($R$6:$R$605,R433,$H$6:$H$605,"Nachmittag")=1))),"Person doppelt","OK"))))))))</f>
        <v/>
      </c>
      <c r="O433" s="55">
        <f t="shared" si="45"/>
        <v>0</v>
      </c>
      <c r="P433" s="55" t="str">
        <f t="shared" si="46"/>
        <v/>
      </c>
      <c r="Q433" s="55" t="str">
        <f>IF(P433="","",P433&amp;"|"&amp;COUNTIF(P$6:P433,P433))</f>
        <v/>
      </c>
      <c r="R433" s="55" t="str">
        <f t="shared" si="47"/>
        <v/>
      </c>
      <c r="S433" s="55" t="str">
        <f>IF(R433="","",R433&amp;"|"&amp;COUNTIF(R$6:R433,R433))</f>
        <v/>
      </c>
      <c r="T433" s="55" t="str">
        <f>IF(G433="","",IFERROR(INDEX(Stammdaten!$O$10:$O$69,MATCH(G433,Stammdaten!$N$10:$N$69,0)),G433)&amp;IF(H433="Vormittag"," (VM)",IF(H433="Nachmittag"," (NM)",""))&amp;IF(I433="Angefragt"," ?",""))</f>
        <v/>
      </c>
      <c r="U433" s="55" t="str">
        <f t="shared" si="48"/>
        <v/>
      </c>
    </row>
    <row r="434" spans="2:21" ht="16.5" customHeight="1" x14ac:dyDescent="0.25">
      <c r="B434" s="47" t="str">
        <f t="shared" si="42"/>
        <v/>
      </c>
      <c r="C434" s="48"/>
      <c r="D434" s="49" t="str">
        <f t="shared" si="43"/>
        <v/>
      </c>
      <c r="E434" s="50" t="str">
        <f t="shared" si="44"/>
        <v/>
      </c>
      <c r="F434" s="51"/>
      <c r="G434" s="52"/>
      <c r="H434" s="51"/>
      <c r="I434" s="51"/>
      <c r="J434" s="52"/>
      <c r="K434" s="53" t="str">
        <f>IF(G434="","",IFERROR(INDEX(Stammdaten!$P$10:$P$69,MATCH(G434,Stammdaten!$N$10:$N$69,0)),"–"))</f>
        <v/>
      </c>
      <c r="L434" s="53" t="str">
        <f>IF(F434="","",IFERROR(INDEX(Stammdaten!$D$10:$D$49,MATCH(F434,Stammdaten!$B$10:$B$49,0)),"–"))</f>
        <v/>
      </c>
      <c r="M434" s="54" t="str">
        <f>IF(C434="","",IF(OR(F434="",G434="",I434=""),"unvollständig",IF(I434="Storniert","storniert",IF(WEEKDAY(C434,2)&gt;5,"Wochenende",IF(COUNTIF(Stammdaten!$AD$10:$AD$30,C434)&gt;0,"Feiertag",IF(IFERROR(INDEX(Stammdaten!$I$10:$I$49,MATCH(F434,Stammdaten!$B$10:$B$49,0)),"")="Gesperrt","Platz gesperrt",IF(AND(COUNTIF($P$6:$P$605,P434)&gt;1,NOT(AND(COUNTIF($P$6:$P$605,P434)=2,COUNTIFS($P$6:$P$605,P434,$H$6:$H$605,"Vormittag")=1,COUNTIFS($P$6:$P$605,P434,$H$6:$H$605,"Nachmittag")=1))),"Doppelbuchung",IF(AND(COUNTIF($R$6:$R$605,R434)&gt;1,NOT(AND(COUNTIF($R$6:$R$605,R434)=2,COUNTIFS($R$6:$R$605,R434,$H$6:$H$605,"Vormittag")=1,COUNTIFS($R$6:$R$605,R434,$H$6:$H$605,"Nachmittag")=1))),"Person doppelt","OK"))))))))</f>
        <v/>
      </c>
      <c r="O434" s="55">
        <f t="shared" si="45"/>
        <v>0</v>
      </c>
      <c r="P434" s="55" t="str">
        <f t="shared" si="46"/>
        <v/>
      </c>
      <c r="Q434" s="55" t="str">
        <f>IF(P434="","",P434&amp;"|"&amp;COUNTIF(P$6:P434,P434))</f>
        <v/>
      </c>
      <c r="R434" s="55" t="str">
        <f t="shared" si="47"/>
        <v/>
      </c>
      <c r="S434" s="55" t="str">
        <f>IF(R434="","",R434&amp;"|"&amp;COUNTIF(R$6:R434,R434))</f>
        <v/>
      </c>
      <c r="T434" s="55" t="str">
        <f>IF(G434="","",IFERROR(INDEX(Stammdaten!$O$10:$O$69,MATCH(G434,Stammdaten!$N$10:$N$69,0)),G434)&amp;IF(H434="Vormittag"," (VM)",IF(H434="Nachmittag"," (NM)",""))&amp;IF(I434="Angefragt"," ?",""))</f>
        <v/>
      </c>
      <c r="U434" s="55" t="str">
        <f t="shared" si="48"/>
        <v/>
      </c>
    </row>
    <row r="435" spans="2:21" ht="16.5" customHeight="1" x14ac:dyDescent="0.25">
      <c r="B435" s="47" t="str">
        <f t="shared" si="42"/>
        <v/>
      </c>
      <c r="C435" s="48"/>
      <c r="D435" s="49" t="str">
        <f t="shared" si="43"/>
        <v/>
      </c>
      <c r="E435" s="50" t="str">
        <f t="shared" si="44"/>
        <v/>
      </c>
      <c r="F435" s="51"/>
      <c r="G435" s="52"/>
      <c r="H435" s="51"/>
      <c r="I435" s="51"/>
      <c r="J435" s="52"/>
      <c r="K435" s="53" t="str">
        <f>IF(G435="","",IFERROR(INDEX(Stammdaten!$P$10:$P$69,MATCH(G435,Stammdaten!$N$10:$N$69,0)),"–"))</f>
        <v/>
      </c>
      <c r="L435" s="53" t="str">
        <f>IF(F435="","",IFERROR(INDEX(Stammdaten!$D$10:$D$49,MATCH(F435,Stammdaten!$B$10:$B$49,0)),"–"))</f>
        <v/>
      </c>
      <c r="M435" s="54" t="str">
        <f>IF(C435="","",IF(OR(F435="",G435="",I435=""),"unvollständig",IF(I435="Storniert","storniert",IF(WEEKDAY(C435,2)&gt;5,"Wochenende",IF(COUNTIF(Stammdaten!$AD$10:$AD$30,C435)&gt;0,"Feiertag",IF(IFERROR(INDEX(Stammdaten!$I$10:$I$49,MATCH(F435,Stammdaten!$B$10:$B$49,0)),"")="Gesperrt","Platz gesperrt",IF(AND(COUNTIF($P$6:$P$605,P435)&gt;1,NOT(AND(COUNTIF($P$6:$P$605,P435)=2,COUNTIFS($P$6:$P$605,P435,$H$6:$H$605,"Vormittag")=1,COUNTIFS($P$6:$P$605,P435,$H$6:$H$605,"Nachmittag")=1))),"Doppelbuchung",IF(AND(COUNTIF($R$6:$R$605,R435)&gt;1,NOT(AND(COUNTIF($R$6:$R$605,R435)=2,COUNTIFS($R$6:$R$605,R435,$H$6:$H$605,"Vormittag")=1,COUNTIFS($R$6:$R$605,R435,$H$6:$H$605,"Nachmittag")=1))),"Person doppelt","OK"))))))))</f>
        <v/>
      </c>
      <c r="O435" s="55">
        <f t="shared" si="45"/>
        <v>0</v>
      </c>
      <c r="P435" s="55" t="str">
        <f t="shared" si="46"/>
        <v/>
      </c>
      <c r="Q435" s="55" t="str">
        <f>IF(P435="","",P435&amp;"|"&amp;COUNTIF(P$6:P435,P435))</f>
        <v/>
      </c>
      <c r="R435" s="55" t="str">
        <f t="shared" si="47"/>
        <v/>
      </c>
      <c r="S435" s="55" t="str">
        <f>IF(R435="","",R435&amp;"|"&amp;COUNTIF(R$6:R435,R435))</f>
        <v/>
      </c>
      <c r="T435" s="55" t="str">
        <f>IF(G435="","",IFERROR(INDEX(Stammdaten!$O$10:$O$69,MATCH(G435,Stammdaten!$N$10:$N$69,0)),G435)&amp;IF(H435="Vormittag"," (VM)",IF(H435="Nachmittag"," (NM)",""))&amp;IF(I435="Angefragt"," ?",""))</f>
        <v/>
      </c>
      <c r="U435" s="55" t="str">
        <f t="shared" si="48"/>
        <v/>
      </c>
    </row>
    <row r="436" spans="2:21" ht="16.5" customHeight="1" x14ac:dyDescent="0.25">
      <c r="B436" s="47" t="str">
        <f t="shared" si="42"/>
        <v/>
      </c>
      <c r="C436" s="48"/>
      <c r="D436" s="49" t="str">
        <f t="shared" si="43"/>
        <v/>
      </c>
      <c r="E436" s="50" t="str">
        <f t="shared" si="44"/>
        <v/>
      </c>
      <c r="F436" s="51"/>
      <c r="G436" s="52"/>
      <c r="H436" s="51"/>
      <c r="I436" s="51"/>
      <c r="J436" s="52"/>
      <c r="K436" s="53" t="str">
        <f>IF(G436="","",IFERROR(INDEX(Stammdaten!$P$10:$P$69,MATCH(G436,Stammdaten!$N$10:$N$69,0)),"–"))</f>
        <v/>
      </c>
      <c r="L436" s="53" t="str">
        <f>IF(F436="","",IFERROR(INDEX(Stammdaten!$D$10:$D$49,MATCH(F436,Stammdaten!$B$10:$B$49,0)),"–"))</f>
        <v/>
      </c>
      <c r="M436" s="54" t="str">
        <f>IF(C436="","",IF(OR(F436="",G436="",I436=""),"unvollständig",IF(I436="Storniert","storniert",IF(WEEKDAY(C436,2)&gt;5,"Wochenende",IF(COUNTIF(Stammdaten!$AD$10:$AD$30,C436)&gt;0,"Feiertag",IF(IFERROR(INDEX(Stammdaten!$I$10:$I$49,MATCH(F436,Stammdaten!$B$10:$B$49,0)),"")="Gesperrt","Platz gesperrt",IF(AND(COUNTIF($P$6:$P$605,P436)&gt;1,NOT(AND(COUNTIF($P$6:$P$605,P436)=2,COUNTIFS($P$6:$P$605,P436,$H$6:$H$605,"Vormittag")=1,COUNTIFS($P$6:$P$605,P436,$H$6:$H$605,"Nachmittag")=1))),"Doppelbuchung",IF(AND(COUNTIF($R$6:$R$605,R436)&gt;1,NOT(AND(COUNTIF($R$6:$R$605,R436)=2,COUNTIFS($R$6:$R$605,R436,$H$6:$H$605,"Vormittag")=1,COUNTIFS($R$6:$R$605,R436,$H$6:$H$605,"Nachmittag")=1))),"Person doppelt","OK"))))))))</f>
        <v/>
      </c>
      <c r="O436" s="55">
        <f t="shared" si="45"/>
        <v>0</v>
      </c>
      <c r="P436" s="55" t="str">
        <f t="shared" si="46"/>
        <v/>
      </c>
      <c r="Q436" s="55" t="str">
        <f>IF(P436="","",P436&amp;"|"&amp;COUNTIF(P$6:P436,P436))</f>
        <v/>
      </c>
      <c r="R436" s="55" t="str">
        <f t="shared" si="47"/>
        <v/>
      </c>
      <c r="S436" s="55" t="str">
        <f>IF(R436="","",R436&amp;"|"&amp;COUNTIF(R$6:R436,R436))</f>
        <v/>
      </c>
      <c r="T436" s="55" t="str">
        <f>IF(G436="","",IFERROR(INDEX(Stammdaten!$O$10:$O$69,MATCH(G436,Stammdaten!$N$10:$N$69,0)),G436)&amp;IF(H436="Vormittag"," (VM)",IF(H436="Nachmittag"," (NM)",""))&amp;IF(I436="Angefragt"," ?",""))</f>
        <v/>
      </c>
      <c r="U436" s="55" t="str">
        <f t="shared" si="48"/>
        <v/>
      </c>
    </row>
    <row r="437" spans="2:21" ht="16.5" customHeight="1" x14ac:dyDescent="0.25">
      <c r="B437" s="47" t="str">
        <f t="shared" si="42"/>
        <v/>
      </c>
      <c r="C437" s="48"/>
      <c r="D437" s="49" t="str">
        <f t="shared" si="43"/>
        <v/>
      </c>
      <c r="E437" s="50" t="str">
        <f t="shared" si="44"/>
        <v/>
      </c>
      <c r="F437" s="51"/>
      <c r="G437" s="52"/>
      <c r="H437" s="51"/>
      <c r="I437" s="51"/>
      <c r="J437" s="52"/>
      <c r="K437" s="53" t="str">
        <f>IF(G437="","",IFERROR(INDEX(Stammdaten!$P$10:$P$69,MATCH(G437,Stammdaten!$N$10:$N$69,0)),"–"))</f>
        <v/>
      </c>
      <c r="L437" s="53" t="str">
        <f>IF(F437="","",IFERROR(INDEX(Stammdaten!$D$10:$D$49,MATCH(F437,Stammdaten!$B$10:$B$49,0)),"–"))</f>
        <v/>
      </c>
      <c r="M437" s="54" t="str">
        <f>IF(C437="","",IF(OR(F437="",G437="",I437=""),"unvollständig",IF(I437="Storniert","storniert",IF(WEEKDAY(C437,2)&gt;5,"Wochenende",IF(COUNTIF(Stammdaten!$AD$10:$AD$30,C437)&gt;0,"Feiertag",IF(IFERROR(INDEX(Stammdaten!$I$10:$I$49,MATCH(F437,Stammdaten!$B$10:$B$49,0)),"")="Gesperrt","Platz gesperrt",IF(AND(COUNTIF($P$6:$P$605,P437)&gt;1,NOT(AND(COUNTIF($P$6:$P$605,P437)=2,COUNTIFS($P$6:$P$605,P437,$H$6:$H$605,"Vormittag")=1,COUNTIFS($P$6:$P$605,P437,$H$6:$H$605,"Nachmittag")=1))),"Doppelbuchung",IF(AND(COUNTIF($R$6:$R$605,R437)&gt;1,NOT(AND(COUNTIF($R$6:$R$605,R437)=2,COUNTIFS($R$6:$R$605,R437,$H$6:$H$605,"Vormittag")=1,COUNTIFS($R$6:$R$605,R437,$H$6:$H$605,"Nachmittag")=1))),"Person doppelt","OK"))))))))</f>
        <v/>
      </c>
      <c r="O437" s="55">
        <f t="shared" si="45"/>
        <v>0</v>
      </c>
      <c r="P437" s="55" t="str">
        <f t="shared" si="46"/>
        <v/>
      </c>
      <c r="Q437" s="55" t="str">
        <f>IF(P437="","",P437&amp;"|"&amp;COUNTIF(P$6:P437,P437))</f>
        <v/>
      </c>
      <c r="R437" s="55" t="str">
        <f t="shared" si="47"/>
        <v/>
      </c>
      <c r="S437" s="55" t="str">
        <f>IF(R437="","",R437&amp;"|"&amp;COUNTIF(R$6:R437,R437))</f>
        <v/>
      </c>
      <c r="T437" s="55" t="str">
        <f>IF(G437="","",IFERROR(INDEX(Stammdaten!$O$10:$O$69,MATCH(G437,Stammdaten!$N$10:$N$69,0)),G437)&amp;IF(H437="Vormittag"," (VM)",IF(H437="Nachmittag"," (NM)",""))&amp;IF(I437="Angefragt"," ?",""))</f>
        <v/>
      </c>
      <c r="U437" s="55" t="str">
        <f t="shared" si="48"/>
        <v/>
      </c>
    </row>
    <row r="438" spans="2:21" ht="16.5" customHeight="1" x14ac:dyDescent="0.25">
      <c r="B438" s="47" t="str">
        <f t="shared" si="42"/>
        <v/>
      </c>
      <c r="C438" s="48"/>
      <c r="D438" s="49" t="str">
        <f t="shared" si="43"/>
        <v/>
      </c>
      <c r="E438" s="50" t="str">
        <f t="shared" si="44"/>
        <v/>
      </c>
      <c r="F438" s="51"/>
      <c r="G438" s="52"/>
      <c r="H438" s="51"/>
      <c r="I438" s="51"/>
      <c r="J438" s="52"/>
      <c r="K438" s="53" t="str">
        <f>IF(G438="","",IFERROR(INDEX(Stammdaten!$P$10:$P$69,MATCH(G438,Stammdaten!$N$10:$N$69,0)),"–"))</f>
        <v/>
      </c>
      <c r="L438" s="53" t="str">
        <f>IF(F438="","",IFERROR(INDEX(Stammdaten!$D$10:$D$49,MATCH(F438,Stammdaten!$B$10:$B$49,0)),"–"))</f>
        <v/>
      </c>
      <c r="M438" s="54" t="str">
        <f>IF(C438="","",IF(OR(F438="",G438="",I438=""),"unvollständig",IF(I438="Storniert","storniert",IF(WEEKDAY(C438,2)&gt;5,"Wochenende",IF(COUNTIF(Stammdaten!$AD$10:$AD$30,C438)&gt;0,"Feiertag",IF(IFERROR(INDEX(Stammdaten!$I$10:$I$49,MATCH(F438,Stammdaten!$B$10:$B$49,0)),"")="Gesperrt","Platz gesperrt",IF(AND(COUNTIF($P$6:$P$605,P438)&gt;1,NOT(AND(COUNTIF($P$6:$P$605,P438)=2,COUNTIFS($P$6:$P$605,P438,$H$6:$H$605,"Vormittag")=1,COUNTIFS($P$6:$P$605,P438,$H$6:$H$605,"Nachmittag")=1))),"Doppelbuchung",IF(AND(COUNTIF($R$6:$R$605,R438)&gt;1,NOT(AND(COUNTIF($R$6:$R$605,R438)=2,COUNTIFS($R$6:$R$605,R438,$H$6:$H$605,"Vormittag")=1,COUNTIFS($R$6:$R$605,R438,$H$6:$H$605,"Nachmittag")=1))),"Person doppelt","OK"))))))))</f>
        <v/>
      </c>
      <c r="O438" s="55">
        <f t="shared" si="45"/>
        <v>0</v>
      </c>
      <c r="P438" s="55" t="str">
        <f t="shared" si="46"/>
        <v/>
      </c>
      <c r="Q438" s="55" t="str">
        <f>IF(P438="","",P438&amp;"|"&amp;COUNTIF(P$6:P438,P438))</f>
        <v/>
      </c>
      <c r="R438" s="55" t="str">
        <f t="shared" si="47"/>
        <v/>
      </c>
      <c r="S438" s="55" t="str">
        <f>IF(R438="","",R438&amp;"|"&amp;COUNTIF(R$6:R438,R438))</f>
        <v/>
      </c>
      <c r="T438" s="55" t="str">
        <f>IF(G438="","",IFERROR(INDEX(Stammdaten!$O$10:$O$69,MATCH(G438,Stammdaten!$N$10:$N$69,0)),G438)&amp;IF(H438="Vormittag"," (VM)",IF(H438="Nachmittag"," (NM)",""))&amp;IF(I438="Angefragt"," ?",""))</f>
        <v/>
      </c>
      <c r="U438" s="55" t="str">
        <f t="shared" si="48"/>
        <v/>
      </c>
    </row>
    <row r="439" spans="2:21" ht="16.5" customHeight="1" x14ac:dyDescent="0.25">
      <c r="B439" s="47" t="str">
        <f t="shared" si="42"/>
        <v/>
      </c>
      <c r="C439" s="48"/>
      <c r="D439" s="49" t="str">
        <f t="shared" si="43"/>
        <v/>
      </c>
      <c r="E439" s="50" t="str">
        <f t="shared" si="44"/>
        <v/>
      </c>
      <c r="F439" s="51"/>
      <c r="G439" s="52"/>
      <c r="H439" s="51"/>
      <c r="I439" s="51"/>
      <c r="J439" s="52"/>
      <c r="K439" s="53" t="str">
        <f>IF(G439="","",IFERROR(INDEX(Stammdaten!$P$10:$P$69,MATCH(G439,Stammdaten!$N$10:$N$69,0)),"–"))</f>
        <v/>
      </c>
      <c r="L439" s="53" t="str">
        <f>IF(F439="","",IFERROR(INDEX(Stammdaten!$D$10:$D$49,MATCH(F439,Stammdaten!$B$10:$B$49,0)),"–"))</f>
        <v/>
      </c>
      <c r="M439" s="54" t="str">
        <f>IF(C439="","",IF(OR(F439="",G439="",I439=""),"unvollständig",IF(I439="Storniert","storniert",IF(WEEKDAY(C439,2)&gt;5,"Wochenende",IF(COUNTIF(Stammdaten!$AD$10:$AD$30,C439)&gt;0,"Feiertag",IF(IFERROR(INDEX(Stammdaten!$I$10:$I$49,MATCH(F439,Stammdaten!$B$10:$B$49,0)),"")="Gesperrt","Platz gesperrt",IF(AND(COUNTIF($P$6:$P$605,P439)&gt;1,NOT(AND(COUNTIF($P$6:$P$605,P439)=2,COUNTIFS($P$6:$P$605,P439,$H$6:$H$605,"Vormittag")=1,COUNTIFS($P$6:$P$605,P439,$H$6:$H$605,"Nachmittag")=1))),"Doppelbuchung",IF(AND(COUNTIF($R$6:$R$605,R439)&gt;1,NOT(AND(COUNTIF($R$6:$R$605,R439)=2,COUNTIFS($R$6:$R$605,R439,$H$6:$H$605,"Vormittag")=1,COUNTIFS($R$6:$R$605,R439,$H$6:$H$605,"Nachmittag")=1))),"Person doppelt","OK"))))))))</f>
        <v/>
      </c>
      <c r="O439" s="55">
        <f t="shared" si="45"/>
        <v>0</v>
      </c>
      <c r="P439" s="55" t="str">
        <f t="shared" si="46"/>
        <v/>
      </c>
      <c r="Q439" s="55" t="str">
        <f>IF(P439="","",P439&amp;"|"&amp;COUNTIF(P$6:P439,P439))</f>
        <v/>
      </c>
      <c r="R439" s="55" t="str">
        <f t="shared" si="47"/>
        <v/>
      </c>
      <c r="S439" s="55" t="str">
        <f>IF(R439="","",R439&amp;"|"&amp;COUNTIF(R$6:R439,R439))</f>
        <v/>
      </c>
      <c r="T439" s="55" t="str">
        <f>IF(G439="","",IFERROR(INDEX(Stammdaten!$O$10:$O$69,MATCH(G439,Stammdaten!$N$10:$N$69,0)),G439)&amp;IF(H439="Vormittag"," (VM)",IF(H439="Nachmittag"," (NM)",""))&amp;IF(I439="Angefragt"," ?",""))</f>
        <v/>
      </c>
      <c r="U439" s="55" t="str">
        <f t="shared" si="48"/>
        <v/>
      </c>
    </row>
    <row r="440" spans="2:21" ht="16.5" customHeight="1" x14ac:dyDescent="0.25">
      <c r="B440" s="47" t="str">
        <f t="shared" si="42"/>
        <v/>
      </c>
      <c r="C440" s="48"/>
      <c r="D440" s="49" t="str">
        <f t="shared" si="43"/>
        <v/>
      </c>
      <c r="E440" s="50" t="str">
        <f t="shared" si="44"/>
        <v/>
      </c>
      <c r="F440" s="51"/>
      <c r="G440" s="52"/>
      <c r="H440" s="51"/>
      <c r="I440" s="51"/>
      <c r="J440" s="52"/>
      <c r="K440" s="53" t="str">
        <f>IF(G440="","",IFERROR(INDEX(Stammdaten!$P$10:$P$69,MATCH(G440,Stammdaten!$N$10:$N$69,0)),"–"))</f>
        <v/>
      </c>
      <c r="L440" s="53" t="str">
        <f>IF(F440="","",IFERROR(INDEX(Stammdaten!$D$10:$D$49,MATCH(F440,Stammdaten!$B$10:$B$49,0)),"–"))</f>
        <v/>
      </c>
      <c r="M440" s="54" t="str">
        <f>IF(C440="","",IF(OR(F440="",G440="",I440=""),"unvollständig",IF(I440="Storniert","storniert",IF(WEEKDAY(C440,2)&gt;5,"Wochenende",IF(COUNTIF(Stammdaten!$AD$10:$AD$30,C440)&gt;0,"Feiertag",IF(IFERROR(INDEX(Stammdaten!$I$10:$I$49,MATCH(F440,Stammdaten!$B$10:$B$49,0)),"")="Gesperrt","Platz gesperrt",IF(AND(COUNTIF($P$6:$P$605,P440)&gt;1,NOT(AND(COUNTIF($P$6:$P$605,P440)=2,COUNTIFS($P$6:$P$605,P440,$H$6:$H$605,"Vormittag")=1,COUNTIFS($P$6:$P$605,P440,$H$6:$H$605,"Nachmittag")=1))),"Doppelbuchung",IF(AND(COUNTIF($R$6:$R$605,R440)&gt;1,NOT(AND(COUNTIF($R$6:$R$605,R440)=2,COUNTIFS($R$6:$R$605,R440,$H$6:$H$605,"Vormittag")=1,COUNTIFS($R$6:$R$605,R440,$H$6:$H$605,"Nachmittag")=1))),"Person doppelt","OK"))))))))</f>
        <v/>
      </c>
      <c r="O440" s="55">
        <f t="shared" si="45"/>
        <v>0</v>
      </c>
      <c r="P440" s="55" t="str">
        <f t="shared" si="46"/>
        <v/>
      </c>
      <c r="Q440" s="55" t="str">
        <f>IF(P440="","",P440&amp;"|"&amp;COUNTIF(P$6:P440,P440))</f>
        <v/>
      </c>
      <c r="R440" s="55" t="str">
        <f t="shared" si="47"/>
        <v/>
      </c>
      <c r="S440" s="55" t="str">
        <f>IF(R440="","",R440&amp;"|"&amp;COUNTIF(R$6:R440,R440))</f>
        <v/>
      </c>
      <c r="T440" s="55" t="str">
        <f>IF(G440="","",IFERROR(INDEX(Stammdaten!$O$10:$O$69,MATCH(G440,Stammdaten!$N$10:$N$69,0)),G440)&amp;IF(H440="Vormittag"," (VM)",IF(H440="Nachmittag"," (NM)",""))&amp;IF(I440="Angefragt"," ?",""))</f>
        <v/>
      </c>
      <c r="U440" s="55" t="str">
        <f t="shared" si="48"/>
        <v/>
      </c>
    </row>
    <row r="441" spans="2:21" ht="16.5" customHeight="1" x14ac:dyDescent="0.25">
      <c r="B441" s="47" t="str">
        <f t="shared" si="42"/>
        <v/>
      </c>
      <c r="C441" s="48"/>
      <c r="D441" s="49" t="str">
        <f t="shared" si="43"/>
        <v/>
      </c>
      <c r="E441" s="50" t="str">
        <f t="shared" si="44"/>
        <v/>
      </c>
      <c r="F441" s="51"/>
      <c r="G441" s="52"/>
      <c r="H441" s="51"/>
      <c r="I441" s="51"/>
      <c r="J441" s="52"/>
      <c r="K441" s="53" t="str">
        <f>IF(G441="","",IFERROR(INDEX(Stammdaten!$P$10:$P$69,MATCH(G441,Stammdaten!$N$10:$N$69,0)),"–"))</f>
        <v/>
      </c>
      <c r="L441" s="53" t="str">
        <f>IF(F441="","",IFERROR(INDEX(Stammdaten!$D$10:$D$49,MATCH(F441,Stammdaten!$B$10:$B$49,0)),"–"))</f>
        <v/>
      </c>
      <c r="M441" s="54" t="str">
        <f>IF(C441="","",IF(OR(F441="",G441="",I441=""),"unvollständig",IF(I441="Storniert","storniert",IF(WEEKDAY(C441,2)&gt;5,"Wochenende",IF(COUNTIF(Stammdaten!$AD$10:$AD$30,C441)&gt;0,"Feiertag",IF(IFERROR(INDEX(Stammdaten!$I$10:$I$49,MATCH(F441,Stammdaten!$B$10:$B$49,0)),"")="Gesperrt","Platz gesperrt",IF(AND(COUNTIF($P$6:$P$605,P441)&gt;1,NOT(AND(COUNTIF($P$6:$P$605,P441)=2,COUNTIFS($P$6:$P$605,P441,$H$6:$H$605,"Vormittag")=1,COUNTIFS($P$6:$P$605,P441,$H$6:$H$605,"Nachmittag")=1))),"Doppelbuchung",IF(AND(COUNTIF($R$6:$R$605,R441)&gt;1,NOT(AND(COUNTIF($R$6:$R$605,R441)=2,COUNTIFS($R$6:$R$605,R441,$H$6:$H$605,"Vormittag")=1,COUNTIFS($R$6:$R$605,R441,$H$6:$H$605,"Nachmittag")=1))),"Person doppelt","OK"))))))))</f>
        <v/>
      </c>
      <c r="O441" s="55">
        <f t="shared" si="45"/>
        <v>0</v>
      </c>
      <c r="P441" s="55" t="str">
        <f t="shared" si="46"/>
        <v/>
      </c>
      <c r="Q441" s="55" t="str">
        <f>IF(P441="","",P441&amp;"|"&amp;COUNTIF(P$6:P441,P441))</f>
        <v/>
      </c>
      <c r="R441" s="55" t="str">
        <f t="shared" si="47"/>
        <v/>
      </c>
      <c r="S441" s="55" t="str">
        <f>IF(R441="","",R441&amp;"|"&amp;COUNTIF(R$6:R441,R441))</f>
        <v/>
      </c>
      <c r="T441" s="55" t="str">
        <f>IF(G441="","",IFERROR(INDEX(Stammdaten!$O$10:$O$69,MATCH(G441,Stammdaten!$N$10:$N$69,0)),G441)&amp;IF(H441="Vormittag"," (VM)",IF(H441="Nachmittag"," (NM)",""))&amp;IF(I441="Angefragt"," ?",""))</f>
        <v/>
      </c>
      <c r="U441" s="55" t="str">
        <f t="shared" si="48"/>
        <v/>
      </c>
    </row>
    <row r="442" spans="2:21" ht="16.5" customHeight="1" x14ac:dyDescent="0.25">
      <c r="B442" s="47" t="str">
        <f t="shared" si="42"/>
        <v/>
      </c>
      <c r="C442" s="48"/>
      <c r="D442" s="49" t="str">
        <f t="shared" si="43"/>
        <v/>
      </c>
      <c r="E442" s="50" t="str">
        <f t="shared" si="44"/>
        <v/>
      </c>
      <c r="F442" s="51"/>
      <c r="G442" s="52"/>
      <c r="H442" s="51"/>
      <c r="I442" s="51"/>
      <c r="J442" s="52"/>
      <c r="K442" s="53" t="str">
        <f>IF(G442="","",IFERROR(INDEX(Stammdaten!$P$10:$P$69,MATCH(G442,Stammdaten!$N$10:$N$69,0)),"–"))</f>
        <v/>
      </c>
      <c r="L442" s="53" t="str">
        <f>IF(F442="","",IFERROR(INDEX(Stammdaten!$D$10:$D$49,MATCH(F442,Stammdaten!$B$10:$B$49,0)),"–"))</f>
        <v/>
      </c>
      <c r="M442" s="54" t="str">
        <f>IF(C442="","",IF(OR(F442="",G442="",I442=""),"unvollständig",IF(I442="Storniert","storniert",IF(WEEKDAY(C442,2)&gt;5,"Wochenende",IF(COUNTIF(Stammdaten!$AD$10:$AD$30,C442)&gt;0,"Feiertag",IF(IFERROR(INDEX(Stammdaten!$I$10:$I$49,MATCH(F442,Stammdaten!$B$10:$B$49,0)),"")="Gesperrt","Platz gesperrt",IF(AND(COUNTIF($P$6:$P$605,P442)&gt;1,NOT(AND(COUNTIF($P$6:$P$605,P442)=2,COUNTIFS($P$6:$P$605,P442,$H$6:$H$605,"Vormittag")=1,COUNTIFS($P$6:$P$605,P442,$H$6:$H$605,"Nachmittag")=1))),"Doppelbuchung",IF(AND(COUNTIF($R$6:$R$605,R442)&gt;1,NOT(AND(COUNTIF($R$6:$R$605,R442)=2,COUNTIFS($R$6:$R$605,R442,$H$6:$H$605,"Vormittag")=1,COUNTIFS($R$6:$R$605,R442,$H$6:$H$605,"Nachmittag")=1))),"Person doppelt","OK"))))))))</f>
        <v/>
      </c>
      <c r="O442" s="55">
        <f t="shared" si="45"/>
        <v>0</v>
      </c>
      <c r="P442" s="55" t="str">
        <f t="shared" si="46"/>
        <v/>
      </c>
      <c r="Q442" s="55" t="str">
        <f>IF(P442="","",P442&amp;"|"&amp;COUNTIF(P$6:P442,P442))</f>
        <v/>
      </c>
      <c r="R442" s="55" t="str">
        <f t="shared" si="47"/>
        <v/>
      </c>
      <c r="S442" s="55" t="str">
        <f>IF(R442="","",R442&amp;"|"&amp;COUNTIF(R$6:R442,R442))</f>
        <v/>
      </c>
      <c r="T442" s="55" t="str">
        <f>IF(G442="","",IFERROR(INDEX(Stammdaten!$O$10:$O$69,MATCH(G442,Stammdaten!$N$10:$N$69,0)),G442)&amp;IF(H442="Vormittag"," (VM)",IF(H442="Nachmittag"," (NM)",""))&amp;IF(I442="Angefragt"," ?",""))</f>
        <v/>
      </c>
      <c r="U442" s="55" t="str">
        <f t="shared" si="48"/>
        <v/>
      </c>
    </row>
    <row r="443" spans="2:21" ht="16.5" customHeight="1" x14ac:dyDescent="0.25">
      <c r="B443" s="47" t="str">
        <f t="shared" si="42"/>
        <v/>
      </c>
      <c r="C443" s="48"/>
      <c r="D443" s="49" t="str">
        <f t="shared" si="43"/>
        <v/>
      </c>
      <c r="E443" s="50" t="str">
        <f t="shared" si="44"/>
        <v/>
      </c>
      <c r="F443" s="51"/>
      <c r="G443" s="52"/>
      <c r="H443" s="51"/>
      <c r="I443" s="51"/>
      <c r="J443" s="52"/>
      <c r="K443" s="53" t="str">
        <f>IF(G443="","",IFERROR(INDEX(Stammdaten!$P$10:$P$69,MATCH(G443,Stammdaten!$N$10:$N$69,0)),"–"))</f>
        <v/>
      </c>
      <c r="L443" s="53" t="str">
        <f>IF(F443="","",IFERROR(INDEX(Stammdaten!$D$10:$D$49,MATCH(F443,Stammdaten!$B$10:$B$49,0)),"–"))</f>
        <v/>
      </c>
      <c r="M443" s="54" t="str">
        <f>IF(C443="","",IF(OR(F443="",G443="",I443=""),"unvollständig",IF(I443="Storniert","storniert",IF(WEEKDAY(C443,2)&gt;5,"Wochenende",IF(COUNTIF(Stammdaten!$AD$10:$AD$30,C443)&gt;0,"Feiertag",IF(IFERROR(INDEX(Stammdaten!$I$10:$I$49,MATCH(F443,Stammdaten!$B$10:$B$49,0)),"")="Gesperrt","Platz gesperrt",IF(AND(COUNTIF($P$6:$P$605,P443)&gt;1,NOT(AND(COUNTIF($P$6:$P$605,P443)=2,COUNTIFS($P$6:$P$605,P443,$H$6:$H$605,"Vormittag")=1,COUNTIFS($P$6:$P$605,P443,$H$6:$H$605,"Nachmittag")=1))),"Doppelbuchung",IF(AND(COUNTIF($R$6:$R$605,R443)&gt;1,NOT(AND(COUNTIF($R$6:$R$605,R443)=2,COUNTIFS($R$6:$R$605,R443,$H$6:$H$605,"Vormittag")=1,COUNTIFS($R$6:$R$605,R443,$H$6:$H$605,"Nachmittag")=1))),"Person doppelt","OK"))))))))</f>
        <v/>
      </c>
      <c r="O443" s="55">
        <f t="shared" si="45"/>
        <v>0</v>
      </c>
      <c r="P443" s="55" t="str">
        <f t="shared" si="46"/>
        <v/>
      </c>
      <c r="Q443" s="55" t="str">
        <f>IF(P443="","",P443&amp;"|"&amp;COUNTIF(P$6:P443,P443))</f>
        <v/>
      </c>
      <c r="R443" s="55" t="str">
        <f t="shared" si="47"/>
        <v/>
      </c>
      <c r="S443" s="55" t="str">
        <f>IF(R443="","",R443&amp;"|"&amp;COUNTIF(R$6:R443,R443))</f>
        <v/>
      </c>
      <c r="T443" s="55" t="str">
        <f>IF(G443="","",IFERROR(INDEX(Stammdaten!$O$10:$O$69,MATCH(G443,Stammdaten!$N$10:$N$69,0)),G443)&amp;IF(H443="Vormittag"," (VM)",IF(H443="Nachmittag"," (NM)",""))&amp;IF(I443="Angefragt"," ?",""))</f>
        <v/>
      </c>
      <c r="U443" s="55" t="str">
        <f t="shared" si="48"/>
        <v/>
      </c>
    </row>
    <row r="444" spans="2:21" ht="16.5" customHeight="1" x14ac:dyDescent="0.25">
      <c r="B444" s="47" t="str">
        <f t="shared" si="42"/>
        <v/>
      </c>
      <c r="C444" s="48"/>
      <c r="D444" s="49" t="str">
        <f t="shared" si="43"/>
        <v/>
      </c>
      <c r="E444" s="50" t="str">
        <f t="shared" si="44"/>
        <v/>
      </c>
      <c r="F444" s="51"/>
      <c r="G444" s="52"/>
      <c r="H444" s="51"/>
      <c r="I444" s="51"/>
      <c r="J444" s="52"/>
      <c r="K444" s="53" t="str">
        <f>IF(G444="","",IFERROR(INDEX(Stammdaten!$P$10:$P$69,MATCH(G444,Stammdaten!$N$10:$N$69,0)),"–"))</f>
        <v/>
      </c>
      <c r="L444" s="53" t="str">
        <f>IF(F444="","",IFERROR(INDEX(Stammdaten!$D$10:$D$49,MATCH(F444,Stammdaten!$B$10:$B$49,0)),"–"))</f>
        <v/>
      </c>
      <c r="M444" s="54" t="str">
        <f>IF(C444="","",IF(OR(F444="",G444="",I444=""),"unvollständig",IF(I444="Storniert","storniert",IF(WEEKDAY(C444,2)&gt;5,"Wochenende",IF(COUNTIF(Stammdaten!$AD$10:$AD$30,C444)&gt;0,"Feiertag",IF(IFERROR(INDEX(Stammdaten!$I$10:$I$49,MATCH(F444,Stammdaten!$B$10:$B$49,0)),"")="Gesperrt","Platz gesperrt",IF(AND(COUNTIF($P$6:$P$605,P444)&gt;1,NOT(AND(COUNTIF($P$6:$P$605,P444)=2,COUNTIFS($P$6:$P$605,P444,$H$6:$H$605,"Vormittag")=1,COUNTIFS($P$6:$P$605,P444,$H$6:$H$605,"Nachmittag")=1))),"Doppelbuchung",IF(AND(COUNTIF($R$6:$R$605,R444)&gt;1,NOT(AND(COUNTIF($R$6:$R$605,R444)=2,COUNTIFS($R$6:$R$605,R444,$H$6:$H$605,"Vormittag")=1,COUNTIFS($R$6:$R$605,R444,$H$6:$H$605,"Nachmittag")=1))),"Person doppelt","OK"))))))))</f>
        <v/>
      </c>
      <c r="O444" s="55">
        <f t="shared" si="45"/>
        <v>0</v>
      </c>
      <c r="P444" s="55" t="str">
        <f t="shared" si="46"/>
        <v/>
      </c>
      <c r="Q444" s="55" t="str">
        <f>IF(P444="","",P444&amp;"|"&amp;COUNTIF(P$6:P444,P444))</f>
        <v/>
      </c>
      <c r="R444" s="55" t="str">
        <f t="shared" si="47"/>
        <v/>
      </c>
      <c r="S444" s="55" t="str">
        <f>IF(R444="","",R444&amp;"|"&amp;COUNTIF(R$6:R444,R444))</f>
        <v/>
      </c>
      <c r="T444" s="55" t="str">
        <f>IF(G444="","",IFERROR(INDEX(Stammdaten!$O$10:$O$69,MATCH(G444,Stammdaten!$N$10:$N$69,0)),G444)&amp;IF(H444="Vormittag"," (VM)",IF(H444="Nachmittag"," (NM)",""))&amp;IF(I444="Angefragt"," ?",""))</f>
        <v/>
      </c>
      <c r="U444" s="55" t="str">
        <f t="shared" si="48"/>
        <v/>
      </c>
    </row>
    <row r="445" spans="2:21" ht="16.5" customHeight="1" x14ac:dyDescent="0.25">
      <c r="B445" s="47" t="str">
        <f t="shared" si="42"/>
        <v/>
      </c>
      <c r="C445" s="48"/>
      <c r="D445" s="49" t="str">
        <f t="shared" si="43"/>
        <v/>
      </c>
      <c r="E445" s="50" t="str">
        <f t="shared" si="44"/>
        <v/>
      </c>
      <c r="F445" s="51"/>
      <c r="G445" s="52"/>
      <c r="H445" s="51"/>
      <c r="I445" s="51"/>
      <c r="J445" s="52"/>
      <c r="K445" s="53" t="str">
        <f>IF(G445="","",IFERROR(INDEX(Stammdaten!$P$10:$P$69,MATCH(G445,Stammdaten!$N$10:$N$69,0)),"–"))</f>
        <v/>
      </c>
      <c r="L445" s="53" t="str">
        <f>IF(F445="","",IFERROR(INDEX(Stammdaten!$D$10:$D$49,MATCH(F445,Stammdaten!$B$10:$B$49,0)),"–"))</f>
        <v/>
      </c>
      <c r="M445" s="54" t="str">
        <f>IF(C445="","",IF(OR(F445="",G445="",I445=""),"unvollständig",IF(I445="Storniert","storniert",IF(WEEKDAY(C445,2)&gt;5,"Wochenende",IF(COUNTIF(Stammdaten!$AD$10:$AD$30,C445)&gt;0,"Feiertag",IF(IFERROR(INDEX(Stammdaten!$I$10:$I$49,MATCH(F445,Stammdaten!$B$10:$B$49,0)),"")="Gesperrt","Platz gesperrt",IF(AND(COUNTIF($P$6:$P$605,P445)&gt;1,NOT(AND(COUNTIF($P$6:$P$605,P445)=2,COUNTIFS($P$6:$P$605,P445,$H$6:$H$605,"Vormittag")=1,COUNTIFS($P$6:$P$605,P445,$H$6:$H$605,"Nachmittag")=1))),"Doppelbuchung",IF(AND(COUNTIF($R$6:$R$605,R445)&gt;1,NOT(AND(COUNTIF($R$6:$R$605,R445)=2,COUNTIFS($R$6:$R$605,R445,$H$6:$H$605,"Vormittag")=1,COUNTIFS($R$6:$R$605,R445,$H$6:$H$605,"Nachmittag")=1))),"Person doppelt","OK"))))))))</f>
        <v/>
      </c>
      <c r="O445" s="55">
        <f t="shared" si="45"/>
        <v>0</v>
      </c>
      <c r="P445" s="55" t="str">
        <f t="shared" si="46"/>
        <v/>
      </c>
      <c r="Q445" s="55" t="str">
        <f>IF(P445="","",P445&amp;"|"&amp;COUNTIF(P$6:P445,P445))</f>
        <v/>
      </c>
      <c r="R445" s="55" t="str">
        <f t="shared" si="47"/>
        <v/>
      </c>
      <c r="S445" s="55" t="str">
        <f>IF(R445="","",R445&amp;"|"&amp;COUNTIF(R$6:R445,R445))</f>
        <v/>
      </c>
      <c r="T445" s="55" t="str">
        <f>IF(G445="","",IFERROR(INDEX(Stammdaten!$O$10:$O$69,MATCH(G445,Stammdaten!$N$10:$N$69,0)),G445)&amp;IF(H445="Vormittag"," (VM)",IF(H445="Nachmittag"," (NM)",""))&amp;IF(I445="Angefragt"," ?",""))</f>
        <v/>
      </c>
      <c r="U445" s="55" t="str">
        <f t="shared" si="48"/>
        <v/>
      </c>
    </row>
    <row r="446" spans="2:21" ht="16.5" customHeight="1" x14ac:dyDescent="0.25">
      <c r="B446" s="47" t="str">
        <f t="shared" si="42"/>
        <v/>
      </c>
      <c r="C446" s="48"/>
      <c r="D446" s="49" t="str">
        <f t="shared" si="43"/>
        <v/>
      </c>
      <c r="E446" s="50" t="str">
        <f t="shared" si="44"/>
        <v/>
      </c>
      <c r="F446" s="51"/>
      <c r="G446" s="52"/>
      <c r="H446" s="51"/>
      <c r="I446" s="51"/>
      <c r="J446" s="52"/>
      <c r="K446" s="53" t="str">
        <f>IF(G446="","",IFERROR(INDEX(Stammdaten!$P$10:$P$69,MATCH(G446,Stammdaten!$N$10:$N$69,0)),"–"))</f>
        <v/>
      </c>
      <c r="L446" s="53" t="str">
        <f>IF(F446="","",IFERROR(INDEX(Stammdaten!$D$10:$D$49,MATCH(F446,Stammdaten!$B$10:$B$49,0)),"–"))</f>
        <v/>
      </c>
      <c r="M446" s="54" t="str">
        <f>IF(C446="","",IF(OR(F446="",G446="",I446=""),"unvollständig",IF(I446="Storniert","storniert",IF(WEEKDAY(C446,2)&gt;5,"Wochenende",IF(COUNTIF(Stammdaten!$AD$10:$AD$30,C446)&gt;0,"Feiertag",IF(IFERROR(INDEX(Stammdaten!$I$10:$I$49,MATCH(F446,Stammdaten!$B$10:$B$49,0)),"")="Gesperrt","Platz gesperrt",IF(AND(COUNTIF($P$6:$P$605,P446)&gt;1,NOT(AND(COUNTIF($P$6:$P$605,P446)=2,COUNTIFS($P$6:$P$605,P446,$H$6:$H$605,"Vormittag")=1,COUNTIFS($P$6:$P$605,P446,$H$6:$H$605,"Nachmittag")=1))),"Doppelbuchung",IF(AND(COUNTIF($R$6:$R$605,R446)&gt;1,NOT(AND(COUNTIF($R$6:$R$605,R446)=2,COUNTIFS($R$6:$R$605,R446,$H$6:$H$605,"Vormittag")=1,COUNTIFS($R$6:$R$605,R446,$H$6:$H$605,"Nachmittag")=1))),"Person doppelt","OK"))))))))</f>
        <v/>
      </c>
      <c r="O446" s="55">
        <f t="shared" si="45"/>
        <v>0</v>
      </c>
      <c r="P446" s="55" t="str">
        <f t="shared" si="46"/>
        <v/>
      </c>
      <c r="Q446" s="55" t="str">
        <f>IF(P446="","",P446&amp;"|"&amp;COUNTIF(P$6:P446,P446))</f>
        <v/>
      </c>
      <c r="R446" s="55" t="str">
        <f t="shared" si="47"/>
        <v/>
      </c>
      <c r="S446" s="55" t="str">
        <f>IF(R446="","",R446&amp;"|"&amp;COUNTIF(R$6:R446,R446))</f>
        <v/>
      </c>
      <c r="T446" s="55" t="str">
        <f>IF(G446="","",IFERROR(INDEX(Stammdaten!$O$10:$O$69,MATCH(G446,Stammdaten!$N$10:$N$69,0)),G446)&amp;IF(H446="Vormittag"," (VM)",IF(H446="Nachmittag"," (NM)",""))&amp;IF(I446="Angefragt"," ?",""))</f>
        <v/>
      </c>
      <c r="U446" s="55" t="str">
        <f t="shared" si="48"/>
        <v/>
      </c>
    </row>
    <row r="447" spans="2:21" ht="16.5" customHeight="1" x14ac:dyDescent="0.25">
      <c r="B447" s="47" t="str">
        <f t="shared" si="42"/>
        <v/>
      </c>
      <c r="C447" s="48"/>
      <c r="D447" s="49" t="str">
        <f t="shared" si="43"/>
        <v/>
      </c>
      <c r="E447" s="50" t="str">
        <f t="shared" si="44"/>
        <v/>
      </c>
      <c r="F447" s="51"/>
      <c r="G447" s="52"/>
      <c r="H447" s="51"/>
      <c r="I447" s="51"/>
      <c r="J447" s="52"/>
      <c r="K447" s="53" t="str">
        <f>IF(G447="","",IFERROR(INDEX(Stammdaten!$P$10:$P$69,MATCH(G447,Stammdaten!$N$10:$N$69,0)),"–"))</f>
        <v/>
      </c>
      <c r="L447" s="53" t="str">
        <f>IF(F447="","",IFERROR(INDEX(Stammdaten!$D$10:$D$49,MATCH(F447,Stammdaten!$B$10:$B$49,0)),"–"))</f>
        <v/>
      </c>
      <c r="M447" s="54" t="str">
        <f>IF(C447="","",IF(OR(F447="",G447="",I447=""),"unvollständig",IF(I447="Storniert","storniert",IF(WEEKDAY(C447,2)&gt;5,"Wochenende",IF(COUNTIF(Stammdaten!$AD$10:$AD$30,C447)&gt;0,"Feiertag",IF(IFERROR(INDEX(Stammdaten!$I$10:$I$49,MATCH(F447,Stammdaten!$B$10:$B$49,0)),"")="Gesperrt","Platz gesperrt",IF(AND(COUNTIF($P$6:$P$605,P447)&gt;1,NOT(AND(COUNTIF($P$6:$P$605,P447)=2,COUNTIFS($P$6:$P$605,P447,$H$6:$H$605,"Vormittag")=1,COUNTIFS($P$6:$P$605,P447,$H$6:$H$605,"Nachmittag")=1))),"Doppelbuchung",IF(AND(COUNTIF($R$6:$R$605,R447)&gt;1,NOT(AND(COUNTIF($R$6:$R$605,R447)=2,COUNTIFS($R$6:$R$605,R447,$H$6:$H$605,"Vormittag")=1,COUNTIFS($R$6:$R$605,R447,$H$6:$H$605,"Nachmittag")=1))),"Person doppelt","OK"))))))))</f>
        <v/>
      </c>
      <c r="O447" s="55">
        <f t="shared" si="45"/>
        <v>0</v>
      </c>
      <c r="P447" s="55" t="str">
        <f t="shared" si="46"/>
        <v/>
      </c>
      <c r="Q447" s="55" t="str">
        <f>IF(P447="","",P447&amp;"|"&amp;COUNTIF(P$6:P447,P447))</f>
        <v/>
      </c>
      <c r="R447" s="55" t="str">
        <f t="shared" si="47"/>
        <v/>
      </c>
      <c r="S447" s="55" t="str">
        <f>IF(R447="","",R447&amp;"|"&amp;COUNTIF(R$6:R447,R447))</f>
        <v/>
      </c>
      <c r="T447" s="55" t="str">
        <f>IF(G447="","",IFERROR(INDEX(Stammdaten!$O$10:$O$69,MATCH(G447,Stammdaten!$N$10:$N$69,0)),G447)&amp;IF(H447="Vormittag"," (VM)",IF(H447="Nachmittag"," (NM)",""))&amp;IF(I447="Angefragt"," ?",""))</f>
        <v/>
      </c>
      <c r="U447" s="55" t="str">
        <f t="shared" si="48"/>
        <v/>
      </c>
    </row>
    <row r="448" spans="2:21" ht="16.5" customHeight="1" x14ac:dyDescent="0.25">
      <c r="B448" s="47" t="str">
        <f t="shared" si="42"/>
        <v/>
      </c>
      <c r="C448" s="48"/>
      <c r="D448" s="49" t="str">
        <f t="shared" si="43"/>
        <v/>
      </c>
      <c r="E448" s="50" t="str">
        <f t="shared" si="44"/>
        <v/>
      </c>
      <c r="F448" s="51"/>
      <c r="G448" s="52"/>
      <c r="H448" s="51"/>
      <c r="I448" s="51"/>
      <c r="J448" s="52"/>
      <c r="K448" s="53" t="str">
        <f>IF(G448="","",IFERROR(INDEX(Stammdaten!$P$10:$P$69,MATCH(G448,Stammdaten!$N$10:$N$69,0)),"–"))</f>
        <v/>
      </c>
      <c r="L448" s="53" t="str">
        <f>IF(F448="","",IFERROR(INDEX(Stammdaten!$D$10:$D$49,MATCH(F448,Stammdaten!$B$10:$B$49,0)),"–"))</f>
        <v/>
      </c>
      <c r="M448" s="54" t="str">
        <f>IF(C448="","",IF(OR(F448="",G448="",I448=""),"unvollständig",IF(I448="Storniert","storniert",IF(WEEKDAY(C448,2)&gt;5,"Wochenende",IF(COUNTIF(Stammdaten!$AD$10:$AD$30,C448)&gt;0,"Feiertag",IF(IFERROR(INDEX(Stammdaten!$I$10:$I$49,MATCH(F448,Stammdaten!$B$10:$B$49,0)),"")="Gesperrt","Platz gesperrt",IF(AND(COUNTIF($P$6:$P$605,P448)&gt;1,NOT(AND(COUNTIF($P$6:$P$605,P448)=2,COUNTIFS($P$6:$P$605,P448,$H$6:$H$605,"Vormittag")=1,COUNTIFS($P$6:$P$605,P448,$H$6:$H$605,"Nachmittag")=1))),"Doppelbuchung",IF(AND(COUNTIF($R$6:$R$605,R448)&gt;1,NOT(AND(COUNTIF($R$6:$R$605,R448)=2,COUNTIFS($R$6:$R$605,R448,$H$6:$H$605,"Vormittag")=1,COUNTIFS($R$6:$R$605,R448,$H$6:$H$605,"Nachmittag")=1))),"Person doppelt","OK"))))))))</f>
        <v/>
      </c>
      <c r="O448" s="55">
        <f t="shared" si="45"/>
        <v>0</v>
      </c>
      <c r="P448" s="55" t="str">
        <f t="shared" si="46"/>
        <v/>
      </c>
      <c r="Q448" s="55" t="str">
        <f>IF(P448="","",P448&amp;"|"&amp;COUNTIF(P$6:P448,P448))</f>
        <v/>
      </c>
      <c r="R448" s="55" t="str">
        <f t="shared" si="47"/>
        <v/>
      </c>
      <c r="S448" s="55" t="str">
        <f>IF(R448="","",R448&amp;"|"&amp;COUNTIF(R$6:R448,R448))</f>
        <v/>
      </c>
      <c r="T448" s="55" t="str">
        <f>IF(G448="","",IFERROR(INDEX(Stammdaten!$O$10:$O$69,MATCH(G448,Stammdaten!$N$10:$N$69,0)),G448)&amp;IF(H448="Vormittag"," (VM)",IF(H448="Nachmittag"," (NM)",""))&amp;IF(I448="Angefragt"," ?",""))</f>
        <v/>
      </c>
      <c r="U448" s="55" t="str">
        <f t="shared" si="48"/>
        <v/>
      </c>
    </row>
    <row r="449" spans="2:21" ht="16.5" customHeight="1" x14ac:dyDescent="0.25">
      <c r="B449" s="47" t="str">
        <f t="shared" si="42"/>
        <v/>
      </c>
      <c r="C449" s="48"/>
      <c r="D449" s="49" t="str">
        <f t="shared" si="43"/>
        <v/>
      </c>
      <c r="E449" s="50" t="str">
        <f t="shared" si="44"/>
        <v/>
      </c>
      <c r="F449" s="51"/>
      <c r="G449" s="52"/>
      <c r="H449" s="51"/>
      <c r="I449" s="51"/>
      <c r="J449" s="52"/>
      <c r="K449" s="53" t="str">
        <f>IF(G449="","",IFERROR(INDEX(Stammdaten!$P$10:$P$69,MATCH(G449,Stammdaten!$N$10:$N$69,0)),"–"))</f>
        <v/>
      </c>
      <c r="L449" s="53" t="str">
        <f>IF(F449="","",IFERROR(INDEX(Stammdaten!$D$10:$D$49,MATCH(F449,Stammdaten!$B$10:$B$49,0)),"–"))</f>
        <v/>
      </c>
      <c r="M449" s="54" t="str">
        <f>IF(C449="","",IF(OR(F449="",G449="",I449=""),"unvollständig",IF(I449="Storniert","storniert",IF(WEEKDAY(C449,2)&gt;5,"Wochenende",IF(COUNTIF(Stammdaten!$AD$10:$AD$30,C449)&gt;0,"Feiertag",IF(IFERROR(INDEX(Stammdaten!$I$10:$I$49,MATCH(F449,Stammdaten!$B$10:$B$49,0)),"")="Gesperrt","Platz gesperrt",IF(AND(COUNTIF($P$6:$P$605,P449)&gt;1,NOT(AND(COUNTIF($P$6:$P$605,P449)=2,COUNTIFS($P$6:$P$605,P449,$H$6:$H$605,"Vormittag")=1,COUNTIFS($P$6:$P$605,P449,$H$6:$H$605,"Nachmittag")=1))),"Doppelbuchung",IF(AND(COUNTIF($R$6:$R$605,R449)&gt;1,NOT(AND(COUNTIF($R$6:$R$605,R449)=2,COUNTIFS($R$6:$R$605,R449,$H$6:$H$605,"Vormittag")=1,COUNTIFS($R$6:$R$605,R449,$H$6:$H$605,"Nachmittag")=1))),"Person doppelt","OK"))))))))</f>
        <v/>
      </c>
      <c r="O449" s="55">
        <f t="shared" si="45"/>
        <v>0</v>
      </c>
      <c r="P449" s="55" t="str">
        <f t="shared" si="46"/>
        <v/>
      </c>
      <c r="Q449" s="55" t="str">
        <f>IF(P449="","",P449&amp;"|"&amp;COUNTIF(P$6:P449,P449))</f>
        <v/>
      </c>
      <c r="R449" s="55" t="str">
        <f t="shared" si="47"/>
        <v/>
      </c>
      <c r="S449" s="55" t="str">
        <f>IF(R449="","",R449&amp;"|"&amp;COUNTIF(R$6:R449,R449))</f>
        <v/>
      </c>
      <c r="T449" s="55" t="str">
        <f>IF(G449="","",IFERROR(INDEX(Stammdaten!$O$10:$O$69,MATCH(G449,Stammdaten!$N$10:$N$69,0)),G449)&amp;IF(H449="Vormittag"," (VM)",IF(H449="Nachmittag"," (NM)",""))&amp;IF(I449="Angefragt"," ?",""))</f>
        <v/>
      </c>
      <c r="U449" s="55" t="str">
        <f t="shared" si="48"/>
        <v/>
      </c>
    </row>
    <row r="450" spans="2:21" ht="16.5" customHeight="1" x14ac:dyDescent="0.25">
      <c r="B450" s="47" t="str">
        <f t="shared" si="42"/>
        <v/>
      </c>
      <c r="C450" s="48"/>
      <c r="D450" s="49" t="str">
        <f t="shared" si="43"/>
        <v/>
      </c>
      <c r="E450" s="50" t="str">
        <f t="shared" si="44"/>
        <v/>
      </c>
      <c r="F450" s="51"/>
      <c r="G450" s="52"/>
      <c r="H450" s="51"/>
      <c r="I450" s="51"/>
      <c r="J450" s="52"/>
      <c r="K450" s="53" t="str">
        <f>IF(G450="","",IFERROR(INDEX(Stammdaten!$P$10:$P$69,MATCH(G450,Stammdaten!$N$10:$N$69,0)),"–"))</f>
        <v/>
      </c>
      <c r="L450" s="53" t="str">
        <f>IF(F450="","",IFERROR(INDEX(Stammdaten!$D$10:$D$49,MATCH(F450,Stammdaten!$B$10:$B$49,0)),"–"))</f>
        <v/>
      </c>
      <c r="M450" s="54" t="str">
        <f>IF(C450="","",IF(OR(F450="",G450="",I450=""),"unvollständig",IF(I450="Storniert","storniert",IF(WEEKDAY(C450,2)&gt;5,"Wochenende",IF(COUNTIF(Stammdaten!$AD$10:$AD$30,C450)&gt;0,"Feiertag",IF(IFERROR(INDEX(Stammdaten!$I$10:$I$49,MATCH(F450,Stammdaten!$B$10:$B$49,0)),"")="Gesperrt","Platz gesperrt",IF(AND(COUNTIF($P$6:$P$605,P450)&gt;1,NOT(AND(COUNTIF($P$6:$P$605,P450)=2,COUNTIFS($P$6:$P$605,P450,$H$6:$H$605,"Vormittag")=1,COUNTIFS($P$6:$P$605,P450,$H$6:$H$605,"Nachmittag")=1))),"Doppelbuchung",IF(AND(COUNTIF($R$6:$R$605,R450)&gt;1,NOT(AND(COUNTIF($R$6:$R$605,R450)=2,COUNTIFS($R$6:$R$605,R450,$H$6:$H$605,"Vormittag")=1,COUNTIFS($R$6:$R$605,R450,$H$6:$H$605,"Nachmittag")=1))),"Person doppelt","OK"))))))))</f>
        <v/>
      </c>
      <c r="O450" s="55">
        <f t="shared" si="45"/>
        <v>0</v>
      </c>
      <c r="P450" s="55" t="str">
        <f t="shared" si="46"/>
        <v/>
      </c>
      <c r="Q450" s="55" t="str">
        <f>IF(P450="","",P450&amp;"|"&amp;COUNTIF(P$6:P450,P450))</f>
        <v/>
      </c>
      <c r="R450" s="55" t="str">
        <f t="shared" si="47"/>
        <v/>
      </c>
      <c r="S450" s="55" t="str">
        <f>IF(R450="","",R450&amp;"|"&amp;COUNTIF(R$6:R450,R450))</f>
        <v/>
      </c>
      <c r="T450" s="55" t="str">
        <f>IF(G450="","",IFERROR(INDEX(Stammdaten!$O$10:$O$69,MATCH(G450,Stammdaten!$N$10:$N$69,0)),G450)&amp;IF(H450="Vormittag"," (VM)",IF(H450="Nachmittag"," (NM)",""))&amp;IF(I450="Angefragt"," ?",""))</f>
        <v/>
      </c>
      <c r="U450" s="55" t="str">
        <f t="shared" si="48"/>
        <v/>
      </c>
    </row>
    <row r="451" spans="2:21" ht="16.5" customHeight="1" x14ac:dyDescent="0.25">
      <c r="B451" s="47" t="str">
        <f t="shared" si="42"/>
        <v/>
      </c>
      <c r="C451" s="48"/>
      <c r="D451" s="49" t="str">
        <f t="shared" si="43"/>
        <v/>
      </c>
      <c r="E451" s="50" t="str">
        <f t="shared" si="44"/>
        <v/>
      </c>
      <c r="F451" s="51"/>
      <c r="G451" s="52"/>
      <c r="H451" s="51"/>
      <c r="I451" s="51"/>
      <c r="J451" s="52"/>
      <c r="K451" s="53" t="str">
        <f>IF(G451="","",IFERROR(INDEX(Stammdaten!$P$10:$P$69,MATCH(G451,Stammdaten!$N$10:$N$69,0)),"–"))</f>
        <v/>
      </c>
      <c r="L451" s="53" t="str">
        <f>IF(F451="","",IFERROR(INDEX(Stammdaten!$D$10:$D$49,MATCH(F451,Stammdaten!$B$10:$B$49,0)),"–"))</f>
        <v/>
      </c>
      <c r="M451" s="54" t="str">
        <f>IF(C451="","",IF(OR(F451="",G451="",I451=""),"unvollständig",IF(I451="Storniert","storniert",IF(WEEKDAY(C451,2)&gt;5,"Wochenende",IF(COUNTIF(Stammdaten!$AD$10:$AD$30,C451)&gt;0,"Feiertag",IF(IFERROR(INDEX(Stammdaten!$I$10:$I$49,MATCH(F451,Stammdaten!$B$10:$B$49,0)),"")="Gesperrt","Platz gesperrt",IF(AND(COUNTIF($P$6:$P$605,P451)&gt;1,NOT(AND(COUNTIF($P$6:$P$605,P451)=2,COUNTIFS($P$6:$P$605,P451,$H$6:$H$605,"Vormittag")=1,COUNTIFS($P$6:$P$605,P451,$H$6:$H$605,"Nachmittag")=1))),"Doppelbuchung",IF(AND(COUNTIF($R$6:$R$605,R451)&gt;1,NOT(AND(COUNTIF($R$6:$R$605,R451)=2,COUNTIFS($R$6:$R$605,R451,$H$6:$H$605,"Vormittag")=1,COUNTIFS($R$6:$R$605,R451,$H$6:$H$605,"Nachmittag")=1))),"Person doppelt","OK"))))))))</f>
        <v/>
      </c>
      <c r="O451" s="55">
        <f t="shared" si="45"/>
        <v>0</v>
      </c>
      <c r="P451" s="55" t="str">
        <f t="shared" si="46"/>
        <v/>
      </c>
      <c r="Q451" s="55" t="str">
        <f>IF(P451="","",P451&amp;"|"&amp;COUNTIF(P$6:P451,P451))</f>
        <v/>
      </c>
      <c r="R451" s="55" t="str">
        <f t="shared" si="47"/>
        <v/>
      </c>
      <c r="S451" s="55" t="str">
        <f>IF(R451="","",R451&amp;"|"&amp;COUNTIF(R$6:R451,R451))</f>
        <v/>
      </c>
      <c r="T451" s="55" t="str">
        <f>IF(G451="","",IFERROR(INDEX(Stammdaten!$O$10:$O$69,MATCH(G451,Stammdaten!$N$10:$N$69,0)),G451)&amp;IF(H451="Vormittag"," (VM)",IF(H451="Nachmittag"," (NM)",""))&amp;IF(I451="Angefragt"," ?",""))</f>
        <v/>
      </c>
      <c r="U451" s="55" t="str">
        <f t="shared" si="48"/>
        <v/>
      </c>
    </row>
    <row r="452" spans="2:21" ht="16.5" customHeight="1" x14ac:dyDescent="0.25">
      <c r="B452" s="47" t="str">
        <f t="shared" si="42"/>
        <v/>
      </c>
      <c r="C452" s="48"/>
      <c r="D452" s="49" t="str">
        <f t="shared" si="43"/>
        <v/>
      </c>
      <c r="E452" s="50" t="str">
        <f t="shared" si="44"/>
        <v/>
      </c>
      <c r="F452" s="51"/>
      <c r="G452" s="52"/>
      <c r="H452" s="51"/>
      <c r="I452" s="51"/>
      <c r="J452" s="52"/>
      <c r="K452" s="53" t="str">
        <f>IF(G452="","",IFERROR(INDEX(Stammdaten!$P$10:$P$69,MATCH(G452,Stammdaten!$N$10:$N$69,0)),"–"))</f>
        <v/>
      </c>
      <c r="L452" s="53" t="str">
        <f>IF(F452="","",IFERROR(INDEX(Stammdaten!$D$10:$D$49,MATCH(F452,Stammdaten!$B$10:$B$49,0)),"–"))</f>
        <v/>
      </c>
      <c r="M452" s="54" t="str">
        <f>IF(C452="","",IF(OR(F452="",G452="",I452=""),"unvollständig",IF(I452="Storniert","storniert",IF(WEEKDAY(C452,2)&gt;5,"Wochenende",IF(COUNTIF(Stammdaten!$AD$10:$AD$30,C452)&gt;0,"Feiertag",IF(IFERROR(INDEX(Stammdaten!$I$10:$I$49,MATCH(F452,Stammdaten!$B$10:$B$49,0)),"")="Gesperrt","Platz gesperrt",IF(AND(COUNTIF($P$6:$P$605,P452)&gt;1,NOT(AND(COUNTIF($P$6:$P$605,P452)=2,COUNTIFS($P$6:$P$605,P452,$H$6:$H$605,"Vormittag")=1,COUNTIFS($P$6:$P$605,P452,$H$6:$H$605,"Nachmittag")=1))),"Doppelbuchung",IF(AND(COUNTIF($R$6:$R$605,R452)&gt;1,NOT(AND(COUNTIF($R$6:$R$605,R452)=2,COUNTIFS($R$6:$R$605,R452,$H$6:$H$605,"Vormittag")=1,COUNTIFS($R$6:$R$605,R452,$H$6:$H$605,"Nachmittag")=1))),"Person doppelt","OK"))))))))</f>
        <v/>
      </c>
      <c r="O452" s="55">
        <f t="shared" si="45"/>
        <v>0</v>
      </c>
      <c r="P452" s="55" t="str">
        <f t="shared" si="46"/>
        <v/>
      </c>
      <c r="Q452" s="55" t="str">
        <f>IF(P452="","",P452&amp;"|"&amp;COUNTIF(P$6:P452,P452))</f>
        <v/>
      </c>
      <c r="R452" s="55" t="str">
        <f t="shared" si="47"/>
        <v/>
      </c>
      <c r="S452" s="55" t="str">
        <f>IF(R452="","",R452&amp;"|"&amp;COUNTIF(R$6:R452,R452))</f>
        <v/>
      </c>
      <c r="T452" s="55" t="str">
        <f>IF(G452="","",IFERROR(INDEX(Stammdaten!$O$10:$O$69,MATCH(G452,Stammdaten!$N$10:$N$69,0)),G452)&amp;IF(H452="Vormittag"," (VM)",IF(H452="Nachmittag"," (NM)",""))&amp;IF(I452="Angefragt"," ?",""))</f>
        <v/>
      </c>
      <c r="U452" s="55" t="str">
        <f t="shared" si="48"/>
        <v/>
      </c>
    </row>
    <row r="453" spans="2:21" ht="16.5" customHeight="1" x14ac:dyDescent="0.25">
      <c r="B453" s="47" t="str">
        <f t="shared" si="42"/>
        <v/>
      </c>
      <c r="C453" s="48"/>
      <c r="D453" s="49" t="str">
        <f t="shared" si="43"/>
        <v/>
      </c>
      <c r="E453" s="50" t="str">
        <f t="shared" si="44"/>
        <v/>
      </c>
      <c r="F453" s="51"/>
      <c r="G453" s="52"/>
      <c r="H453" s="51"/>
      <c r="I453" s="51"/>
      <c r="J453" s="52"/>
      <c r="K453" s="53" t="str">
        <f>IF(G453="","",IFERROR(INDEX(Stammdaten!$P$10:$P$69,MATCH(G453,Stammdaten!$N$10:$N$69,0)),"–"))</f>
        <v/>
      </c>
      <c r="L453" s="53" t="str">
        <f>IF(F453="","",IFERROR(INDEX(Stammdaten!$D$10:$D$49,MATCH(F453,Stammdaten!$B$10:$B$49,0)),"–"))</f>
        <v/>
      </c>
      <c r="M453" s="54" t="str">
        <f>IF(C453="","",IF(OR(F453="",G453="",I453=""),"unvollständig",IF(I453="Storniert","storniert",IF(WEEKDAY(C453,2)&gt;5,"Wochenende",IF(COUNTIF(Stammdaten!$AD$10:$AD$30,C453)&gt;0,"Feiertag",IF(IFERROR(INDEX(Stammdaten!$I$10:$I$49,MATCH(F453,Stammdaten!$B$10:$B$49,0)),"")="Gesperrt","Platz gesperrt",IF(AND(COUNTIF($P$6:$P$605,P453)&gt;1,NOT(AND(COUNTIF($P$6:$P$605,P453)=2,COUNTIFS($P$6:$P$605,P453,$H$6:$H$605,"Vormittag")=1,COUNTIFS($P$6:$P$605,P453,$H$6:$H$605,"Nachmittag")=1))),"Doppelbuchung",IF(AND(COUNTIF($R$6:$R$605,R453)&gt;1,NOT(AND(COUNTIF($R$6:$R$605,R453)=2,COUNTIFS($R$6:$R$605,R453,$H$6:$H$605,"Vormittag")=1,COUNTIFS($R$6:$R$605,R453,$H$6:$H$605,"Nachmittag")=1))),"Person doppelt","OK"))))))))</f>
        <v/>
      </c>
      <c r="O453" s="55">
        <f t="shared" si="45"/>
        <v>0</v>
      </c>
      <c r="P453" s="55" t="str">
        <f t="shared" si="46"/>
        <v/>
      </c>
      <c r="Q453" s="55" t="str">
        <f>IF(P453="","",P453&amp;"|"&amp;COUNTIF(P$6:P453,P453))</f>
        <v/>
      </c>
      <c r="R453" s="55" t="str">
        <f t="shared" si="47"/>
        <v/>
      </c>
      <c r="S453" s="55" t="str">
        <f>IF(R453="","",R453&amp;"|"&amp;COUNTIF(R$6:R453,R453))</f>
        <v/>
      </c>
      <c r="T453" s="55" t="str">
        <f>IF(G453="","",IFERROR(INDEX(Stammdaten!$O$10:$O$69,MATCH(G453,Stammdaten!$N$10:$N$69,0)),G453)&amp;IF(H453="Vormittag"," (VM)",IF(H453="Nachmittag"," (NM)",""))&amp;IF(I453="Angefragt"," ?",""))</f>
        <v/>
      </c>
      <c r="U453" s="55" t="str">
        <f t="shared" si="48"/>
        <v/>
      </c>
    </row>
    <row r="454" spans="2:21" ht="16.5" customHeight="1" x14ac:dyDescent="0.25">
      <c r="B454" s="47" t="str">
        <f t="shared" ref="B454:B517" si="49">IF(C454="","",ROW()-5)</f>
        <v/>
      </c>
      <c r="C454" s="48"/>
      <c r="D454" s="49" t="str">
        <f t="shared" ref="D454:D517" si="50">IF(C454="","",CHOOSE(WEEKDAY(C454,2),"Mo","Di","Mi","Do","Fr","Sa","So"))</f>
        <v/>
      </c>
      <c r="E454" s="50" t="str">
        <f t="shared" ref="E454:E517" si="51">IF(C454="","",_xlfn.ISOWEEKNUM(C454))</f>
        <v/>
      </c>
      <c r="F454" s="51"/>
      <c r="G454" s="52"/>
      <c r="H454" s="51"/>
      <c r="I454" s="51"/>
      <c r="J454" s="52"/>
      <c r="K454" s="53" t="str">
        <f>IF(G454="","",IFERROR(INDEX(Stammdaten!$P$10:$P$69,MATCH(G454,Stammdaten!$N$10:$N$69,0)),"–"))</f>
        <v/>
      </c>
      <c r="L454" s="53" t="str">
        <f>IF(F454="","",IFERROR(INDEX(Stammdaten!$D$10:$D$49,MATCH(F454,Stammdaten!$B$10:$B$49,0)),"–"))</f>
        <v/>
      </c>
      <c r="M454" s="54" t="str">
        <f>IF(C454="","",IF(OR(F454="",G454="",I454=""),"unvollständig",IF(I454="Storniert","storniert",IF(WEEKDAY(C454,2)&gt;5,"Wochenende",IF(COUNTIF(Stammdaten!$AD$10:$AD$30,C454)&gt;0,"Feiertag",IF(IFERROR(INDEX(Stammdaten!$I$10:$I$49,MATCH(F454,Stammdaten!$B$10:$B$49,0)),"")="Gesperrt","Platz gesperrt",IF(AND(COUNTIF($P$6:$P$605,P454)&gt;1,NOT(AND(COUNTIF($P$6:$P$605,P454)=2,COUNTIFS($P$6:$P$605,P454,$H$6:$H$605,"Vormittag")=1,COUNTIFS($P$6:$P$605,P454,$H$6:$H$605,"Nachmittag")=1))),"Doppelbuchung",IF(AND(COUNTIF($R$6:$R$605,R454)&gt;1,NOT(AND(COUNTIF($R$6:$R$605,R454)=2,COUNTIFS($R$6:$R$605,R454,$H$6:$H$605,"Vormittag")=1,COUNTIFS($R$6:$R$605,R454,$H$6:$H$605,"Nachmittag")=1))),"Person doppelt","OK"))))))))</f>
        <v/>
      </c>
      <c r="O454" s="55">
        <f t="shared" ref="O454:O517" si="52">IF(OR(C454="",I454&lt;&gt;"Bestätigt",M454="Platz gesperrt"),0,IF(H454="Ganztägig",1,0.5))</f>
        <v>0</v>
      </c>
      <c r="P454" s="55" t="str">
        <f t="shared" ref="P454:P517" si="53">IF(OR(C454="",F454="",I454="Storniert"),"",F454&amp;"|"&amp;C454)</f>
        <v/>
      </c>
      <c r="Q454" s="55" t="str">
        <f>IF(P454="","",P454&amp;"|"&amp;COUNTIF(P$6:P454,P454))</f>
        <v/>
      </c>
      <c r="R454" s="55" t="str">
        <f t="shared" ref="R454:R517" si="54">IF(OR(C454="",G454="",I454="Storniert"),"",G454&amp;"|"&amp;C454)</f>
        <v/>
      </c>
      <c r="S454" s="55" t="str">
        <f>IF(R454="","",R454&amp;"|"&amp;COUNTIF(R$6:R454,R454))</f>
        <v/>
      </c>
      <c r="T454" s="55" t="str">
        <f>IF(G454="","",IFERROR(INDEX(Stammdaten!$O$10:$O$69,MATCH(G454,Stammdaten!$N$10:$N$69,0)),G454)&amp;IF(H454="Vormittag"," (VM)",IF(H454="Nachmittag"," (NM)",""))&amp;IF(I454="Angefragt"," ?",""))</f>
        <v/>
      </c>
      <c r="U454" s="55" t="str">
        <f t="shared" ref="U454:U517" si="55">IF(F454="","",F454&amp;IF(H454="Vormittag"," (VM)",IF(H454="Nachmittag"," (NM)",""))&amp;IF(I454="Angefragt"," ?",""))</f>
        <v/>
      </c>
    </row>
    <row r="455" spans="2:21" ht="16.5" customHeight="1" x14ac:dyDescent="0.25">
      <c r="B455" s="47" t="str">
        <f t="shared" si="49"/>
        <v/>
      </c>
      <c r="C455" s="48"/>
      <c r="D455" s="49" t="str">
        <f t="shared" si="50"/>
        <v/>
      </c>
      <c r="E455" s="50" t="str">
        <f t="shared" si="51"/>
        <v/>
      </c>
      <c r="F455" s="51"/>
      <c r="G455" s="52"/>
      <c r="H455" s="51"/>
      <c r="I455" s="51"/>
      <c r="J455" s="52"/>
      <c r="K455" s="53" t="str">
        <f>IF(G455="","",IFERROR(INDEX(Stammdaten!$P$10:$P$69,MATCH(G455,Stammdaten!$N$10:$N$69,0)),"–"))</f>
        <v/>
      </c>
      <c r="L455" s="53" t="str">
        <f>IF(F455="","",IFERROR(INDEX(Stammdaten!$D$10:$D$49,MATCH(F455,Stammdaten!$B$10:$B$49,0)),"–"))</f>
        <v/>
      </c>
      <c r="M455" s="54" t="str">
        <f>IF(C455="","",IF(OR(F455="",G455="",I455=""),"unvollständig",IF(I455="Storniert","storniert",IF(WEEKDAY(C455,2)&gt;5,"Wochenende",IF(COUNTIF(Stammdaten!$AD$10:$AD$30,C455)&gt;0,"Feiertag",IF(IFERROR(INDEX(Stammdaten!$I$10:$I$49,MATCH(F455,Stammdaten!$B$10:$B$49,0)),"")="Gesperrt","Platz gesperrt",IF(AND(COUNTIF($P$6:$P$605,P455)&gt;1,NOT(AND(COUNTIF($P$6:$P$605,P455)=2,COUNTIFS($P$6:$P$605,P455,$H$6:$H$605,"Vormittag")=1,COUNTIFS($P$6:$P$605,P455,$H$6:$H$605,"Nachmittag")=1))),"Doppelbuchung",IF(AND(COUNTIF($R$6:$R$605,R455)&gt;1,NOT(AND(COUNTIF($R$6:$R$605,R455)=2,COUNTIFS($R$6:$R$605,R455,$H$6:$H$605,"Vormittag")=1,COUNTIFS($R$6:$R$605,R455,$H$6:$H$605,"Nachmittag")=1))),"Person doppelt","OK"))))))))</f>
        <v/>
      </c>
      <c r="O455" s="55">
        <f t="shared" si="52"/>
        <v>0</v>
      </c>
      <c r="P455" s="55" t="str">
        <f t="shared" si="53"/>
        <v/>
      </c>
      <c r="Q455" s="55" t="str">
        <f>IF(P455="","",P455&amp;"|"&amp;COUNTIF(P$6:P455,P455))</f>
        <v/>
      </c>
      <c r="R455" s="55" t="str">
        <f t="shared" si="54"/>
        <v/>
      </c>
      <c r="S455" s="55" t="str">
        <f>IF(R455="","",R455&amp;"|"&amp;COUNTIF(R$6:R455,R455))</f>
        <v/>
      </c>
      <c r="T455" s="55" t="str">
        <f>IF(G455="","",IFERROR(INDEX(Stammdaten!$O$10:$O$69,MATCH(G455,Stammdaten!$N$10:$N$69,0)),G455)&amp;IF(H455="Vormittag"," (VM)",IF(H455="Nachmittag"," (NM)",""))&amp;IF(I455="Angefragt"," ?",""))</f>
        <v/>
      </c>
      <c r="U455" s="55" t="str">
        <f t="shared" si="55"/>
        <v/>
      </c>
    </row>
    <row r="456" spans="2:21" ht="16.5" customHeight="1" x14ac:dyDescent="0.25">
      <c r="B456" s="47" t="str">
        <f t="shared" si="49"/>
        <v/>
      </c>
      <c r="C456" s="48"/>
      <c r="D456" s="49" t="str">
        <f t="shared" si="50"/>
        <v/>
      </c>
      <c r="E456" s="50" t="str">
        <f t="shared" si="51"/>
        <v/>
      </c>
      <c r="F456" s="51"/>
      <c r="G456" s="52"/>
      <c r="H456" s="51"/>
      <c r="I456" s="51"/>
      <c r="J456" s="52"/>
      <c r="K456" s="53" t="str">
        <f>IF(G456="","",IFERROR(INDEX(Stammdaten!$P$10:$P$69,MATCH(G456,Stammdaten!$N$10:$N$69,0)),"–"))</f>
        <v/>
      </c>
      <c r="L456" s="53" t="str">
        <f>IF(F456="","",IFERROR(INDEX(Stammdaten!$D$10:$D$49,MATCH(F456,Stammdaten!$B$10:$B$49,0)),"–"))</f>
        <v/>
      </c>
      <c r="M456" s="54" t="str">
        <f>IF(C456="","",IF(OR(F456="",G456="",I456=""),"unvollständig",IF(I456="Storniert","storniert",IF(WEEKDAY(C456,2)&gt;5,"Wochenende",IF(COUNTIF(Stammdaten!$AD$10:$AD$30,C456)&gt;0,"Feiertag",IF(IFERROR(INDEX(Stammdaten!$I$10:$I$49,MATCH(F456,Stammdaten!$B$10:$B$49,0)),"")="Gesperrt","Platz gesperrt",IF(AND(COUNTIF($P$6:$P$605,P456)&gt;1,NOT(AND(COUNTIF($P$6:$P$605,P456)=2,COUNTIFS($P$6:$P$605,P456,$H$6:$H$605,"Vormittag")=1,COUNTIFS($P$6:$P$605,P456,$H$6:$H$605,"Nachmittag")=1))),"Doppelbuchung",IF(AND(COUNTIF($R$6:$R$605,R456)&gt;1,NOT(AND(COUNTIF($R$6:$R$605,R456)=2,COUNTIFS($R$6:$R$605,R456,$H$6:$H$605,"Vormittag")=1,COUNTIFS($R$6:$R$605,R456,$H$6:$H$605,"Nachmittag")=1))),"Person doppelt","OK"))))))))</f>
        <v/>
      </c>
      <c r="O456" s="55">
        <f t="shared" si="52"/>
        <v>0</v>
      </c>
      <c r="P456" s="55" t="str">
        <f t="shared" si="53"/>
        <v/>
      </c>
      <c r="Q456" s="55" t="str">
        <f>IF(P456="","",P456&amp;"|"&amp;COUNTIF(P$6:P456,P456))</f>
        <v/>
      </c>
      <c r="R456" s="55" t="str">
        <f t="shared" si="54"/>
        <v/>
      </c>
      <c r="S456" s="55" t="str">
        <f>IF(R456="","",R456&amp;"|"&amp;COUNTIF(R$6:R456,R456))</f>
        <v/>
      </c>
      <c r="T456" s="55" t="str">
        <f>IF(G456="","",IFERROR(INDEX(Stammdaten!$O$10:$O$69,MATCH(G456,Stammdaten!$N$10:$N$69,0)),G456)&amp;IF(H456="Vormittag"," (VM)",IF(H456="Nachmittag"," (NM)",""))&amp;IF(I456="Angefragt"," ?",""))</f>
        <v/>
      </c>
      <c r="U456" s="55" t="str">
        <f t="shared" si="55"/>
        <v/>
      </c>
    </row>
    <row r="457" spans="2:21" ht="16.5" customHeight="1" x14ac:dyDescent="0.25">
      <c r="B457" s="47" t="str">
        <f t="shared" si="49"/>
        <v/>
      </c>
      <c r="C457" s="48"/>
      <c r="D457" s="49" t="str">
        <f t="shared" si="50"/>
        <v/>
      </c>
      <c r="E457" s="50" t="str">
        <f t="shared" si="51"/>
        <v/>
      </c>
      <c r="F457" s="51"/>
      <c r="G457" s="52"/>
      <c r="H457" s="51"/>
      <c r="I457" s="51"/>
      <c r="J457" s="52"/>
      <c r="K457" s="53" t="str">
        <f>IF(G457="","",IFERROR(INDEX(Stammdaten!$P$10:$P$69,MATCH(G457,Stammdaten!$N$10:$N$69,0)),"–"))</f>
        <v/>
      </c>
      <c r="L457" s="53" t="str">
        <f>IF(F457="","",IFERROR(INDEX(Stammdaten!$D$10:$D$49,MATCH(F457,Stammdaten!$B$10:$B$49,0)),"–"))</f>
        <v/>
      </c>
      <c r="M457" s="54" t="str">
        <f>IF(C457="","",IF(OR(F457="",G457="",I457=""),"unvollständig",IF(I457="Storniert","storniert",IF(WEEKDAY(C457,2)&gt;5,"Wochenende",IF(COUNTIF(Stammdaten!$AD$10:$AD$30,C457)&gt;0,"Feiertag",IF(IFERROR(INDEX(Stammdaten!$I$10:$I$49,MATCH(F457,Stammdaten!$B$10:$B$49,0)),"")="Gesperrt","Platz gesperrt",IF(AND(COUNTIF($P$6:$P$605,P457)&gt;1,NOT(AND(COUNTIF($P$6:$P$605,P457)=2,COUNTIFS($P$6:$P$605,P457,$H$6:$H$605,"Vormittag")=1,COUNTIFS($P$6:$P$605,P457,$H$6:$H$605,"Nachmittag")=1))),"Doppelbuchung",IF(AND(COUNTIF($R$6:$R$605,R457)&gt;1,NOT(AND(COUNTIF($R$6:$R$605,R457)=2,COUNTIFS($R$6:$R$605,R457,$H$6:$H$605,"Vormittag")=1,COUNTIFS($R$6:$R$605,R457,$H$6:$H$605,"Nachmittag")=1))),"Person doppelt","OK"))))))))</f>
        <v/>
      </c>
      <c r="O457" s="55">
        <f t="shared" si="52"/>
        <v>0</v>
      </c>
      <c r="P457" s="55" t="str">
        <f t="shared" si="53"/>
        <v/>
      </c>
      <c r="Q457" s="55" t="str">
        <f>IF(P457="","",P457&amp;"|"&amp;COUNTIF(P$6:P457,P457))</f>
        <v/>
      </c>
      <c r="R457" s="55" t="str">
        <f t="shared" si="54"/>
        <v/>
      </c>
      <c r="S457" s="55" t="str">
        <f>IF(R457="","",R457&amp;"|"&amp;COUNTIF(R$6:R457,R457))</f>
        <v/>
      </c>
      <c r="T457" s="55" t="str">
        <f>IF(G457="","",IFERROR(INDEX(Stammdaten!$O$10:$O$69,MATCH(G457,Stammdaten!$N$10:$N$69,0)),G457)&amp;IF(H457="Vormittag"," (VM)",IF(H457="Nachmittag"," (NM)",""))&amp;IF(I457="Angefragt"," ?",""))</f>
        <v/>
      </c>
      <c r="U457" s="55" t="str">
        <f t="shared" si="55"/>
        <v/>
      </c>
    </row>
    <row r="458" spans="2:21" ht="16.5" customHeight="1" x14ac:dyDescent="0.25">
      <c r="B458" s="47" t="str">
        <f t="shared" si="49"/>
        <v/>
      </c>
      <c r="C458" s="48"/>
      <c r="D458" s="49" t="str">
        <f t="shared" si="50"/>
        <v/>
      </c>
      <c r="E458" s="50" t="str">
        <f t="shared" si="51"/>
        <v/>
      </c>
      <c r="F458" s="51"/>
      <c r="G458" s="52"/>
      <c r="H458" s="51"/>
      <c r="I458" s="51"/>
      <c r="J458" s="52"/>
      <c r="K458" s="53" t="str">
        <f>IF(G458="","",IFERROR(INDEX(Stammdaten!$P$10:$P$69,MATCH(G458,Stammdaten!$N$10:$N$69,0)),"–"))</f>
        <v/>
      </c>
      <c r="L458" s="53" t="str">
        <f>IF(F458="","",IFERROR(INDEX(Stammdaten!$D$10:$D$49,MATCH(F458,Stammdaten!$B$10:$B$49,0)),"–"))</f>
        <v/>
      </c>
      <c r="M458" s="54" t="str">
        <f>IF(C458="","",IF(OR(F458="",G458="",I458=""),"unvollständig",IF(I458="Storniert","storniert",IF(WEEKDAY(C458,2)&gt;5,"Wochenende",IF(COUNTIF(Stammdaten!$AD$10:$AD$30,C458)&gt;0,"Feiertag",IF(IFERROR(INDEX(Stammdaten!$I$10:$I$49,MATCH(F458,Stammdaten!$B$10:$B$49,0)),"")="Gesperrt","Platz gesperrt",IF(AND(COUNTIF($P$6:$P$605,P458)&gt;1,NOT(AND(COUNTIF($P$6:$P$605,P458)=2,COUNTIFS($P$6:$P$605,P458,$H$6:$H$605,"Vormittag")=1,COUNTIFS($P$6:$P$605,P458,$H$6:$H$605,"Nachmittag")=1))),"Doppelbuchung",IF(AND(COUNTIF($R$6:$R$605,R458)&gt;1,NOT(AND(COUNTIF($R$6:$R$605,R458)=2,COUNTIFS($R$6:$R$605,R458,$H$6:$H$605,"Vormittag")=1,COUNTIFS($R$6:$R$605,R458,$H$6:$H$605,"Nachmittag")=1))),"Person doppelt","OK"))))))))</f>
        <v/>
      </c>
      <c r="O458" s="55">
        <f t="shared" si="52"/>
        <v>0</v>
      </c>
      <c r="P458" s="55" t="str">
        <f t="shared" si="53"/>
        <v/>
      </c>
      <c r="Q458" s="55" t="str">
        <f>IF(P458="","",P458&amp;"|"&amp;COUNTIF(P$6:P458,P458))</f>
        <v/>
      </c>
      <c r="R458" s="55" t="str">
        <f t="shared" si="54"/>
        <v/>
      </c>
      <c r="S458" s="55" t="str">
        <f>IF(R458="","",R458&amp;"|"&amp;COUNTIF(R$6:R458,R458))</f>
        <v/>
      </c>
      <c r="T458" s="55" t="str">
        <f>IF(G458="","",IFERROR(INDEX(Stammdaten!$O$10:$O$69,MATCH(G458,Stammdaten!$N$10:$N$69,0)),G458)&amp;IF(H458="Vormittag"," (VM)",IF(H458="Nachmittag"," (NM)",""))&amp;IF(I458="Angefragt"," ?",""))</f>
        <v/>
      </c>
      <c r="U458" s="55" t="str">
        <f t="shared" si="55"/>
        <v/>
      </c>
    </row>
    <row r="459" spans="2:21" ht="16.5" customHeight="1" x14ac:dyDescent="0.25">
      <c r="B459" s="47" t="str">
        <f t="shared" si="49"/>
        <v/>
      </c>
      <c r="C459" s="48"/>
      <c r="D459" s="49" t="str">
        <f t="shared" si="50"/>
        <v/>
      </c>
      <c r="E459" s="50" t="str">
        <f t="shared" si="51"/>
        <v/>
      </c>
      <c r="F459" s="51"/>
      <c r="G459" s="52"/>
      <c r="H459" s="51"/>
      <c r="I459" s="51"/>
      <c r="J459" s="52"/>
      <c r="K459" s="53" t="str">
        <f>IF(G459="","",IFERROR(INDEX(Stammdaten!$P$10:$P$69,MATCH(G459,Stammdaten!$N$10:$N$69,0)),"–"))</f>
        <v/>
      </c>
      <c r="L459" s="53" t="str">
        <f>IF(F459="","",IFERROR(INDEX(Stammdaten!$D$10:$D$49,MATCH(F459,Stammdaten!$B$10:$B$49,0)),"–"))</f>
        <v/>
      </c>
      <c r="M459" s="54" t="str">
        <f>IF(C459="","",IF(OR(F459="",G459="",I459=""),"unvollständig",IF(I459="Storniert","storniert",IF(WEEKDAY(C459,2)&gt;5,"Wochenende",IF(COUNTIF(Stammdaten!$AD$10:$AD$30,C459)&gt;0,"Feiertag",IF(IFERROR(INDEX(Stammdaten!$I$10:$I$49,MATCH(F459,Stammdaten!$B$10:$B$49,0)),"")="Gesperrt","Platz gesperrt",IF(AND(COUNTIF($P$6:$P$605,P459)&gt;1,NOT(AND(COUNTIF($P$6:$P$605,P459)=2,COUNTIFS($P$6:$P$605,P459,$H$6:$H$605,"Vormittag")=1,COUNTIFS($P$6:$P$605,P459,$H$6:$H$605,"Nachmittag")=1))),"Doppelbuchung",IF(AND(COUNTIF($R$6:$R$605,R459)&gt;1,NOT(AND(COUNTIF($R$6:$R$605,R459)=2,COUNTIFS($R$6:$R$605,R459,$H$6:$H$605,"Vormittag")=1,COUNTIFS($R$6:$R$605,R459,$H$6:$H$605,"Nachmittag")=1))),"Person doppelt","OK"))))))))</f>
        <v/>
      </c>
      <c r="O459" s="55">
        <f t="shared" si="52"/>
        <v>0</v>
      </c>
      <c r="P459" s="55" t="str">
        <f t="shared" si="53"/>
        <v/>
      </c>
      <c r="Q459" s="55" t="str">
        <f>IF(P459="","",P459&amp;"|"&amp;COUNTIF(P$6:P459,P459))</f>
        <v/>
      </c>
      <c r="R459" s="55" t="str">
        <f t="shared" si="54"/>
        <v/>
      </c>
      <c r="S459" s="55" t="str">
        <f>IF(R459="","",R459&amp;"|"&amp;COUNTIF(R$6:R459,R459))</f>
        <v/>
      </c>
      <c r="T459" s="55" t="str">
        <f>IF(G459="","",IFERROR(INDEX(Stammdaten!$O$10:$O$69,MATCH(G459,Stammdaten!$N$10:$N$69,0)),G459)&amp;IF(H459="Vormittag"," (VM)",IF(H459="Nachmittag"," (NM)",""))&amp;IF(I459="Angefragt"," ?",""))</f>
        <v/>
      </c>
      <c r="U459" s="55" t="str">
        <f t="shared" si="55"/>
        <v/>
      </c>
    </row>
    <row r="460" spans="2:21" ht="16.5" customHeight="1" x14ac:dyDescent="0.25">
      <c r="B460" s="47" t="str">
        <f t="shared" si="49"/>
        <v/>
      </c>
      <c r="C460" s="48"/>
      <c r="D460" s="49" t="str">
        <f t="shared" si="50"/>
        <v/>
      </c>
      <c r="E460" s="50" t="str">
        <f t="shared" si="51"/>
        <v/>
      </c>
      <c r="F460" s="51"/>
      <c r="G460" s="52"/>
      <c r="H460" s="51"/>
      <c r="I460" s="51"/>
      <c r="J460" s="52"/>
      <c r="K460" s="53" t="str">
        <f>IF(G460="","",IFERROR(INDEX(Stammdaten!$P$10:$P$69,MATCH(G460,Stammdaten!$N$10:$N$69,0)),"–"))</f>
        <v/>
      </c>
      <c r="L460" s="53" t="str">
        <f>IF(F460="","",IFERROR(INDEX(Stammdaten!$D$10:$D$49,MATCH(F460,Stammdaten!$B$10:$B$49,0)),"–"))</f>
        <v/>
      </c>
      <c r="M460" s="54" t="str">
        <f>IF(C460="","",IF(OR(F460="",G460="",I460=""),"unvollständig",IF(I460="Storniert","storniert",IF(WEEKDAY(C460,2)&gt;5,"Wochenende",IF(COUNTIF(Stammdaten!$AD$10:$AD$30,C460)&gt;0,"Feiertag",IF(IFERROR(INDEX(Stammdaten!$I$10:$I$49,MATCH(F460,Stammdaten!$B$10:$B$49,0)),"")="Gesperrt","Platz gesperrt",IF(AND(COUNTIF($P$6:$P$605,P460)&gt;1,NOT(AND(COUNTIF($P$6:$P$605,P460)=2,COUNTIFS($P$6:$P$605,P460,$H$6:$H$605,"Vormittag")=1,COUNTIFS($P$6:$P$605,P460,$H$6:$H$605,"Nachmittag")=1))),"Doppelbuchung",IF(AND(COUNTIF($R$6:$R$605,R460)&gt;1,NOT(AND(COUNTIF($R$6:$R$605,R460)=2,COUNTIFS($R$6:$R$605,R460,$H$6:$H$605,"Vormittag")=1,COUNTIFS($R$6:$R$605,R460,$H$6:$H$605,"Nachmittag")=1))),"Person doppelt","OK"))))))))</f>
        <v/>
      </c>
      <c r="O460" s="55">
        <f t="shared" si="52"/>
        <v>0</v>
      </c>
      <c r="P460" s="55" t="str">
        <f t="shared" si="53"/>
        <v/>
      </c>
      <c r="Q460" s="55" t="str">
        <f>IF(P460="","",P460&amp;"|"&amp;COUNTIF(P$6:P460,P460))</f>
        <v/>
      </c>
      <c r="R460" s="55" t="str">
        <f t="shared" si="54"/>
        <v/>
      </c>
      <c r="S460" s="55" t="str">
        <f>IF(R460="","",R460&amp;"|"&amp;COUNTIF(R$6:R460,R460))</f>
        <v/>
      </c>
      <c r="T460" s="55" t="str">
        <f>IF(G460="","",IFERROR(INDEX(Stammdaten!$O$10:$O$69,MATCH(G460,Stammdaten!$N$10:$N$69,0)),G460)&amp;IF(H460="Vormittag"," (VM)",IF(H460="Nachmittag"," (NM)",""))&amp;IF(I460="Angefragt"," ?",""))</f>
        <v/>
      </c>
      <c r="U460" s="55" t="str">
        <f t="shared" si="55"/>
        <v/>
      </c>
    </row>
    <row r="461" spans="2:21" ht="16.5" customHeight="1" x14ac:dyDescent="0.25">
      <c r="B461" s="47" t="str">
        <f t="shared" si="49"/>
        <v/>
      </c>
      <c r="C461" s="48"/>
      <c r="D461" s="49" t="str">
        <f t="shared" si="50"/>
        <v/>
      </c>
      <c r="E461" s="50" t="str">
        <f t="shared" si="51"/>
        <v/>
      </c>
      <c r="F461" s="51"/>
      <c r="G461" s="52"/>
      <c r="H461" s="51"/>
      <c r="I461" s="51"/>
      <c r="J461" s="52"/>
      <c r="K461" s="53" t="str">
        <f>IF(G461="","",IFERROR(INDEX(Stammdaten!$P$10:$P$69,MATCH(G461,Stammdaten!$N$10:$N$69,0)),"–"))</f>
        <v/>
      </c>
      <c r="L461" s="53" t="str">
        <f>IF(F461="","",IFERROR(INDEX(Stammdaten!$D$10:$D$49,MATCH(F461,Stammdaten!$B$10:$B$49,0)),"–"))</f>
        <v/>
      </c>
      <c r="M461" s="54" t="str">
        <f>IF(C461="","",IF(OR(F461="",G461="",I461=""),"unvollständig",IF(I461="Storniert","storniert",IF(WEEKDAY(C461,2)&gt;5,"Wochenende",IF(COUNTIF(Stammdaten!$AD$10:$AD$30,C461)&gt;0,"Feiertag",IF(IFERROR(INDEX(Stammdaten!$I$10:$I$49,MATCH(F461,Stammdaten!$B$10:$B$49,0)),"")="Gesperrt","Platz gesperrt",IF(AND(COUNTIF($P$6:$P$605,P461)&gt;1,NOT(AND(COUNTIF($P$6:$P$605,P461)=2,COUNTIFS($P$6:$P$605,P461,$H$6:$H$605,"Vormittag")=1,COUNTIFS($P$6:$P$605,P461,$H$6:$H$605,"Nachmittag")=1))),"Doppelbuchung",IF(AND(COUNTIF($R$6:$R$605,R461)&gt;1,NOT(AND(COUNTIF($R$6:$R$605,R461)=2,COUNTIFS($R$6:$R$605,R461,$H$6:$H$605,"Vormittag")=1,COUNTIFS($R$6:$R$605,R461,$H$6:$H$605,"Nachmittag")=1))),"Person doppelt","OK"))))))))</f>
        <v/>
      </c>
      <c r="O461" s="55">
        <f t="shared" si="52"/>
        <v>0</v>
      </c>
      <c r="P461" s="55" t="str">
        <f t="shared" si="53"/>
        <v/>
      </c>
      <c r="Q461" s="55" t="str">
        <f>IF(P461="","",P461&amp;"|"&amp;COUNTIF(P$6:P461,P461))</f>
        <v/>
      </c>
      <c r="R461" s="55" t="str">
        <f t="shared" si="54"/>
        <v/>
      </c>
      <c r="S461" s="55" t="str">
        <f>IF(R461="","",R461&amp;"|"&amp;COUNTIF(R$6:R461,R461))</f>
        <v/>
      </c>
      <c r="T461" s="55" t="str">
        <f>IF(G461="","",IFERROR(INDEX(Stammdaten!$O$10:$O$69,MATCH(G461,Stammdaten!$N$10:$N$69,0)),G461)&amp;IF(H461="Vormittag"," (VM)",IF(H461="Nachmittag"," (NM)",""))&amp;IF(I461="Angefragt"," ?",""))</f>
        <v/>
      </c>
      <c r="U461" s="55" t="str">
        <f t="shared" si="55"/>
        <v/>
      </c>
    </row>
    <row r="462" spans="2:21" ht="16.5" customHeight="1" x14ac:dyDescent="0.25">
      <c r="B462" s="47" t="str">
        <f t="shared" si="49"/>
        <v/>
      </c>
      <c r="C462" s="48"/>
      <c r="D462" s="49" t="str">
        <f t="shared" si="50"/>
        <v/>
      </c>
      <c r="E462" s="50" t="str">
        <f t="shared" si="51"/>
        <v/>
      </c>
      <c r="F462" s="51"/>
      <c r="G462" s="52"/>
      <c r="H462" s="51"/>
      <c r="I462" s="51"/>
      <c r="J462" s="52"/>
      <c r="K462" s="53" t="str">
        <f>IF(G462="","",IFERROR(INDEX(Stammdaten!$P$10:$P$69,MATCH(G462,Stammdaten!$N$10:$N$69,0)),"–"))</f>
        <v/>
      </c>
      <c r="L462" s="53" t="str">
        <f>IF(F462="","",IFERROR(INDEX(Stammdaten!$D$10:$D$49,MATCH(F462,Stammdaten!$B$10:$B$49,0)),"–"))</f>
        <v/>
      </c>
      <c r="M462" s="54" t="str">
        <f>IF(C462="","",IF(OR(F462="",G462="",I462=""),"unvollständig",IF(I462="Storniert","storniert",IF(WEEKDAY(C462,2)&gt;5,"Wochenende",IF(COUNTIF(Stammdaten!$AD$10:$AD$30,C462)&gt;0,"Feiertag",IF(IFERROR(INDEX(Stammdaten!$I$10:$I$49,MATCH(F462,Stammdaten!$B$10:$B$49,0)),"")="Gesperrt","Platz gesperrt",IF(AND(COUNTIF($P$6:$P$605,P462)&gt;1,NOT(AND(COUNTIF($P$6:$P$605,P462)=2,COUNTIFS($P$6:$P$605,P462,$H$6:$H$605,"Vormittag")=1,COUNTIFS($P$6:$P$605,P462,$H$6:$H$605,"Nachmittag")=1))),"Doppelbuchung",IF(AND(COUNTIF($R$6:$R$605,R462)&gt;1,NOT(AND(COUNTIF($R$6:$R$605,R462)=2,COUNTIFS($R$6:$R$605,R462,$H$6:$H$605,"Vormittag")=1,COUNTIFS($R$6:$R$605,R462,$H$6:$H$605,"Nachmittag")=1))),"Person doppelt","OK"))))))))</f>
        <v/>
      </c>
      <c r="O462" s="55">
        <f t="shared" si="52"/>
        <v>0</v>
      </c>
      <c r="P462" s="55" t="str">
        <f t="shared" si="53"/>
        <v/>
      </c>
      <c r="Q462" s="55" t="str">
        <f>IF(P462="","",P462&amp;"|"&amp;COUNTIF(P$6:P462,P462))</f>
        <v/>
      </c>
      <c r="R462" s="55" t="str">
        <f t="shared" si="54"/>
        <v/>
      </c>
      <c r="S462" s="55" t="str">
        <f>IF(R462="","",R462&amp;"|"&amp;COUNTIF(R$6:R462,R462))</f>
        <v/>
      </c>
      <c r="T462" s="55" t="str">
        <f>IF(G462="","",IFERROR(INDEX(Stammdaten!$O$10:$O$69,MATCH(G462,Stammdaten!$N$10:$N$69,0)),G462)&amp;IF(H462="Vormittag"," (VM)",IF(H462="Nachmittag"," (NM)",""))&amp;IF(I462="Angefragt"," ?",""))</f>
        <v/>
      </c>
      <c r="U462" s="55" t="str">
        <f t="shared" si="55"/>
        <v/>
      </c>
    </row>
    <row r="463" spans="2:21" ht="16.5" customHeight="1" x14ac:dyDescent="0.25">
      <c r="B463" s="47" t="str">
        <f t="shared" si="49"/>
        <v/>
      </c>
      <c r="C463" s="48"/>
      <c r="D463" s="49" t="str">
        <f t="shared" si="50"/>
        <v/>
      </c>
      <c r="E463" s="50" t="str">
        <f t="shared" si="51"/>
        <v/>
      </c>
      <c r="F463" s="51"/>
      <c r="G463" s="52"/>
      <c r="H463" s="51"/>
      <c r="I463" s="51"/>
      <c r="J463" s="52"/>
      <c r="K463" s="53" t="str">
        <f>IF(G463="","",IFERROR(INDEX(Stammdaten!$P$10:$P$69,MATCH(G463,Stammdaten!$N$10:$N$69,0)),"–"))</f>
        <v/>
      </c>
      <c r="L463" s="53" t="str">
        <f>IF(F463="","",IFERROR(INDEX(Stammdaten!$D$10:$D$49,MATCH(F463,Stammdaten!$B$10:$B$49,0)),"–"))</f>
        <v/>
      </c>
      <c r="M463" s="54" t="str">
        <f>IF(C463="","",IF(OR(F463="",G463="",I463=""),"unvollständig",IF(I463="Storniert","storniert",IF(WEEKDAY(C463,2)&gt;5,"Wochenende",IF(COUNTIF(Stammdaten!$AD$10:$AD$30,C463)&gt;0,"Feiertag",IF(IFERROR(INDEX(Stammdaten!$I$10:$I$49,MATCH(F463,Stammdaten!$B$10:$B$49,0)),"")="Gesperrt","Platz gesperrt",IF(AND(COUNTIF($P$6:$P$605,P463)&gt;1,NOT(AND(COUNTIF($P$6:$P$605,P463)=2,COUNTIFS($P$6:$P$605,P463,$H$6:$H$605,"Vormittag")=1,COUNTIFS($P$6:$P$605,P463,$H$6:$H$605,"Nachmittag")=1))),"Doppelbuchung",IF(AND(COUNTIF($R$6:$R$605,R463)&gt;1,NOT(AND(COUNTIF($R$6:$R$605,R463)=2,COUNTIFS($R$6:$R$605,R463,$H$6:$H$605,"Vormittag")=1,COUNTIFS($R$6:$R$605,R463,$H$6:$H$605,"Nachmittag")=1))),"Person doppelt","OK"))))))))</f>
        <v/>
      </c>
      <c r="O463" s="55">
        <f t="shared" si="52"/>
        <v>0</v>
      </c>
      <c r="P463" s="55" t="str">
        <f t="shared" si="53"/>
        <v/>
      </c>
      <c r="Q463" s="55" t="str">
        <f>IF(P463="","",P463&amp;"|"&amp;COUNTIF(P$6:P463,P463))</f>
        <v/>
      </c>
      <c r="R463" s="55" t="str">
        <f t="shared" si="54"/>
        <v/>
      </c>
      <c r="S463" s="55" t="str">
        <f>IF(R463="","",R463&amp;"|"&amp;COUNTIF(R$6:R463,R463))</f>
        <v/>
      </c>
      <c r="T463" s="55" t="str">
        <f>IF(G463="","",IFERROR(INDEX(Stammdaten!$O$10:$O$69,MATCH(G463,Stammdaten!$N$10:$N$69,0)),G463)&amp;IF(H463="Vormittag"," (VM)",IF(H463="Nachmittag"," (NM)",""))&amp;IF(I463="Angefragt"," ?",""))</f>
        <v/>
      </c>
      <c r="U463" s="55" t="str">
        <f t="shared" si="55"/>
        <v/>
      </c>
    </row>
    <row r="464" spans="2:21" ht="16.5" customHeight="1" x14ac:dyDescent="0.25">
      <c r="B464" s="47" t="str">
        <f t="shared" si="49"/>
        <v/>
      </c>
      <c r="C464" s="48"/>
      <c r="D464" s="49" t="str">
        <f t="shared" si="50"/>
        <v/>
      </c>
      <c r="E464" s="50" t="str">
        <f t="shared" si="51"/>
        <v/>
      </c>
      <c r="F464" s="51"/>
      <c r="G464" s="52"/>
      <c r="H464" s="51"/>
      <c r="I464" s="51"/>
      <c r="J464" s="52"/>
      <c r="K464" s="53" t="str">
        <f>IF(G464="","",IFERROR(INDEX(Stammdaten!$P$10:$P$69,MATCH(G464,Stammdaten!$N$10:$N$69,0)),"–"))</f>
        <v/>
      </c>
      <c r="L464" s="53" t="str">
        <f>IF(F464="","",IFERROR(INDEX(Stammdaten!$D$10:$D$49,MATCH(F464,Stammdaten!$B$10:$B$49,0)),"–"))</f>
        <v/>
      </c>
      <c r="M464" s="54" t="str">
        <f>IF(C464="","",IF(OR(F464="",G464="",I464=""),"unvollständig",IF(I464="Storniert","storniert",IF(WEEKDAY(C464,2)&gt;5,"Wochenende",IF(COUNTIF(Stammdaten!$AD$10:$AD$30,C464)&gt;0,"Feiertag",IF(IFERROR(INDEX(Stammdaten!$I$10:$I$49,MATCH(F464,Stammdaten!$B$10:$B$49,0)),"")="Gesperrt","Platz gesperrt",IF(AND(COUNTIF($P$6:$P$605,P464)&gt;1,NOT(AND(COUNTIF($P$6:$P$605,P464)=2,COUNTIFS($P$6:$P$605,P464,$H$6:$H$605,"Vormittag")=1,COUNTIFS($P$6:$P$605,P464,$H$6:$H$605,"Nachmittag")=1))),"Doppelbuchung",IF(AND(COUNTIF($R$6:$R$605,R464)&gt;1,NOT(AND(COUNTIF($R$6:$R$605,R464)=2,COUNTIFS($R$6:$R$605,R464,$H$6:$H$605,"Vormittag")=1,COUNTIFS($R$6:$R$605,R464,$H$6:$H$605,"Nachmittag")=1))),"Person doppelt","OK"))))))))</f>
        <v/>
      </c>
      <c r="O464" s="55">
        <f t="shared" si="52"/>
        <v>0</v>
      </c>
      <c r="P464" s="55" t="str">
        <f t="shared" si="53"/>
        <v/>
      </c>
      <c r="Q464" s="55" t="str">
        <f>IF(P464="","",P464&amp;"|"&amp;COUNTIF(P$6:P464,P464))</f>
        <v/>
      </c>
      <c r="R464" s="55" t="str">
        <f t="shared" si="54"/>
        <v/>
      </c>
      <c r="S464" s="55" t="str">
        <f>IF(R464="","",R464&amp;"|"&amp;COUNTIF(R$6:R464,R464))</f>
        <v/>
      </c>
      <c r="T464" s="55" t="str">
        <f>IF(G464="","",IFERROR(INDEX(Stammdaten!$O$10:$O$69,MATCH(G464,Stammdaten!$N$10:$N$69,0)),G464)&amp;IF(H464="Vormittag"," (VM)",IF(H464="Nachmittag"," (NM)",""))&amp;IF(I464="Angefragt"," ?",""))</f>
        <v/>
      </c>
      <c r="U464" s="55" t="str">
        <f t="shared" si="55"/>
        <v/>
      </c>
    </row>
    <row r="465" spans="2:21" ht="16.5" customHeight="1" x14ac:dyDescent="0.25">
      <c r="B465" s="47" t="str">
        <f t="shared" si="49"/>
        <v/>
      </c>
      <c r="C465" s="48"/>
      <c r="D465" s="49" t="str">
        <f t="shared" si="50"/>
        <v/>
      </c>
      <c r="E465" s="50" t="str">
        <f t="shared" si="51"/>
        <v/>
      </c>
      <c r="F465" s="51"/>
      <c r="G465" s="52"/>
      <c r="H465" s="51"/>
      <c r="I465" s="51"/>
      <c r="J465" s="52"/>
      <c r="K465" s="53" t="str">
        <f>IF(G465="","",IFERROR(INDEX(Stammdaten!$P$10:$P$69,MATCH(G465,Stammdaten!$N$10:$N$69,0)),"–"))</f>
        <v/>
      </c>
      <c r="L465" s="53" t="str">
        <f>IF(F465="","",IFERROR(INDEX(Stammdaten!$D$10:$D$49,MATCH(F465,Stammdaten!$B$10:$B$49,0)),"–"))</f>
        <v/>
      </c>
      <c r="M465" s="54" t="str">
        <f>IF(C465="","",IF(OR(F465="",G465="",I465=""),"unvollständig",IF(I465="Storniert","storniert",IF(WEEKDAY(C465,2)&gt;5,"Wochenende",IF(COUNTIF(Stammdaten!$AD$10:$AD$30,C465)&gt;0,"Feiertag",IF(IFERROR(INDEX(Stammdaten!$I$10:$I$49,MATCH(F465,Stammdaten!$B$10:$B$49,0)),"")="Gesperrt","Platz gesperrt",IF(AND(COUNTIF($P$6:$P$605,P465)&gt;1,NOT(AND(COUNTIF($P$6:$P$605,P465)=2,COUNTIFS($P$6:$P$605,P465,$H$6:$H$605,"Vormittag")=1,COUNTIFS($P$6:$P$605,P465,$H$6:$H$605,"Nachmittag")=1))),"Doppelbuchung",IF(AND(COUNTIF($R$6:$R$605,R465)&gt;1,NOT(AND(COUNTIF($R$6:$R$605,R465)=2,COUNTIFS($R$6:$R$605,R465,$H$6:$H$605,"Vormittag")=1,COUNTIFS($R$6:$R$605,R465,$H$6:$H$605,"Nachmittag")=1))),"Person doppelt","OK"))))))))</f>
        <v/>
      </c>
      <c r="O465" s="55">
        <f t="shared" si="52"/>
        <v>0</v>
      </c>
      <c r="P465" s="55" t="str">
        <f t="shared" si="53"/>
        <v/>
      </c>
      <c r="Q465" s="55" t="str">
        <f>IF(P465="","",P465&amp;"|"&amp;COUNTIF(P$6:P465,P465))</f>
        <v/>
      </c>
      <c r="R465" s="55" t="str">
        <f t="shared" si="54"/>
        <v/>
      </c>
      <c r="S465" s="55" t="str">
        <f>IF(R465="","",R465&amp;"|"&amp;COUNTIF(R$6:R465,R465))</f>
        <v/>
      </c>
      <c r="T465" s="55" t="str">
        <f>IF(G465="","",IFERROR(INDEX(Stammdaten!$O$10:$O$69,MATCH(G465,Stammdaten!$N$10:$N$69,0)),G465)&amp;IF(H465="Vormittag"," (VM)",IF(H465="Nachmittag"," (NM)",""))&amp;IF(I465="Angefragt"," ?",""))</f>
        <v/>
      </c>
      <c r="U465" s="55" t="str">
        <f t="shared" si="55"/>
        <v/>
      </c>
    </row>
    <row r="466" spans="2:21" ht="16.5" customHeight="1" x14ac:dyDescent="0.25">
      <c r="B466" s="47" t="str">
        <f t="shared" si="49"/>
        <v/>
      </c>
      <c r="C466" s="48"/>
      <c r="D466" s="49" t="str">
        <f t="shared" si="50"/>
        <v/>
      </c>
      <c r="E466" s="50" t="str">
        <f t="shared" si="51"/>
        <v/>
      </c>
      <c r="F466" s="51"/>
      <c r="G466" s="52"/>
      <c r="H466" s="51"/>
      <c r="I466" s="51"/>
      <c r="J466" s="52"/>
      <c r="K466" s="53" t="str">
        <f>IF(G466="","",IFERROR(INDEX(Stammdaten!$P$10:$P$69,MATCH(G466,Stammdaten!$N$10:$N$69,0)),"–"))</f>
        <v/>
      </c>
      <c r="L466" s="53" t="str">
        <f>IF(F466="","",IFERROR(INDEX(Stammdaten!$D$10:$D$49,MATCH(F466,Stammdaten!$B$10:$B$49,0)),"–"))</f>
        <v/>
      </c>
      <c r="M466" s="54" t="str">
        <f>IF(C466="","",IF(OR(F466="",G466="",I466=""),"unvollständig",IF(I466="Storniert","storniert",IF(WEEKDAY(C466,2)&gt;5,"Wochenende",IF(COUNTIF(Stammdaten!$AD$10:$AD$30,C466)&gt;0,"Feiertag",IF(IFERROR(INDEX(Stammdaten!$I$10:$I$49,MATCH(F466,Stammdaten!$B$10:$B$49,0)),"")="Gesperrt","Platz gesperrt",IF(AND(COUNTIF($P$6:$P$605,P466)&gt;1,NOT(AND(COUNTIF($P$6:$P$605,P466)=2,COUNTIFS($P$6:$P$605,P466,$H$6:$H$605,"Vormittag")=1,COUNTIFS($P$6:$P$605,P466,$H$6:$H$605,"Nachmittag")=1))),"Doppelbuchung",IF(AND(COUNTIF($R$6:$R$605,R466)&gt;1,NOT(AND(COUNTIF($R$6:$R$605,R466)=2,COUNTIFS($R$6:$R$605,R466,$H$6:$H$605,"Vormittag")=1,COUNTIFS($R$6:$R$605,R466,$H$6:$H$605,"Nachmittag")=1))),"Person doppelt","OK"))))))))</f>
        <v/>
      </c>
      <c r="O466" s="55">
        <f t="shared" si="52"/>
        <v>0</v>
      </c>
      <c r="P466" s="55" t="str">
        <f t="shared" si="53"/>
        <v/>
      </c>
      <c r="Q466" s="55" t="str">
        <f>IF(P466="","",P466&amp;"|"&amp;COUNTIF(P$6:P466,P466))</f>
        <v/>
      </c>
      <c r="R466" s="55" t="str">
        <f t="shared" si="54"/>
        <v/>
      </c>
      <c r="S466" s="55" t="str">
        <f>IF(R466="","",R466&amp;"|"&amp;COUNTIF(R$6:R466,R466))</f>
        <v/>
      </c>
      <c r="T466" s="55" t="str">
        <f>IF(G466="","",IFERROR(INDEX(Stammdaten!$O$10:$O$69,MATCH(G466,Stammdaten!$N$10:$N$69,0)),G466)&amp;IF(H466="Vormittag"," (VM)",IF(H466="Nachmittag"," (NM)",""))&amp;IF(I466="Angefragt"," ?",""))</f>
        <v/>
      </c>
      <c r="U466" s="55" t="str">
        <f t="shared" si="55"/>
        <v/>
      </c>
    </row>
    <row r="467" spans="2:21" ht="16.5" customHeight="1" x14ac:dyDescent="0.25">
      <c r="B467" s="47" t="str">
        <f t="shared" si="49"/>
        <v/>
      </c>
      <c r="C467" s="48"/>
      <c r="D467" s="49" t="str">
        <f t="shared" si="50"/>
        <v/>
      </c>
      <c r="E467" s="50" t="str">
        <f t="shared" si="51"/>
        <v/>
      </c>
      <c r="F467" s="51"/>
      <c r="G467" s="52"/>
      <c r="H467" s="51"/>
      <c r="I467" s="51"/>
      <c r="J467" s="52"/>
      <c r="K467" s="53" t="str">
        <f>IF(G467="","",IFERROR(INDEX(Stammdaten!$P$10:$P$69,MATCH(G467,Stammdaten!$N$10:$N$69,0)),"–"))</f>
        <v/>
      </c>
      <c r="L467" s="53" t="str">
        <f>IF(F467="","",IFERROR(INDEX(Stammdaten!$D$10:$D$49,MATCH(F467,Stammdaten!$B$10:$B$49,0)),"–"))</f>
        <v/>
      </c>
      <c r="M467" s="54" t="str">
        <f>IF(C467="","",IF(OR(F467="",G467="",I467=""),"unvollständig",IF(I467="Storniert","storniert",IF(WEEKDAY(C467,2)&gt;5,"Wochenende",IF(COUNTIF(Stammdaten!$AD$10:$AD$30,C467)&gt;0,"Feiertag",IF(IFERROR(INDEX(Stammdaten!$I$10:$I$49,MATCH(F467,Stammdaten!$B$10:$B$49,0)),"")="Gesperrt","Platz gesperrt",IF(AND(COUNTIF($P$6:$P$605,P467)&gt;1,NOT(AND(COUNTIF($P$6:$P$605,P467)=2,COUNTIFS($P$6:$P$605,P467,$H$6:$H$605,"Vormittag")=1,COUNTIFS($P$6:$P$605,P467,$H$6:$H$605,"Nachmittag")=1))),"Doppelbuchung",IF(AND(COUNTIF($R$6:$R$605,R467)&gt;1,NOT(AND(COUNTIF($R$6:$R$605,R467)=2,COUNTIFS($R$6:$R$605,R467,$H$6:$H$605,"Vormittag")=1,COUNTIFS($R$6:$R$605,R467,$H$6:$H$605,"Nachmittag")=1))),"Person doppelt","OK"))))))))</f>
        <v/>
      </c>
      <c r="O467" s="55">
        <f t="shared" si="52"/>
        <v>0</v>
      </c>
      <c r="P467" s="55" t="str">
        <f t="shared" si="53"/>
        <v/>
      </c>
      <c r="Q467" s="55" t="str">
        <f>IF(P467="","",P467&amp;"|"&amp;COUNTIF(P$6:P467,P467))</f>
        <v/>
      </c>
      <c r="R467" s="55" t="str">
        <f t="shared" si="54"/>
        <v/>
      </c>
      <c r="S467" s="55" t="str">
        <f>IF(R467="","",R467&amp;"|"&amp;COUNTIF(R$6:R467,R467))</f>
        <v/>
      </c>
      <c r="T467" s="55" t="str">
        <f>IF(G467="","",IFERROR(INDEX(Stammdaten!$O$10:$O$69,MATCH(G467,Stammdaten!$N$10:$N$69,0)),G467)&amp;IF(H467="Vormittag"," (VM)",IF(H467="Nachmittag"," (NM)",""))&amp;IF(I467="Angefragt"," ?",""))</f>
        <v/>
      </c>
      <c r="U467" s="55" t="str">
        <f t="shared" si="55"/>
        <v/>
      </c>
    </row>
    <row r="468" spans="2:21" ht="16.5" customHeight="1" x14ac:dyDescent="0.25">
      <c r="B468" s="47" t="str">
        <f t="shared" si="49"/>
        <v/>
      </c>
      <c r="C468" s="48"/>
      <c r="D468" s="49" t="str">
        <f t="shared" si="50"/>
        <v/>
      </c>
      <c r="E468" s="50" t="str">
        <f t="shared" si="51"/>
        <v/>
      </c>
      <c r="F468" s="51"/>
      <c r="G468" s="52"/>
      <c r="H468" s="51"/>
      <c r="I468" s="51"/>
      <c r="J468" s="52"/>
      <c r="K468" s="53" t="str">
        <f>IF(G468="","",IFERROR(INDEX(Stammdaten!$P$10:$P$69,MATCH(G468,Stammdaten!$N$10:$N$69,0)),"–"))</f>
        <v/>
      </c>
      <c r="L468" s="53" t="str">
        <f>IF(F468="","",IFERROR(INDEX(Stammdaten!$D$10:$D$49,MATCH(F468,Stammdaten!$B$10:$B$49,0)),"–"))</f>
        <v/>
      </c>
      <c r="M468" s="54" t="str">
        <f>IF(C468="","",IF(OR(F468="",G468="",I468=""),"unvollständig",IF(I468="Storniert","storniert",IF(WEEKDAY(C468,2)&gt;5,"Wochenende",IF(COUNTIF(Stammdaten!$AD$10:$AD$30,C468)&gt;0,"Feiertag",IF(IFERROR(INDEX(Stammdaten!$I$10:$I$49,MATCH(F468,Stammdaten!$B$10:$B$49,0)),"")="Gesperrt","Platz gesperrt",IF(AND(COUNTIF($P$6:$P$605,P468)&gt;1,NOT(AND(COUNTIF($P$6:$P$605,P468)=2,COUNTIFS($P$6:$P$605,P468,$H$6:$H$605,"Vormittag")=1,COUNTIFS($P$6:$P$605,P468,$H$6:$H$605,"Nachmittag")=1))),"Doppelbuchung",IF(AND(COUNTIF($R$6:$R$605,R468)&gt;1,NOT(AND(COUNTIF($R$6:$R$605,R468)=2,COUNTIFS($R$6:$R$605,R468,$H$6:$H$605,"Vormittag")=1,COUNTIFS($R$6:$R$605,R468,$H$6:$H$605,"Nachmittag")=1))),"Person doppelt","OK"))))))))</f>
        <v/>
      </c>
      <c r="O468" s="55">
        <f t="shared" si="52"/>
        <v>0</v>
      </c>
      <c r="P468" s="55" t="str">
        <f t="shared" si="53"/>
        <v/>
      </c>
      <c r="Q468" s="55" t="str">
        <f>IF(P468="","",P468&amp;"|"&amp;COUNTIF(P$6:P468,P468))</f>
        <v/>
      </c>
      <c r="R468" s="55" t="str">
        <f t="shared" si="54"/>
        <v/>
      </c>
      <c r="S468" s="55" t="str">
        <f>IF(R468="","",R468&amp;"|"&amp;COUNTIF(R$6:R468,R468))</f>
        <v/>
      </c>
      <c r="T468" s="55" t="str">
        <f>IF(G468="","",IFERROR(INDEX(Stammdaten!$O$10:$O$69,MATCH(G468,Stammdaten!$N$10:$N$69,0)),G468)&amp;IF(H468="Vormittag"," (VM)",IF(H468="Nachmittag"," (NM)",""))&amp;IF(I468="Angefragt"," ?",""))</f>
        <v/>
      </c>
      <c r="U468" s="55" t="str">
        <f t="shared" si="55"/>
        <v/>
      </c>
    </row>
    <row r="469" spans="2:21" ht="16.5" customHeight="1" x14ac:dyDescent="0.25">
      <c r="B469" s="47" t="str">
        <f t="shared" si="49"/>
        <v/>
      </c>
      <c r="C469" s="48"/>
      <c r="D469" s="49" t="str">
        <f t="shared" si="50"/>
        <v/>
      </c>
      <c r="E469" s="50" t="str">
        <f t="shared" si="51"/>
        <v/>
      </c>
      <c r="F469" s="51"/>
      <c r="G469" s="52"/>
      <c r="H469" s="51"/>
      <c r="I469" s="51"/>
      <c r="J469" s="52"/>
      <c r="K469" s="53" t="str">
        <f>IF(G469="","",IFERROR(INDEX(Stammdaten!$P$10:$P$69,MATCH(G469,Stammdaten!$N$10:$N$69,0)),"–"))</f>
        <v/>
      </c>
      <c r="L469" s="53" t="str">
        <f>IF(F469="","",IFERROR(INDEX(Stammdaten!$D$10:$D$49,MATCH(F469,Stammdaten!$B$10:$B$49,0)),"–"))</f>
        <v/>
      </c>
      <c r="M469" s="54" t="str">
        <f>IF(C469="","",IF(OR(F469="",G469="",I469=""),"unvollständig",IF(I469="Storniert","storniert",IF(WEEKDAY(C469,2)&gt;5,"Wochenende",IF(COUNTIF(Stammdaten!$AD$10:$AD$30,C469)&gt;0,"Feiertag",IF(IFERROR(INDEX(Stammdaten!$I$10:$I$49,MATCH(F469,Stammdaten!$B$10:$B$49,0)),"")="Gesperrt","Platz gesperrt",IF(AND(COUNTIF($P$6:$P$605,P469)&gt;1,NOT(AND(COUNTIF($P$6:$P$605,P469)=2,COUNTIFS($P$6:$P$605,P469,$H$6:$H$605,"Vormittag")=1,COUNTIFS($P$6:$P$605,P469,$H$6:$H$605,"Nachmittag")=1))),"Doppelbuchung",IF(AND(COUNTIF($R$6:$R$605,R469)&gt;1,NOT(AND(COUNTIF($R$6:$R$605,R469)=2,COUNTIFS($R$6:$R$605,R469,$H$6:$H$605,"Vormittag")=1,COUNTIFS($R$6:$R$605,R469,$H$6:$H$605,"Nachmittag")=1))),"Person doppelt","OK"))))))))</f>
        <v/>
      </c>
      <c r="O469" s="55">
        <f t="shared" si="52"/>
        <v>0</v>
      </c>
      <c r="P469" s="55" t="str">
        <f t="shared" si="53"/>
        <v/>
      </c>
      <c r="Q469" s="55" t="str">
        <f>IF(P469="","",P469&amp;"|"&amp;COUNTIF(P$6:P469,P469))</f>
        <v/>
      </c>
      <c r="R469" s="55" t="str">
        <f t="shared" si="54"/>
        <v/>
      </c>
      <c r="S469" s="55" t="str">
        <f>IF(R469="","",R469&amp;"|"&amp;COUNTIF(R$6:R469,R469))</f>
        <v/>
      </c>
      <c r="T469" s="55" t="str">
        <f>IF(G469="","",IFERROR(INDEX(Stammdaten!$O$10:$O$69,MATCH(G469,Stammdaten!$N$10:$N$69,0)),G469)&amp;IF(H469="Vormittag"," (VM)",IF(H469="Nachmittag"," (NM)",""))&amp;IF(I469="Angefragt"," ?",""))</f>
        <v/>
      </c>
      <c r="U469" s="55" t="str">
        <f t="shared" si="55"/>
        <v/>
      </c>
    </row>
    <row r="470" spans="2:21" ht="16.5" customHeight="1" x14ac:dyDescent="0.25">
      <c r="B470" s="47" t="str">
        <f t="shared" si="49"/>
        <v/>
      </c>
      <c r="C470" s="48"/>
      <c r="D470" s="49" t="str">
        <f t="shared" si="50"/>
        <v/>
      </c>
      <c r="E470" s="50" t="str">
        <f t="shared" si="51"/>
        <v/>
      </c>
      <c r="F470" s="51"/>
      <c r="G470" s="52"/>
      <c r="H470" s="51"/>
      <c r="I470" s="51"/>
      <c r="J470" s="52"/>
      <c r="K470" s="53" t="str">
        <f>IF(G470="","",IFERROR(INDEX(Stammdaten!$P$10:$P$69,MATCH(G470,Stammdaten!$N$10:$N$69,0)),"–"))</f>
        <v/>
      </c>
      <c r="L470" s="53" t="str">
        <f>IF(F470="","",IFERROR(INDEX(Stammdaten!$D$10:$D$49,MATCH(F470,Stammdaten!$B$10:$B$49,0)),"–"))</f>
        <v/>
      </c>
      <c r="M470" s="54" t="str">
        <f>IF(C470="","",IF(OR(F470="",G470="",I470=""),"unvollständig",IF(I470="Storniert","storniert",IF(WEEKDAY(C470,2)&gt;5,"Wochenende",IF(COUNTIF(Stammdaten!$AD$10:$AD$30,C470)&gt;0,"Feiertag",IF(IFERROR(INDEX(Stammdaten!$I$10:$I$49,MATCH(F470,Stammdaten!$B$10:$B$49,0)),"")="Gesperrt","Platz gesperrt",IF(AND(COUNTIF($P$6:$P$605,P470)&gt;1,NOT(AND(COUNTIF($P$6:$P$605,P470)=2,COUNTIFS($P$6:$P$605,P470,$H$6:$H$605,"Vormittag")=1,COUNTIFS($P$6:$P$605,P470,$H$6:$H$605,"Nachmittag")=1))),"Doppelbuchung",IF(AND(COUNTIF($R$6:$R$605,R470)&gt;1,NOT(AND(COUNTIF($R$6:$R$605,R470)=2,COUNTIFS($R$6:$R$605,R470,$H$6:$H$605,"Vormittag")=1,COUNTIFS($R$6:$R$605,R470,$H$6:$H$605,"Nachmittag")=1))),"Person doppelt","OK"))))))))</f>
        <v/>
      </c>
      <c r="O470" s="55">
        <f t="shared" si="52"/>
        <v>0</v>
      </c>
      <c r="P470" s="55" t="str">
        <f t="shared" si="53"/>
        <v/>
      </c>
      <c r="Q470" s="55" t="str">
        <f>IF(P470="","",P470&amp;"|"&amp;COUNTIF(P$6:P470,P470))</f>
        <v/>
      </c>
      <c r="R470" s="55" t="str">
        <f t="shared" si="54"/>
        <v/>
      </c>
      <c r="S470" s="55" t="str">
        <f>IF(R470="","",R470&amp;"|"&amp;COUNTIF(R$6:R470,R470))</f>
        <v/>
      </c>
      <c r="T470" s="55" t="str">
        <f>IF(G470="","",IFERROR(INDEX(Stammdaten!$O$10:$O$69,MATCH(G470,Stammdaten!$N$10:$N$69,0)),G470)&amp;IF(H470="Vormittag"," (VM)",IF(H470="Nachmittag"," (NM)",""))&amp;IF(I470="Angefragt"," ?",""))</f>
        <v/>
      </c>
      <c r="U470" s="55" t="str">
        <f t="shared" si="55"/>
        <v/>
      </c>
    </row>
    <row r="471" spans="2:21" ht="16.5" customHeight="1" x14ac:dyDescent="0.25">
      <c r="B471" s="47" t="str">
        <f t="shared" si="49"/>
        <v/>
      </c>
      <c r="C471" s="48"/>
      <c r="D471" s="49" t="str">
        <f t="shared" si="50"/>
        <v/>
      </c>
      <c r="E471" s="50" t="str">
        <f t="shared" si="51"/>
        <v/>
      </c>
      <c r="F471" s="51"/>
      <c r="G471" s="52"/>
      <c r="H471" s="51"/>
      <c r="I471" s="51"/>
      <c r="J471" s="52"/>
      <c r="K471" s="53" t="str">
        <f>IF(G471="","",IFERROR(INDEX(Stammdaten!$P$10:$P$69,MATCH(G471,Stammdaten!$N$10:$N$69,0)),"–"))</f>
        <v/>
      </c>
      <c r="L471" s="53" t="str">
        <f>IF(F471="","",IFERROR(INDEX(Stammdaten!$D$10:$D$49,MATCH(F471,Stammdaten!$B$10:$B$49,0)),"–"))</f>
        <v/>
      </c>
      <c r="M471" s="54" t="str">
        <f>IF(C471="","",IF(OR(F471="",G471="",I471=""),"unvollständig",IF(I471="Storniert","storniert",IF(WEEKDAY(C471,2)&gt;5,"Wochenende",IF(COUNTIF(Stammdaten!$AD$10:$AD$30,C471)&gt;0,"Feiertag",IF(IFERROR(INDEX(Stammdaten!$I$10:$I$49,MATCH(F471,Stammdaten!$B$10:$B$49,0)),"")="Gesperrt","Platz gesperrt",IF(AND(COUNTIF($P$6:$P$605,P471)&gt;1,NOT(AND(COUNTIF($P$6:$P$605,P471)=2,COUNTIFS($P$6:$P$605,P471,$H$6:$H$605,"Vormittag")=1,COUNTIFS($P$6:$P$605,P471,$H$6:$H$605,"Nachmittag")=1))),"Doppelbuchung",IF(AND(COUNTIF($R$6:$R$605,R471)&gt;1,NOT(AND(COUNTIF($R$6:$R$605,R471)=2,COUNTIFS($R$6:$R$605,R471,$H$6:$H$605,"Vormittag")=1,COUNTIFS($R$6:$R$605,R471,$H$6:$H$605,"Nachmittag")=1))),"Person doppelt","OK"))))))))</f>
        <v/>
      </c>
      <c r="O471" s="55">
        <f t="shared" si="52"/>
        <v>0</v>
      </c>
      <c r="P471" s="55" t="str">
        <f t="shared" si="53"/>
        <v/>
      </c>
      <c r="Q471" s="55" t="str">
        <f>IF(P471="","",P471&amp;"|"&amp;COUNTIF(P$6:P471,P471))</f>
        <v/>
      </c>
      <c r="R471" s="55" t="str">
        <f t="shared" si="54"/>
        <v/>
      </c>
      <c r="S471" s="55" t="str">
        <f>IF(R471="","",R471&amp;"|"&amp;COUNTIF(R$6:R471,R471))</f>
        <v/>
      </c>
      <c r="T471" s="55" t="str">
        <f>IF(G471="","",IFERROR(INDEX(Stammdaten!$O$10:$O$69,MATCH(G471,Stammdaten!$N$10:$N$69,0)),G471)&amp;IF(H471="Vormittag"," (VM)",IF(H471="Nachmittag"," (NM)",""))&amp;IF(I471="Angefragt"," ?",""))</f>
        <v/>
      </c>
      <c r="U471" s="55" t="str">
        <f t="shared" si="55"/>
        <v/>
      </c>
    </row>
    <row r="472" spans="2:21" ht="16.5" customHeight="1" x14ac:dyDescent="0.25">
      <c r="B472" s="47" t="str">
        <f t="shared" si="49"/>
        <v/>
      </c>
      <c r="C472" s="48"/>
      <c r="D472" s="49" t="str">
        <f t="shared" si="50"/>
        <v/>
      </c>
      <c r="E472" s="50" t="str">
        <f t="shared" si="51"/>
        <v/>
      </c>
      <c r="F472" s="51"/>
      <c r="G472" s="52"/>
      <c r="H472" s="51"/>
      <c r="I472" s="51"/>
      <c r="J472" s="52"/>
      <c r="K472" s="53" t="str">
        <f>IF(G472="","",IFERROR(INDEX(Stammdaten!$P$10:$P$69,MATCH(G472,Stammdaten!$N$10:$N$69,0)),"–"))</f>
        <v/>
      </c>
      <c r="L472" s="53" t="str">
        <f>IF(F472="","",IFERROR(INDEX(Stammdaten!$D$10:$D$49,MATCH(F472,Stammdaten!$B$10:$B$49,0)),"–"))</f>
        <v/>
      </c>
      <c r="M472" s="54" t="str">
        <f>IF(C472="","",IF(OR(F472="",G472="",I472=""),"unvollständig",IF(I472="Storniert","storniert",IF(WEEKDAY(C472,2)&gt;5,"Wochenende",IF(COUNTIF(Stammdaten!$AD$10:$AD$30,C472)&gt;0,"Feiertag",IF(IFERROR(INDEX(Stammdaten!$I$10:$I$49,MATCH(F472,Stammdaten!$B$10:$B$49,0)),"")="Gesperrt","Platz gesperrt",IF(AND(COUNTIF($P$6:$P$605,P472)&gt;1,NOT(AND(COUNTIF($P$6:$P$605,P472)=2,COUNTIFS($P$6:$P$605,P472,$H$6:$H$605,"Vormittag")=1,COUNTIFS($P$6:$P$605,P472,$H$6:$H$605,"Nachmittag")=1))),"Doppelbuchung",IF(AND(COUNTIF($R$6:$R$605,R472)&gt;1,NOT(AND(COUNTIF($R$6:$R$605,R472)=2,COUNTIFS($R$6:$R$605,R472,$H$6:$H$605,"Vormittag")=1,COUNTIFS($R$6:$R$605,R472,$H$6:$H$605,"Nachmittag")=1))),"Person doppelt","OK"))))))))</f>
        <v/>
      </c>
      <c r="O472" s="55">
        <f t="shared" si="52"/>
        <v>0</v>
      </c>
      <c r="P472" s="55" t="str">
        <f t="shared" si="53"/>
        <v/>
      </c>
      <c r="Q472" s="55" t="str">
        <f>IF(P472="","",P472&amp;"|"&amp;COUNTIF(P$6:P472,P472))</f>
        <v/>
      </c>
      <c r="R472" s="55" t="str">
        <f t="shared" si="54"/>
        <v/>
      </c>
      <c r="S472" s="55" t="str">
        <f>IF(R472="","",R472&amp;"|"&amp;COUNTIF(R$6:R472,R472))</f>
        <v/>
      </c>
      <c r="T472" s="55" t="str">
        <f>IF(G472="","",IFERROR(INDEX(Stammdaten!$O$10:$O$69,MATCH(G472,Stammdaten!$N$10:$N$69,0)),G472)&amp;IF(H472="Vormittag"," (VM)",IF(H472="Nachmittag"," (NM)",""))&amp;IF(I472="Angefragt"," ?",""))</f>
        <v/>
      </c>
      <c r="U472" s="55" t="str">
        <f t="shared" si="55"/>
        <v/>
      </c>
    </row>
    <row r="473" spans="2:21" ht="16.5" customHeight="1" x14ac:dyDescent="0.25">
      <c r="B473" s="47" t="str">
        <f t="shared" si="49"/>
        <v/>
      </c>
      <c r="C473" s="48"/>
      <c r="D473" s="49" t="str">
        <f t="shared" si="50"/>
        <v/>
      </c>
      <c r="E473" s="50" t="str">
        <f t="shared" si="51"/>
        <v/>
      </c>
      <c r="F473" s="51"/>
      <c r="G473" s="52"/>
      <c r="H473" s="51"/>
      <c r="I473" s="51"/>
      <c r="J473" s="52"/>
      <c r="K473" s="53" t="str">
        <f>IF(G473="","",IFERROR(INDEX(Stammdaten!$P$10:$P$69,MATCH(G473,Stammdaten!$N$10:$N$69,0)),"–"))</f>
        <v/>
      </c>
      <c r="L473" s="53" t="str">
        <f>IF(F473="","",IFERROR(INDEX(Stammdaten!$D$10:$D$49,MATCH(F473,Stammdaten!$B$10:$B$49,0)),"–"))</f>
        <v/>
      </c>
      <c r="M473" s="54" t="str">
        <f>IF(C473="","",IF(OR(F473="",G473="",I473=""),"unvollständig",IF(I473="Storniert","storniert",IF(WEEKDAY(C473,2)&gt;5,"Wochenende",IF(COUNTIF(Stammdaten!$AD$10:$AD$30,C473)&gt;0,"Feiertag",IF(IFERROR(INDEX(Stammdaten!$I$10:$I$49,MATCH(F473,Stammdaten!$B$10:$B$49,0)),"")="Gesperrt","Platz gesperrt",IF(AND(COUNTIF($P$6:$P$605,P473)&gt;1,NOT(AND(COUNTIF($P$6:$P$605,P473)=2,COUNTIFS($P$6:$P$605,P473,$H$6:$H$605,"Vormittag")=1,COUNTIFS($P$6:$P$605,P473,$H$6:$H$605,"Nachmittag")=1))),"Doppelbuchung",IF(AND(COUNTIF($R$6:$R$605,R473)&gt;1,NOT(AND(COUNTIF($R$6:$R$605,R473)=2,COUNTIFS($R$6:$R$605,R473,$H$6:$H$605,"Vormittag")=1,COUNTIFS($R$6:$R$605,R473,$H$6:$H$605,"Nachmittag")=1))),"Person doppelt","OK"))))))))</f>
        <v/>
      </c>
      <c r="O473" s="55">
        <f t="shared" si="52"/>
        <v>0</v>
      </c>
      <c r="P473" s="55" t="str">
        <f t="shared" si="53"/>
        <v/>
      </c>
      <c r="Q473" s="55" t="str">
        <f>IF(P473="","",P473&amp;"|"&amp;COUNTIF(P$6:P473,P473))</f>
        <v/>
      </c>
      <c r="R473" s="55" t="str">
        <f t="shared" si="54"/>
        <v/>
      </c>
      <c r="S473" s="55" t="str">
        <f>IF(R473="","",R473&amp;"|"&amp;COUNTIF(R$6:R473,R473))</f>
        <v/>
      </c>
      <c r="T473" s="55" t="str">
        <f>IF(G473="","",IFERROR(INDEX(Stammdaten!$O$10:$O$69,MATCH(G473,Stammdaten!$N$10:$N$69,0)),G473)&amp;IF(H473="Vormittag"," (VM)",IF(H473="Nachmittag"," (NM)",""))&amp;IF(I473="Angefragt"," ?",""))</f>
        <v/>
      </c>
      <c r="U473" s="55" t="str">
        <f t="shared" si="55"/>
        <v/>
      </c>
    </row>
    <row r="474" spans="2:21" ht="16.5" customHeight="1" x14ac:dyDescent="0.25">
      <c r="B474" s="47" t="str">
        <f t="shared" si="49"/>
        <v/>
      </c>
      <c r="C474" s="48"/>
      <c r="D474" s="49" t="str">
        <f t="shared" si="50"/>
        <v/>
      </c>
      <c r="E474" s="50" t="str">
        <f t="shared" si="51"/>
        <v/>
      </c>
      <c r="F474" s="51"/>
      <c r="G474" s="52"/>
      <c r="H474" s="51"/>
      <c r="I474" s="51"/>
      <c r="J474" s="52"/>
      <c r="K474" s="53" t="str">
        <f>IF(G474="","",IFERROR(INDEX(Stammdaten!$P$10:$P$69,MATCH(G474,Stammdaten!$N$10:$N$69,0)),"–"))</f>
        <v/>
      </c>
      <c r="L474" s="53" t="str">
        <f>IF(F474="","",IFERROR(INDEX(Stammdaten!$D$10:$D$49,MATCH(F474,Stammdaten!$B$10:$B$49,0)),"–"))</f>
        <v/>
      </c>
      <c r="M474" s="54" t="str">
        <f>IF(C474="","",IF(OR(F474="",G474="",I474=""),"unvollständig",IF(I474="Storniert","storniert",IF(WEEKDAY(C474,2)&gt;5,"Wochenende",IF(COUNTIF(Stammdaten!$AD$10:$AD$30,C474)&gt;0,"Feiertag",IF(IFERROR(INDEX(Stammdaten!$I$10:$I$49,MATCH(F474,Stammdaten!$B$10:$B$49,0)),"")="Gesperrt","Platz gesperrt",IF(AND(COUNTIF($P$6:$P$605,P474)&gt;1,NOT(AND(COUNTIF($P$6:$P$605,P474)=2,COUNTIFS($P$6:$P$605,P474,$H$6:$H$605,"Vormittag")=1,COUNTIFS($P$6:$P$605,P474,$H$6:$H$605,"Nachmittag")=1))),"Doppelbuchung",IF(AND(COUNTIF($R$6:$R$605,R474)&gt;1,NOT(AND(COUNTIF($R$6:$R$605,R474)=2,COUNTIFS($R$6:$R$605,R474,$H$6:$H$605,"Vormittag")=1,COUNTIFS($R$6:$R$605,R474,$H$6:$H$605,"Nachmittag")=1))),"Person doppelt","OK"))))))))</f>
        <v/>
      </c>
      <c r="O474" s="55">
        <f t="shared" si="52"/>
        <v>0</v>
      </c>
      <c r="P474" s="55" t="str">
        <f t="shared" si="53"/>
        <v/>
      </c>
      <c r="Q474" s="55" t="str">
        <f>IF(P474="","",P474&amp;"|"&amp;COUNTIF(P$6:P474,P474))</f>
        <v/>
      </c>
      <c r="R474" s="55" t="str">
        <f t="shared" si="54"/>
        <v/>
      </c>
      <c r="S474" s="55" t="str">
        <f>IF(R474="","",R474&amp;"|"&amp;COUNTIF(R$6:R474,R474))</f>
        <v/>
      </c>
      <c r="T474" s="55" t="str">
        <f>IF(G474="","",IFERROR(INDEX(Stammdaten!$O$10:$O$69,MATCH(G474,Stammdaten!$N$10:$N$69,0)),G474)&amp;IF(H474="Vormittag"," (VM)",IF(H474="Nachmittag"," (NM)",""))&amp;IF(I474="Angefragt"," ?",""))</f>
        <v/>
      </c>
      <c r="U474" s="55" t="str">
        <f t="shared" si="55"/>
        <v/>
      </c>
    </row>
    <row r="475" spans="2:21" ht="16.5" customHeight="1" x14ac:dyDescent="0.25">
      <c r="B475" s="47" t="str">
        <f t="shared" si="49"/>
        <v/>
      </c>
      <c r="C475" s="48"/>
      <c r="D475" s="49" t="str">
        <f t="shared" si="50"/>
        <v/>
      </c>
      <c r="E475" s="50" t="str">
        <f t="shared" si="51"/>
        <v/>
      </c>
      <c r="F475" s="51"/>
      <c r="G475" s="52"/>
      <c r="H475" s="51"/>
      <c r="I475" s="51"/>
      <c r="J475" s="52"/>
      <c r="K475" s="53" t="str">
        <f>IF(G475="","",IFERROR(INDEX(Stammdaten!$P$10:$P$69,MATCH(G475,Stammdaten!$N$10:$N$69,0)),"–"))</f>
        <v/>
      </c>
      <c r="L475" s="53" t="str">
        <f>IF(F475="","",IFERROR(INDEX(Stammdaten!$D$10:$D$49,MATCH(F475,Stammdaten!$B$10:$B$49,0)),"–"))</f>
        <v/>
      </c>
      <c r="M475" s="54" t="str">
        <f>IF(C475="","",IF(OR(F475="",G475="",I475=""),"unvollständig",IF(I475="Storniert","storniert",IF(WEEKDAY(C475,2)&gt;5,"Wochenende",IF(COUNTIF(Stammdaten!$AD$10:$AD$30,C475)&gt;0,"Feiertag",IF(IFERROR(INDEX(Stammdaten!$I$10:$I$49,MATCH(F475,Stammdaten!$B$10:$B$49,0)),"")="Gesperrt","Platz gesperrt",IF(AND(COUNTIF($P$6:$P$605,P475)&gt;1,NOT(AND(COUNTIF($P$6:$P$605,P475)=2,COUNTIFS($P$6:$P$605,P475,$H$6:$H$605,"Vormittag")=1,COUNTIFS($P$6:$P$605,P475,$H$6:$H$605,"Nachmittag")=1))),"Doppelbuchung",IF(AND(COUNTIF($R$6:$R$605,R475)&gt;1,NOT(AND(COUNTIF($R$6:$R$605,R475)=2,COUNTIFS($R$6:$R$605,R475,$H$6:$H$605,"Vormittag")=1,COUNTIFS($R$6:$R$605,R475,$H$6:$H$605,"Nachmittag")=1))),"Person doppelt","OK"))))))))</f>
        <v/>
      </c>
      <c r="O475" s="55">
        <f t="shared" si="52"/>
        <v>0</v>
      </c>
      <c r="P475" s="55" t="str">
        <f t="shared" si="53"/>
        <v/>
      </c>
      <c r="Q475" s="55" t="str">
        <f>IF(P475="","",P475&amp;"|"&amp;COUNTIF(P$6:P475,P475))</f>
        <v/>
      </c>
      <c r="R475" s="55" t="str">
        <f t="shared" si="54"/>
        <v/>
      </c>
      <c r="S475" s="55" t="str">
        <f>IF(R475="","",R475&amp;"|"&amp;COUNTIF(R$6:R475,R475))</f>
        <v/>
      </c>
      <c r="T475" s="55" t="str">
        <f>IF(G475="","",IFERROR(INDEX(Stammdaten!$O$10:$O$69,MATCH(G475,Stammdaten!$N$10:$N$69,0)),G475)&amp;IF(H475="Vormittag"," (VM)",IF(H475="Nachmittag"," (NM)",""))&amp;IF(I475="Angefragt"," ?",""))</f>
        <v/>
      </c>
      <c r="U475" s="55" t="str">
        <f t="shared" si="55"/>
        <v/>
      </c>
    </row>
    <row r="476" spans="2:21" ht="16.5" customHeight="1" x14ac:dyDescent="0.25">
      <c r="B476" s="47" t="str">
        <f t="shared" si="49"/>
        <v/>
      </c>
      <c r="C476" s="48"/>
      <c r="D476" s="49" t="str">
        <f t="shared" si="50"/>
        <v/>
      </c>
      <c r="E476" s="50" t="str">
        <f t="shared" si="51"/>
        <v/>
      </c>
      <c r="F476" s="51"/>
      <c r="G476" s="52"/>
      <c r="H476" s="51"/>
      <c r="I476" s="51"/>
      <c r="J476" s="52"/>
      <c r="K476" s="53" t="str">
        <f>IF(G476="","",IFERROR(INDEX(Stammdaten!$P$10:$P$69,MATCH(G476,Stammdaten!$N$10:$N$69,0)),"–"))</f>
        <v/>
      </c>
      <c r="L476" s="53" t="str">
        <f>IF(F476="","",IFERROR(INDEX(Stammdaten!$D$10:$D$49,MATCH(F476,Stammdaten!$B$10:$B$49,0)),"–"))</f>
        <v/>
      </c>
      <c r="M476" s="54" t="str">
        <f>IF(C476="","",IF(OR(F476="",G476="",I476=""),"unvollständig",IF(I476="Storniert","storniert",IF(WEEKDAY(C476,2)&gt;5,"Wochenende",IF(COUNTIF(Stammdaten!$AD$10:$AD$30,C476)&gt;0,"Feiertag",IF(IFERROR(INDEX(Stammdaten!$I$10:$I$49,MATCH(F476,Stammdaten!$B$10:$B$49,0)),"")="Gesperrt","Platz gesperrt",IF(AND(COUNTIF($P$6:$P$605,P476)&gt;1,NOT(AND(COUNTIF($P$6:$P$605,P476)=2,COUNTIFS($P$6:$P$605,P476,$H$6:$H$605,"Vormittag")=1,COUNTIFS($P$6:$P$605,P476,$H$6:$H$605,"Nachmittag")=1))),"Doppelbuchung",IF(AND(COUNTIF($R$6:$R$605,R476)&gt;1,NOT(AND(COUNTIF($R$6:$R$605,R476)=2,COUNTIFS($R$6:$R$605,R476,$H$6:$H$605,"Vormittag")=1,COUNTIFS($R$6:$R$605,R476,$H$6:$H$605,"Nachmittag")=1))),"Person doppelt","OK"))))))))</f>
        <v/>
      </c>
      <c r="O476" s="55">
        <f t="shared" si="52"/>
        <v>0</v>
      </c>
      <c r="P476" s="55" t="str">
        <f t="shared" si="53"/>
        <v/>
      </c>
      <c r="Q476" s="55" t="str">
        <f>IF(P476="","",P476&amp;"|"&amp;COUNTIF(P$6:P476,P476))</f>
        <v/>
      </c>
      <c r="R476" s="55" t="str">
        <f t="shared" si="54"/>
        <v/>
      </c>
      <c r="S476" s="55" t="str">
        <f>IF(R476="","",R476&amp;"|"&amp;COUNTIF(R$6:R476,R476))</f>
        <v/>
      </c>
      <c r="T476" s="55" t="str">
        <f>IF(G476="","",IFERROR(INDEX(Stammdaten!$O$10:$O$69,MATCH(G476,Stammdaten!$N$10:$N$69,0)),G476)&amp;IF(H476="Vormittag"," (VM)",IF(H476="Nachmittag"," (NM)",""))&amp;IF(I476="Angefragt"," ?",""))</f>
        <v/>
      </c>
      <c r="U476" s="55" t="str">
        <f t="shared" si="55"/>
        <v/>
      </c>
    </row>
    <row r="477" spans="2:21" ht="16.5" customHeight="1" x14ac:dyDescent="0.25">
      <c r="B477" s="47" t="str">
        <f t="shared" si="49"/>
        <v/>
      </c>
      <c r="C477" s="48"/>
      <c r="D477" s="49" t="str">
        <f t="shared" si="50"/>
        <v/>
      </c>
      <c r="E477" s="50" t="str">
        <f t="shared" si="51"/>
        <v/>
      </c>
      <c r="F477" s="51"/>
      <c r="G477" s="52"/>
      <c r="H477" s="51"/>
      <c r="I477" s="51"/>
      <c r="J477" s="52"/>
      <c r="K477" s="53" t="str">
        <f>IF(G477="","",IFERROR(INDEX(Stammdaten!$P$10:$P$69,MATCH(G477,Stammdaten!$N$10:$N$69,0)),"–"))</f>
        <v/>
      </c>
      <c r="L477" s="53" t="str">
        <f>IF(F477="","",IFERROR(INDEX(Stammdaten!$D$10:$D$49,MATCH(F477,Stammdaten!$B$10:$B$49,0)),"–"))</f>
        <v/>
      </c>
      <c r="M477" s="54" t="str">
        <f>IF(C477="","",IF(OR(F477="",G477="",I477=""),"unvollständig",IF(I477="Storniert","storniert",IF(WEEKDAY(C477,2)&gt;5,"Wochenende",IF(COUNTIF(Stammdaten!$AD$10:$AD$30,C477)&gt;0,"Feiertag",IF(IFERROR(INDEX(Stammdaten!$I$10:$I$49,MATCH(F477,Stammdaten!$B$10:$B$49,0)),"")="Gesperrt","Platz gesperrt",IF(AND(COUNTIF($P$6:$P$605,P477)&gt;1,NOT(AND(COUNTIF($P$6:$P$605,P477)=2,COUNTIFS($P$6:$P$605,P477,$H$6:$H$605,"Vormittag")=1,COUNTIFS($P$6:$P$605,P477,$H$6:$H$605,"Nachmittag")=1))),"Doppelbuchung",IF(AND(COUNTIF($R$6:$R$605,R477)&gt;1,NOT(AND(COUNTIF($R$6:$R$605,R477)=2,COUNTIFS($R$6:$R$605,R477,$H$6:$H$605,"Vormittag")=1,COUNTIFS($R$6:$R$605,R477,$H$6:$H$605,"Nachmittag")=1))),"Person doppelt","OK"))))))))</f>
        <v/>
      </c>
      <c r="O477" s="55">
        <f t="shared" si="52"/>
        <v>0</v>
      </c>
      <c r="P477" s="55" t="str">
        <f t="shared" si="53"/>
        <v/>
      </c>
      <c r="Q477" s="55" t="str">
        <f>IF(P477="","",P477&amp;"|"&amp;COUNTIF(P$6:P477,P477))</f>
        <v/>
      </c>
      <c r="R477" s="55" t="str">
        <f t="shared" si="54"/>
        <v/>
      </c>
      <c r="S477" s="55" t="str">
        <f>IF(R477="","",R477&amp;"|"&amp;COUNTIF(R$6:R477,R477))</f>
        <v/>
      </c>
      <c r="T477" s="55" t="str">
        <f>IF(G477="","",IFERROR(INDEX(Stammdaten!$O$10:$O$69,MATCH(G477,Stammdaten!$N$10:$N$69,0)),G477)&amp;IF(H477="Vormittag"," (VM)",IF(H477="Nachmittag"," (NM)",""))&amp;IF(I477="Angefragt"," ?",""))</f>
        <v/>
      </c>
      <c r="U477" s="55" t="str">
        <f t="shared" si="55"/>
        <v/>
      </c>
    </row>
    <row r="478" spans="2:21" ht="16.5" customHeight="1" x14ac:dyDescent="0.25">
      <c r="B478" s="47" t="str">
        <f t="shared" si="49"/>
        <v/>
      </c>
      <c r="C478" s="48"/>
      <c r="D478" s="49" t="str">
        <f t="shared" si="50"/>
        <v/>
      </c>
      <c r="E478" s="50" t="str">
        <f t="shared" si="51"/>
        <v/>
      </c>
      <c r="F478" s="51"/>
      <c r="G478" s="52"/>
      <c r="H478" s="51"/>
      <c r="I478" s="51"/>
      <c r="J478" s="52"/>
      <c r="K478" s="53" t="str">
        <f>IF(G478="","",IFERROR(INDEX(Stammdaten!$P$10:$P$69,MATCH(G478,Stammdaten!$N$10:$N$69,0)),"–"))</f>
        <v/>
      </c>
      <c r="L478" s="53" t="str">
        <f>IF(F478="","",IFERROR(INDEX(Stammdaten!$D$10:$D$49,MATCH(F478,Stammdaten!$B$10:$B$49,0)),"–"))</f>
        <v/>
      </c>
      <c r="M478" s="54" t="str">
        <f>IF(C478="","",IF(OR(F478="",G478="",I478=""),"unvollständig",IF(I478="Storniert","storniert",IF(WEEKDAY(C478,2)&gt;5,"Wochenende",IF(COUNTIF(Stammdaten!$AD$10:$AD$30,C478)&gt;0,"Feiertag",IF(IFERROR(INDEX(Stammdaten!$I$10:$I$49,MATCH(F478,Stammdaten!$B$10:$B$49,0)),"")="Gesperrt","Platz gesperrt",IF(AND(COUNTIF($P$6:$P$605,P478)&gt;1,NOT(AND(COUNTIF($P$6:$P$605,P478)=2,COUNTIFS($P$6:$P$605,P478,$H$6:$H$605,"Vormittag")=1,COUNTIFS($P$6:$P$605,P478,$H$6:$H$605,"Nachmittag")=1))),"Doppelbuchung",IF(AND(COUNTIF($R$6:$R$605,R478)&gt;1,NOT(AND(COUNTIF($R$6:$R$605,R478)=2,COUNTIFS($R$6:$R$605,R478,$H$6:$H$605,"Vormittag")=1,COUNTIFS($R$6:$R$605,R478,$H$6:$H$605,"Nachmittag")=1))),"Person doppelt","OK"))))))))</f>
        <v/>
      </c>
      <c r="O478" s="55">
        <f t="shared" si="52"/>
        <v>0</v>
      </c>
      <c r="P478" s="55" t="str">
        <f t="shared" si="53"/>
        <v/>
      </c>
      <c r="Q478" s="55" t="str">
        <f>IF(P478="","",P478&amp;"|"&amp;COUNTIF(P$6:P478,P478))</f>
        <v/>
      </c>
      <c r="R478" s="55" t="str">
        <f t="shared" si="54"/>
        <v/>
      </c>
      <c r="S478" s="55" t="str">
        <f>IF(R478="","",R478&amp;"|"&amp;COUNTIF(R$6:R478,R478))</f>
        <v/>
      </c>
      <c r="T478" s="55" t="str">
        <f>IF(G478="","",IFERROR(INDEX(Stammdaten!$O$10:$O$69,MATCH(G478,Stammdaten!$N$10:$N$69,0)),G478)&amp;IF(H478="Vormittag"," (VM)",IF(H478="Nachmittag"," (NM)",""))&amp;IF(I478="Angefragt"," ?",""))</f>
        <v/>
      </c>
      <c r="U478" s="55" t="str">
        <f t="shared" si="55"/>
        <v/>
      </c>
    </row>
    <row r="479" spans="2:21" ht="16.5" customHeight="1" x14ac:dyDescent="0.25">
      <c r="B479" s="47" t="str">
        <f t="shared" si="49"/>
        <v/>
      </c>
      <c r="C479" s="48"/>
      <c r="D479" s="49" t="str">
        <f t="shared" si="50"/>
        <v/>
      </c>
      <c r="E479" s="50" t="str">
        <f t="shared" si="51"/>
        <v/>
      </c>
      <c r="F479" s="51"/>
      <c r="G479" s="52"/>
      <c r="H479" s="51"/>
      <c r="I479" s="51"/>
      <c r="J479" s="52"/>
      <c r="K479" s="53" t="str">
        <f>IF(G479="","",IFERROR(INDEX(Stammdaten!$P$10:$P$69,MATCH(G479,Stammdaten!$N$10:$N$69,0)),"–"))</f>
        <v/>
      </c>
      <c r="L479" s="53" t="str">
        <f>IF(F479="","",IFERROR(INDEX(Stammdaten!$D$10:$D$49,MATCH(F479,Stammdaten!$B$10:$B$49,0)),"–"))</f>
        <v/>
      </c>
      <c r="M479" s="54" t="str">
        <f>IF(C479="","",IF(OR(F479="",G479="",I479=""),"unvollständig",IF(I479="Storniert","storniert",IF(WEEKDAY(C479,2)&gt;5,"Wochenende",IF(COUNTIF(Stammdaten!$AD$10:$AD$30,C479)&gt;0,"Feiertag",IF(IFERROR(INDEX(Stammdaten!$I$10:$I$49,MATCH(F479,Stammdaten!$B$10:$B$49,0)),"")="Gesperrt","Platz gesperrt",IF(AND(COUNTIF($P$6:$P$605,P479)&gt;1,NOT(AND(COUNTIF($P$6:$P$605,P479)=2,COUNTIFS($P$6:$P$605,P479,$H$6:$H$605,"Vormittag")=1,COUNTIFS($P$6:$P$605,P479,$H$6:$H$605,"Nachmittag")=1))),"Doppelbuchung",IF(AND(COUNTIF($R$6:$R$605,R479)&gt;1,NOT(AND(COUNTIF($R$6:$R$605,R479)=2,COUNTIFS($R$6:$R$605,R479,$H$6:$H$605,"Vormittag")=1,COUNTIFS($R$6:$R$605,R479,$H$6:$H$605,"Nachmittag")=1))),"Person doppelt","OK"))))))))</f>
        <v/>
      </c>
      <c r="O479" s="55">
        <f t="shared" si="52"/>
        <v>0</v>
      </c>
      <c r="P479" s="55" t="str">
        <f t="shared" si="53"/>
        <v/>
      </c>
      <c r="Q479" s="55" t="str">
        <f>IF(P479="","",P479&amp;"|"&amp;COUNTIF(P$6:P479,P479))</f>
        <v/>
      </c>
      <c r="R479" s="55" t="str">
        <f t="shared" si="54"/>
        <v/>
      </c>
      <c r="S479" s="55" t="str">
        <f>IF(R479="","",R479&amp;"|"&amp;COUNTIF(R$6:R479,R479))</f>
        <v/>
      </c>
      <c r="T479" s="55" t="str">
        <f>IF(G479="","",IFERROR(INDEX(Stammdaten!$O$10:$O$69,MATCH(G479,Stammdaten!$N$10:$N$69,0)),G479)&amp;IF(H479="Vormittag"," (VM)",IF(H479="Nachmittag"," (NM)",""))&amp;IF(I479="Angefragt"," ?",""))</f>
        <v/>
      </c>
      <c r="U479" s="55" t="str">
        <f t="shared" si="55"/>
        <v/>
      </c>
    </row>
    <row r="480" spans="2:21" ht="16.5" customHeight="1" x14ac:dyDescent="0.25">
      <c r="B480" s="47" t="str">
        <f t="shared" si="49"/>
        <v/>
      </c>
      <c r="C480" s="48"/>
      <c r="D480" s="49" t="str">
        <f t="shared" si="50"/>
        <v/>
      </c>
      <c r="E480" s="50" t="str">
        <f t="shared" si="51"/>
        <v/>
      </c>
      <c r="F480" s="51"/>
      <c r="G480" s="52"/>
      <c r="H480" s="51"/>
      <c r="I480" s="51"/>
      <c r="J480" s="52"/>
      <c r="K480" s="53" t="str">
        <f>IF(G480="","",IFERROR(INDEX(Stammdaten!$P$10:$P$69,MATCH(G480,Stammdaten!$N$10:$N$69,0)),"–"))</f>
        <v/>
      </c>
      <c r="L480" s="53" t="str">
        <f>IF(F480="","",IFERROR(INDEX(Stammdaten!$D$10:$D$49,MATCH(F480,Stammdaten!$B$10:$B$49,0)),"–"))</f>
        <v/>
      </c>
      <c r="M480" s="54" t="str">
        <f>IF(C480="","",IF(OR(F480="",G480="",I480=""),"unvollständig",IF(I480="Storniert","storniert",IF(WEEKDAY(C480,2)&gt;5,"Wochenende",IF(COUNTIF(Stammdaten!$AD$10:$AD$30,C480)&gt;0,"Feiertag",IF(IFERROR(INDEX(Stammdaten!$I$10:$I$49,MATCH(F480,Stammdaten!$B$10:$B$49,0)),"")="Gesperrt","Platz gesperrt",IF(AND(COUNTIF($P$6:$P$605,P480)&gt;1,NOT(AND(COUNTIF($P$6:$P$605,P480)=2,COUNTIFS($P$6:$P$605,P480,$H$6:$H$605,"Vormittag")=1,COUNTIFS($P$6:$P$605,P480,$H$6:$H$605,"Nachmittag")=1))),"Doppelbuchung",IF(AND(COUNTIF($R$6:$R$605,R480)&gt;1,NOT(AND(COUNTIF($R$6:$R$605,R480)=2,COUNTIFS($R$6:$R$605,R480,$H$6:$H$605,"Vormittag")=1,COUNTIFS($R$6:$R$605,R480,$H$6:$H$605,"Nachmittag")=1))),"Person doppelt","OK"))))))))</f>
        <v/>
      </c>
      <c r="O480" s="55">
        <f t="shared" si="52"/>
        <v>0</v>
      </c>
      <c r="P480" s="55" t="str">
        <f t="shared" si="53"/>
        <v/>
      </c>
      <c r="Q480" s="55" t="str">
        <f>IF(P480="","",P480&amp;"|"&amp;COUNTIF(P$6:P480,P480))</f>
        <v/>
      </c>
      <c r="R480" s="55" t="str">
        <f t="shared" si="54"/>
        <v/>
      </c>
      <c r="S480" s="55" t="str">
        <f>IF(R480="","",R480&amp;"|"&amp;COUNTIF(R$6:R480,R480))</f>
        <v/>
      </c>
      <c r="T480" s="55" t="str">
        <f>IF(G480="","",IFERROR(INDEX(Stammdaten!$O$10:$O$69,MATCH(G480,Stammdaten!$N$10:$N$69,0)),G480)&amp;IF(H480="Vormittag"," (VM)",IF(H480="Nachmittag"," (NM)",""))&amp;IF(I480="Angefragt"," ?",""))</f>
        <v/>
      </c>
      <c r="U480" s="55" t="str">
        <f t="shared" si="55"/>
        <v/>
      </c>
    </row>
    <row r="481" spans="2:21" ht="16.5" customHeight="1" x14ac:dyDescent="0.25">
      <c r="B481" s="47" t="str">
        <f t="shared" si="49"/>
        <v/>
      </c>
      <c r="C481" s="48"/>
      <c r="D481" s="49" t="str">
        <f t="shared" si="50"/>
        <v/>
      </c>
      <c r="E481" s="50" t="str">
        <f t="shared" si="51"/>
        <v/>
      </c>
      <c r="F481" s="51"/>
      <c r="G481" s="52"/>
      <c r="H481" s="51"/>
      <c r="I481" s="51"/>
      <c r="J481" s="52"/>
      <c r="K481" s="53" t="str">
        <f>IF(G481="","",IFERROR(INDEX(Stammdaten!$P$10:$P$69,MATCH(G481,Stammdaten!$N$10:$N$69,0)),"–"))</f>
        <v/>
      </c>
      <c r="L481" s="53" t="str">
        <f>IF(F481="","",IFERROR(INDEX(Stammdaten!$D$10:$D$49,MATCH(F481,Stammdaten!$B$10:$B$49,0)),"–"))</f>
        <v/>
      </c>
      <c r="M481" s="54" t="str">
        <f>IF(C481="","",IF(OR(F481="",G481="",I481=""),"unvollständig",IF(I481="Storniert","storniert",IF(WEEKDAY(C481,2)&gt;5,"Wochenende",IF(COUNTIF(Stammdaten!$AD$10:$AD$30,C481)&gt;0,"Feiertag",IF(IFERROR(INDEX(Stammdaten!$I$10:$I$49,MATCH(F481,Stammdaten!$B$10:$B$49,0)),"")="Gesperrt","Platz gesperrt",IF(AND(COUNTIF($P$6:$P$605,P481)&gt;1,NOT(AND(COUNTIF($P$6:$P$605,P481)=2,COUNTIFS($P$6:$P$605,P481,$H$6:$H$605,"Vormittag")=1,COUNTIFS($P$6:$P$605,P481,$H$6:$H$605,"Nachmittag")=1))),"Doppelbuchung",IF(AND(COUNTIF($R$6:$R$605,R481)&gt;1,NOT(AND(COUNTIF($R$6:$R$605,R481)=2,COUNTIFS($R$6:$R$605,R481,$H$6:$H$605,"Vormittag")=1,COUNTIFS($R$6:$R$605,R481,$H$6:$H$605,"Nachmittag")=1))),"Person doppelt","OK"))))))))</f>
        <v/>
      </c>
      <c r="O481" s="55">
        <f t="shared" si="52"/>
        <v>0</v>
      </c>
      <c r="P481" s="55" t="str">
        <f t="shared" si="53"/>
        <v/>
      </c>
      <c r="Q481" s="55" t="str">
        <f>IF(P481="","",P481&amp;"|"&amp;COUNTIF(P$6:P481,P481))</f>
        <v/>
      </c>
      <c r="R481" s="55" t="str">
        <f t="shared" si="54"/>
        <v/>
      </c>
      <c r="S481" s="55" t="str">
        <f>IF(R481="","",R481&amp;"|"&amp;COUNTIF(R$6:R481,R481))</f>
        <v/>
      </c>
      <c r="T481" s="55" t="str">
        <f>IF(G481="","",IFERROR(INDEX(Stammdaten!$O$10:$O$69,MATCH(G481,Stammdaten!$N$10:$N$69,0)),G481)&amp;IF(H481="Vormittag"," (VM)",IF(H481="Nachmittag"," (NM)",""))&amp;IF(I481="Angefragt"," ?",""))</f>
        <v/>
      </c>
      <c r="U481" s="55" t="str">
        <f t="shared" si="55"/>
        <v/>
      </c>
    </row>
    <row r="482" spans="2:21" ht="16.5" customHeight="1" x14ac:dyDescent="0.25">
      <c r="B482" s="47" t="str">
        <f t="shared" si="49"/>
        <v/>
      </c>
      <c r="C482" s="48"/>
      <c r="D482" s="49" t="str">
        <f t="shared" si="50"/>
        <v/>
      </c>
      <c r="E482" s="50" t="str">
        <f t="shared" si="51"/>
        <v/>
      </c>
      <c r="F482" s="51"/>
      <c r="G482" s="52"/>
      <c r="H482" s="51"/>
      <c r="I482" s="51"/>
      <c r="J482" s="52"/>
      <c r="K482" s="53" t="str">
        <f>IF(G482="","",IFERROR(INDEX(Stammdaten!$P$10:$P$69,MATCH(G482,Stammdaten!$N$10:$N$69,0)),"–"))</f>
        <v/>
      </c>
      <c r="L482" s="53" t="str">
        <f>IF(F482="","",IFERROR(INDEX(Stammdaten!$D$10:$D$49,MATCH(F482,Stammdaten!$B$10:$B$49,0)),"–"))</f>
        <v/>
      </c>
      <c r="M482" s="54" t="str">
        <f>IF(C482="","",IF(OR(F482="",G482="",I482=""),"unvollständig",IF(I482="Storniert","storniert",IF(WEEKDAY(C482,2)&gt;5,"Wochenende",IF(COUNTIF(Stammdaten!$AD$10:$AD$30,C482)&gt;0,"Feiertag",IF(IFERROR(INDEX(Stammdaten!$I$10:$I$49,MATCH(F482,Stammdaten!$B$10:$B$49,0)),"")="Gesperrt","Platz gesperrt",IF(AND(COUNTIF($P$6:$P$605,P482)&gt;1,NOT(AND(COUNTIF($P$6:$P$605,P482)=2,COUNTIFS($P$6:$P$605,P482,$H$6:$H$605,"Vormittag")=1,COUNTIFS($P$6:$P$605,P482,$H$6:$H$605,"Nachmittag")=1))),"Doppelbuchung",IF(AND(COUNTIF($R$6:$R$605,R482)&gt;1,NOT(AND(COUNTIF($R$6:$R$605,R482)=2,COUNTIFS($R$6:$R$605,R482,$H$6:$H$605,"Vormittag")=1,COUNTIFS($R$6:$R$605,R482,$H$6:$H$605,"Nachmittag")=1))),"Person doppelt","OK"))))))))</f>
        <v/>
      </c>
      <c r="O482" s="55">
        <f t="shared" si="52"/>
        <v>0</v>
      </c>
      <c r="P482" s="55" t="str">
        <f t="shared" si="53"/>
        <v/>
      </c>
      <c r="Q482" s="55" t="str">
        <f>IF(P482="","",P482&amp;"|"&amp;COUNTIF(P$6:P482,P482))</f>
        <v/>
      </c>
      <c r="R482" s="55" t="str">
        <f t="shared" si="54"/>
        <v/>
      </c>
      <c r="S482" s="55" t="str">
        <f>IF(R482="","",R482&amp;"|"&amp;COUNTIF(R$6:R482,R482))</f>
        <v/>
      </c>
      <c r="T482" s="55" t="str">
        <f>IF(G482="","",IFERROR(INDEX(Stammdaten!$O$10:$O$69,MATCH(G482,Stammdaten!$N$10:$N$69,0)),G482)&amp;IF(H482="Vormittag"," (VM)",IF(H482="Nachmittag"," (NM)",""))&amp;IF(I482="Angefragt"," ?",""))</f>
        <v/>
      </c>
      <c r="U482" s="55" t="str">
        <f t="shared" si="55"/>
        <v/>
      </c>
    </row>
    <row r="483" spans="2:21" ht="16.5" customHeight="1" x14ac:dyDescent="0.25">
      <c r="B483" s="47" t="str">
        <f t="shared" si="49"/>
        <v/>
      </c>
      <c r="C483" s="48"/>
      <c r="D483" s="49" t="str">
        <f t="shared" si="50"/>
        <v/>
      </c>
      <c r="E483" s="50" t="str">
        <f t="shared" si="51"/>
        <v/>
      </c>
      <c r="F483" s="51"/>
      <c r="G483" s="52"/>
      <c r="H483" s="51"/>
      <c r="I483" s="51"/>
      <c r="J483" s="52"/>
      <c r="K483" s="53" t="str">
        <f>IF(G483="","",IFERROR(INDEX(Stammdaten!$P$10:$P$69,MATCH(G483,Stammdaten!$N$10:$N$69,0)),"–"))</f>
        <v/>
      </c>
      <c r="L483" s="53" t="str">
        <f>IF(F483="","",IFERROR(INDEX(Stammdaten!$D$10:$D$49,MATCH(F483,Stammdaten!$B$10:$B$49,0)),"–"))</f>
        <v/>
      </c>
      <c r="M483" s="54" t="str">
        <f>IF(C483="","",IF(OR(F483="",G483="",I483=""),"unvollständig",IF(I483="Storniert","storniert",IF(WEEKDAY(C483,2)&gt;5,"Wochenende",IF(COUNTIF(Stammdaten!$AD$10:$AD$30,C483)&gt;0,"Feiertag",IF(IFERROR(INDEX(Stammdaten!$I$10:$I$49,MATCH(F483,Stammdaten!$B$10:$B$49,0)),"")="Gesperrt","Platz gesperrt",IF(AND(COUNTIF($P$6:$P$605,P483)&gt;1,NOT(AND(COUNTIF($P$6:$P$605,P483)=2,COUNTIFS($P$6:$P$605,P483,$H$6:$H$605,"Vormittag")=1,COUNTIFS($P$6:$P$605,P483,$H$6:$H$605,"Nachmittag")=1))),"Doppelbuchung",IF(AND(COUNTIF($R$6:$R$605,R483)&gt;1,NOT(AND(COUNTIF($R$6:$R$605,R483)=2,COUNTIFS($R$6:$R$605,R483,$H$6:$H$605,"Vormittag")=1,COUNTIFS($R$6:$R$605,R483,$H$6:$H$605,"Nachmittag")=1))),"Person doppelt","OK"))))))))</f>
        <v/>
      </c>
      <c r="O483" s="55">
        <f t="shared" si="52"/>
        <v>0</v>
      </c>
      <c r="P483" s="55" t="str">
        <f t="shared" si="53"/>
        <v/>
      </c>
      <c r="Q483" s="55" t="str">
        <f>IF(P483="","",P483&amp;"|"&amp;COUNTIF(P$6:P483,P483))</f>
        <v/>
      </c>
      <c r="R483" s="55" t="str">
        <f t="shared" si="54"/>
        <v/>
      </c>
      <c r="S483" s="55" t="str">
        <f>IF(R483="","",R483&amp;"|"&amp;COUNTIF(R$6:R483,R483))</f>
        <v/>
      </c>
      <c r="T483" s="55" t="str">
        <f>IF(G483="","",IFERROR(INDEX(Stammdaten!$O$10:$O$69,MATCH(G483,Stammdaten!$N$10:$N$69,0)),G483)&amp;IF(H483="Vormittag"," (VM)",IF(H483="Nachmittag"," (NM)",""))&amp;IF(I483="Angefragt"," ?",""))</f>
        <v/>
      </c>
      <c r="U483" s="55" t="str">
        <f t="shared" si="55"/>
        <v/>
      </c>
    </row>
    <row r="484" spans="2:21" ht="16.5" customHeight="1" x14ac:dyDescent="0.25">
      <c r="B484" s="47" t="str">
        <f t="shared" si="49"/>
        <v/>
      </c>
      <c r="C484" s="48"/>
      <c r="D484" s="49" t="str">
        <f t="shared" si="50"/>
        <v/>
      </c>
      <c r="E484" s="50" t="str">
        <f t="shared" si="51"/>
        <v/>
      </c>
      <c r="F484" s="51"/>
      <c r="G484" s="52"/>
      <c r="H484" s="51"/>
      <c r="I484" s="51"/>
      <c r="J484" s="52"/>
      <c r="K484" s="53" t="str">
        <f>IF(G484="","",IFERROR(INDEX(Stammdaten!$P$10:$P$69,MATCH(G484,Stammdaten!$N$10:$N$69,0)),"–"))</f>
        <v/>
      </c>
      <c r="L484" s="53" t="str">
        <f>IF(F484="","",IFERROR(INDEX(Stammdaten!$D$10:$D$49,MATCH(F484,Stammdaten!$B$10:$B$49,0)),"–"))</f>
        <v/>
      </c>
      <c r="M484" s="54" t="str">
        <f>IF(C484="","",IF(OR(F484="",G484="",I484=""),"unvollständig",IF(I484="Storniert","storniert",IF(WEEKDAY(C484,2)&gt;5,"Wochenende",IF(COUNTIF(Stammdaten!$AD$10:$AD$30,C484)&gt;0,"Feiertag",IF(IFERROR(INDEX(Stammdaten!$I$10:$I$49,MATCH(F484,Stammdaten!$B$10:$B$49,0)),"")="Gesperrt","Platz gesperrt",IF(AND(COUNTIF($P$6:$P$605,P484)&gt;1,NOT(AND(COUNTIF($P$6:$P$605,P484)=2,COUNTIFS($P$6:$P$605,P484,$H$6:$H$605,"Vormittag")=1,COUNTIFS($P$6:$P$605,P484,$H$6:$H$605,"Nachmittag")=1))),"Doppelbuchung",IF(AND(COUNTIF($R$6:$R$605,R484)&gt;1,NOT(AND(COUNTIF($R$6:$R$605,R484)=2,COUNTIFS($R$6:$R$605,R484,$H$6:$H$605,"Vormittag")=1,COUNTIFS($R$6:$R$605,R484,$H$6:$H$605,"Nachmittag")=1))),"Person doppelt","OK"))))))))</f>
        <v/>
      </c>
      <c r="O484" s="55">
        <f t="shared" si="52"/>
        <v>0</v>
      </c>
      <c r="P484" s="55" t="str">
        <f t="shared" si="53"/>
        <v/>
      </c>
      <c r="Q484" s="55" t="str">
        <f>IF(P484="","",P484&amp;"|"&amp;COUNTIF(P$6:P484,P484))</f>
        <v/>
      </c>
      <c r="R484" s="55" t="str">
        <f t="shared" si="54"/>
        <v/>
      </c>
      <c r="S484" s="55" t="str">
        <f>IF(R484="","",R484&amp;"|"&amp;COUNTIF(R$6:R484,R484))</f>
        <v/>
      </c>
      <c r="T484" s="55" t="str">
        <f>IF(G484="","",IFERROR(INDEX(Stammdaten!$O$10:$O$69,MATCH(G484,Stammdaten!$N$10:$N$69,0)),G484)&amp;IF(H484="Vormittag"," (VM)",IF(H484="Nachmittag"," (NM)",""))&amp;IF(I484="Angefragt"," ?",""))</f>
        <v/>
      </c>
      <c r="U484" s="55" t="str">
        <f t="shared" si="55"/>
        <v/>
      </c>
    </row>
    <row r="485" spans="2:21" ht="16.5" customHeight="1" x14ac:dyDescent="0.25">
      <c r="B485" s="47" t="str">
        <f t="shared" si="49"/>
        <v/>
      </c>
      <c r="C485" s="48"/>
      <c r="D485" s="49" t="str">
        <f t="shared" si="50"/>
        <v/>
      </c>
      <c r="E485" s="50" t="str">
        <f t="shared" si="51"/>
        <v/>
      </c>
      <c r="F485" s="51"/>
      <c r="G485" s="52"/>
      <c r="H485" s="51"/>
      <c r="I485" s="51"/>
      <c r="J485" s="52"/>
      <c r="K485" s="53" t="str">
        <f>IF(G485="","",IFERROR(INDEX(Stammdaten!$P$10:$P$69,MATCH(G485,Stammdaten!$N$10:$N$69,0)),"–"))</f>
        <v/>
      </c>
      <c r="L485" s="53" t="str">
        <f>IF(F485="","",IFERROR(INDEX(Stammdaten!$D$10:$D$49,MATCH(F485,Stammdaten!$B$10:$B$49,0)),"–"))</f>
        <v/>
      </c>
      <c r="M485" s="54" t="str">
        <f>IF(C485="","",IF(OR(F485="",G485="",I485=""),"unvollständig",IF(I485="Storniert","storniert",IF(WEEKDAY(C485,2)&gt;5,"Wochenende",IF(COUNTIF(Stammdaten!$AD$10:$AD$30,C485)&gt;0,"Feiertag",IF(IFERROR(INDEX(Stammdaten!$I$10:$I$49,MATCH(F485,Stammdaten!$B$10:$B$49,0)),"")="Gesperrt","Platz gesperrt",IF(AND(COUNTIF($P$6:$P$605,P485)&gt;1,NOT(AND(COUNTIF($P$6:$P$605,P485)=2,COUNTIFS($P$6:$P$605,P485,$H$6:$H$605,"Vormittag")=1,COUNTIFS($P$6:$P$605,P485,$H$6:$H$605,"Nachmittag")=1))),"Doppelbuchung",IF(AND(COUNTIF($R$6:$R$605,R485)&gt;1,NOT(AND(COUNTIF($R$6:$R$605,R485)=2,COUNTIFS($R$6:$R$605,R485,$H$6:$H$605,"Vormittag")=1,COUNTIFS($R$6:$R$605,R485,$H$6:$H$605,"Nachmittag")=1))),"Person doppelt","OK"))))))))</f>
        <v/>
      </c>
      <c r="O485" s="55">
        <f t="shared" si="52"/>
        <v>0</v>
      </c>
      <c r="P485" s="55" t="str">
        <f t="shared" si="53"/>
        <v/>
      </c>
      <c r="Q485" s="55" t="str">
        <f>IF(P485="","",P485&amp;"|"&amp;COUNTIF(P$6:P485,P485))</f>
        <v/>
      </c>
      <c r="R485" s="55" t="str">
        <f t="shared" si="54"/>
        <v/>
      </c>
      <c r="S485" s="55" t="str">
        <f>IF(R485="","",R485&amp;"|"&amp;COUNTIF(R$6:R485,R485))</f>
        <v/>
      </c>
      <c r="T485" s="55" t="str">
        <f>IF(G485="","",IFERROR(INDEX(Stammdaten!$O$10:$O$69,MATCH(G485,Stammdaten!$N$10:$N$69,0)),G485)&amp;IF(H485="Vormittag"," (VM)",IF(H485="Nachmittag"," (NM)",""))&amp;IF(I485="Angefragt"," ?",""))</f>
        <v/>
      </c>
      <c r="U485" s="55" t="str">
        <f t="shared" si="55"/>
        <v/>
      </c>
    </row>
    <row r="486" spans="2:21" ht="16.5" customHeight="1" x14ac:dyDescent="0.25">
      <c r="B486" s="47" t="str">
        <f t="shared" si="49"/>
        <v/>
      </c>
      <c r="C486" s="48"/>
      <c r="D486" s="49" t="str">
        <f t="shared" si="50"/>
        <v/>
      </c>
      <c r="E486" s="50" t="str">
        <f t="shared" si="51"/>
        <v/>
      </c>
      <c r="F486" s="51"/>
      <c r="G486" s="52"/>
      <c r="H486" s="51"/>
      <c r="I486" s="51"/>
      <c r="J486" s="52"/>
      <c r="K486" s="53" t="str">
        <f>IF(G486="","",IFERROR(INDEX(Stammdaten!$P$10:$P$69,MATCH(G486,Stammdaten!$N$10:$N$69,0)),"–"))</f>
        <v/>
      </c>
      <c r="L486" s="53" t="str">
        <f>IF(F486="","",IFERROR(INDEX(Stammdaten!$D$10:$D$49,MATCH(F486,Stammdaten!$B$10:$B$49,0)),"–"))</f>
        <v/>
      </c>
      <c r="M486" s="54" t="str">
        <f>IF(C486="","",IF(OR(F486="",G486="",I486=""),"unvollständig",IF(I486="Storniert","storniert",IF(WEEKDAY(C486,2)&gt;5,"Wochenende",IF(COUNTIF(Stammdaten!$AD$10:$AD$30,C486)&gt;0,"Feiertag",IF(IFERROR(INDEX(Stammdaten!$I$10:$I$49,MATCH(F486,Stammdaten!$B$10:$B$49,0)),"")="Gesperrt","Platz gesperrt",IF(AND(COUNTIF($P$6:$P$605,P486)&gt;1,NOT(AND(COUNTIF($P$6:$P$605,P486)=2,COUNTIFS($P$6:$P$605,P486,$H$6:$H$605,"Vormittag")=1,COUNTIFS($P$6:$P$605,P486,$H$6:$H$605,"Nachmittag")=1))),"Doppelbuchung",IF(AND(COUNTIF($R$6:$R$605,R486)&gt;1,NOT(AND(COUNTIF($R$6:$R$605,R486)=2,COUNTIFS($R$6:$R$605,R486,$H$6:$H$605,"Vormittag")=1,COUNTIFS($R$6:$R$605,R486,$H$6:$H$605,"Nachmittag")=1))),"Person doppelt","OK"))))))))</f>
        <v/>
      </c>
      <c r="O486" s="55">
        <f t="shared" si="52"/>
        <v>0</v>
      </c>
      <c r="P486" s="55" t="str">
        <f t="shared" si="53"/>
        <v/>
      </c>
      <c r="Q486" s="55" t="str">
        <f>IF(P486="","",P486&amp;"|"&amp;COUNTIF(P$6:P486,P486))</f>
        <v/>
      </c>
      <c r="R486" s="55" t="str">
        <f t="shared" si="54"/>
        <v/>
      </c>
      <c r="S486" s="55" t="str">
        <f>IF(R486="","",R486&amp;"|"&amp;COUNTIF(R$6:R486,R486))</f>
        <v/>
      </c>
      <c r="T486" s="55" t="str">
        <f>IF(G486="","",IFERROR(INDEX(Stammdaten!$O$10:$O$69,MATCH(G486,Stammdaten!$N$10:$N$69,0)),G486)&amp;IF(H486="Vormittag"," (VM)",IF(H486="Nachmittag"," (NM)",""))&amp;IF(I486="Angefragt"," ?",""))</f>
        <v/>
      </c>
      <c r="U486" s="55" t="str">
        <f t="shared" si="55"/>
        <v/>
      </c>
    </row>
    <row r="487" spans="2:21" ht="16.5" customHeight="1" x14ac:dyDescent="0.25">
      <c r="B487" s="47" t="str">
        <f t="shared" si="49"/>
        <v/>
      </c>
      <c r="C487" s="48"/>
      <c r="D487" s="49" t="str">
        <f t="shared" si="50"/>
        <v/>
      </c>
      <c r="E487" s="50" t="str">
        <f t="shared" si="51"/>
        <v/>
      </c>
      <c r="F487" s="51"/>
      <c r="G487" s="52"/>
      <c r="H487" s="51"/>
      <c r="I487" s="51"/>
      <c r="J487" s="52"/>
      <c r="K487" s="53" t="str">
        <f>IF(G487="","",IFERROR(INDEX(Stammdaten!$P$10:$P$69,MATCH(G487,Stammdaten!$N$10:$N$69,0)),"–"))</f>
        <v/>
      </c>
      <c r="L487" s="53" t="str">
        <f>IF(F487="","",IFERROR(INDEX(Stammdaten!$D$10:$D$49,MATCH(F487,Stammdaten!$B$10:$B$49,0)),"–"))</f>
        <v/>
      </c>
      <c r="M487" s="54" t="str">
        <f>IF(C487="","",IF(OR(F487="",G487="",I487=""),"unvollständig",IF(I487="Storniert","storniert",IF(WEEKDAY(C487,2)&gt;5,"Wochenende",IF(COUNTIF(Stammdaten!$AD$10:$AD$30,C487)&gt;0,"Feiertag",IF(IFERROR(INDEX(Stammdaten!$I$10:$I$49,MATCH(F487,Stammdaten!$B$10:$B$49,0)),"")="Gesperrt","Platz gesperrt",IF(AND(COUNTIF($P$6:$P$605,P487)&gt;1,NOT(AND(COUNTIF($P$6:$P$605,P487)=2,COUNTIFS($P$6:$P$605,P487,$H$6:$H$605,"Vormittag")=1,COUNTIFS($P$6:$P$605,P487,$H$6:$H$605,"Nachmittag")=1))),"Doppelbuchung",IF(AND(COUNTIF($R$6:$R$605,R487)&gt;1,NOT(AND(COUNTIF($R$6:$R$605,R487)=2,COUNTIFS($R$6:$R$605,R487,$H$6:$H$605,"Vormittag")=1,COUNTIFS($R$6:$R$605,R487,$H$6:$H$605,"Nachmittag")=1))),"Person doppelt","OK"))))))))</f>
        <v/>
      </c>
      <c r="O487" s="55">
        <f t="shared" si="52"/>
        <v>0</v>
      </c>
      <c r="P487" s="55" t="str">
        <f t="shared" si="53"/>
        <v/>
      </c>
      <c r="Q487" s="55" t="str">
        <f>IF(P487="","",P487&amp;"|"&amp;COUNTIF(P$6:P487,P487))</f>
        <v/>
      </c>
      <c r="R487" s="55" t="str">
        <f t="shared" si="54"/>
        <v/>
      </c>
      <c r="S487" s="55" t="str">
        <f>IF(R487="","",R487&amp;"|"&amp;COUNTIF(R$6:R487,R487))</f>
        <v/>
      </c>
      <c r="T487" s="55" t="str">
        <f>IF(G487="","",IFERROR(INDEX(Stammdaten!$O$10:$O$69,MATCH(G487,Stammdaten!$N$10:$N$69,0)),G487)&amp;IF(H487="Vormittag"," (VM)",IF(H487="Nachmittag"," (NM)",""))&amp;IF(I487="Angefragt"," ?",""))</f>
        <v/>
      </c>
      <c r="U487" s="55" t="str">
        <f t="shared" si="55"/>
        <v/>
      </c>
    </row>
    <row r="488" spans="2:21" ht="16.5" customHeight="1" x14ac:dyDescent="0.25">
      <c r="B488" s="47" t="str">
        <f t="shared" si="49"/>
        <v/>
      </c>
      <c r="C488" s="48"/>
      <c r="D488" s="49" t="str">
        <f t="shared" si="50"/>
        <v/>
      </c>
      <c r="E488" s="50" t="str">
        <f t="shared" si="51"/>
        <v/>
      </c>
      <c r="F488" s="51"/>
      <c r="G488" s="52"/>
      <c r="H488" s="51"/>
      <c r="I488" s="51"/>
      <c r="J488" s="52"/>
      <c r="K488" s="53" t="str">
        <f>IF(G488="","",IFERROR(INDEX(Stammdaten!$P$10:$P$69,MATCH(G488,Stammdaten!$N$10:$N$69,0)),"–"))</f>
        <v/>
      </c>
      <c r="L488" s="53" t="str">
        <f>IF(F488="","",IFERROR(INDEX(Stammdaten!$D$10:$D$49,MATCH(F488,Stammdaten!$B$10:$B$49,0)),"–"))</f>
        <v/>
      </c>
      <c r="M488" s="54" t="str">
        <f>IF(C488="","",IF(OR(F488="",G488="",I488=""),"unvollständig",IF(I488="Storniert","storniert",IF(WEEKDAY(C488,2)&gt;5,"Wochenende",IF(COUNTIF(Stammdaten!$AD$10:$AD$30,C488)&gt;0,"Feiertag",IF(IFERROR(INDEX(Stammdaten!$I$10:$I$49,MATCH(F488,Stammdaten!$B$10:$B$49,0)),"")="Gesperrt","Platz gesperrt",IF(AND(COUNTIF($P$6:$P$605,P488)&gt;1,NOT(AND(COUNTIF($P$6:$P$605,P488)=2,COUNTIFS($P$6:$P$605,P488,$H$6:$H$605,"Vormittag")=1,COUNTIFS($P$6:$P$605,P488,$H$6:$H$605,"Nachmittag")=1))),"Doppelbuchung",IF(AND(COUNTIF($R$6:$R$605,R488)&gt;1,NOT(AND(COUNTIF($R$6:$R$605,R488)=2,COUNTIFS($R$6:$R$605,R488,$H$6:$H$605,"Vormittag")=1,COUNTIFS($R$6:$R$605,R488,$H$6:$H$605,"Nachmittag")=1))),"Person doppelt","OK"))))))))</f>
        <v/>
      </c>
      <c r="O488" s="55">
        <f t="shared" si="52"/>
        <v>0</v>
      </c>
      <c r="P488" s="55" t="str">
        <f t="shared" si="53"/>
        <v/>
      </c>
      <c r="Q488" s="55" t="str">
        <f>IF(P488="","",P488&amp;"|"&amp;COUNTIF(P$6:P488,P488))</f>
        <v/>
      </c>
      <c r="R488" s="55" t="str">
        <f t="shared" si="54"/>
        <v/>
      </c>
      <c r="S488" s="55" t="str">
        <f>IF(R488="","",R488&amp;"|"&amp;COUNTIF(R$6:R488,R488))</f>
        <v/>
      </c>
      <c r="T488" s="55" t="str">
        <f>IF(G488="","",IFERROR(INDEX(Stammdaten!$O$10:$O$69,MATCH(G488,Stammdaten!$N$10:$N$69,0)),G488)&amp;IF(H488="Vormittag"," (VM)",IF(H488="Nachmittag"," (NM)",""))&amp;IF(I488="Angefragt"," ?",""))</f>
        <v/>
      </c>
      <c r="U488" s="55" t="str">
        <f t="shared" si="55"/>
        <v/>
      </c>
    </row>
    <row r="489" spans="2:21" ht="16.5" customHeight="1" x14ac:dyDescent="0.25">
      <c r="B489" s="47" t="str">
        <f t="shared" si="49"/>
        <v/>
      </c>
      <c r="C489" s="48"/>
      <c r="D489" s="49" t="str">
        <f t="shared" si="50"/>
        <v/>
      </c>
      <c r="E489" s="50" t="str">
        <f t="shared" si="51"/>
        <v/>
      </c>
      <c r="F489" s="51"/>
      <c r="G489" s="52"/>
      <c r="H489" s="51"/>
      <c r="I489" s="51"/>
      <c r="J489" s="52"/>
      <c r="K489" s="53" t="str">
        <f>IF(G489="","",IFERROR(INDEX(Stammdaten!$P$10:$P$69,MATCH(G489,Stammdaten!$N$10:$N$69,0)),"–"))</f>
        <v/>
      </c>
      <c r="L489" s="53" t="str">
        <f>IF(F489="","",IFERROR(INDEX(Stammdaten!$D$10:$D$49,MATCH(F489,Stammdaten!$B$10:$B$49,0)),"–"))</f>
        <v/>
      </c>
      <c r="M489" s="54" t="str">
        <f>IF(C489="","",IF(OR(F489="",G489="",I489=""),"unvollständig",IF(I489="Storniert","storniert",IF(WEEKDAY(C489,2)&gt;5,"Wochenende",IF(COUNTIF(Stammdaten!$AD$10:$AD$30,C489)&gt;0,"Feiertag",IF(IFERROR(INDEX(Stammdaten!$I$10:$I$49,MATCH(F489,Stammdaten!$B$10:$B$49,0)),"")="Gesperrt","Platz gesperrt",IF(AND(COUNTIF($P$6:$P$605,P489)&gt;1,NOT(AND(COUNTIF($P$6:$P$605,P489)=2,COUNTIFS($P$6:$P$605,P489,$H$6:$H$605,"Vormittag")=1,COUNTIFS($P$6:$P$605,P489,$H$6:$H$605,"Nachmittag")=1))),"Doppelbuchung",IF(AND(COUNTIF($R$6:$R$605,R489)&gt;1,NOT(AND(COUNTIF($R$6:$R$605,R489)=2,COUNTIFS($R$6:$R$605,R489,$H$6:$H$605,"Vormittag")=1,COUNTIFS($R$6:$R$605,R489,$H$6:$H$605,"Nachmittag")=1))),"Person doppelt","OK"))))))))</f>
        <v/>
      </c>
      <c r="O489" s="55">
        <f t="shared" si="52"/>
        <v>0</v>
      </c>
      <c r="P489" s="55" t="str">
        <f t="shared" si="53"/>
        <v/>
      </c>
      <c r="Q489" s="55" t="str">
        <f>IF(P489="","",P489&amp;"|"&amp;COUNTIF(P$6:P489,P489))</f>
        <v/>
      </c>
      <c r="R489" s="55" t="str">
        <f t="shared" si="54"/>
        <v/>
      </c>
      <c r="S489" s="55" t="str">
        <f>IF(R489="","",R489&amp;"|"&amp;COUNTIF(R$6:R489,R489))</f>
        <v/>
      </c>
      <c r="T489" s="55" t="str">
        <f>IF(G489="","",IFERROR(INDEX(Stammdaten!$O$10:$O$69,MATCH(G489,Stammdaten!$N$10:$N$69,0)),G489)&amp;IF(H489="Vormittag"," (VM)",IF(H489="Nachmittag"," (NM)",""))&amp;IF(I489="Angefragt"," ?",""))</f>
        <v/>
      </c>
      <c r="U489" s="55" t="str">
        <f t="shared" si="55"/>
        <v/>
      </c>
    </row>
    <row r="490" spans="2:21" ht="16.5" customHeight="1" x14ac:dyDescent="0.25">
      <c r="B490" s="47" t="str">
        <f t="shared" si="49"/>
        <v/>
      </c>
      <c r="C490" s="48"/>
      <c r="D490" s="49" t="str">
        <f t="shared" si="50"/>
        <v/>
      </c>
      <c r="E490" s="50" t="str">
        <f t="shared" si="51"/>
        <v/>
      </c>
      <c r="F490" s="51"/>
      <c r="G490" s="52"/>
      <c r="H490" s="51"/>
      <c r="I490" s="51"/>
      <c r="J490" s="52"/>
      <c r="K490" s="53" t="str">
        <f>IF(G490="","",IFERROR(INDEX(Stammdaten!$P$10:$P$69,MATCH(G490,Stammdaten!$N$10:$N$69,0)),"–"))</f>
        <v/>
      </c>
      <c r="L490" s="53" t="str">
        <f>IF(F490="","",IFERROR(INDEX(Stammdaten!$D$10:$D$49,MATCH(F490,Stammdaten!$B$10:$B$49,0)),"–"))</f>
        <v/>
      </c>
      <c r="M490" s="54" t="str">
        <f>IF(C490="","",IF(OR(F490="",G490="",I490=""),"unvollständig",IF(I490="Storniert","storniert",IF(WEEKDAY(C490,2)&gt;5,"Wochenende",IF(COUNTIF(Stammdaten!$AD$10:$AD$30,C490)&gt;0,"Feiertag",IF(IFERROR(INDEX(Stammdaten!$I$10:$I$49,MATCH(F490,Stammdaten!$B$10:$B$49,0)),"")="Gesperrt","Platz gesperrt",IF(AND(COUNTIF($P$6:$P$605,P490)&gt;1,NOT(AND(COUNTIF($P$6:$P$605,P490)=2,COUNTIFS($P$6:$P$605,P490,$H$6:$H$605,"Vormittag")=1,COUNTIFS($P$6:$P$605,P490,$H$6:$H$605,"Nachmittag")=1))),"Doppelbuchung",IF(AND(COUNTIF($R$6:$R$605,R490)&gt;1,NOT(AND(COUNTIF($R$6:$R$605,R490)=2,COUNTIFS($R$6:$R$605,R490,$H$6:$H$605,"Vormittag")=1,COUNTIFS($R$6:$R$605,R490,$H$6:$H$605,"Nachmittag")=1))),"Person doppelt","OK"))))))))</f>
        <v/>
      </c>
      <c r="O490" s="55">
        <f t="shared" si="52"/>
        <v>0</v>
      </c>
      <c r="P490" s="55" t="str">
        <f t="shared" si="53"/>
        <v/>
      </c>
      <c r="Q490" s="55" t="str">
        <f>IF(P490="","",P490&amp;"|"&amp;COUNTIF(P$6:P490,P490))</f>
        <v/>
      </c>
      <c r="R490" s="55" t="str">
        <f t="shared" si="54"/>
        <v/>
      </c>
      <c r="S490" s="55" t="str">
        <f>IF(R490="","",R490&amp;"|"&amp;COUNTIF(R$6:R490,R490))</f>
        <v/>
      </c>
      <c r="T490" s="55" t="str">
        <f>IF(G490="","",IFERROR(INDEX(Stammdaten!$O$10:$O$69,MATCH(G490,Stammdaten!$N$10:$N$69,0)),G490)&amp;IF(H490="Vormittag"," (VM)",IF(H490="Nachmittag"," (NM)",""))&amp;IF(I490="Angefragt"," ?",""))</f>
        <v/>
      </c>
      <c r="U490" s="55" t="str">
        <f t="shared" si="55"/>
        <v/>
      </c>
    </row>
    <row r="491" spans="2:21" ht="16.5" customHeight="1" x14ac:dyDescent="0.25">
      <c r="B491" s="47" t="str">
        <f t="shared" si="49"/>
        <v/>
      </c>
      <c r="C491" s="48"/>
      <c r="D491" s="49" t="str">
        <f t="shared" si="50"/>
        <v/>
      </c>
      <c r="E491" s="50" t="str">
        <f t="shared" si="51"/>
        <v/>
      </c>
      <c r="F491" s="51"/>
      <c r="G491" s="52"/>
      <c r="H491" s="51"/>
      <c r="I491" s="51"/>
      <c r="J491" s="52"/>
      <c r="K491" s="53" t="str">
        <f>IF(G491="","",IFERROR(INDEX(Stammdaten!$P$10:$P$69,MATCH(G491,Stammdaten!$N$10:$N$69,0)),"–"))</f>
        <v/>
      </c>
      <c r="L491" s="53" t="str">
        <f>IF(F491="","",IFERROR(INDEX(Stammdaten!$D$10:$D$49,MATCH(F491,Stammdaten!$B$10:$B$49,0)),"–"))</f>
        <v/>
      </c>
      <c r="M491" s="54" t="str">
        <f>IF(C491="","",IF(OR(F491="",G491="",I491=""),"unvollständig",IF(I491="Storniert","storniert",IF(WEEKDAY(C491,2)&gt;5,"Wochenende",IF(COUNTIF(Stammdaten!$AD$10:$AD$30,C491)&gt;0,"Feiertag",IF(IFERROR(INDEX(Stammdaten!$I$10:$I$49,MATCH(F491,Stammdaten!$B$10:$B$49,0)),"")="Gesperrt","Platz gesperrt",IF(AND(COUNTIF($P$6:$P$605,P491)&gt;1,NOT(AND(COUNTIF($P$6:$P$605,P491)=2,COUNTIFS($P$6:$P$605,P491,$H$6:$H$605,"Vormittag")=1,COUNTIFS($P$6:$P$605,P491,$H$6:$H$605,"Nachmittag")=1))),"Doppelbuchung",IF(AND(COUNTIF($R$6:$R$605,R491)&gt;1,NOT(AND(COUNTIF($R$6:$R$605,R491)=2,COUNTIFS($R$6:$R$605,R491,$H$6:$H$605,"Vormittag")=1,COUNTIFS($R$6:$R$605,R491,$H$6:$H$605,"Nachmittag")=1))),"Person doppelt","OK"))))))))</f>
        <v/>
      </c>
      <c r="O491" s="55">
        <f t="shared" si="52"/>
        <v>0</v>
      </c>
      <c r="P491" s="55" t="str">
        <f t="shared" si="53"/>
        <v/>
      </c>
      <c r="Q491" s="55" t="str">
        <f>IF(P491="","",P491&amp;"|"&amp;COUNTIF(P$6:P491,P491))</f>
        <v/>
      </c>
      <c r="R491" s="55" t="str">
        <f t="shared" si="54"/>
        <v/>
      </c>
      <c r="S491" s="55" t="str">
        <f>IF(R491="","",R491&amp;"|"&amp;COUNTIF(R$6:R491,R491))</f>
        <v/>
      </c>
      <c r="T491" s="55" t="str">
        <f>IF(G491="","",IFERROR(INDEX(Stammdaten!$O$10:$O$69,MATCH(G491,Stammdaten!$N$10:$N$69,0)),G491)&amp;IF(H491="Vormittag"," (VM)",IF(H491="Nachmittag"," (NM)",""))&amp;IF(I491="Angefragt"," ?",""))</f>
        <v/>
      </c>
      <c r="U491" s="55" t="str">
        <f t="shared" si="55"/>
        <v/>
      </c>
    </row>
    <row r="492" spans="2:21" ht="16.5" customHeight="1" x14ac:dyDescent="0.25">
      <c r="B492" s="47" t="str">
        <f t="shared" si="49"/>
        <v/>
      </c>
      <c r="C492" s="48"/>
      <c r="D492" s="49" t="str">
        <f t="shared" si="50"/>
        <v/>
      </c>
      <c r="E492" s="50" t="str">
        <f t="shared" si="51"/>
        <v/>
      </c>
      <c r="F492" s="51"/>
      <c r="G492" s="52"/>
      <c r="H492" s="51"/>
      <c r="I492" s="51"/>
      <c r="J492" s="52"/>
      <c r="K492" s="53" t="str">
        <f>IF(G492="","",IFERROR(INDEX(Stammdaten!$P$10:$P$69,MATCH(G492,Stammdaten!$N$10:$N$69,0)),"–"))</f>
        <v/>
      </c>
      <c r="L492" s="53" t="str">
        <f>IF(F492="","",IFERROR(INDEX(Stammdaten!$D$10:$D$49,MATCH(F492,Stammdaten!$B$10:$B$49,0)),"–"))</f>
        <v/>
      </c>
      <c r="M492" s="54" t="str">
        <f>IF(C492="","",IF(OR(F492="",G492="",I492=""),"unvollständig",IF(I492="Storniert","storniert",IF(WEEKDAY(C492,2)&gt;5,"Wochenende",IF(COUNTIF(Stammdaten!$AD$10:$AD$30,C492)&gt;0,"Feiertag",IF(IFERROR(INDEX(Stammdaten!$I$10:$I$49,MATCH(F492,Stammdaten!$B$10:$B$49,0)),"")="Gesperrt","Platz gesperrt",IF(AND(COUNTIF($P$6:$P$605,P492)&gt;1,NOT(AND(COUNTIF($P$6:$P$605,P492)=2,COUNTIFS($P$6:$P$605,P492,$H$6:$H$605,"Vormittag")=1,COUNTIFS($P$6:$P$605,P492,$H$6:$H$605,"Nachmittag")=1))),"Doppelbuchung",IF(AND(COUNTIF($R$6:$R$605,R492)&gt;1,NOT(AND(COUNTIF($R$6:$R$605,R492)=2,COUNTIFS($R$6:$R$605,R492,$H$6:$H$605,"Vormittag")=1,COUNTIFS($R$6:$R$605,R492,$H$6:$H$605,"Nachmittag")=1))),"Person doppelt","OK"))))))))</f>
        <v/>
      </c>
      <c r="O492" s="55">
        <f t="shared" si="52"/>
        <v>0</v>
      </c>
      <c r="P492" s="55" t="str">
        <f t="shared" si="53"/>
        <v/>
      </c>
      <c r="Q492" s="55" t="str">
        <f>IF(P492="","",P492&amp;"|"&amp;COUNTIF(P$6:P492,P492))</f>
        <v/>
      </c>
      <c r="R492" s="55" t="str">
        <f t="shared" si="54"/>
        <v/>
      </c>
      <c r="S492" s="55" t="str">
        <f>IF(R492="","",R492&amp;"|"&amp;COUNTIF(R$6:R492,R492))</f>
        <v/>
      </c>
      <c r="T492" s="55" t="str">
        <f>IF(G492="","",IFERROR(INDEX(Stammdaten!$O$10:$O$69,MATCH(G492,Stammdaten!$N$10:$N$69,0)),G492)&amp;IF(H492="Vormittag"," (VM)",IF(H492="Nachmittag"," (NM)",""))&amp;IF(I492="Angefragt"," ?",""))</f>
        <v/>
      </c>
      <c r="U492" s="55" t="str">
        <f t="shared" si="55"/>
        <v/>
      </c>
    </row>
    <row r="493" spans="2:21" ht="16.5" customHeight="1" x14ac:dyDescent="0.25">
      <c r="B493" s="47" t="str">
        <f t="shared" si="49"/>
        <v/>
      </c>
      <c r="C493" s="48"/>
      <c r="D493" s="49" t="str">
        <f t="shared" si="50"/>
        <v/>
      </c>
      <c r="E493" s="50" t="str">
        <f t="shared" si="51"/>
        <v/>
      </c>
      <c r="F493" s="51"/>
      <c r="G493" s="52"/>
      <c r="H493" s="51"/>
      <c r="I493" s="51"/>
      <c r="J493" s="52"/>
      <c r="K493" s="53" t="str">
        <f>IF(G493="","",IFERROR(INDEX(Stammdaten!$P$10:$P$69,MATCH(G493,Stammdaten!$N$10:$N$69,0)),"–"))</f>
        <v/>
      </c>
      <c r="L493" s="53" t="str">
        <f>IF(F493="","",IFERROR(INDEX(Stammdaten!$D$10:$D$49,MATCH(F493,Stammdaten!$B$10:$B$49,0)),"–"))</f>
        <v/>
      </c>
      <c r="M493" s="54" t="str">
        <f>IF(C493="","",IF(OR(F493="",G493="",I493=""),"unvollständig",IF(I493="Storniert","storniert",IF(WEEKDAY(C493,2)&gt;5,"Wochenende",IF(COUNTIF(Stammdaten!$AD$10:$AD$30,C493)&gt;0,"Feiertag",IF(IFERROR(INDEX(Stammdaten!$I$10:$I$49,MATCH(F493,Stammdaten!$B$10:$B$49,0)),"")="Gesperrt","Platz gesperrt",IF(AND(COUNTIF($P$6:$P$605,P493)&gt;1,NOT(AND(COUNTIF($P$6:$P$605,P493)=2,COUNTIFS($P$6:$P$605,P493,$H$6:$H$605,"Vormittag")=1,COUNTIFS($P$6:$P$605,P493,$H$6:$H$605,"Nachmittag")=1))),"Doppelbuchung",IF(AND(COUNTIF($R$6:$R$605,R493)&gt;1,NOT(AND(COUNTIF($R$6:$R$605,R493)=2,COUNTIFS($R$6:$R$605,R493,$H$6:$H$605,"Vormittag")=1,COUNTIFS($R$6:$R$605,R493,$H$6:$H$605,"Nachmittag")=1))),"Person doppelt","OK"))))))))</f>
        <v/>
      </c>
      <c r="O493" s="55">
        <f t="shared" si="52"/>
        <v>0</v>
      </c>
      <c r="P493" s="55" t="str">
        <f t="shared" si="53"/>
        <v/>
      </c>
      <c r="Q493" s="55" t="str">
        <f>IF(P493="","",P493&amp;"|"&amp;COUNTIF(P$6:P493,P493))</f>
        <v/>
      </c>
      <c r="R493" s="55" t="str">
        <f t="shared" si="54"/>
        <v/>
      </c>
      <c r="S493" s="55" t="str">
        <f>IF(R493="","",R493&amp;"|"&amp;COUNTIF(R$6:R493,R493))</f>
        <v/>
      </c>
      <c r="T493" s="55" t="str">
        <f>IF(G493="","",IFERROR(INDEX(Stammdaten!$O$10:$O$69,MATCH(G493,Stammdaten!$N$10:$N$69,0)),G493)&amp;IF(H493="Vormittag"," (VM)",IF(H493="Nachmittag"," (NM)",""))&amp;IF(I493="Angefragt"," ?",""))</f>
        <v/>
      </c>
      <c r="U493" s="55" t="str">
        <f t="shared" si="55"/>
        <v/>
      </c>
    </row>
    <row r="494" spans="2:21" ht="16.5" customHeight="1" x14ac:dyDescent="0.25">
      <c r="B494" s="47" t="str">
        <f t="shared" si="49"/>
        <v/>
      </c>
      <c r="C494" s="48"/>
      <c r="D494" s="49" t="str">
        <f t="shared" si="50"/>
        <v/>
      </c>
      <c r="E494" s="50" t="str">
        <f t="shared" si="51"/>
        <v/>
      </c>
      <c r="F494" s="51"/>
      <c r="G494" s="52"/>
      <c r="H494" s="51"/>
      <c r="I494" s="51"/>
      <c r="J494" s="52"/>
      <c r="K494" s="53" t="str">
        <f>IF(G494="","",IFERROR(INDEX(Stammdaten!$P$10:$P$69,MATCH(G494,Stammdaten!$N$10:$N$69,0)),"–"))</f>
        <v/>
      </c>
      <c r="L494" s="53" t="str">
        <f>IF(F494="","",IFERROR(INDEX(Stammdaten!$D$10:$D$49,MATCH(F494,Stammdaten!$B$10:$B$49,0)),"–"))</f>
        <v/>
      </c>
      <c r="M494" s="54" t="str">
        <f>IF(C494="","",IF(OR(F494="",G494="",I494=""),"unvollständig",IF(I494="Storniert","storniert",IF(WEEKDAY(C494,2)&gt;5,"Wochenende",IF(COUNTIF(Stammdaten!$AD$10:$AD$30,C494)&gt;0,"Feiertag",IF(IFERROR(INDEX(Stammdaten!$I$10:$I$49,MATCH(F494,Stammdaten!$B$10:$B$49,0)),"")="Gesperrt","Platz gesperrt",IF(AND(COUNTIF($P$6:$P$605,P494)&gt;1,NOT(AND(COUNTIF($P$6:$P$605,P494)=2,COUNTIFS($P$6:$P$605,P494,$H$6:$H$605,"Vormittag")=1,COUNTIFS($P$6:$P$605,P494,$H$6:$H$605,"Nachmittag")=1))),"Doppelbuchung",IF(AND(COUNTIF($R$6:$R$605,R494)&gt;1,NOT(AND(COUNTIF($R$6:$R$605,R494)=2,COUNTIFS($R$6:$R$605,R494,$H$6:$H$605,"Vormittag")=1,COUNTIFS($R$6:$R$605,R494,$H$6:$H$605,"Nachmittag")=1))),"Person doppelt","OK"))))))))</f>
        <v/>
      </c>
      <c r="O494" s="55">
        <f t="shared" si="52"/>
        <v>0</v>
      </c>
      <c r="P494" s="55" t="str">
        <f t="shared" si="53"/>
        <v/>
      </c>
      <c r="Q494" s="55" t="str">
        <f>IF(P494="","",P494&amp;"|"&amp;COUNTIF(P$6:P494,P494))</f>
        <v/>
      </c>
      <c r="R494" s="55" t="str">
        <f t="shared" si="54"/>
        <v/>
      </c>
      <c r="S494" s="55" t="str">
        <f>IF(R494="","",R494&amp;"|"&amp;COUNTIF(R$6:R494,R494))</f>
        <v/>
      </c>
      <c r="T494" s="55" t="str">
        <f>IF(G494="","",IFERROR(INDEX(Stammdaten!$O$10:$O$69,MATCH(G494,Stammdaten!$N$10:$N$69,0)),G494)&amp;IF(H494="Vormittag"," (VM)",IF(H494="Nachmittag"," (NM)",""))&amp;IF(I494="Angefragt"," ?",""))</f>
        <v/>
      </c>
      <c r="U494" s="55" t="str">
        <f t="shared" si="55"/>
        <v/>
      </c>
    </row>
    <row r="495" spans="2:21" ht="16.5" customHeight="1" x14ac:dyDescent="0.25">
      <c r="B495" s="47" t="str">
        <f t="shared" si="49"/>
        <v/>
      </c>
      <c r="C495" s="48"/>
      <c r="D495" s="49" t="str">
        <f t="shared" si="50"/>
        <v/>
      </c>
      <c r="E495" s="50" t="str">
        <f t="shared" si="51"/>
        <v/>
      </c>
      <c r="F495" s="51"/>
      <c r="G495" s="52"/>
      <c r="H495" s="51"/>
      <c r="I495" s="51"/>
      <c r="J495" s="52"/>
      <c r="K495" s="53" t="str">
        <f>IF(G495="","",IFERROR(INDEX(Stammdaten!$P$10:$P$69,MATCH(G495,Stammdaten!$N$10:$N$69,0)),"–"))</f>
        <v/>
      </c>
      <c r="L495" s="53" t="str">
        <f>IF(F495="","",IFERROR(INDEX(Stammdaten!$D$10:$D$49,MATCH(F495,Stammdaten!$B$10:$B$49,0)),"–"))</f>
        <v/>
      </c>
      <c r="M495" s="54" t="str">
        <f>IF(C495="","",IF(OR(F495="",G495="",I495=""),"unvollständig",IF(I495="Storniert","storniert",IF(WEEKDAY(C495,2)&gt;5,"Wochenende",IF(COUNTIF(Stammdaten!$AD$10:$AD$30,C495)&gt;0,"Feiertag",IF(IFERROR(INDEX(Stammdaten!$I$10:$I$49,MATCH(F495,Stammdaten!$B$10:$B$49,0)),"")="Gesperrt","Platz gesperrt",IF(AND(COUNTIF($P$6:$P$605,P495)&gt;1,NOT(AND(COUNTIF($P$6:$P$605,P495)=2,COUNTIFS($P$6:$P$605,P495,$H$6:$H$605,"Vormittag")=1,COUNTIFS($P$6:$P$605,P495,$H$6:$H$605,"Nachmittag")=1))),"Doppelbuchung",IF(AND(COUNTIF($R$6:$R$605,R495)&gt;1,NOT(AND(COUNTIF($R$6:$R$605,R495)=2,COUNTIFS($R$6:$R$605,R495,$H$6:$H$605,"Vormittag")=1,COUNTIFS($R$6:$R$605,R495,$H$6:$H$605,"Nachmittag")=1))),"Person doppelt","OK"))))))))</f>
        <v/>
      </c>
      <c r="O495" s="55">
        <f t="shared" si="52"/>
        <v>0</v>
      </c>
      <c r="P495" s="55" t="str">
        <f t="shared" si="53"/>
        <v/>
      </c>
      <c r="Q495" s="55" t="str">
        <f>IF(P495="","",P495&amp;"|"&amp;COUNTIF(P$6:P495,P495))</f>
        <v/>
      </c>
      <c r="R495" s="55" t="str">
        <f t="shared" si="54"/>
        <v/>
      </c>
      <c r="S495" s="55" t="str">
        <f>IF(R495="","",R495&amp;"|"&amp;COUNTIF(R$6:R495,R495))</f>
        <v/>
      </c>
      <c r="T495" s="55" t="str">
        <f>IF(G495="","",IFERROR(INDEX(Stammdaten!$O$10:$O$69,MATCH(G495,Stammdaten!$N$10:$N$69,0)),G495)&amp;IF(H495="Vormittag"," (VM)",IF(H495="Nachmittag"," (NM)",""))&amp;IF(I495="Angefragt"," ?",""))</f>
        <v/>
      </c>
      <c r="U495" s="55" t="str">
        <f t="shared" si="55"/>
        <v/>
      </c>
    </row>
    <row r="496" spans="2:21" ht="16.5" customHeight="1" x14ac:dyDescent="0.25">
      <c r="B496" s="47" t="str">
        <f t="shared" si="49"/>
        <v/>
      </c>
      <c r="C496" s="48"/>
      <c r="D496" s="49" t="str">
        <f t="shared" si="50"/>
        <v/>
      </c>
      <c r="E496" s="50" t="str">
        <f t="shared" si="51"/>
        <v/>
      </c>
      <c r="F496" s="51"/>
      <c r="G496" s="52"/>
      <c r="H496" s="51"/>
      <c r="I496" s="51"/>
      <c r="J496" s="52"/>
      <c r="K496" s="53" t="str">
        <f>IF(G496="","",IFERROR(INDEX(Stammdaten!$P$10:$P$69,MATCH(G496,Stammdaten!$N$10:$N$69,0)),"–"))</f>
        <v/>
      </c>
      <c r="L496" s="53" t="str">
        <f>IF(F496="","",IFERROR(INDEX(Stammdaten!$D$10:$D$49,MATCH(F496,Stammdaten!$B$10:$B$49,0)),"–"))</f>
        <v/>
      </c>
      <c r="M496" s="54" t="str">
        <f>IF(C496="","",IF(OR(F496="",G496="",I496=""),"unvollständig",IF(I496="Storniert","storniert",IF(WEEKDAY(C496,2)&gt;5,"Wochenende",IF(COUNTIF(Stammdaten!$AD$10:$AD$30,C496)&gt;0,"Feiertag",IF(IFERROR(INDEX(Stammdaten!$I$10:$I$49,MATCH(F496,Stammdaten!$B$10:$B$49,0)),"")="Gesperrt","Platz gesperrt",IF(AND(COUNTIF($P$6:$P$605,P496)&gt;1,NOT(AND(COUNTIF($P$6:$P$605,P496)=2,COUNTIFS($P$6:$P$605,P496,$H$6:$H$605,"Vormittag")=1,COUNTIFS($P$6:$P$605,P496,$H$6:$H$605,"Nachmittag")=1))),"Doppelbuchung",IF(AND(COUNTIF($R$6:$R$605,R496)&gt;1,NOT(AND(COUNTIF($R$6:$R$605,R496)=2,COUNTIFS($R$6:$R$605,R496,$H$6:$H$605,"Vormittag")=1,COUNTIFS($R$6:$R$605,R496,$H$6:$H$605,"Nachmittag")=1))),"Person doppelt","OK"))))))))</f>
        <v/>
      </c>
      <c r="O496" s="55">
        <f t="shared" si="52"/>
        <v>0</v>
      </c>
      <c r="P496" s="55" t="str">
        <f t="shared" si="53"/>
        <v/>
      </c>
      <c r="Q496" s="55" t="str">
        <f>IF(P496="","",P496&amp;"|"&amp;COUNTIF(P$6:P496,P496))</f>
        <v/>
      </c>
      <c r="R496" s="55" t="str">
        <f t="shared" si="54"/>
        <v/>
      </c>
      <c r="S496" s="55" t="str">
        <f>IF(R496="","",R496&amp;"|"&amp;COUNTIF(R$6:R496,R496))</f>
        <v/>
      </c>
      <c r="T496" s="55" t="str">
        <f>IF(G496="","",IFERROR(INDEX(Stammdaten!$O$10:$O$69,MATCH(G496,Stammdaten!$N$10:$N$69,0)),G496)&amp;IF(H496="Vormittag"," (VM)",IF(H496="Nachmittag"," (NM)",""))&amp;IF(I496="Angefragt"," ?",""))</f>
        <v/>
      </c>
      <c r="U496" s="55" t="str">
        <f t="shared" si="55"/>
        <v/>
      </c>
    </row>
    <row r="497" spans="2:21" ht="16.5" customHeight="1" x14ac:dyDescent="0.25">
      <c r="B497" s="47" t="str">
        <f t="shared" si="49"/>
        <v/>
      </c>
      <c r="C497" s="48"/>
      <c r="D497" s="49" t="str">
        <f t="shared" si="50"/>
        <v/>
      </c>
      <c r="E497" s="50" t="str">
        <f t="shared" si="51"/>
        <v/>
      </c>
      <c r="F497" s="51"/>
      <c r="G497" s="52"/>
      <c r="H497" s="51"/>
      <c r="I497" s="51"/>
      <c r="J497" s="52"/>
      <c r="K497" s="53" t="str">
        <f>IF(G497="","",IFERROR(INDEX(Stammdaten!$P$10:$P$69,MATCH(G497,Stammdaten!$N$10:$N$69,0)),"–"))</f>
        <v/>
      </c>
      <c r="L497" s="53" t="str">
        <f>IF(F497="","",IFERROR(INDEX(Stammdaten!$D$10:$D$49,MATCH(F497,Stammdaten!$B$10:$B$49,0)),"–"))</f>
        <v/>
      </c>
      <c r="M497" s="54" t="str">
        <f>IF(C497="","",IF(OR(F497="",G497="",I497=""),"unvollständig",IF(I497="Storniert","storniert",IF(WEEKDAY(C497,2)&gt;5,"Wochenende",IF(COUNTIF(Stammdaten!$AD$10:$AD$30,C497)&gt;0,"Feiertag",IF(IFERROR(INDEX(Stammdaten!$I$10:$I$49,MATCH(F497,Stammdaten!$B$10:$B$49,0)),"")="Gesperrt","Platz gesperrt",IF(AND(COUNTIF($P$6:$P$605,P497)&gt;1,NOT(AND(COUNTIF($P$6:$P$605,P497)=2,COUNTIFS($P$6:$P$605,P497,$H$6:$H$605,"Vormittag")=1,COUNTIFS($P$6:$P$605,P497,$H$6:$H$605,"Nachmittag")=1))),"Doppelbuchung",IF(AND(COUNTIF($R$6:$R$605,R497)&gt;1,NOT(AND(COUNTIF($R$6:$R$605,R497)=2,COUNTIFS($R$6:$R$605,R497,$H$6:$H$605,"Vormittag")=1,COUNTIFS($R$6:$R$605,R497,$H$6:$H$605,"Nachmittag")=1))),"Person doppelt","OK"))))))))</f>
        <v/>
      </c>
      <c r="O497" s="55">
        <f t="shared" si="52"/>
        <v>0</v>
      </c>
      <c r="P497" s="55" t="str">
        <f t="shared" si="53"/>
        <v/>
      </c>
      <c r="Q497" s="55" t="str">
        <f>IF(P497="","",P497&amp;"|"&amp;COUNTIF(P$6:P497,P497))</f>
        <v/>
      </c>
      <c r="R497" s="55" t="str">
        <f t="shared" si="54"/>
        <v/>
      </c>
      <c r="S497" s="55" t="str">
        <f>IF(R497="","",R497&amp;"|"&amp;COUNTIF(R$6:R497,R497))</f>
        <v/>
      </c>
      <c r="T497" s="55" t="str">
        <f>IF(G497="","",IFERROR(INDEX(Stammdaten!$O$10:$O$69,MATCH(G497,Stammdaten!$N$10:$N$69,0)),G497)&amp;IF(H497="Vormittag"," (VM)",IF(H497="Nachmittag"," (NM)",""))&amp;IF(I497="Angefragt"," ?",""))</f>
        <v/>
      </c>
      <c r="U497" s="55" t="str">
        <f t="shared" si="55"/>
        <v/>
      </c>
    </row>
    <row r="498" spans="2:21" ht="16.5" customHeight="1" x14ac:dyDescent="0.25">
      <c r="B498" s="47" t="str">
        <f t="shared" si="49"/>
        <v/>
      </c>
      <c r="C498" s="48"/>
      <c r="D498" s="49" t="str">
        <f t="shared" si="50"/>
        <v/>
      </c>
      <c r="E498" s="50" t="str">
        <f t="shared" si="51"/>
        <v/>
      </c>
      <c r="F498" s="51"/>
      <c r="G498" s="52"/>
      <c r="H498" s="51"/>
      <c r="I498" s="51"/>
      <c r="J498" s="52"/>
      <c r="K498" s="53" t="str">
        <f>IF(G498="","",IFERROR(INDEX(Stammdaten!$P$10:$P$69,MATCH(G498,Stammdaten!$N$10:$N$69,0)),"–"))</f>
        <v/>
      </c>
      <c r="L498" s="53" t="str">
        <f>IF(F498="","",IFERROR(INDEX(Stammdaten!$D$10:$D$49,MATCH(F498,Stammdaten!$B$10:$B$49,0)),"–"))</f>
        <v/>
      </c>
      <c r="M498" s="54" t="str">
        <f>IF(C498="","",IF(OR(F498="",G498="",I498=""),"unvollständig",IF(I498="Storniert","storniert",IF(WEEKDAY(C498,2)&gt;5,"Wochenende",IF(COUNTIF(Stammdaten!$AD$10:$AD$30,C498)&gt;0,"Feiertag",IF(IFERROR(INDEX(Stammdaten!$I$10:$I$49,MATCH(F498,Stammdaten!$B$10:$B$49,0)),"")="Gesperrt","Platz gesperrt",IF(AND(COUNTIF($P$6:$P$605,P498)&gt;1,NOT(AND(COUNTIF($P$6:$P$605,P498)=2,COUNTIFS($P$6:$P$605,P498,$H$6:$H$605,"Vormittag")=1,COUNTIFS($P$6:$P$605,P498,$H$6:$H$605,"Nachmittag")=1))),"Doppelbuchung",IF(AND(COUNTIF($R$6:$R$605,R498)&gt;1,NOT(AND(COUNTIF($R$6:$R$605,R498)=2,COUNTIFS($R$6:$R$605,R498,$H$6:$H$605,"Vormittag")=1,COUNTIFS($R$6:$R$605,R498,$H$6:$H$605,"Nachmittag")=1))),"Person doppelt","OK"))))))))</f>
        <v/>
      </c>
      <c r="O498" s="55">
        <f t="shared" si="52"/>
        <v>0</v>
      </c>
      <c r="P498" s="55" t="str">
        <f t="shared" si="53"/>
        <v/>
      </c>
      <c r="Q498" s="55" t="str">
        <f>IF(P498="","",P498&amp;"|"&amp;COUNTIF(P$6:P498,P498))</f>
        <v/>
      </c>
      <c r="R498" s="55" t="str">
        <f t="shared" si="54"/>
        <v/>
      </c>
      <c r="S498" s="55" t="str">
        <f>IF(R498="","",R498&amp;"|"&amp;COUNTIF(R$6:R498,R498))</f>
        <v/>
      </c>
      <c r="T498" s="55" t="str">
        <f>IF(G498="","",IFERROR(INDEX(Stammdaten!$O$10:$O$69,MATCH(G498,Stammdaten!$N$10:$N$69,0)),G498)&amp;IF(H498="Vormittag"," (VM)",IF(H498="Nachmittag"," (NM)",""))&amp;IF(I498="Angefragt"," ?",""))</f>
        <v/>
      </c>
      <c r="U498" s="55" t="str">
        <f t="shared" si="55"/>
        <v/>
      </c>
    </row>
    <row r="499" spans="2:21" ht="16.5" customHeight="1" x14ac:dyDescent="0.25">
      <c r="B499" s="47" t="str">
        <f t="shared" si="49"/>
        <v/>
      </c>
      <c r="C499" s="48"/>
      <c r="D499" s="49" t="str">
        <f t="shared" si="50"/>
        <v/>
      </c>
      <c r="E499" s="50" t="str">
        <f t="shared" si="51"/>
        <v/>
      </c>
      <c r="F499" s="51"/>
      <c r="G499" s="52"/>
      <c r="H499" s="51"/>
      <c r="I499" s="51"/>
      <c r="J499" s="52"/>
      <c r="K499" s="53" t="str">
        <f>IF(G499="","",IFERROR(INDEX(Stammdaten!$P$10:$P$69,MATCH(G499,Stammdaten!$N$10:$N$69,0)),"–"))</f>
        <v/>
      </c>
      <c r="L499" s="53" t="str">
        <f>IF(F499="","",IFERROR(INDEX(Stammdaten!$D$10:$D$49,MATCH(F499,Stammdaten!$B$10:$B$49,0)),"–"))</f>
        <v/>
      </c>
      <c r="M499" s="54" t="str">
        <f>IF(C499="","",IF(OR(F499="",G499="",I499=""),"unvollständig",IF(I499="Storniert","storniert",IF(WEEKDAY(C499,2)&gt;5,"Wochenende",IF(COUNTIF(Stammdaten!$AD$10:$AD$30,C499)&gt;0,"Feiertag",IF(IFERROR(INDEX(Stammdaten!$I$10:$I$49,MATCH(F499,Stammdaten!$B$10:$B$49,0)),"")="Gesperrt","Platz gesperrt",IF(AND(COUNTIF($P$6:$P$605,P499)&gt;1,NOT(AND(COUNTIF($P$6:$P$605,P499)=2,COUNTIFS($P$6:$P$605,P499,$H$6:$H$605,"Vormittag")=1,COUNTIFS($P$6:$P$605,P499,$H$6:$H$605,"Nachmittag")=1))),"Doppelbuchung",IF(AND(COUNTIF($R$6:$R$605,R499)&gt;1,NOT(AND(COUNTIF($R$6:$R$605,R499)=2,COUNTIFS($R$6:$R$605,R499,$H$6:$H$605,"Vormittag")=1,COUNTIFS($R$6:$R$605,R499,$H$6:$H$605,"Nachmittag")=1))),"Person doppelt","OK"))))))))</f>
        <v/>
      </c>
      <c r="O499" s="55">
        <f t="shared" si="52"/>
        <v>0</v>
      </c>
      <c r="P499" s="55" t="str">
        <f t="shared" si="53"/>
        <v/>
      </c>
      <c r="Q499" s="55" t="str">
        <f>IF(P499="","",P499&amp;"|"&amp;COUNTIF(P$6:P499,P499))</f>
        <v/>
      </c>
      <c r="R499" s="55" t="str">
        <f t="shared" si="54"/>
        <v/>
      </c>
      <c r="S499" s="55" t="str">
        <f>IF(R499="","",R499&amp;"|"&amp;COUNTIF(R$6:R499,R499))</f>
        <v/>
      </c>
      <c r="T499" s="55" t="str">
        <f>IF(G499="","",IFERROR(INDEX(Stammdaten!$O$10:$O$69,MATCH(G499,Stammdaten!$N$10:$N$69,0)),G499)&amp;IF(H499="Vormittag"," (VM)",IF(H499="Nachmittag"," (NM)",""))&amp;IF(I499="Angefragt"," ?",""))</f>
        <v/>
      </c>
      <c r="U499" s="55" t="str">
        <f t="shared" si="55"/>
        <v/>
      </c>
    </row>
    <row r="500" spans="2:21" ht="16.5" customHeight="1" x14ac:dyDescent="0.25">
      <c r="B500" s="47" t="str">
        <f t="shared" si="49"/>
        <v/>
      </c>
      <c r="C500" s="48"/>
      <c r="D500" s="49" t="str">
        <f t="shared" si="50"/>
        <v/>
      </c>
      <c r="E500" s="50" t="str">
        <f t="shared" si="51"/>
        <v/>
      </c>
      <c r="F500" s="51"/>
      <c r="G500" s="52"/>
      <c r="H500" s="51"/>
      <c r="I500" s="51"/>
      <c r="J500" s="52"/>
      <c r="K500" s="53" t="str">
        <f>IF(G500="","",IFERROR(INDEX(Stammdaten!$P$10:$P$69,MATCH(G500,Stammdaten!$N$10:$N$69,0)),"–"))</f>
        <v/>
      </c>
      <c r="L500" s="53" t="str">
        <f>IF(F500="","",IFERROR(INDEX(Stammdaten!$D$10:$D$49,MATCH(F500,Stammdaten!$B$10:$B$49,0)),"–"))</f>
        <v/>
      </c>
      <c r="M500" s="54" t="str">
        <f>IF(C500="","",IF(OR(F500="",G500="",I500=""),"unvollständig",IF(I500="Storniert","storniert",IF(WEEKDAY(C500,2)&gt;5,"Wochenende",IF(COUNTIF(Stammdaten!$AD$10:$AD$30,C500)&gt;0,"Feiertag",IF(IFERROR(INDEX(Stammdaten!$I$10:$I$49,MATCH(F500,Stammdaten!$B$10:$B$49,0)),"")="Gesperrt","Platz gesperrt",IF(AND(COUNTIF($P$6:$P$605,P500)&gt;1,NOT(AND(COUNTIF($P$6:$P$605,P500)=2,COUNTIFS($P$6:$P$605,P500,$H$6:$H$605,"Vormittag")=1,COUNTIFS($P$6:$P$605,P500,$H$6:$H$605,"Nachmittag")=1))),"Doppelbuchung",IF(AND(COUNTIF($R$6:$R$605,R500)&gt;1,NOT(AND(COUNTIF($R$6:$R$605,R500)=2,COUNTIFS($R$6:$R$605,R500,$H$6:$H$605,"Vormittag")=1,COUNTIFS($R$6:$R$605,R500,$H$6:$H$605,"Nachmittag")=1))),"Person doppelt","OK"))))))))</f>
        <v/>
      </c>
      <c r="O500" s="55">
        <f t="shared" si="52"/>
        <v>0</v>
      </c>
      <c r="P500" s="55" t="str">
        <f t="shared" si="53"/>
        <v/>
      </c>
      <c r="Q500" s="55" t="str">
        <f>IF(P500="","",P500&amp;"|"&amp;COUNTIF(P$6:P500,P500))</f>
        <v/>
      </c>
      <c r="R500" s="55" t="str">
        <f t="shared" si="54"/>
        <v/>
      </c>
      <c r="S500" s="55" t="str">
        <f>IF(R500="","",R500&amp;"|"&amp;COUNTIF(R$6:R500,R500))</f>
        <v/>
      </c>
      <c r="T500" s="55" t="str">
        <f>IF(G500="","",IFERROR(INDEX(Stammdaten!$O$10:$O$69,MATCH(G500,Stammdaten!$N$10:$N$69,0)),G500)&amp;IF(H500="Vormittag"," (VM)",IF(H500="Nachmittag"," (NM)",""))&amp;IF(I500="Angefragt"," ?",""))</f>
        <v/>
      </c>
      <c r="U500" s="55" t="str">
        <f t="shared" si="55"/>
        <v/>
      </c>
    </row>
    <row r="501" spans="2:21" ht="16.5" customHeight="1" x14ac:dyDescent="0.25">
      <c r="B501" s="47" t="str">
        <f t="shared" si="49"/>
        <v/>
      </c>
      <c r="C501" s="48"/>
      <c r="D501" s="49" t="str">
        <f t="shared" si="50"/>
        <v/>
      </c>
      <c r="E501" s="50" t="str">
        <f t="shared" si="51"/>
        <v/>
      </c>
      <c r="F501" s="51"/>
      <c r="G501" s="52"/>
      <c r="H501" s="51"/>
      <c r="I501" s="51"/>
      <c r="J501" s="52"/>
      <c r="K501" s="53" t="str">
        <f>IF(G501="","",IFERROR(INDEX(Stammdaten!$P$10:$P$69,MATCH(G501,Stammdaten!$N$10:$N$69,0)),"–"))</f>
        <v/>
      </c>
      <c r="L501" s="53" t="str">
        <f>IF(F501="","",IFERROR(INDEX(Stammdaten!$D$10:$D$49,MATCH(F501,Stammdaten!$B$10:$B$49,0)),"–"))</f>
        <v/>
      </c>
      <c r="M501" s="54" t="str">
        <f>IF(C501="","",IF(OR(F501="",G501="",I501=""),"unvollständig",IF(I501="Storniert","storniert",IF(WEEKDAY(C501,2)&gt;5,"Wochenende",IF(COUNTIF(Stammdaten!$AD$10:$AD$30,C501)&gt;0,"Feiertag",IF(IFERROR(INDEX(Stammdaten!$I$10:$I$49,MATCH(F501,Stammdaten!$B$10:$B$49,0)),"")="Gesperrt","Platz gesperrt",IF(AND(COUNTIF($P$6:$P$605,P501)&gt;1,NOT(AND(COUNTIF($P$6:$P$605,P501)=2,COUNTIFS($P$6:$P$605,P501,$H$6:$H$605,"Vormittag")=1,COUNTIFS($P$6:$P$605,P501,$H$6:$H$605,"Nachmittag")=1))),"Doppelbuchung",IF(AND(COUNTIF($R$6:$R$605,R501)&gt;1,NOT(AND(COUNTIF($R$6:$R$605,R501)=2,COUNTIFS($R$6:$R$605,R501,$H$6:$H$605,"Vormittag")=1,COUNTIFS($R$6:$R$605,R501,$H$6:$H$605,"Nachmittag")=1))),"Person doppelt","OK"))))))))</f>
        <v/>
      </c>
      <c r="O501" s="55">
        <f t="shared" si="52"/>
        <v>0</v>
      </c>
      <c r="P501" s="55" t="str">
        <f t="shared" si="53"/>
        <v/>
      </c>
      <c r="Q501" s="55" t="str">
        <f>IF(P501="","",P501&amp;"|"&amp;COUNTIF(P$6:P501,P501))</f>
        <v/>
      </c>
      <c r="R501" s="55" t="str">
        <f t="shared" si="54"/>
        <v/>
      </c>
      <c r="S501" s="55" t="str">
        <f>IF(R501="","",R501&amp;"|"&amp;COUNTIF(R$6:R501,R501))</f>
        <v/>
      </c>
      <c r="T501" s="55" t="str">
        <f>IF(G501="","",IFERROR(INDEX(Stammdaten!$O$10:$O$69,MATCH(G501,Stammdaten!$N$10:$N$69,0)),G501)&amp;IF(H501="Vormittag"," (VM)",IF(H501="Nachmittag"," (NM)",""))&amp;IF(I501="Angefragt"," ?",""))</f>
        <v/>
      </c>
      <c r="U501" s="55" t="str">
        <f t="shared" si="55"/>
        <v/>
      </c>
    </row>
    <row r="502" spans="2:21" ht="16.5" customHeight="1" x14ac:dyDescent="0.25">
      <c r="B502" s="47" t="str">
        <f t="shared" si="49"/>
        <v/>
      </c>
      <c r="C502" s="48"/>
      <c r="D502" s="49" t="str">
        <f t="shared" si="50"/>
        <v/>
      </c>
      <c r="E502" s="50" t="str">
        <f t="shared" si="51"/>
        <v/>
      </c>
      <c r="F502" s="51"/>
      <c r="G502" s="52"/>
      <c r="H502" s="51"/>
      <c r="I502" s="51"/>
      <c r="J502" s="52"/>
      <c r="K502" s="53" t="str">
        <f>IF(G502="","",IFERROR(INDEX(Stammdaten!$P$10:$P$69,MATCH(G502,Stammdaten!$N$10:$N$69,0)),"–"))</f>
        <v/>
      </c>
      <c r="L502" s="53" t="str">
        <f>IF(F502="","",IFERROR(INDEX(Stammdaten!$D$10:$D$49,MATCH(F502,Stammdaten!$B$10:$B$49,0)),"–"))</f>
        <v/>
      </c>
      <c r="M502" s="54" t="str">
        <f>IF(C502="","",IF(OR(F502="",G502="",I502=""),"unvollständig",IF(I502="Storniert","storniert",IF(WEEKDAY(C502,2)&gt;5,"Wochenende",IF(COUNTIF(Stammdaten!$AD$10:$AD$30,C502)&gt;0,"Feiertag",IF(IFERROR(INDEX(Stammdaten!$I$10:$I$49,MATCH(F502,Stammdaten!$B$10:$B$49,0)),"")="Gesperrt","Platz gesperrt",IF(AND(COUNTIF($P$6:$P$605,P502)&gt;1,NOT(AND(COUNTIF($P$6:$P$605,P502)=2,COUNTIFS($P$6:$P$605,P502,$H$6:$H$605,"Vormittag")=1,COUNTIFS($P$6:$P$605,P502,$H$6:$H$605,"Nachmittag")=1))),"Doppelbuchung",IF(AND(COUNTIF($R$6:$R$605,R502)&gt;1,NOT(AND(COUNTIF($R$6:$R$605,R502)=2,COUNTIFS($R$6:$R$605,R502,$H$6:$H$605,"Vormittag")=1,COUNTIFS($R$6:$R$605,R502,$H$6:$H$605,"Nachmittag")=1))),"Person doppelt","OK"))))))))</f>
        <v/>
      </c>
      <c r="O502" s="55">
        <f t="shared" si="52"/>
        <v>0</v>
      </c>
      <c r="P502" s="55" t="str">
        <f t="shared" si="53"/>
        <v/>
      </c>
      <c r="Q502" s="55" t="str">
        <f>IF(P502="","",P502&amp;"|"&amp;COUNTIF(P$6:P502,P502))</f>
        <v/>
      </c>
      <c r="R502" s="55" t="str">
        <f t="shared" si="54"/>
        <v/>
      </c>
      <c r="S502" s="55" t="str">
        <f>IF(R502="","",R502&amp;"|"&amp;COUNTIF(R$6:R502,R502))</f>
        <v/>
      </c>
      <c r="T502" s="55" t="str">
        <f>IF(G502="","",IFERROR(INDEX(Stammdaten!$O$10:$O$69,MATCH(G502,Stammdaten!$N$10:$N$69,0)),G502)&amp;IF(H502="Vormittag"," (VM)",IF(H502="Nachmittag"," (NM)",""))&amp;IF(I502="Angefragt"," ?",""))</f>
        <v/>
      </c>
      <c r="U502" s="55" t="str">
        <f t="shared" si="55"/>
        <v/>
      </c>
    </row>
    <row r="503" spans="2:21" ht="16.5" customHeight="1" x14ac:dyDescent="0.25">
      <c r="B503" s="47" t="str">
        <f t="shared" si="49"/>
        <v/>
      </c>
      <c r="C503" s="48"/>
      <c r="D503" s="49" t="str">
        <f t="shared" si="50"/>
        <v/>
      </c>
      <c r="E503" s="50" t="str">
        <f t="shared" si="51"/>
        <v/>
      </c>
      <c r="F503" s="51"/>
      <c r="G503" s="52"/>
      <c r="H503" s="51"/>
      <c r="I503" s="51"/>
      <c r="J503" s="52"/>
      <c r="K503" s="53" t="str">
        <f>IF(G503="","",IFERROR(INDEX(Stammdaten!$P$10:$P$69,MATCH(G503,Stammdaten!$N$10:$N$69,0)),"–"))</f>
        <v/>
      </c>
      <c r="L503" s="53" t="str">
        <f>IF(F503="","",IFERROR(INDEX(Stammdaten!$D$10:$D$49,MATCH(F503,Stammdaten!$B$10:$B$49,0)),"–"))</f>
        <v/>
      </c>
      <c r="M503" s="54" t="str">
        <f>IF(C503="","",IF(OR(F503="",G503="",I503=""),"unvollständig",IF(I503="Storniert","storniert",IF(WEEKDAY(C503,2)&gt;5,"Wochenende",IF(COUNTIF(Stammdaten!$AD$10:$AD$30,C503)&gt;0,"Feiertag",IF(IFERROR(INDEX(Stammdaten!$I$10:$I$49,MATCH(F503,Stammdaten!$B$10:$B$49,0)),"")="Gesperrt","Platz gesperrt",IF(AND(COUNTIF($P$6:$P$605,P503)&gt;1,NOT(AND(COUNTIF($P$6:$P$605,P503)=2,COUNTIFS($P$6:$P$605,P503,$H$6:$H$605,"Vormittag")=1,COUNTIFS($P$6:$P$605,P503,$H$6:$H$605,"Nachmittag")=1))),"Doppelbuchung",IF(AND(COUNTIF($R$6:$R$605,R503)&gt;1,NOT(AND(COUNTIF($R$6:$R$605,R503)=2,COUNTIFS($R$6:$R$605,R503,$H$6:$H$605,"Vormittag")=1,COUNTIFS($R$6:$R$605,R503,$H$6:$H$605,"Nachmittag")=1))),"Person doppelt","OK"))))))))</f>
        <v/>
      </c>
      <c r="O503" s="55">
        <f t="shared" si="52"/>
        <v>0</v>
      </c>
      <c r="P503" s="55" t="str">
        <f t="shared" si="53"/>
        <v/>
      </c>
      <c r="Q503" s="55" t="str">
        <f>IF(P503="","",P503&amp;"|"&amp;COUNTIF(P$6:P503,P503))</f>
        <v/>
      </c>
      <c r="R503" s="55" t="str">
        <f t="shared" si="54"/>
        <v/>
      </c>
      <c r="S503" s="55" t="str">
        <f>IF(R503="","",R503&amp;"|"&amp;COUNTIF(R$6:R503,R503))</f>
        <v/>
      </c>
      <c r="T503" s="55" t="str">
        <f>IF(G503="","",IFERROR(INDEX(Stammdaten!$O$10:$O$69,MATCH(G503,Stammdaten!$N$10:$N$69,0)),G503)&amp;IF(H503="Vormittag"," (VM)",IF(H503="Nachmittag"," (NM)",""))&amp;IF(I503="Angefragt"," ?",""))</f>
        <v/>
      </c>
      <c r="U503" s="55" t="str">
        <f t="shared" si="55"/>
        <v/>
      </c>
    </row>
    <row r="504" spans="2:21" ht="16.5" customHeight="1" x14ac:dyDescent="0.25">
      <c r="B504" s="47" t="str">
        <f t="shared" si="49"/>
        <v/>
      </c>
      <c r="C504" s="48"/>
      <c r="D504" s="49" t="str">
        <f t="shared" si="50"/>
        <v/>
      </c>
      <c r="E504" s="50" t="str">
        <f t="shared" si="51"/>
        <v/>
      </c>
      <c r="F504" s="51"/>
      <c r="G504" s="52"/>
      <c r="H504" s="51"/>
      <c r="I504" s="51"/>
      <c r="J504" s="52"/>
      <c r="K504" s="53" t="str">
        <f>IF(G504="","",IFERROR(INDEX(Stammdaten!$P$10:$P$69,MATCH(G504,Stammdaten!$N$10:$N$69,0)),"–"))</f>
        <v/>
      </c>
      <c r="L504" s="53" t="str">
        <f>IF(F504="","",IFERROR(INDEX(Stammdaten!$D$10:$D$49,MATCH(F504,Stammdaten!$B$10:$B$49,0)),"–"))</f>
        <v/>
      </c>
      <c r="M504" s="54" t="str">
        <f>IF(C504="","",IF(OR(F504="",G504="",I504=""),"unvollständig",IF(I504="Storniert","storniert",IF(WEEKDAY(C504,2)&gt;5,"Wochenende",IF(COUNTIF(Stammdaten!$AD$10:$AD$30,C504)&gt;0,"Feiertag",IF(IFERROR(INDEX(Stammdaten!$I$10:$I$49,MATCH(F504,Stammdaten!$B$10:$B$49,0)),"")="Gesperrt","Platz gesperrt",IF(AND(COUNTIF($P$6:$P$605,P504)&gt;1,NOT(AND(COUNTIF($P$6:$P$605,P504)=2,COUNTIFS($P$6:$P$605,P504,$H$6:$H$605,"Vormittag")=1,COUNTIFS($P$6:$P$605,P504,$H$6:$H$605,"Nachmittag")=1))),"Doppelbuchung",IF(AND(COUNTIF($R$6:$R$605,R504)&gt;1,NOT(AND(COUNTIF($R$6:$R$605,R504)=2,COUNTIFS($R$6:$R$605,R504,$H$6:$H$605,"Vormittag")=1,COUNTIFS($R$6:$R$605,R504,$H$6:$H$605,"Nachmittag")=1))),"Person doppelt","OK"))))))))</f>
        <v/>
      </c>
      <c r="O504" s="55">
        <f t="shared" si="52"/>
        <v>0</v>
      </c>
      <c r="P504" s="55" t="str">
        <f t="shared" si="53"/>
        <v/>
      </c>
      <c r="Q504" s="55" t="str">
        <f>IF(P504="","",P504&amp;"|"&amp;COUNTIF(P$6:P504,P504))</f>
        <v/>
      </c>
      <c r="R504" s="55" t="str">
        <f t="shared" si="54"/>
        <v/>
      </c>
      <c r="S504" s="55" t="str">
        <f>IF(R504="","",R504&amp;"|"&amp;COUNTIF(R$6:R504,R504))</f>
        <v/>
      </c>
      <c r="T504" s="55" t="str">
        <f>IF(G504="","",IFERROR(INDEX(Stammdaten!$O$10:$O$69,MATCH(G504,Stammdaten!$N$10:$N$69,0)),G504)&amp;IF(H504="Vormittag"," (VM)",IF(H504="Nachmittag"," (NM)",""))&amp;IF(I504="Angefragt"," ?",""))</f>
        <v/>
      </c>
      <c r="U504" s="55" t="str">
        <f t="shared" si="55"/>
        <v/>
      </c>
    </row>
    <row r="505" spans="2:21" ht="16.5" customHeight="1" x14ac:dyDescent="0.25">
      <c r="B505" s="47" t="str">
        <f t="shared" si="49"/>
        <v/>
      </c>
      <c r="C505" s="48"/>
      <c r="D505" s="49" t="str">
        <f t="shared" si="50"/>
        <v/>
      </c>
      <c r="E505" s="50" t="str">
        <f t="shared" si="51"/>
        <v/>
      </c>
      <c r="F505" s="51"/>
      <c r="G505" s="52"/>
      <c r="H505" s="51"/>
      <c r="I505" s="51"/>
      <c r="J505" s="52"/>
      <c r="K505" s="53" t="str">
        <f>IF(G505="","",IFERROR(INDEX(Stammdaten!$P$10:$P$69,MATCH(G505,Stammdaten!$N$10:$N$69,0)),"–"))</f>
        <v/>
      </c>
      <c r="L505" s="53" t="str">
        <f>IF(F505="","",IFERROR(INDEX(Stammdaten!$D$10:$D$49,MATCH(F505,Stammdaten!$B$10:$B$49,0)),"–"))</f>
        <v/>
      </c>
      <c r="M505" s="54" t="str">
        <f>IF(C505="","",IF(OR(F505="",G505="",I505=""),"unvollständig",IF(I505="Storniert","storniert",IF(WEEKDAY(C505,2)&gt;5,"Wochenende",IF(COUNTIF(Stammdaten!$AD$10:$AD$30,C505)&gt;0,"Feiertag",IF(IFERROR(INDEX(Stammdaten!$I$10:$I$49,MATCH(F505,Stammdaten!$B$10:$B$49,0)),"")="Gesperrt","Platz gesperrt",IF(AND(COUNTIF($P$6:$P$605,P505)&gt;1,NOT(AND(COUNTIF($P$6:$P$605,P505)=2,COUNTIFS($P$6:$P$605,P505,$H$6:$H$605,"Vormittag")=1,COUNTIFS($P$6:$P$605,P505,$H$6:$H$605,"Nachmittag")=1))),"Doppelbuchung",IF(AND(COUNTIF($R$6:$R$605,R505)&gt;1,NOT(AND(COUNTIF($R$6:$R$605,R505)=2,COUNTIFS($R$6:$R$605,R505,$H$6:$H$605,"Vormittag")=1,COUNTIFS($R$6:$R$605,R505,$H$6:$H$605,"Nachmittag")=1))),"Person doppelt","OK"))))))))</f>
        <v/>
      </c>
      <c r="O505" s="55">
        <f t="shared" si="52"/>
        <v>0</v>
      </c>
      <c r="P505" s="55" t="str">
        <f t="shared" si="53"/>
        <v/>
      </c>
      <c r="Q505" s="55" t="str">
        <f>IF(P505="","",P505&amp;"|"&amp;COUNTIF(P$6:P505,P505))</f>
        <v/>
      </c>
      <c r="R505" s="55" t="str">
        <f t="shared" si="54"/>
        <v/>
      </c>
      <c r="S505" s="55" t="str">
        <f>IF(R505="","",R505&amp;"|"&amp;COUNTIF(R$6:R505,R505))</f>
        <v/>
      </c>
      <c r="T505" s="55" t="str">
        <f>IF(G505="","",IFERROR(INDEX(Stammdaten!$O$10:$O$69,MATCH(G505,Stammdaten!$N$10:$N$69,0)),G505)&amp;IF(H505="Vormittag"," (VM)",IF(H505="Nachmittag"," (NM)",""))&amp;IF(I505="Angefragt"," ?",""))</f>
        <v/>
      </c>
      <c r="U505" s="55" t="str">
        <f t="shared" si="55"/>
        <v/>
      </c>
    </row>
    <row r="506" spans="2:21" ht="16.5" customHeight="1" x14ac:dyDescent="0.25">
      <c r="B506" s="47" t="str">
        <f t="shared" si="49"/>
        <v/>
      </c>
      <c r="C506" s="48"/>
      <c r="D506" s="49" t="str">
        <f t="shared" si="50"/>
        <v/>
      </c>
      <c r="E506" s="50" t="str">
        <f t="shared" si="51"/>
        <v/>
      </c>
      <c r="F506" s="51"/>
      <c r="G506" s="52"/>
      <c r="H506" s="51"/>
      <c r="I506" s="51"/>
      <c r="J506" s="52"/>
      <c r="K506" s="53" t="str">
        <f>IF(G506="","",IFERROR(INDEX(Stammdaten!$P$10:$P$69,MATCH(G506,Stammdaten!$N$10:$N$69,0)),"–"))</f>
        <v/>
      </c>
      <c r="L506" s="53" t="str">
        <f>IF(F506="","",IFERROR(INDEX(Stammdaten!$D$10:$D$49,MATCH(F506,Stammdaten!$B$10:$B$49,0)),"–"))</f>
        <v/>
      </c>
      <c r="M506" s="54" t="str">
        <f>IF(C506="","",IF(OR(F506="",G506="",I506=""),"unvollständig",IF(I506="Storniert","storniert",IF(WEEKDAY(C506,2)&gt;5,"Wochenende",IF(COUNTIF(Stammdaten!$AD$10:$AD$30,C506)&gt;0,"Feiertag",IF(IFERROR(INDEX(Stammdaten!$I$10:$I$49,MATCH(F506,Stammdaten!$B$10:$B$49,0)),"")="Gesperrt","Platz gesperrt",IF(AND(COUNTIF($P$6:$P$605,P506)&gt;1,NOT(AND(COUNTIF($P$6:$P$605,P506)=2,COUNTIFS($P$6:$P$605,P506,$H$6:$H$605,"Vormittag")=1,COUNTIFS($P$6:$P$605,P506,$H$6:$H$605,"Nachmittag")=1))),"Doppelbuchung",IF(AND(COUNTIF($R$6:$R$605,R506)&gt;1,NOT(AND(COUNTIF($R$6:$R$605,R506)=2,COUNTIFS($R$6:$R$605,R506,$H$6:$H$605,"Vormittag")=1,COUNTIFS($R$6:$R$605,R506,$H$6:$H$605,"Nachmittag")=1))),"Person doppelt","OK"))))))))</f>
        <v/>
      </c>
      <c r="O506" s="55">
        <f t="shared" si="52"/>
        <v>0</v>
      </c>
      <c r="P506" s="55" t="str">
        <f t="shared" si="53"/>
        <v/>
      </c>
      <c r="Q506" s="55" t="str">
        <f>IF(P506="","",P506&amp;"|"&amp;COUNTIF(P$6:P506,P506))</f>
        <v/>
      </c>
      <c r="R506" s="55" t="str">
        <f t="shared" si="54"/>
        <v/>
      </c>
      <c r="S506" s="55" t="str">
        <f>IF(R506="","",R506&amp;"|"&amp;COUNTIF(R$6:R506,R506))</f>
        <v/>
      </c>
      <c r="T506" s="55" t="str">
        <f>IF(G506="","",IFERROR(INDEX(Stammdaten!$O$10:$O$69,MATCH(G506,Stammdaten!$N$10:$N$69,0)),G506)&amp;IF(H506="Vormittag"," (VM)",IF(H506="Nachmittag"," (NM)",""))&amp;IF(I506="Angefragt"," ?",""))</f>
        <v/>
      </c>
      <c r="U506" s="55" t="str">
        <f t="shared" si="55"/>
        <v/>
      </c>
    </row>
    <row r="507" spans="2:21" ht="16.5" customHeight="1" x14ac:dyDescent="0.25">
      <c r="B507" s="47" t="str">
        <f t="shared" si="49"/>
        <v/>
      </c>
      <c r="C507" s="48"/>
      <c r="D507" s="49" t="str">
        <f t="shared" si="50"/>
        <v/>
      </c>
      <c r="E507" s="50" t="str">
        <f t="shared" si="51"/>
        <v/>
      </c>
      <c r="F507" s="51"/>
      <c r="G507" s="52"/>
      <c r="H507" s="51"/>
      <c r="I507" s="51"/>
      <c r="J507" s="52"/>
      <c r="K507" s="53" t="str">
        <f>IF(G507="","",IFERROR(INDEX(Stammdaten!$P$10:$P$69,MATCH(G507,Stammdaten!$N$10:$N$69,0)),"–"))</f>
        <v/>
      </c>
      <c r="L507" s="53" t="str">
        <f>IF(F507="","",IFERROR(INDEX(Stammdaten!$D$10:$D$49,MATCH(F507,Stammdaten!$B$10:$B$49,0)),"–"))</f>
        <v/>
      </c>
      <c r="M507" s="54" t="str">
        <f>IF(C507="","",IF(OR(F507="",G507="",I507=""),"unvollständig",IF(I507="Storniert","storniert",IF(WEEKDAY(C507,2)&gt;5,"Wochenende",IF(COUNTIF(Stammdaten!$AD$10:$AD$30,C507)&gt;0,"Feiertag",IF(IFERROR(INDEX(Stammdaten!$I$10:$I$49,MATCH(F507,Stammdaten!$B$10:$B$49,0)),"")="Gesperrt","Platz gesperrt",IF(AND(COUNTIF($P$6:$P$605,P507)&gt;1,NOT(AND(COUNTIF($P$6:$P$605,P507)=2,COUNTIFS($P$6:$P$605,P507,$H$6:$H$605,"Vormittag")=1,COUNTIFS($P$6:$P$605,P507,$H$6:$H$605,"Nachmittag")=1))),"Doppelbuchung",IF(AND(COUNTIF($R$6:$R$605,R507)&gt;1,NOT(AND(COUNTIF($R$6:$R$605,R507)=2,COUNTIFS($R$6:$R$605,R507,$H$6:$H$605,"Vormittag")=1,COUNTIFS($R$6:$R$605,R507,$H$6:$H$605,"Nachmittag")=1))),"Person doppelt","OK"))))))))</f>
        <v/>
      </c>
      <c r="O507" s="55">
        <f t="shared" si="52"/>
        <v>0</v>
      </c>
      <c r="P507" s="55" t="str">
        <f t="shared" si="53"/>
        <v/>
      </c>
      <c r="Q507" s="55" t="str">
        <f>IF(P507="","",P507&amp;"|"&amp;COUNTIF(P$6:P507,P507))</f>
        <v/>
      </c>
      <c r="R507" s="55" t="str">
        <f t="shared" si="54"/>
        <v/>
      </c>
      <c r="S507" s="55" t="str">
        <f>IF(R507="","",R507&amp;"|"&amp;COUNTIF(R$6:R507,R507))</f>
        <v/>
      </c>
      <c r="T507" s="55" t="str">
        <f>IF(G507="","",IFERROR(INDEX(Stammdaten!$O$10:$O$69,MATCH(G507,Stammdaten!$N$10:$N$69,0)),G507)&amp;IF(H507="Vormittag"," (VM)",IF(H507="Nachmittag"," (NM)",""))&amp;IF(I507="Angefragt"," ?",""))</f>
        <v/>
      </c>
      <c r="U507" s="55" t="str">
        <f t="shared" si="55"/>
        <v/>
      </c>
    </row>
    <row r="508" spans="2:21" ht="16.5" customHeight="1" x14ac:dyDescent="0.25">
      <c r="B508" s="47" t="str">
        <f t="shared" si="49"/>
        <v/>
      </c>
      <c r="C508" s="48"/>
      <c r="D508" s="49" t="str">
        <f t="shared" si="50"/>
        <v/>
      </c>
      <c r="E508" s="50" t="str">
        <f t="shared" si="51"/>
        <v/>
      </c>
      <c r="F508" s="51"/>
      <c r="G508" s="52"/>
      <c r="H508" s="51"/>
      <c r="I508" s="51"/>
      <c r="J508" s="52"/>
      <c r="K508" s="53" t="str">
        <f>IF(G508="","",IFERROR(INDEX(Stammdaten!$P$10:$P$69,MATCH(G508,Stammdaten!$N$10:$N$69,0)),"–"))</f>
        <v/>
      </c>
      <c r="L508" s="53" t="str">
        <f>IF(F508="","",IFERROR(INDEX(Stammdaten!$D$10:$D$49,MATCH(F508,Stammdaten!$B$10:$B$49,0)),"–"))</f>
        <v/>
      </c>
      <c r="M508" s="54" t="str">
        <f>IF(C508="","",IF(OR(F508="",G508="",I508=""),"unvollständig",IF(I508="Storniert","storniert",IF(WEEKDAY(C508,2)&gt;5,"Wochenende",IF(COUNTIF(Stammdaten!$AD$10:$AD$30,C508)&gt;0,"Feiertag",IF(IFERROR(INDEX(Stammdaten!$I$10:$I$49,MATCH(F508,Stammdaten!$B$10:$B$49,0)),"")="Gesperrt","Platz gesperrt",IF(AND(COUNTIF($P$6:$P$605,P508)&gt;1,NOT(AND(COUNTIF($P$6:$P$605,P508)=2,COUNTIFS($P$6:$P$605,P508,$H$6:$H$605,"Vormittag")=1,COUNTIFS($P$6:$P$605,P508,$H$6:$H$605,"Nachmittag")=1))),"Doppelbuchung",IF(AND(COUNTIF($R$6:$R$605,R508)&gt;1,NOT(AND(COUNTIF($R$6:$R$605,R508)=2,COUNTIFS($R$6:$R$605,R508,$H$6:$H$605,"Vormittag")=1,COUNTIFS($R$6:$R$605,R508,$H$6:$H$605,"Nachmittag")=1))),"Person doppelt","OK"))))))))</f>
        <v/>
      </c>
      <c r="O508" s="55">
        <f t="shared" si="52"/>
        <v>0</v>
      </c>
      <c r="P508" s="55" t="str">
        <f t="shared" si="53"/>
        <v/>
      </c>
      <c r="Q508" s="55" t="str">
        <f>IF(P508="","",P508&amp;"|"&amp;COUNTIF(P$6:P508,P508))</f>
        <v/>
      </c>
      <c r="R508" s="55" t="str">
        <f t="shared" si="54"/>
        <v/>
      </c>
      <c r="S508" s="55" t="str">
        <f>IF(R508="","",R508&amp;"|"&amp;COUNTIF(R$6:R508,R508))</f>
        <v/>
      </c>
      <c r="T508" s="55" t="str">
        <f>IF(G508="","",IFERROR(INDEX(Stammdaten!$O$10:$O$69,MATCH(G508,Stammdaten!$N$10:$N$69,0)),G508)&amp;IF(H508="Vormittag"," (VM)",IF(H508="Nachmittag"," (NM)",""))&amp;IF(I508="Angefragt"," ?",""))</f>
        <v/>
      </c>
      <c r="U508" s="55" t="str">
        <f t="shared" si="55"/>
        <v/>
      </c>
    </row>
    <row r="509" spans="2:21" ht="16.5" customHeight="1" x14ac:dyDescent="0.25">
      <c r="B509" s="47" t="str">
        <f t="shared" si="49"/>
        <v/>
      </c>
      <c r="C509" s="48"/>
      <c r="D509" s="49" t="str">
        <f t="shared" si="50"/>
        <v/>
      </c>
      <c r="E509" s="50" t="str">
        <f t="shared" si="51"/>
        <v/>
      </c>
      <c r="F509" s="51"/>
      <c r="G509" s="52"/>
      <c r="H509" s="51"/>
      <c r="I509" s="51"/>
      <c r="J509" s="52"/>
      <c r="K509" s="53" t="str">
        <f>IF(G509="","",IFERROR(INDEX(Stammdaten!$P$10:$P$69,MATCH(G509,Stammdaten!$N$10:$N$69,0)),"–"))</f>
        <v/>
      </c>
      <c r="L509" s="53" t="str">
        <f>IF(F509="","",IFERROR(INDEX(Stammdaten!$D$10:$D$49,MATCH(F509,Stammdaten!$B$10:$B$49,0)),"–"))</f>
        <v/>
      </c>
      <c r="M509" s="54" t="str">
        <f>IF(C509="","",IF(OR(F509="",G509="",I509=""),"unvollständig",IF(I509="Storniert","storniert",IF(WEEKDAY(C509,2)&gt;5,"Wochenende",IF(COUNTIF(Stammdaten!$AD$10:$AD$30,C509)&gt;0,"Feiertag",IF(IFERROR(INDEX(Stammdaten!$I$10:$I$49,MATCH(F509,Stammdaten!$B$10:$B$49,0)),"")="Gesperrt","Platz gesperrt",IF(AND(COUNTIF($P$6:$P$605,P509)&gt;1,NOT(AND(COUNTIF($P$6:$P$605,P509)=2,COUNTIFS($P$6:$P$605,P509,$H$6:$H$605,"Vormittag")=1,COUNTIFS($P$6:$P$605,P509,$H$6:$H$605,"Nachmittag")=1))),"Doppelbuchung",IF(AND(COUNTIF($R$6:$R$605,R509)&gt;1,NOT(AND(COUNTIF($R$6:$R$605,R509)=2,COUNTIFS($R$6:$R$605,R509,$H$6:$H$605,"Vormittag")=1,COUNTIFS($R$6:$R$605,R509,$H$6:$H$605,"Nachmittag")=1))),"Person doppelt","OK"))))))))</f>
        <v/>
      </c>
      <c r="O509" s="55">
        <f t="shared" si="52"/>
        <v>0</v>
      </c>
      <c r="P509" s="55" t="str">
        <f t="shared" si="53"/>
        <v/>
      </c>
      <c r="Q509" s="55" t="str">
        <f>IF(P509="","",P509&amp;"|"&amp;COUNTIF(P$6:P509,P509))</f>
        <v/>
      </c>
      <c r="R509" s="55" t="str">
        <f t="shared" si="54"/>
        <v/>
      </c>
      <c r="S509" s="55" t="str">
        <f>IF(R509="","",R509&amp;"|"&amp;COUNTIF(R$6:R509,R509))</f>
        <v/>
      </c>
      <c r="T509" s="55" t="str">
        <f>IF(G509="","",IFERROR(INDEX(Stammdaten!$O$10:$O$69,MATCH(G509,Stammdaten!$N$10:$N$69,0)),G509)&amp;IF(H509="Vormittag"," (VM)",IF(H509="Nachmittag"," (NM)",""))&amp;IF(I509="Angefragt"," ?",""))</f>
        <v/>
      </c>
      <c r="U509" s="55" t="str">
        <f t="shared" si="55"/>
        <v/>
      </c>
    </row>
    <row r="510" spans="2:21" ht="16.5" customHeight="1" x14ac:dyDescent="0.25">
      <c r="B510" s="47" t="str">
        <f t="shared" si="49"/>
        <v/>
      </c>
      <c r="C510" s="48"/>
      <c r="D510" s="49" t="str">
        <f t="shared" si="50"/>
        <v/>
      </c>
      <c r="E510" s="50" t="str">
        <f t="shared" si="51"/>
        <v/>
      </c>
      <c r="F510" s="51"/>
      <c r="G510" s="52"/>
      <c r="H510" s="51"/>
      <c r="I510" s="51"/>
      <c r="J510" s="52"/>
      <c r="K510" s="53" t="str">
        <f>IF(G510="","",IFERROR(INDEX(Stammdaten!$P$10:$P$69,MATCH(G510,Stammdaten!$N$10:$N$69,0)),"–"))</f>
        <v/>
      </c>
      <c r="L510" s="53" t="str">
        <f>IF(F510="","",IFERROR(INDEX(Stammdaten!$D$10:$D$49,MATCH(F510,Stammdaten!$B$10:$B$49,0)),"–"))</f>
        <v/>
      </c>
      <c r="M510" s="54" t="str">
        <f>IF(C510="","",IF(OR(F510="",G510="",I510=""),"unvollständig",IF(I510="Storniert","storniert",IF(WEEKDAY(C510,2)&gt;5,"Wochenende",IF(COUNTIF(Stammdaten!$AD$10:$AD$30,C510)&gt;0,"Feiertag",IF(IFERROR(INDEX(Stammdaten!$I$10:$I$49,MATCH(F510,Stammdaten!$B$10:$B$49,0)),"")="Gesperrt","Platz gesperrt",IF(AND(COUNTIF($P$6:$P$605,P510)&gt;1,NOT(AND(COUNTIF($P$6:$P$605,P510)=2,COUNTIFS($P$6:$P$605,P510,$H$6:$H$605,"Vormittag")=1,COUNTIFS($P$6:$P$605,P510,$H$6:$H$605,"Nachmittag")=1))),"Doppelbuchung",IF(AND(COUNTIF($R$6:$R$605,R510)&gt;1,NOT(AND(COUNTIF($R$6:$R$605,R510)=2,COUNTIFS($R$6:$R$605,R510,$H$6:$H$605,"Vormittag")=1,COUNTIFS($R$6:$R$605,R510,$H$6:$H$605,"Nachmittag")=1))),"Person doppelt","OK"))))))))</f>
        <v/>
      </c>
      <c r="O510" s="55">
        <f t="shared" si="52"/>
        <v>0</v>
      </c>
      <c r="P510" s="55" t="str">
        <f t="shared" si="53"/>
        <v/>
      </c>
      <c r="Q510" s="55" t="str">
        <f>IF(P510="","",P510&amp;"|"&amp;COUNTIF(P$6:P510,P510))</f>
        <v/>
      </c>
      <c r="R510" s="55" t="str">
        <f t="shared" si="54"/>
        <v/>
      </c>
      <c r="S510" s="55" t="str">
        <f>IF(R510="","",R510&amp;"|"&amp;COUNTIF(R$6:R510,R510))</f>
        <v/>
      </c>
      <c r="T510" s="55" t="str">
        <f>IF(G510="","",IFERROR(INDEX(Stammdaten!$O$10:$O$69,MATCH(G510,Stammdaten!$N$10:$N$69,0)),G510)&amp;IF(H510="Vormittag"," (VM)",IF(H510="Nachmittag"," (NM)",""))&amp;IF(I510="Angefragt"," ?",""))</f>
        <v/>
      </c>
      <c r="U510" s="55" t="str">
        <f t="shared" si="55"/>
        <v/>
      </c>
    </row>
    <row r="511" spans="2:21" ht="16.5" customHeight="1" x14ac:dyDescent="0.25">
      <c r="B511" s="47" t="str">
        <f t="shared" si="49"/>
        <v/>
      </c>
      <c r="C511" s="48"/>
      <c r="D511" s="49" t="str">
        <f t="shared" si="50"/>
        <v/>
      </c>
      <c r="E511" s="50" t="str">
        <f t="shared" si="51"/>
        <v/>
      </c>
      <c r="F511" s="51"/>
      <c r="G511" s="52"/>
      <c r="H511" s="51"/>
      <c r="I511" s="51"/>
      <c r="J511" s="52"/>
      <c r="K511" s="53" t="str">
        <f>IF(G511="","",IFERROR(INDEX(Stammdaten!$P$10:$P$69,MATCH(G511,Stammdaten!$N$10:$N$69,0)),"–"))</f>
        <v/>
      </c>
      <c r="L511" s="53" t="str">
        <f>IF(F511="","",IFERROR(INDEX(Stammdaten!$D$10:$D$49,MATCH(F511,Stammdaten!$B$10:$B$49,0)),"–"))</f>
        <v/>
      </c>
      <c r="M511" s="54" t="str">
        <f>IF(C511="","",IF(OR(F511="",G511="",I511=""),"unvollständig",IF(I511="Storniert","storniert",IF(WEEKDAY(C511,2)&gt;5,"Wochenende",IF(COUNTIF(Stammdaten!$AD$10:$AD$30,C511)&gt;0,"Feiertag",IF(IFERROR(INDEX(Stammdaten!$I$10:$I$49,MATCH(F511,Stammdaten!$B$10:$B$49,0)),"")="Gesperrt","Platz gesperrt",IF(AND(COUNTIF($P$6:$P$605,P511)&gt;1,NOT(AND(COUNTIF($P$6:$P$605,P511)=2,COUNTIFS($P$6:$P$605,P511,$H$6:$H$605,"Vormittag")=1,COUNTIFS($P$6:$P$605,P511,$H$6:$H$605,"Nachmittag")=1))),"Doppelbuchung",IF(AND(COUNTIF($R$6:$R$605,R511)&gt;1,NOT(AND(COUNTIF($R$6:$R$605,R511)=2,COUNTIFS($R$6:$R$605,R511,$H$6:$H$605,"Vormittag")=1,COUNTIFS($R$6:$R$605,R511,$H$6:$H$605,"Nachmittag")=1))),"Person doppelt","OK"))))))))</f>
        <v/>
      </c>
      <c r="O511" s="55">
        <f t="shared" si="52"/>
        <v>0</v>
      </c>
      <c r="P511" s="55" t="str">
        <f t="shared" si="53"/>
        <v/>
      </c>
      <c r="Q511" s="55" t="str">
        <f>IF(P511="","",P511&amp;"|"&amp;COUNTIF(P$6:P511,P511))</f>
        <v/>
      </c>
      <c r="R511" s="55" t="str">
        <f t="shared" si="54"/>
        <v/>
      </c>
      <c r="S511" s="55" t="str">
        <f>IF(R511="","",R511&amp;"|"&amp;COUNTIF(R$6:R511,R511))</f>
        <v/>
      </c>
      <c r="T511" s="55" t="str">
        <f>IF(G511="","",IFERROR(INDEX(Stammdaten!$O$10:$O$69,MATCH(G511,Stammdaten!$N$10:$N$69,0)),G511)&amp;IF(H511="Vormittag"," (VM)",IF(H511="Nachmittag"," (NM)",""))&amp;IF(I511="Angefragt"," ?",""))</f>
        <v/>
      </c>
      <c r="U511" s="55" t="str">
        <f t="shared" si="55"/>
        <v/>
      </c>
    </row>
    <row r="512" spans="2:21" ht="16.5" customHeight="1" x14ac:dyDescent="0.25">
      <c r="B512" s="47" t="str">
        <f t="shared" si="49"/>
        <v/>
      </c>
      <c r="C512" s="48"/>
      <c r="D512" s="49" t="str">
        <f t="shared" si="50"/>
        <v/>
      </c>
      <c r="E512" s="50" t="str">
        <f t="shared" si="51"/>
        <v/>
      </c>
      <c r="F512" s="51"/>
      <c r="G512" s="52"/>
      <c r="H512" s="51"/>
      <c r="I512" s="51"/>
      <c r="J512" s="52"/>
      <c r="K512" s="53" t="str">
        <f>IF(G512="","",IFERROR(INDEX(Stammdaten!$P$10:$P$69,MATCH(G512,Stammdaten!$N$10:$N$69,0)),"–"))</f>
        <v/>
      </c>
      <c r="L512" s="53" t="str">
        <f>IF(F512="","",IFERROR(INDEX(Stammdaten!$D$10:$D$49,MATCH(F512,Stammdaten!$B$10:$B$49,0)),"–"))</f>
        <v/>
      </c>
      <c r="M512" s="54" t="str">
        <f>IF(C512="","",IF(OR(F512="",G512="",I512=""),"unvollständig",IF(I512="Storniert","storniert",IF(WEEKDAY(C512,2)&gt;5,"Wochenende",IF(COUNTIF(Stammdaten!$AD$10:$AD$30,C512)&gt;0,"Feiertag",IF(IFERROR(INDEX(Stammdaten!$I$10:$I$49,MATCH(F512,Stammdaten!$B$10:$B$49,0)),"")="Gesperrt","Platz gesperrt",IF(AND(COUNTIF($P$6:$P$605,P512)&gt;1,NOT(AND(COUNTIF($P$6:$P$605,P512)=2,COUNTIFS($P$6:$P$605,P512,$H$6:$H$605,"Vormittag")=1,COUNTIFS($P$6:$P$605,P512,$H$6:$H$605,"Nachmittag")=1))),"Doppelbuchung",IF(AND(COUNTIF($R$6:$R$605,R512)&gt;1,NOT(AND(COUNTIF($R$6:$R$605,R512)=2,COUNTIFS($R$6:$R$605,R512,$H$6:$H$605,"Vormittag")=1,COUNTIFS($R$6:$R$605,R512,$H$6:$H$605,"Nachmittag")=1))),"Person doppelt","OK"))))))))</f>
        <v/>
      </c>
      <c r="O512" s="55">
        <f t="shared" si="52"/>
        <v>0</v>
      </c>
      <c r="P512" s="55" t="str">
        <f t="shared" si="53"/>
        <v/>
      </c>
      <c r="Q512" s="55" t="str">
        <f>IF(P512="","",P512&amp;"|"&amp;COUNTIF(P$6:P512,P512))</f>
        <v/>
      </c>
      <c r="R512" s="55" t="str">
        <f t="shared" si="54"/>
        <v/>
      </c>
      <c r="S512" s="55" t="str">
        <f>IF(R512="","",R512&amp;"|"&amp;COUNTIF(R$6:R512,R512))</f>
        <v/>
      </c>
      <c r="T512" s="55" t="str">
        <f>IF(G512="","",IFERROR(INDEX(Stammdaten!$O$10:$O$69,MATCH(G512,Stammdaten!$N$10:$N$69,0)),G512)&amp;IF(H512="Vormittag"," (VM)",IF(H512="Nachmittag"," (NM)",""))&amp;IF(I512="Angefragt"," ?",""))</f>
        <v/>
      </c>
      <c r="U512" s="55" t="str">
        <f t="shared" si="55"/>
        <v/>
      </c>
    </row>
    <row r="513" spans="2:21" ht="16.5" customHeight="1" x14ac:dyDescent="0.25">
      <c r="B513" s="47" t="str">
        <f t="shared" si="49"/>
        <v/>
      </c>
      <c r="C513" s="48"/>
      <c r="D513" s="49" t="str">
        <f t="shared" si="50"/>
        <v/>
      </c>
      <c r="E513" s="50" t="str">
        <f t="shared" si="51"/>
        <v/>
      </c>
      <c r="F513" s="51"/>
      <c r="G513" s="52"/>
      <c r="H513" s="51"/>
      <c r="I513" s="51"/>
      <c r="J513" s="52"/>
      <c r="K513" s="53" t="str">
        <f>IF(G513="","",IFERROR(INDEX(Stammdaten!$P$10:$P$69,MATCH(G513,Stammdaten!$N$10:$N$69,0)),"–"))</f>
        <v/>
      </c>
      <c r="L513" s="53" t="str">
        <f>IF(F513="","",IFERROR(INDEX(Stammdaten!$D$10:$D$49,MATCH(F513,Stammdaten!$B$10:$B$49,0)),"–"))</f>
        <v/>
      </c>
      <c r="M513" s="54" t="str">
        <f>IF(C513="","",IF(OR(F513="",G513="",I513=""),"unvollständig",IF(I513="Storniert","storniert",IF(WEEKDAY(C513,2)&gt;5,"Wochenende",IF(COUNTIF(Stammdaten!$AD$10:$AD$30,C513)&gt;0,"Feiertag",IF(IFERROR(INDEX(Stammdaten!$I$10:$I$49,MATCH(F513,Stammdaten!$B$10:$B$49,0)),"")="Gesperrt","Platz gesperrt",IF(AND(COUNTIF($P$6:$P$605,P513)&gt;1,NOT(AND(COUNTIF($P$6:$P$605,P513)=2,COUNTIFS($P$6:$P$605,P513,$H$6:$H$605,"Vormittag")=1,COUNTIFS($P$6:$P$605,P513,$H$6:$H$605,"Nachmittag")=1))),"Doppelbuchung",IF(AND(COUNTIF($R$6:$R$605,R513)&gt;1,NOT(AND(COUNTIF($R$6:$R$605,R513)=2,COUNTIFS($R$6:$R$605,R513,$H$6:$H$605,"Vormittag")=1,COUNTIFS($R$6:$R$605,R513,$H$6:$H$605,"Nachmittag")=1))),"Person doppelt","OK"))))))))</f>
        <v/>
      </c>
      <c r="O513" s="55">
        <f t="shared" si="52"/>
        <v>0</v>
      </c>
      <c r="P513" s="55" t="str">
        <f t="shared" si="53"/>
        <v/>
      </c>
      <c r="Q513" s="55" t="str">
        <f>IF(P513="","",P513&amp;"|"&amp;COUNTIF(P$6:P513,P513))</f>
        <v/>
      </c>
      <c r="R513" s="55" t="str">
        <f t="shared" si="54"/>
        <v/>
      </c>
      <c r="S513" s="55" t="str">
        <f>IF(R513="","",R513&amp;"|"&amp;COUNTIF(R$6:R513,R513))</f>
        <v/>
      </c>
      <c r="T513" s="55" t="str">
        <f>IF(G513="","",IFERROR(INDEX(Stammdaten!$O$10:$O$69,MATCH(G513,Stammdaten!$N$10:$N$69,0)),G513)&amp;IF(H513="Vormittag"," (VM)",IF(H513="Nachmittag"," (NM)",""))&amp;IF(I513="Angefragt"," ?",""))</f>
        <v/>
      </c>
      <c r="U513" s="55" t="str">
        <f t="shared" si="55"/>
        <v/>
      </c>
    </row>
    <row r="514" spans="2:21" ht="16.5" customHeight="1" x14ac:dyDescent="0.25">
      <c r="B514" s="47" t="str">
        <f t="shared" si="49"/>
        <v/>
      </c>
      <c r="C514" s="48"/>
      <c r="D514" s="49" t="str">
        <f t="shared" si="50"/>
        <v/>
      </c>
      <c r="E514" s="50" t="str">
        <f t="shared" si="51"/>
        <v/>
      </c>
      <c r="F514" s="51"/>
      <c r="G514" s="52"/>
      <c r="H514" s="51"/>
      <c r="I514" s="51"/>
      <c r="J514" s="52"/>
      <c r="K514" s="53" t="str">
        <f>IF(G514="","",IFERROR(INDEX(Stammdaten!$P$10:$P$69,MATCH(G514,Stammdaten!$N$10:$N$69,0)),"–"))</f>
        <v/>
      </c>
      <c r="L514" s="53" t="str">
        <f>IF(F514="","",IFERROR(INDEX(Stammdaten!$D$10:$D$49,MATCH(F514,Stammdaten!$B$10:$B$49,0)),"–"))</f>
        <v/>
      </c>
      <c r="M514" s="54" t="str">
        <f>IF(C514="","",IF(OR(F514="",G514="",I514=""),"unvollständig",IF(I514="Storniert","storniert",IF(WEEKDAY(C514,2)&gt;5,"Wochenende",IF(COUNTIF(Stammdaten!$AD$10:$AD$30,C514)&gt;0,"Feiertag",IF(IFERROR(INDEX(Stammdaten!$I$10:$I$49,MATCH(F514,Stammdaten!$B$10:$B$49,0)),"")="Gesperrt","Platz gesperrt",IF(AND(COUNTIF($P$6:$P$605,P514)&gt;1,NOT(AND(COUNTIF($P$6:$P$605,P514)=2,COUNTIFS($P$6:$P$605,P514,$H$6:$H$605,"Vormittag")=1,COUNTIFS($P$6:$P$605,P514,$H$6:$H$605,"Nachmittag")=1))),"Doppelbuchung",IF(AND(COUNTIF($R$6:$R$605,R514)&gt;1,NOT(AND(COUNTIF($R$6:$R$605,R514)=2,COUNTIFS($R$6:$R$605,R514,$H$6:$H$605,"Vormittag")=1,COUNTIFS($R$6:$R$605,R514,$H$6:$H$605,"Nachmittag")=1))),"Person doppelt","OK"))))))))</f>
        <v/>
      </c>
      <c r="O514" s="55">
        <f t="shared" si="52"/>
        <v>0</v>
      </c>
      <c r="P514" s="55" t="str">
        <f t="shared" si="53"/>
        <v/>
      </c>
      <c r="Q514" s="55" t="str">
        <f>IF(P514="","",P514&amp;"|"&amp;COUNTIF(P$6:P514,P514))</f>
        <v/>
      </c>
      <c r="R514" s="55" t="str">
        <f t="shared" si="54"/>
        <v/>
      </c>
      <c r="S514" s="55" t="str">
        <f>IF(R514="","",R514&amp;"|"&amp;COUNTIF(R$6:R514,R514))</f>
        <v/>
      </c>
      <c r="T514" s="55" t="str">
        <f>IF(G514="","",IFERROR(INDEX(Stammdaten!$O$10:$O$69,MATCH(G514,Stammdaten!$N$10:$N$69,0)),G514)&amp;IF(H514="Vormittag"," (VM)",IF(H514="Nachmittag"," (NM)",""))&amp;IF(I514="Angefragt"," ?",""))</f>
        <v/>
      </c>
      <c r="U514" s="55" t="str">
        <f t="shared" si="55"/>
        <v/>
      </c>
    </row>
    <row r="515" spans="2:21" ht="16.5" customHeight="1" x14ac:dyDescent="0.25">
      <c r="B515" s="47" t="str">
        <f t="shared" si="49"/>
        <v/>
      </c>
      <c r="C515" s="48"/>
      <c r="D515" s="49" t="str">
        <f t="shared" si="50"/>
        <v/>
      </c>
      <c r="E515" s="50" t="str">
        <f t="shared" si="51"/>
        <v/>
      </c>
      <c r="F515" s="51"/>
      <c r="G515" s="52"/>
      <c r="H515" s="51"/>
      <c r="I515" s="51"/>
      <c r="J515" s="52"/>
      <c r="K515" s="53" t="str">
        <f>IF(G515="","",IFERROR(INDEX(Stammdaten!$P$10:$P$69,MATCH(G515,Stammdaten!$N$10:$N$69,0)),"–"))</f>
        <v/>
      </c>
      <c r="L515" s="53" t="str">
        <f>IF(F515="","",IFERROR(INDEX(Stammdaten!$D$10:$D$49,MATCH(F515,Stammdaten!$B$10:$B$49,0)),"–"))</f>
        <v/>
      </c>
      <c r="M515" s="54" t="str">
        <f>IF(C515="","",IF(OR(F515="",G515="",I515=""),"unvollständig",IF(I515="Storniert","storniert",IF(WEEKDAY(C515,2)&gt;5,"Wochenende",IF(COUNTIF(Stammdaten!$AD$10:$AD$30,C515)&gt;0,"Feiertag",IF(IFERROR(INDEX(Stammdaten!$I$10:$I$49,MATCH(F515,Stammdaten!$B$10:$B$49,0)),"")="Gesperrt","Platz gesperrt",IF(AND(COUNTIF($P$6:$P$605,P515)&gt;1,NOT(AND(COUNTIF($P$6:$P$605,P515)=2,COUNTIFS($P$6:$P$605,P515,$H$6:$H$605,"Vormittag")=1,COUNTIFS($P$6:$P$605,P515,$H$6:$H$605,"Nachmittag")=1))),"Doppelbuchung",IF(AND(COUNTIF($R$6:$R$605,R515)&gt;1,NOT(AND(COUNTIF($R$6:$R$605,R515)=2,COUNTIFS($R$6:$R$605,R515,$H$6:$H$605,"Vormittag")=1,COUNTIFS($R$6:$R$605,R515,$H$6:$H$605,"Nachmittag")=1))),"Person doppelt","OK"))))))))</f>
        <v/>
      </c>
      <c r="O515" s="55">
        <f t="shared" si="52"/>
        <v>0</v>
      </c>
      <c r="P515" s="55" t="str">
        <f t="shared" si="53"/>
        <v/>
      </c>
      <c r="Q515" s="55" t="str">
        <f>IF(P515="","",P515&amp;"|"&amp;COUNTIF(P$6:P515,P515))</f>
        <v/>
      </c>
      <c r="R515" s="55" t="str">
        <f t="shared" si="54"/>
        <v/>
      </c>
      <c r="S515" s="55" t="str">
        <f>IF(R515="","",R515&amp;"|"&amp;COUNTIF(R$6:R515,R515))</f>
        <v/>
      </c>
      <c r="T515" s="55" t="str">
        <f>IF(G515="","",IFERROR(INDEX(Stammdaten!$O$10:$O$69,MATCH(G515,Stammdaten!$N$10:$N$69,0)),G515)&amp;IF(H515="Vormittag"," (VM)",IF(H515="Nachmittag"," (NM)",""))&amp;IF(I515="Angefragt"," ?",""))</f>
        <v/>
      </c>
      <c r="U515" s="55" t="str">
        <f t="shared" si="55"/>
        <v/>
      </c>
    </row>
    <row r="516" spans="2:21" ht="16.5" customHeight="1" x14ac:dyDescent="0.25">
      <c r="B516" s="47" t="str">
        <f t="shared" si="49"/>
        <v/>
      </c>
      <c r="C516" s="48"/>
      <c r="D516" s="49" t="str">
        <f t="shared" si="50"/>
        <v/>
      </c>
      <c r="E516" s="50" t="str">
        <f t="shared" si="51"/>
        <v/>
      </c>
      <c r="F516" s="51"/>
      <c r="G516" s="52"/>
      <c r="H516" s="51"/>
      <c r="I516" s="51"/>
      <c r="J516" s="52"/>
      <c r="K516" s="53" t="str">
        <f>IF(G516="","",IFERROR(INDEX(Stammdaten!$P$10:$P$69,MATCH(G516,Stammdaten!$N$10:$N$69,0)),"–"))</f>
        <v/>
      </c>
      <c r="L516" s="53" t="str">
        <f>IF(F516="","",IFERROR(INDEX(Stammdaten!$D$10:$D$49,MATCH(F516,Stammdaten!$B$10:$B$49,0)),"–"))</f>
        <v/>
      </c>
      <c r="M516" s="54" t="str">
        <f>IF(C516="","",IF(OR(F516="",G516="",I516=""),"unvollständig",IF(I516="Storniert","storniert",IF(WEEKDAY(C516,2)&gt;5,"Wochenende",IF(COUNTIF(Stammdaten!$AD$10:$AD$30,C516)&gt;0,"Feiertag",IF(IFERROR(INDEX(Stammdaten!$I$10:$I$49,MATCH(F516,Stammdaten!$B$10:$B$49,0)),"")="Gesperrt","Platz gesperrt",IF(AND(COUNTIF($P$6:$P$605,P516)&gt;1,NOT(AND(COUNTIF($P$6:$P$605,P516)=2,COUNTIFS($P$6:$P$605,P516,$H$6:$H$605,"Vormittag")=1,COUNTIFS($P$6:$P$605,P516,$H$6:$H$605,"Nachmittag")=1))),"Doppelbuchung",IF(AND(COUNTIF($R$6:$R$605,R516)&gt;1,NOT(AND(COUNTIF($R$6:$R$605,R516)=2,COUNTIFS($R$6:$R$605,R516,$H$6:$H$605,"Vormittag")=1,COUNTIFS($R$6:$R$605,R516,$H$6:$H$605,"Nachmittag")=1))),"Person doppelt","OK"))))))))</f>
        <v/>
      </c>
      <c r="O516" s="55">
        <f t="shared" si="52"/>
        <v>0</v>
      </c>
      <c r="P516" s="55" t="str">
        <f t="shared" si="53"/>
        <v/>
      </c>
      <c r="Q516" s="55" t="str">
        <f>IF(P516="","",P516&amp;"|"&amp;COUNTIF(P$6:P516,P516))</f>
        <v/>
      </c>
      <c r="R516" s="55" t="str">
        <f t="shared" si="54"/>
        <v/>
      </c>
      <c r="S516" s="55" t="str">
        <f>IF(R516="","",R516&amp;"|"&amp;COUNTIF(R$6:R516,R516))</f>
        <v/>
      </c>
      <c r="T516" s="55" t="str">
        <f>IF(G516="","",IFERROR(INDEX(Stammdaten!$O$10:$O$69,MATCH(G516,Stammdaten!$N$10:$N$69,0)),G516)&amp;IF(H516="Vormittag"," (VM)",IF(H516="Nachmittag"," (NM)",""))&amp;IF(I516="Angefragt"," ?",""))</f>
        <v/>
      </c>
      <c r="U516" s="55" t="str">
        <f t="shared" si="55"/>
        <v/>
      </c>
    </row>
    <row r="517" spans="2:21" ht="16.5" customHeight="1" x14ac:dyDescent="0.25">
      <c r="B517" s="47" t="str">
        <f t="shared" si="49"/>
        <v/>
      </c>
      <c r="C517" s="48"/>
      <c r="D517" s="49" t="str">
        <f t="shared" si="50"/>
        <v/>
      </c>
      <c r="E517" s="50" t="str">
        <f t="shared" si="51"/>
        <v/>
      </c>
      <c r="F517" s="51"/>
      <c r="G517" s="52"/>
      <c r="H517" s="51"/>
      <c r="I517" s="51"/>
      <c r="J517" s="52"/>
      <c r="K517" s="53" t="str">
        <f>IF(G517="","",IFERROR(INDEX(Stammdaten!$P$10:$P$69,MATCH(G517,Stammdaten!$N$10:$N$69,0)),"–"))</f>
        <v/>
      </c>
      <c r="L517" s="53" t="str">
        <f>IF(F517="","",IFERROR(INDEX(Stammdaten!$D$10:$D$49,MATCH(F517,Stammdaten!$B$10:$B$49,0)),"–"))</f>
        <v/>
      </c>
      <c r="M517" s="54" t="str">
        <f>IF(C517="","",IF(OR(F517="",G517="",I517=""),"unvollständig",IF(I517="Storniert","storniert",IF(WEEKDAY(C517,2)&gt;5,"Wochenende",IF(COUNTIF(Stammdaten!$AD$10:$AD$30,C517)&gt;0,"Feiertag",IF(IFERROR(INDEX(Stammdaten!$I$10:$I$49,MATCH(F517,Stammdaten!$B$10:$B$49,0)),"")="Gesperrt","Platz gesperrt",IF(AND(COUNTIF($P$6:$P$605,P517)&gt;1,NOT(AND(COUNTIF($P$6:$P$605,P517)=2,COUNTIFS($P$6:$P$605,P517,$H$6:$H$605,"Vormittag")=1,COUNTIFS($P$6:$P$605,P517,$H$6:$H$605,"Nachmittag")=1))),"Doppelbuchung",IF(AND(COUNTIF($R$6:$R$605,R517)&gt;1,NOT(AND(COUNTIF($R$6:$R$605,R517)=2,COUNTIFS($R$6:$R$605,R517,$H$6:$H$605,"Vormittag")=1,COUNTIFS($R$6:$R$605,R517,$H$6:$H$605,"Nachmittag")=1))),"Person doppelt","OK"))))))))</f>
        <v/>
      </c>
      <c r="O517" s="55">
        <f t="shared" si="52"/>
        <v>0</v>
      </c>
      <c r="P517" s="55" t="str">
        <f t="shared" si="53"/>
        <v/>
      </c>
      <c r="Q517" s="55" t="str">
        <f>IF(P517="","",P517&amp;"|"&amp;COUNTIF(P$6:P517,P517))</f>
        <v/>
      </c>
      <c r="R517" s="55" t="str">
        <f t="shared" si="54"/>
        <v/>
      </c>
      <c r="S517" s="55" t="str">
        <f>IF(R517="","",R517&amp;"|"&amp;COUNTIF(R$6:R517,R517))</f>
        <v/>
      </c>
      <c r="T517" s="55" t="str">
        <f>IF(G517="","",IFERROR(INDEX(Stammdaten!$O$10:$O$69,MATCH(G517,Stammdaten!$N$10:$N$69,0)),G517)&amp;IF(H517="Vormittag"," (VM)",IF(H517="Nachmittag"," (NM)",""))&amp;IF(I517="Angefragt"," ?",""))</f>
        <v/>
      </c>
      <c r="U517" s="55" t="str">
        <f t="shared" si="55"/>
        <v/>
      </c>
    </row>
    <row r="518" spans="2:21" ht="16.5" customHeight="1" x14ac:dyDescent="0.25">
      <c r="B518" s="47" t="str">
        <f t="shared" ref="B518:B581" si="56">IF(C518="","",ROW()-5)</f>
        <v/>
      </c>
      <c r="C518" s="48"/>
      <c r="D518" s="49" t="str">
        <f t="shared" ref="D518:D581" si="57">IF(C518="","",CHOOSE(WEEKDAY(C518,2),"Mo","Di","Mi","Do","Fr","Sa","So"))</f>
        <v/>
      </c>
      <c r="E518" s="50" t="str">
        <f t="shared" ref="E518:E581" si="58">IF(C518="","",_xlfn.ISOWEEKNUM(C518))</f>
        <v/>
      </c>
      <c r="F518" s="51"/>
      <c r="G518" s="52"/>
      <c r="H518" s="51"/>
      <c r="I518" s="51"/>
      <c r="J518" s="52"/>
      <c r="K518" s="53" t="str">
        <f>IF(G518="","",IFERROR(INDEX(Stammdaten!$P$10:$P$69,MATCH(G518,Stammdaten!$N$10:$N$69,0)),"–"))</f>
        <v/>
      </c>
      <c r="L518" s="53" t="str">
        <f>IF(F518="","",IFERROR(INDEX(Stammdaten!$D$10:$D$49,MATCH(F518,Stammdaten!$B$10:$B$49,0)),"–"))</f>
        <v/>
      </c>
      <c r="M518" s="54" t="str">
        <f>IF(C518="","",IF(OR(F518="",G518="",I518=""),"unvollständig",IF(I518="Storniert","storniert",IF(WEEKDAY(C518,2)&gt;5,"Wochenende",IF(COUNTIF(Stammdaten!$AD$10:$AD$30,C518)&gt;0,"Feiertag",IF(IFERROR(INDEX(Stammdaten!$I$10:$I$49,MATCH(F518,Stammdaten!$B$10:$B$49,0)),"")="Gesperrt","Platz gesperrt",IF(AND(COUNTIF($P$6:$P$605,P518)&gt;1,NOT(AND(COUNTIF($P$6:$P$605,P518)=2,COUNTIFS($P$6:$P$605,P518,$H$6:$H$605,"Vormittag")=1,COUNTIFS($P$6:$P$605,P518,$H$6:$H$605,"Nachmittag")=1))),"Doppelbuchung",IF(AND(COUNTIF($R$6:$R$605,R518)&gt;1,NOT(AND(COUNTIF($R$6:$R$605,R518)=2,COUNTIFS($R$6:$R$605,R518,$H$6:$H$605,"Vormittag")=1,COUNTIFS($R$6:$R$605,R518,$H$6:$H$605,"Nachmittag")=1))),"Person doppelt","OK"))))))))</f>
        <v/>
      </c>
      <c r="O518" s="55">
        <f t="shared" ref="O518:O581" si="59">IF(OR(C518="",I518&lt;&gt;"Bestätigt",M518="Platz gesperrt"),0,IF(H518="Ganztägig",1,0.5))</f>
        <v>0</v>
      </c>
      <c r="P518" s="55" t="str">
        <f t="shared" ref="P518:P581" si="60">IF(OR(C518="",F518="",I518="Storniert"),"",F518&amp;"|"&amp;C518)</f>
        <v/>
      </c>
      <c r="Q518" s="55" t="str">
        <f>IF(P518="","",P518&amp;"|"&amp;COUNTIF(P$6:P518,P518))</f>
        <v/>
      </c>
      <c r="R518" s="55" t="str">
        <f t="shared" ref="R518:R581" si="61">IF(OR(C518="",G518="",I518="Storniert"),"",G518&amp;"|"&amp;C518)</f>
        <v/>
      </c>
      <c r="S518" s="55" t="str">
        <f>IF(R518="","",R518&amp;"|"&amp;COUNTIF(R$6:R518,R518))</f>
        <v/>
      </c>
      <c r="T518" s="55" t="str">
        <f>IF(G518="","",IFERROR(INDEX(Stammdaten!$O$10:$O$69,MATCH(G518,Stammdaten!$N$10:$N$69,0)),G518)&amp;IF(H518="Vormittag"," (VM)",IF(H518="Nachmittag"," (NM)",""))&amp;IF(I518="Angefragt"," ?",""))</f>
        <v/>
      </c>
      <c r="U518" s="55" t="str">
        <f t="shared" ref="U518:U581" si="62">IF(F518="","",F518&amp;IF(H518="Vormittag"," (VM)",IF(H518="Nachmittag"," (NM)",""))&amp;IF(I518="Angefragt"," ?",""))</f>
        <v/>
      </c>
    </row>
    <row r="519" spans="2:21" ht="16.5" customHeight="1" x14ac:dyDescent="0.25">
      <c r="B519" s="47" t="str">
        <f t="shared" si="56"/>
        <v/>
      </c>
      <c r="C519" s="48"/>
      <c r="D519" s="49" t="str">
        <f t="shared" si="57"/>
        <v/>
      </c>
      <c r="E519" s="50" t="str">
        <f t="shared" si="58"/>
        <v/>
      </c>
      <c r="F519" s="51"/>
      <c r="G519" s="52"/>
      <c r="H519" s="51"/>
      <c r="I519" s="51"/>
      <c r="J519" s="52"/>
      <c r="K519" s="53" t="str">
        <f>IF(G519="","",IFERROR(INDEX(Stammdaten!$P$10:$P$69,MATCH(G519,Stammdaten!$N$10:$N$69,0)),"–"))</f>
        <v/>
      </c>
      <c r="L519" s="53" t="str">
        <f>IF(F519="","",IFERROR(INDEX(Stammdaten!$D$10:$D$49,MATCH(F519,Stammdaten!$B$10:$B$49,0)),"–"))</f>
        <v/>
      </c>
      <c r="M519" s="54" t="str">
        <f>IF(C519="","",IF(OR(F519="",G519="",I519=""),"unvollständig",IF(I519="Storniert","storniert",IF(WEEKDAY(C519,2)&gt;5,"Wochenende",IF(COUNTIF(Stammdaten!$AD$10:$AD$30,C519)&gt;0,"Feiertag",IF(IFERROR(INDEX(Stammdaten!$I$10:$I$49,MATCH(F519,Stammdaten!$B$10:$B$49,0)),"")="Gesperrt","Platz gesperrt",IF(AND(COUNTIF($P$6:$P$605,P519)&gt;1,NOT(AND(COUNTIF($P$6:$P$605,P519)=2,COUNTIFS($P$6:$P$605,P519,$H$6:$H$605,"Vormittag")=1,COUNTIFS($P$6:$P$605,P519,$H$6:$H$605,"Nachmittag")=1))),"Doppelbuchung",IF(AND(COUNTIF($R$6:$R$605,R519)&gt;1,NOT(AND(COUNTIF($R$6:$R$605,R519)=2,COUNTIFS($R$6:$R$605,R519,$H$6:$H$605,"Vormittag")=1,COUNTIFS($R$6:$R$605,R519,$H$6:$H$605,"Nachmittag")=1))),"Person doppelt","OK"))))))))</f>
        <v/>
      </c>
      <c r="O519" s="55">
        <f t="shared" si="59"/>
        <v>0</v>
      </c>
      <c r="P519" s="55" t="str">
        <f t="shared" si="60"/>
        <v/>
      </c>
      <c r="Q519" s="55" t="str">
        <f>IF(P519="","",P519&amp;"|"&amp;COUNTIF(P$6:P519,P519))</f>
        <v/>
      </c>
      <c r="R519" s="55" t="str">
        <f t="shared" si="61"/>
        <v/>
      </c>
      <c r="S519" s="55" t="str">
        <f>IF(R519="","",R519&amp;"|"&amp;COUNTIF(R$6:R519,R519))</f>
        <v/>
      </c>
      <c r="T519" s="55" t="str">
        <f>IF(G519="","",IFERROR(INDEX(Stammdaten!$O$10:$O$69,MATCH(G519,Stammdaten!$N$10:$N$69,0)),G519)&amp;IF(H519="Vormittag"," (VM)",IF(H519="Nachmittag"," (NM)",""))&amp;IF(I519="Angefragt"," ?",""))</f>
        <v/>
      </c>
      <c r="U519" s="55" t="str">
        <f t="shared" si="62"/>
        <v/>
      </c>
    </row>
    <row r="520" spans="2:21" ht="16.5" customHeight="1" x14ac:dyDescent="0.25">
      <c r="B520" s="47" t="str">
        <f t="shared" si="56"/>
        <v/>
      </c>
      <c r="C520" s="48"/>
      <c r="D520" s="49" t="str">
        <f t="shared" si="57"/>
        <v/>
      </c>
      <c r="E520" s="50" t="str">
        <f t="shared" si="58"/>
        <v/>
      </c>
      <c r="F520" s="51"/>
      <c r="G520" s="52"/>
      <c r="H520" s="51"/>
      <c r="I520" s="51"/>
      <c r="J520" s="52"/>
      <c r="K520" s="53" t="str">
        <f>IF(G520="","",IFERROR(INDEX(Stammdaten!$P$10:$P$69,MATCH(G520,Stammdaten!$N$10:$N$69,0)),"–"))</f>
        <v/>
      </c>
      <c r="L520" s="53" t="str">
        <f>IF(F520="","",IFERROR(INDEX(Stammdaten!$D$10:$D$49,MATCH(F520,Stammdaten!$B$10:$B$49,0)),"–"))</f>
        <v/>
      </c>
      <c r="M520" s="54" t="str">
        <f>IF(C520="","",IF(OR(F520="",G520="",I520=""),"unvollständig",IF(I520="Storniert","storniert",IF(WEEKDAY(C520,2)&gt;5,"Wochenende",IF(COUNTIF(Stammdaten!$AD$10:$AD$30,C520)&gt;0,"Feiertag",IF(IFERROR(INDEX(Stammdaten!$I$10:$I$49,MATCH(F520,Stammdaten!$B$10:$B$49,0)),"")="Gesperrt","Platz gesperrt",IF(AND(COUNTIF($P$6:$P$605,P520)&gt;1,NOT(AND(COUNTIF($P$6:$P$605,P520)=2,COUNTIFS($P$6:$P$605,P520,$H$6:$H$605,"Vormittag")=1,COUNTIFS($P$6:$P$605,P520,$H$6:$H$605,"Nachmittag")=1))),"Doppelbuchung",IF(AND(COUNTIF($R$6:$R$605,R520)&gt;1,NOT(AND(COUNTIF($R$6:$R$605,R520)=2,COUNTIFS($R$6:$R$605,R520,$H$6:$H$605,"Vormittag")=1,COUNTIFS($R$6:$R$605,R520,$H$6:$H$605,"Nachmittag")=1))),"Person doppelt","OK"))))))))</f>
        <v/>
      </c>
      <c r="O520" s="55">
        <f t="shared" si="59"/>
        <v>0</v>
      </c>
      <c r="P520" s="55" t="str">
        <f t="shared" si="60"/>
        <v/>
      </c>
      <c r="Q520" s="55" t="str">
        <f>IF(P520="","",P520&amp;"|"&amp;COUNTIF(P$6:P520,P520))</f>
        <v/>
      </c>
      <c r="R520" s="55" t="str">
        <f t="shared" si="61"/>
        <v/>
      </c>
      <c r="S520" s="55" t="str">
        <f>IF(R520="","",R520&amp;"|"&amp;COUNTIF(R$6:R520,R520))</f>
        <v/>
      </c>
      <c r="T520" s="55" t="str">
        <f>IF(G520="","",IFERROR(INDEX(Stammdaten!$O$10:$O$69,MATCH(G520,Stammdaten!$N$10:$N$69,0)),G520)&amp;IF(H520="Vormittag"," (VM)",IF(H520="Nachmittag"," (NM)",""))&amp;IF(I520="Angefragt"," ?",""))</f>
        <v/>
      </c>
      <c r="U520" s="55" t="str">
        <f t="shared" si="62"/>
        <v/>
      </c>
    </row>
    <row r="521" spans="2:21" ht="16.5" customHeight="1" x14ac:dyDescent="0.25">
      <c r="B521" s="47" t="str">
        <f t="shared" si="56"/>
        <v/>
      </c>
      <c r="C521" s="48"/>
      <c r="D521" s="49" t="str">
        <f t="shared" si="57"/>
        <v/>
      </c>
      <c r="E521" s="50" t="str">
        <f t="shared" si="58"/>
        <v/>
      </c>
      <c r="F521" s="51"/>
      <c r="G521" s="52"/>
      <c r="H521" s="51"/>
      <c r="I521" s="51"/>
      <c r="J521" s="52"/>
      <c r="K521" s="53" t="str">
        <f>IF(G521="","",IFERROR(INDEX(Stammdaten!$P$10:$P$69,MATCH(G521,Stammdaten!$N$10:$N$69,0)),"–"))</f>
        <v/>
      </c>
      <c r="L521" s="53" t="str">
        <f>IF(F521="","",IFERROR(INDEX(Stammdaten!$D$10:$D$49,MATCH(F521,Stammdaten!$B$10:$B$49,0)),"–"))</f>
        <v/>
      </c>
      <c r="M521" s="54" t="str">
        <f>IF(C521="","",IF(OR(F521="",G521="",I521=""),"unvollständig",IF(I521="Storniert","storniert",IF(WEEKDAY(C521,2)&gt;5,"Wochenende",IF(COUNTIF(Stammdaten!$AD$10:$AD$30,C521)&gt;0,"Feiertag",IF(IFERROR(INDEX(Stammdaten!$I$10:$I$49,MATCH(F521,Stammdaten!$B$10:$B$49,0)),"")="Gesperrt","Platz gesperrt",IF(AND(COUNTIF($P$6:$P$605,P521)&gt;1,NOT(AND(COUNTIF($P$6:$P$605,P521)=2,COUNTIFS($P$6:$P$605,P521,$H$6:$H$605,"Vormittag")=1,COUNTIFS($P$6:$P$605,P521,$H$6:$H$605,"Nachmittag")=1))),"Doppelbuchung",IF(AND(COUNTIF($R$6:$R$605,R521)&gt;1,NOT(AND(COUNTIF($R$6:$R$605,R521)=2,COUNTIFS($R$6:$R$605,R521,$H$6:$H$605,"Vormittag")=1,COUNTIFS($R$6:$R$605,R521,$H$6:$H$605,"Nachmittag")=1))),"Person doppelt","OK"))))))))</f>
        <v/>
      </c>
      <c r="O521" s="55">
        <f t="shared" si="59"/>
        <v>0</v>
      </c>
      <c r="P521" s="55" t="str">
        <f t="shared" si="60"/>
        <v/>
      </c>
      <c r="Q521" s="55" t="str">
        <f>IF(P521="","",P521&amp;"|"&amp;COUNTIF(P$6:P521,P521))</f>
        <v/>
      </c>
      <c r="R521" s="55" t="str">
        <f t="shared" si="61"/>
        <v/>
      </c>
      <c r="S521" s="55" t="str">
        <f>IF(R521="","",R521&amp;"|"&amp;COUNTIF(R$6:R521,R521))</f>
        <v/>
      </c>
      <c r="T521" s="55" t="str">
        <f>IF(G521="","",IFERROR(INDEX(Stammdaten!$O$10:$O$69,MATCH(G521,Stammdaten!$N$10:$N$69,0)),G521)&amp;IF(H521="Vormittag"," (VM)",IF(H521="Nachmittag"," (NM)",""))&amp;IF(I521="Angefragt"," ?",""))</f>
        <v/>
      </c>
      <c r="U521" s="55" t="str">
        <f t="shared" si="62"/>
        <v/>
      </c>
    </row>
    <row r="522" spans="2:21" ht="16.5" customHeight="1" x14ac:dyDescent="0.25">
      <c r="B522" s="47" t="str">
        <f t="shared" si="56"/>
        <v/>
      </c>
      <c r="C522" s="48"/>
      <c r="D522" s="49" t="str">
        <f t="shared" si="57"/>
        <v/>
      </c>
      <c r="E522" s="50" t="str">
        <f t="shared" si="58"/>
        <v/>
      </c>
      <c r="F522" s="51"/>
      <c r="G522" s="52"/>
      <c r="H522" s="51"/>
      <c r="I522" s="51"/>
      <c r="J522" s="52"/>
      <c r="K522" s="53" t="str">
        <f>IF(G522="","",IFERROR(INDEX(Stammdaten!$P$10:$P$69,MATCH(G522,Stammdaten!$N$10:$N$69,0)),"–"))</f>
        <v/>
      </c>
      <c r="L522" s="53" t="str">
        <f>IF(F522="","",IFERROR(INDEX(Stammdaten!$D$10:$D$49,MATCH(F522,Stammdaten!$B$10:$B$49,0)),"–"))</f>
        <v/>
      </c>
      <c r="M522" s="54" t="str">
        <f>IF(C522="","",IF(OR(F522="",G522="",I522=""),"unvollständig",IF(I522="Storniert","storniert",IF(WEEKDAY(C522,2)&gt;5,"Wochenende",IF(COUNTIF(Stammdaten!$AD$10:$AD$30,C522)&gt;0,"Feiertag",IF(IFERROR(INDEX(Stammdaten!$I$10:$I$49,MATCH(F522,Stammdaten!$B$10:$B$49,0)),"")="Gesperrt","Platz gesperrt",IF(AND(COUNTIF($P$6:$P$605,P522)&gt;1,NOT(AND(COUNTIF($P$6:$P$605,P522)=2,COUNTIFS($P$6:$P$605,P522,$H$6:$H$605,"Vormittag")=1,COUNTIFS($P$6:$P$605,P522,$H$6:$H$605,"Nachmittag")=1))),"Doppelbuchung",IF(AND(COUNTIF($R$6:$R$605,R522)&gt;1,NOT(AND(COUNTIF($R$6:$R$605,R522)=2,COUNTIFS($R$6:$R$605,R522,$H$6:$H$605,"Vormittag")=1,COUNTIFS($R$6:$R$605,R522,$H$6:$H$605,"Nachmittag")=1))),"Person doppelt","OK"))))))))</f>
        <v/>
      </c>
      <c r="O522" s="55">
        <f t="shared" si="59"/>
        <v>0</v>
      </c>
      <c r="P522" s="55" t="str">
        <f t="shared" si="60"/>
        <v/>
      </c>
      <c r="Q522" s="55" t="str">
        <f>IF(P522="","",P522&amp;"|"&amp;COUNTIF(P$6:P522,P522))</f>
        <v/>
      </c>
      <c r="R522" s="55" t="str">
        <f t="shared" si="61"/>
        <v/>
      </c>
      <c r="S522" s="55" t="str">
        <f>IF(R522="","",R522&amp;"|"&amp;COUNTIF(R$6:R522,R522))</f>
        <v/>
      </c>
      <c r="T522" s="55" t="str">
        <f>IF(G522="","",IFERROR(INDEX(Stammdaten!$O$10:$O$69,MATCH(G522,Stammdaten!$N$10:$N$69,0)),G522)&amp;IF(H522="Vormittag"," (VM)",IF(H522="Nachmittag"," (NM)",""))&amp;IF(I522="Angefragt"," ?",""))</f>
        <v/>
      </c>
      <c r="U522" s="55" t="str">
        <f t="shared" si="62"/>
        <v/>
      </c>
    </row>
    <row r="523" spans="2:21" ht="16.5" customHeight="1" x14ac:dyDescent="0.25">
      <c r="B523" s="47" t="str">
        <f t="shared" si="56"/>
        <v/>
      </c>
      <c r="C523" s="48"/>
      <c r="D523" s="49" t="str">
        <f t="shared" si="57"/>
        <v/>
      </c>
      <c r="E523" s="50" t="str">
        <f t="shared" si="58"/>
        <v/>
      </c>
      <c r="F523" s="51"/>
      <c r="G523" s="52"/>
      <c r="H523" s="51"/>
      <c r="I523" s="51"/>
      <c r="J523" s="52"/>
      <c r="K523" s="53" t="str">
        <f>IF(G523="","",IFERROR(INDEX(Stammdaten!$P$10:$P$69,MATCH(G523,Stammdaten!$N$10:$N$69,0)),"–"))</f>
        <v/>
      </c>
      <c r="L523" s="53" t="str">
        <f>IF(F523="","",IFERROR(INDEX(Stammdaten!$D$10:$D$49,MATCH(F523,Stammdaten!$B$10:$B$49,0)),"–"))</f>
        <v/>
      </c>
      <c r="M523" s="54" t="str">
        <f>IF(C523="","",IF(OR(F523="",G523="",I523=""),"unvollständig",IF(I523="Storniert","storniert",IF(WEEKDAY(C523,2)&gt;5,"Wochenende",IF(COUNTIF(Stammdaten!$AD$10:$AD$30,C523)&gt;0,"Feiertag",IF(IFERROR(INDEX(Stammdaten!$I$10:$I$49,MATCH(F523,Stammdaten!$B$10:$B$49,0)),"")="Gesperrt","Platz gesperrt",IF(AND(COUNTIF($P$6:$P$605,P523)&gt;1,NOT(AND(COUNTIF($P$6:$P$605,P523)=2,COUNTIFS($P$6:$P$605,P523,$H$6:$H$605,"Vormittag")=1,COUNTIFS($P$6:$P$605,P523,$H$6:$H$605,"Nachmittag")=1))),"Doppelbuchung",IF(AND(COUNTIF($R$6:$R$605,R523)&gt;1,NOT(AND(COUNTIF($R$6:$R$605,R523)=2,COUNTIFS($R$6:$R$605,R523,$H$6:$H$605,"Vormittag")=1,COUNTIFS($R$6:$R$605,R523,$H$6:$H$605,"Nachmittag")=1))),"Person doppelt","OK"))))))))</f>
        <v/>
      </c>
      <c r="O523" s="55">
        <f t="shared" si="59"/>
        <v>0</v>
      </c>
      <c r="P523" s="55" t="str">
        <f t="shared" si="60"/>
        <v/>
      </c>
      <c r="Q523" s="55" t="str">
        <f>IF(P523="","",P523&amp;"|"&amp;COUNTIF(P$6:P523,P523))</f>
        <v/>
      </c>
      <c r="R523" s="55" t="str">
        <f t="shared" si="61"/>
        <v/>
      </c>
      <c r="S523" s="55" t="str">
        <f>IF(R523="","",R523&amp;"|"&amp;COUNTIF(R$6:R523,R523))</f>
        <v/>
      </c>
      <c r="T523" s="55" t="str">
        <f>IF(G523="","",IFERROR(INDEX(Stammdaten!$O$10:$O$69,MATCH(G523,Stammdaten!$N$10:$N$69,0)),G523)&amp;IF(H523="Vormittag"," (VM)",IF(H523="Nachmittag"," (NM)",""))&amp;IF(I523="Angefragt"," ?",""))</f>
        <v/>
      </c>
      <c r="U523" s="55" t="str">
        <f t="shared" si="62"/>
        <v/>
      </c>
    </row>
    <row r="524" spans="2:21" ht="16.5" customHeight="1" x14ac:dyDescent="0.25">
      <c r="B524" s="47" t="str">
        <f t="shared" si="56"/>
        <v/>
      </c>
      <c r="C524" s="48"/>
      <c r="D524" s="49" t="str">
        <f t="shared" si="57"/>
        <v/>
      </c>
      <c r="E524" s="50" t="str">
        <f t="shared" si="58"/>
        <v/>
      </c>
      <c r="F524" s="51"/>
      <c r="G524" s="52"/>
      <c r="H524" s="51"/>
      <c r="I524" s="51"/>
      <c r="J524" s="52"/>
      <c r="K524" s="53" t="str">
        <f>IF(G524="","",IFERROR(INDEX(Stammdaten!$P$10:$P$69,MATCH(G524,Stammdaten!$N$10:$N$69,0)),"–"))</f>
        <v/>
      </c>
      <c r="L524" s="53" t="str">
        <f>IF(F524="","",IFERROR(INDEX(Stammdaten!$D$10:$D$49,MATCH(F524,Stammdaten!$B$10:$B$49,0)),"–"))</f>
        <v/>
      </c>
      <c r="M524" s="54" t="str">
        <f>IF(C524="","",IF(OR(F524="",G524="",I524=""),"unvollständig",IF(I524="Storniert","storniert",IF(WEEKDAY(C524,2)&gt;5,"Wochenende",IF(COUNTIF(Stammdaten!$AD$10:$AD$30,C524)&gt;0,"Feiertag",IF(IFERROR(INDEX(Stammdaten!$I$10:$I$49,MATCH(F524,Stammdaten!$B$10:$B$49,0)),"")="Gesperrt","Platz gesperrt",IF(AND(COUNTIF($P$6:$P$605,P524)&gt;1,NOT(AND(COUNTIF($P$6:$P$605,P524)=2,COUNTIFS($P$6:$P$605,P524,$H$6:$H$605,"Vormittag")=1,COUNTIFS($P$6:$P$605,P524,$H$6:$H$605,"Nachmittag")=1))),"Doppelbuchung",IF(AND(COUNTIF($R$6:$R$605,R524)&gt;1,NOT(AND(COUNTIF($R$6:$R$605,R524)=2,COUNTIFS($R$6:$R$605,R524,$H$6:$H$605,"Vormittag")=1,COUNTIFS($R$6:$R$605,R524,$H$6:$H$605,"Nachmittag")=1))),"Person doppelt","OK"))))))))</f>
        <v/>
      </c>
      <c r="O524" s="55">
        <f t="shared" si="59"/>
        <v>0</v>
      </c>
      <c r="P524" s="55" t="str">
        <f t="shared" si="60"/>
        <v/>
      </c>
      <c r="Q524" s="55" t="str">
        <f>IF(P524="","",P524&amp;"|"&amp;COUNTIF(P$6:P524,P524))</f>
        <v/>
      </c>
      <c r="R524" s="55" t="str">
        <f t="shared" si="61"/>
        <v/>
      </c>
      <c r="S524" s="55" t="str">
        <f>IF(R524="","",R524&amp;"|"&amp;COUNTIF(R$6:R524,R524))</f>
        <v/>
      </c>
      <c r="T524" s="55" t="str">
        <f>IF(G524="","",IFERROR(INDEX(Stammdaten!$O$10:$O$69,MATCH(G524,Stammdaten!$N$10:$N$69,0)),G524)&amp;IF(H524="Vormittag"," (VM)",IF(H524="Nachmittag"," (NM)",""))&amp;IF(I524="Angefragt"," ?",""))</f>
        <v/>
      </c>
      <c r="U524" s="55" t="str">
        <f t="shared" si="62"/>
        <v/>
      </c>
    </row>
    <row r="525" spans="2:21" ht="16.5" customHeight="1" x14ac:dyDescent="0.25">
      <c r="B525" s="47" t="str">
        <f t="shared" si="56"/>
        <v/>
      </c>
      <c r="C525" s="48"/>
      <c r="D525" s="49" t="str">
        <f t="shared" si="57"/>
        <v/>
      </c>
      <c r="E525" s="50" t="str">
        <f t="shared" si="58"/>
        <v/>
      </c>
      <c r="F525" s="51"/>
      <c r="G525" s="52"/>
      <c r="H525" s="51"/>
      <c r="I525" s="51"/>
      <c r="J525" s="52"/>
      <c r="K525" s="53" t="str">
        <f>IF(G525="","",IFERROR(INDEX(Stammdaten!$P$10:$P$69,MATCH(G525,Stammdaten!$N$10:$N$69,0)),"–"))</f>
        <v/>
      </c>
      <c r="L525" s="53" t="str">
        <f>IF(F525="","",IFERROR(INDEX(Stammdaten!$D$10:$D$49,MATCH(F525,Stammdaten!$B$10:$B$49,0)),"–"))</f>
        <v/>
      </c>
      <c r="M525" s="54" t="str">
        <f>IF(C525="","",IF(OR(F525="",G525="",I525=""),"unvollständig",IF(I525="Storniert","storniert",IF(WEEKDAY(C525,2)&gt;5,"Wochenende",IF(COUNTIF(Stammdaten!$AD$10:$AD$30,C525)&gt;0,"Feiertag",IF(IFERROR(INDEX(Stammdaten!$I$10:$I$49,MATCH(F525,Stammdaten!$B$10:$B$49,0)),"")="Gesperrt","Platz gesperrt",IF(AND(COUNTIF($P$6:$P$605,P525)&gt;1,NOT(AND(COUNTIF($P$6:$P$605,P525)=2,COUNTIFS($P$6:$P$605,P525,$H$6:$H$605,"Vormittag")=1,COUNTIFS($P$6:$P$605,P525,$H$6:$H$605,"Nachmittag")=1))),"Doppelbuchung",IF(AND(COUNTIF($R$6:$R$605,R525)&gt;1,NOT(AND(COUNTIF($R$6:$R$605,R525)=2,COUNTIFS($R$6:$R$605,R525,$H$6:$H$605,"Vormittag")=1,COUNTIFS($R$6:$R$605,R525,$H$6:$H$605,"Nachmittag")=1))),"Person doppelt","OK"))))))))</f>
        <v/>
      </c>
      <c r="O525" s="55">
        <f t="shared" si="59"/>
        <v>0</v>
      </c>
      <c r="P525" s="55" t="str">
        <f t="shared" si="60"/>
        <v/>
      </c>
      <c r="Q525" s="55" t="str">
        <f>IF(P525="","",P525&amp;"|"&amp;COUNTIF(P$6:P525,P525))</f>
        <v/>
      </c>
      <c r="R525" s="55" t="str">
        <f t="shared" si="61"/>
        <v/>
      </c>
      <c r="S525" s="55" t="str">
        <f>IF(R525="","",R525&amp;"|"&amp;COUNTIF(R$6:R525,R525))</f>
        <v/>
      </c>
      <c r="T525" s="55" t="str">
        <f>IF(G525="","",IFERROR(INDEX(Stammdaten!$O$10:$O$69,MATCH(G525,Stammdaten!$N$10:$N$69,0)),G525)&amp;IF(H525="Vormittag"," (VM)",IF(H525="Nachmittag"," (NM)",""))&amp;IF(I525="Angefragt"," ?",""))</f>
        <v/>
      </c>
      <c r="U525" s="55" t="str">
        <f t="shared" si="62"/>
        <v/>
      </c>
    </row>
    <row r="526" spans="2:21" ht="16.5" customHeight="1" x14ac:dyDescent="0.25">
      <c r="B526" s="47" t="str">
        <f t="shared" si="56"/>
        <v/>
      </c>
      <c r="C526" s="48"/>
      <c r="D526" s="49" t="str">
        <f t="shared" si="57"/>
        <v/>
      </c>
      <c r="E526" s="50" t="str">
        <f t="shared" si="58"/>
        <v/>
      </c>
      <c r="F526" s="51"/>
      <c r="G526" s="52"/>
      <c r="H526" s="51"/>
      <c r="I526" s="51"/>
      <c r="J526" s="52"/>
      <c r="K526" s="53" t="str">
        <f>IF(G526="","",IFERROR(INDEX(Stammdaten!$P$10:$P$69,MATCH(G526,Stammdaten!$N$10:$N$69,0)),"–"))</f>
        <v/>
      </c>
      <c r="L526" s="53" t="str">
        <f>IF(F526="","",IFERROR(INDEX(Stammdaten!$D$10:$D$49,MATCH(F526,Stammdaten!$B$10:$B$49,0)),"–"))</f>
        <v/>
      </c>
      <c r="M526" s="54" t="str">
        <f>IF(C526="","",IF(OR(F526="",G526="",I526=""),"unvollständig",IF(I526="Storniert","storniert",IF(WEEKDAY(C526,2)&gt;5,"Wochenende",IF(COUNTIF(Stammdaten!$AD$10:$AD$30,C526)&gt;0,"Feiertag",IF(IFERROR(INDEX(Stammdaten!$I$10:$I$49,MATCH(F526,Stammdaten!$B$10:$B$49,0)),"")="Gesperrt","Platz gesperrt",IF(AND(COUNTIF($P$6:$P$605,P526)&gt;1,NOT(AND(COUNTIF($P$6:$P$605,P526)=2,COUNTIFS($P$6:$P$605,P526,$H$6:$H$605,"Vormittag")=1,COUNTIFS($P$6:$P$605,P526,$H$6:$H$605,"Nachmittag")=1))),"Doppelbuchung",IF(AND(COUNTIF($R$6:$R$605,R526)&gt;1,NOT(AND(COUNTIF($R$6:$R$605,R526)=2,COUNTIFS($R$6:$R$605,R526,$H$6:$H$605,"Vormittag")=1,COUNTIFS($R$6:$R$605,R526,$H$6:$H$605,"Nachmittag")=1))),"Person doppelt","OK"))))))))</f>
        <v/>
      </c>
      <c r="O526" s="55">
        <f t="shared" si="59"/>
        <v>0</v>
      </c>
      <c r="P526" s="55" t="str">
        <f t="shared" si="60"/>
        <v/>
      </c>
      <c r="Q526" s="55" t="str">
        <f>IF(P526="","",P526&amp;"|"&amp;COUNTIF(P$6:P526,P526))</f>
        <v/>
      </c>
      <c r="R526" s="55" t="str">
        <f t="shared" si="61"/>
        <v/>
      </c>
      <c r="S526" s="55" t="str">
        <f>IF(R526="","",R526&amp;"|"&amp;COUNTIF(R$6:R526,R526))</f>
        <v/>
      </c>
      <c r="T526" s="55" t="str">
        <f>IF(G526="","",IFERROR(INDEX(Stammdaten!$O$10:$O$69,MATCH(G526,Stammdaten!$N$10:$N$69,0)),G526)&amp;IF(H526="Vormittag"," (VM)",IF(H526="Nachmittag"," (NM)",""))&amp;IF(I526="Angefragt"," ?",""))</f>
        <v/>
      </c>
      <c r="U526" s="55" t="str">
        <f t="shared" si="62"/>
        <v/>
      </c>
    </row>
    <row r="527" spans="2:21" ht="16.5" customHeight="1" x14ac:dyDescent="0.25">
      <c r="B527" s="47" t="str">
        <f t="shared" si="56"/>
        <v/>
      </c>
      <c r="C527" s="48"/>
      <c r="D527" s="49" t="str">
        <f t="shared" si="57"/>
        <v/>
      </c>
      <c r="E527" s="50" t="str">
        <f t="shared" si="58"/>
        <v/>
      </c>
      <c r="F527" s="51"/>
      <c r="G527" s="52"/>
      <c r="H527" s="51"/>
      <c r="I527" s="51"/>
      <c r="J527" s="52"/>
      <c r="K527" s="53" t="str">
        <f>IF(G527="","",IFERROR(INDEX(Stammdaten!$P$10:$P$69,MATCH(G527,Stammdaten!$N$10:$N$69,0)),"–"))</f>
        <v/>
      </c>
      <c r="L527" s="53" t="str">
        <f>IF(F527="","",IFERROR(INDEX(Stammdaten!$D$10:$D$49,MATCH(F527,Stammdaten!$B$10:$B$49,0)),"–"))</f>
        <v/>
      </c>
      <c r="M527" s="54" t="str">
        <f>IF(C527="","",IF(OR(F527="",G527="",I527=""),"unvollständig",IF(I527="Storniert","storniert",IF(WEEKDAY(C527,2)&gt;5,"Wochenende",IF(COUNTIF(Stammdaten!$AD$10:$AD$30,C527)&gt;0,"Feiertag",IF(IFERROR(INDEX(Stammdaten!$I$10:$I$49,MATCH(F527,Stammdaten!$B$10:$B$49,0)),"")="Gesperrt","Platz gesperrt",IF(AND(COUNTIF($P$6:$P$605,P527)&gt;1,NOT(AND(COUNTIF($P$6:$P$605,P527)=2,COUNTIFS($P$6:$P$605,P527,$H$6:$H$605,"Vormittag")=1,COUNTIFS($P$6:$P$605,P527,$H$6:$H$605,"Nachmittag")=1))),"Doppelbuchung",IF(AND(COUNTIF($R$6:$R$605,R527)&gt;1,NOT(AND(COUNTIF($R$6:$R$605,R527)=2,COUNTIFS($R$6:$R$605,R527,$H$6:$H$605,"Vormittag")=1,COUNTIFS($R$6:$R$605,R527,$H$6:$H$605,"Nachmittag")=1))),"Person doppelt","OK"))))))))</f>
        <v/>
      </c>
      <c r="O527" s="55">
        <f t="shared" si="59"/>
        <v>0</v>
      </c>
      <c r="P527" s="55" t="str">
        <f t="shared" si="60"/>
        <v/>
      </c>
      <c r="Q527" s="55" t="str">
        <f>IF(P527="","",P527&amp;"|"&amp;COUNTIF(P$6:P527,P527))</f>
        <v/>
      </c>
      <c r="R527" s="55" t="str">
        <f t="shared" si="61"/>
        <v/>
      </c>
      <c r="S527" s="55" t="str">
        <f>IF(R527="","",R527&amp;"|"&amp;COUNTIF(R$6:R527,R527))</f>
        <v/>
      </c>
      <c r="T527" s="55" t="str">
        <f>IF(G527="","",IFERROR(INDEX(Stammdaten!$O$10:$O$69,MATCH(G527,Stammdaten!$N$10:$N$69,0)),G527)&amp;IF(H527="Vormittag"," (VM)",IF(H527="Nachmittag"," (NM)",""))&amp;IF(I527="Angefragt"," ?",""))</f>
        <v/>
      </c>
      <c r="U527" s="55" t="str">
        <f t="shared" si="62"/>
        <v/>
      </c>
    </row>
    <row r="528" spans="2:21" ht="16.5" customHeight="1" x14ac:dyDescent="0.25">
      <c r="B528" s="47" t="str">
        <f t="shared" si="56"/>
        <v/>
      </c>
      <c r="C528" s="48"/>
      <c r="D528" s="49" t="str">
        <f t="shared" si="57"/>
        <v/>
      </c>
      <c r="E528" s="50" t="str">
        <f t="shared" si="58"/>
        <v/>
      </c>
      <c r="F528" s="51"/>
      <c r="G528" s="52"/>
      <c r="H528" s="51"/>
      <c r="I528" s="51"/>
      <c r="J528" s="52"/>
      <c r="K528" s="53" t="str">
        <f>IF(G528="","",IFERROR(INDEX(Stammdaten!$P$10:$P$69,MATCH(G528,Stammdaten!$N$10:$N$69,0)),"–"))</f>
        <v/>
      </c>
      <c r="L528" s="53" t="str">
        <f>IF(F528="","",IFERROR(INDEX(Stammdaten!$D$10:$D$49,MATCH(F528,Stammdaten!$B$10:$B$49,0)),"–"))</f>
        <v/>
      </c>
      <c r="M528" s="54" t="str">
        <f>IF(C528="","",IF(OR(F528="",G528="",I528=""),"unvollständig",IF(I528="Storniert","storniert",IF(WEEKDAY(C528,2)&gt;5,"Wochenende",IF(COUNTIF(Stammdaten!$AD$10:$AD$30,C528)&gt;0,"Feiertag",IF(IFERROR(INDEX(Stammdaten!$I$10:$I$49,MATCH(F528,Stammdaten!$B$10:$B$49,0)),"")="Gesperrt","Platz gesperrt",IF(AND(COUNTIF($P$6:$P$605,P528)&gt;1,NOT(AND(COUNTIF($P$6:$P$605,P528)=2,COUNTIFS($P$6:$P$605,P528,$H$6:$H$605,"Vormittag")=1,COUNTIFS($P$6:$P$605,P528,$H$6:$H$605,"Nachmittag")=1))),"Doppelbuchung",IF(AND(COUNTIF($R$6:$R$605,R528)&gt;1,NOT(AND(COUNTIF($R$6:$R$605,R528)=2,COUNTIFS($R$6:$R$605,R528,$H$6:$H$605,"Vormittag")=1,COUNTIFS($R$6:$R$605,R528,$H$6:$H$605,"Nachmittag")=1))),"Person doppelt","OK"))))))))</f>
        <v/>
      </c>
      <c r="O528" s="55">
        <f t="shared" si="59"/>
        <v>0</v>
      </c>
      <c r="P528" s="55" t="str">
        <f t="shared" si="60"/>
        <v/>
      </c>
      <c r="Q528" s="55" t="str">
        <f>IF(P528="","",P528&amp;"|"&amp;COUNTIF(P$6:P528,P528))</f>
        <v/>
      </c>
      <c r="R528" s="55" t="str">
        <f t="shared" si="61"/>
        <v/>
      </c>
      <c r="S528" s="55" t="str">
        <f>IF(R528="","",R528&amp;"|"&amp;COUNTIF(R$6:R528,R528))</f>
        <v/>
      </c>
      <c r="T528" s="55" t="str">
        <f>IF(G528="","",IFERROR(INDEX(Stammdaten!$O$10:$O$69,MATCH(G528,Stammdaten!$N$10:$N$69,0)),G528)&amp;IF(H528="Vormittag"," (VM)",IF(H528="Nachmittag"," (NM)",""))&amp;IF(I528="Angefragt"," ?",""))</f>
        <v/>
      </c>
      <c r="U528" s="55" t="str">
        <f t="shared" si="62"/>
        <v/>
      </c>
    </row>
    <row r="529" spans="2:21" ht="16.5" customHeight="1" x14ac:dyDescent="0.25">
      <c r="B529" s="47" t="str">
        <f t="shared" si="56"/>
        <v/>
      </c>
      <c r="C529" s="48"/>
      <c r="D529" s="49" t="str">
        <f t="shared" si="57"/>
        <v/>
      </c>
      <c r="E529" s="50" t="str">
        <f t="shared" si="58"/>
        <v/>
      </c>
      <c r="F529" s="51"/>
      <c r="G529" s="52"/>
      <c r="H529" s="51"/>
      <c r="I529" s="51"/>
      <c r="J529" s="52"/>
      <c r="K529" s="53" t="str">
        <f>IF(G529="","",IFERROR(INDEX(Stammdaten!$P$10:$P$69,MATCH(G529,Stammdaten!$N$10:$N$69,0)),"–"))</f>
        <v/>
      </c>
      <c r="L529" s="53" t="str">
        <f>IF(F529="","",IFERROR(INDEX(Stammdaten!$D$10:$D$49,MATCH(F529,Stammdaten!$B$10:$B$49,0)),"–"))</f>
        <v/>
      </c>
      <c r="M529" s="54" t="str">
        <f>IF(C529="","",IF(OR(F529="",G529="",I529=""),"unvollständig",IF(I529="Storniert","storniert",IF(WEEKDAY(C529,2)&gt;5,"Wochenende",IF(COUNTIF(Stammdaten!$AD$10:$AD$30,C529)&gt;0,"Feiertag",IF(IFERROR(INDEX(Stammdaten!$I$10:$I$49,MATCH(F529,Stammdaten!$B$10:$B$49,0)),"")="Gesperrt","Platz gesperrt",IF(AND(COUNTIF($P$6:$P$605,P529)&gt;1,NOT(AND(COUNTIF($P$6:$P$605,P529)=2,COUNTIFS($P$6:$P$605,P529,$H$6:$H$605,"Vormittag")=1,COUNTIFS($P$6:$P$605,P529,$H$6:$H$605,"Nachmittag")=1))),"Doppelbuchung",IF(AND(COUNTIF($R$6:$R$605,R529)&gt;1,NOT(AND(COUNTIF($R$6:$R$605,R529)=2,COUNTIFS($R$6:$R$605,R529,$H$6:$H$605,"Vormittag")=1,COUNTIFS($R$6:$R$605,R529,$H$6:$H$605,"Nachmittag")=1))),"Person doppelt","OK"))))))))</f>
        <v/>
      </c>
      <c r="O529" s="55">
        <f t="shared" si="59"/>
        <v>0</v>
      </c>
      <c r="P529" s="55" t="str">
        <f t="shared" si="60"/>
        <v/>
      </c>
      <c r="Q529" s="55" t="str">
        <f>IF(P529="","",P529&amp;"|"&amp;COUNTIF(P$6:P529,P529))</f>
        <v/>
      </c>
      <c r="R529" s="55" t="str">
        <f t="shared" si="61"/>
        <v/>
      </c>
      <c r="S529" s="55" t="str">
        <f>IF(R529="","",R529&amp;"|"&amp;COUNTIF(R$6:R529,R529))</f>
        <v/>
      </c>
      <c r="T529" s="55" t="str">
        <f>IF(G529="","",IFERROR(INDEX(Stammdaten!$O$10:$O$69,MATCH(G529,Stammdaten!$N$10:$N$69,0)),G529)&amp;IF(H529="Vormittag"," (VM)",IF(H529="Nachmittag"," (NM)",""))&amp;IF(I529="Angefragt"," ?",""))</f>
        <v/>
      </c>
      <c r="U529" s="55" t="str">
        <f t="shared" si="62"/>
        <v/>
      </c>
    </row>
    <row r="530" spans="2:21" ht="16.5" customHeight="1" x14ac:dyDescent="0.25">
      <c r="B530" s="47" t="str">
        <f t="shared" si="56"/>
        <v/>
      </c>
      <c r="C530" s="48"/>
      <c r="D530" s="49" t="str">
        <f t="shared" si="57"/>
        <v/>
      </c>
      <c r="E530" s="50" t="str">
        <f t="shared" si="58"/>
        <v/>
      </c>
      <c r="F530" s="51"/>
      <c r="G530" s="52"/>
      <c r="H530" s="51"/>
      <c r="I530" s="51"/>
      <c r="J530" s="52"/>
      <c r="K530" s="53" t="str">
        <f>IF(G530="","",IFERROR(INDEX(Stammdaten!$P$10:$P$69,MATCH(G530,Stammdaten!$N$10:$N$69,0)),"–"))</f>
        <v/>
      </c>
      <c r="L530" s="53" t="str">
        <f>IF(F530="","",IFERROR(INDEX(Stammdaten!$D$10:$D$49,MATCH(F530,Stammdaten!$B$10:$B$49,0)),"–"))</f>
        <v/>
      </c>
      <c r="M530" s="54" t="str">
        <f>IF(C530="","",IF(OR(F530="",G530="",I530=""),"unvollständig",IF(I530="Storniert","storniert",IF(WEEKDAY(C530,2)&gt;5,"Wochenende",IF(COUNTIF(Stammdaten!$AD$10:$AD$30,C530)&gt;0,"Feiertag",IF(IFERROR(INDEX(Stammdaten!$I$10:$I$49,MATCH(F530,Stammdaten!$B$10:$B$49,0)),"")="Gesperrt","Platz gesperrt",IF(AND(COUNTIF($P$6:$P$605,P530)&gt;1,NOT(AND(COUNTIF($P$6:$P$605,P530)=2,COUNTIFS($P$6:$P$605,P530,$H$6:$H$605,"Vormittag")=1,COUNTIFS($P$6:$P$605,P530,$H$6:$H$605,"Nachmittag")=1))),"Doppelbuchung",IF(AND(COUNTIF($R$6:$R$605,R530)&gt;1,NOT(AND(COUNTIF($R$6:$R$605,R530)=2,COUNTIFS($R$6:$R$605,R530,$H$6:$H$605,"Vormittag")=1,COUNTIFS($R$6:$R$605,R530,$H$6:$H$605,"Nachmittag")=1))),"Person doppelt","OK"))))))))</f>
        <v/>
      </c>
      <c r="O530" s="55">
        <f t="shared" si="59"/>
        <v>0</v>
      </c>
      <c r="P530" s="55" t="str">
        <f t="shared" si="60"/>
        <v/>
      </c>
      <c r="Q530" s="55" t="str">
        <f>IF(P530="","",P530&amp;"|"&amp;COUNTIF(P$6:P530,P530))</f>
        <v/>
      </c>
      <c r="R530" s="55" t="str">
        <f t="shared" si="61"/>
        <v/>
      </c>
      <c r="S530" s="55" t="str">
        <f>IF(R530="","",R530&amp;"|"&amp;COUNTIF(R$6:R530,R530))</f>
        <v/>
      </c>
      <c r="T530" s="55" t="str">
        <f>IF(G530="","",IFERROR(INDEX(Stammdaten!$O$10:$O$69,MATCH(G530,Stammdaten!$N$10:$N$69,0)),G530)&amp;IF(H530="Vormittag"," (VM)",IF(H530="Nachmittag"," (NM)",""))&amp;IF(I530="Angefragt"," ?",""))</f>
        <v/>
      </c>
      <c r="U530" s="55" t="str">
        <f t="shared" si="62"/>
        <v/>
      </c>
    </row>
    <row r="531" spans="2:21" ht="16.5" customHeight="1" x14ac:dyDescent="0.25">
      <c r="B531" s="47" t="str">
        <f t="shared" si="56"/>
        <v/>
      </c>
      <c r="C531" s="48"/>
      <c r="D531" s="49" t="str">
        <f t="shared" si="57"/>
        <v/>
      </c>
      <c r="E531" s="50" t="str">
        <f t="shared" si="58"/>
        <v/>
      </c>
      <c r="F531" s="51"/>
      <c r="G531" s="52"/>
      <c r="H531" s="51"/>
      <c r="I531" s="51"/>
      <c r="J531" s="52"/>
      <c r="K531" s="53" t="str">
        <f>IF(G531="","",IFERROR(INDEX(Stammdaten!$P$10:$P$69,MATCH(G531,Stammdaten!$N$10:$N$69,0)),"–"))</f>
        <v/>
      </c>
      <c r="L531" s="53" t="str">
        <f>IF(F531="","",IFERROR(INDEX(Stammdaten!$D$10:$D$49,MATCH(F531,Stammdaten!$B$10:$B$49,0)),"–"))</f>
        <v/>
      </c>
      <c r="M531" s="54" t="str">
        <f>IF(C531="","",IF(OR(F531="",G531="",I531=""),"unvollständig",IF(I531="Storniert","storniert",IF(WEEKDAY(C531,2)&gt;5,"Wochenende",IF(COUNTIF(Stammdaten!$AD$10:$AD$30,C531)&gt;0,"Feiertag",IF(IFERROR(INDEX(Stammdaten!$I$10:$I$49,MATCH(F531,Stammdaten!$B$10:$B$49,0)),"")="Gesperrt","Platz gesperrt",IF(AND(COUNTIF($P$6:$P$605,P531)&gt;1,NOT(AND(COUNTIF($P$6:$P$605,P531)=2,COUNTIFS($P$6:$P$605,P531,$H$6:$H$605,"Vormittag")=1,COUNTIFS($P$6:$P$605,P531,$H$6:$H$605,"Nachmittag")=1))),"Doppelbuchung",IF(AND(COUNTIF($R$6:$R$605,R531)&gt;1,NOT(AND(COUNTIF($R$6:$R$605,R531)=2,COUNTIFS($R$6:$R$605,R531,$H$6:$H$605,"Vormittag")=1,COUNTIFS($R$6:$R$605,R531,$H$6:$H$605,"Nachmittag")=1))),"Person doppelt","OK"))))))))</f>
        <v/>
      </c>
      <c r="O531" s="55">
        <f t="shared" si="59"/>
        <v>0</v>
      </c>
      <c r="P531" s="55" t="str">
        <f t="shared" si="60"/>
        <v/>
      </c>
      <c r="Q531" s="55" t="str">
        <f>IF(P531="","",P531&amp;"|"&amp;COUNTIF(P$6:P531,P531))</f>
        <v/>
      </c>
      <c r="R531" s="55" t="str">
        <f t="shared" si="61"/>
        <v/>
      </c>
      <c r="S531" s="55" t="str">
        <f>IF(R531="","",R531&amp;"|"&amp;COUNTIF(R$6:R531,R531))</f>
        <v/>
      </c>
      <c r="T531" s="55" t="str">
        <f>IF(G531="","",IFERROR(INDEX(Stammdaten!$O$10:$O$69,MATCH(G531,Stammdaten!$N$10:$N$69,0)),G531)&amp;IF(H531="Vormittag"," (VM)",IF(H531="Nachmittag"," (NM)",""))&amp;IF(I531="Angefragt"," ?",""))</f>
        <v/>
      </c>
      <c r="U531" s="55" t="str">
        <f t="shared" si="62"/>
        <v/>
      </c>
    </row>
    <row r="532" spans="2:21" ht="16.5" customHeight="1" x14ac:dyDescent="0.25">
      <c r="B532" s="47" t="str">
        <f t="shared" si="56"/>
        <v/>
      </c>
      <c r="C532" s="48"/>
      <c r="D532" s="49" t="str">
        <f t="shared" si="57"/>
        <v/>
      </c>
      <c r="E532" s="50" t="str">
        <f t="shared" si="58"/>
        <v/>
      </c>
      <c r="F532" s="51"/>
      <c r="G532" s="52"/>
      <c r="H532" s="51"/>
      <c r="I532" s="51"/>
      <c r="J532" s="52"/>
      <c r="K532" s="53" t="str">
        <f>IF(G532="","",IFERROR(INDEX(Stammdaten!$P$10:$P$69,MATCH(G532,Stammdaten!$N$10:$N$69,0)),"–"))</f>
        <v/>
      </c>
      <c r="L532" s="53" t="str">
        <f>IF(F532="","",IFERROR(INDEX(Stammdaten!$D$10:$D$49,MATCH(F532,Stammdaten!$B$10:$B$49,0)),"–"))</f>
        <v/>
      </c>
      <c r="M532" s="54" t="str">
        <f>IF(C532="","",IF(OR(F532="",G532="",I532=""),"unvollständig",IF(I532="Storniert","storniert",IF(WEEKDAY(C532,2)&gt;5,"Wochenende",IF(COUNTIF(Stammdaten!$AD$10:$AD$30,C532)&gt;0,"Feiertag",IF(IFERROR(INDEX(Stammdaten!$I$10:$I$49,MATCH(F532,Stammdaten!$B$10:$B$49,0)),"")="Gesperrt","Platz gesperrt",IF(AND(COUNTIF($P$6:$P$605,P532)&gt;1,NOT(AND(COUNTIF($P$6:$P$605,P532)=2,COUNTIFS($P$6:$P$605,P532,$H$6:$H$605,"Vormittag")=1,COUNTIFS($P$6:$P$605,P532,$H$6:$H$605,"Nachmittag")=1))),"Doppelbuchung",IF(AND(COUNTIF($R$6:$R$605,R532)&gt;1,NOT(AND(COUNTIF($R$6:$R$605,R532)=2,COUNTIFS($R$6:$R$605,R532,$H$6:$H$605,"Vormittag")=1,COUNTIFS($R$6:$R$605,R532,$H$6:$H$605,"Nachmittag")=1))),"Person doppelt","OK"))))))))</f>
        <v/>
      </c>
      <c r="O532" s="55">
        <f t="shared" si="59"/>
        <v>0</v>
      </c>
      <c r="P532" s="55" t="str">
        <f t="shared" si="60"/>
        <v/>
      </c>
      <c r="Q532" s="55" t="str">
        <f>IF(P532="","",P532&amp;"|"&amp;COUNTIF(P$6:P532,P532))</f>
        <v/>
      </c>
      <c r="R532" s="55" t="str">
        <f t="shared" si="61"/>
        <v/>
      </c>
      <c r="S532" s="55" t="str">
        <f>IF(R532="","",R532&amp;"|"&amp;COUNTIF(R$6:R532,R532))</f>
        <v/>
      </c>
      <c r="T532" s="55" t="str">
        <f>IF(G532="","",IFERROR(INDEX(Stammdaten!$O$10:$O$69,MATCH(G532,Stammdaten!$N$10:$N$69,0)),G532)&amp;IF(H532="Vormittag"," (VM)",IF(H532="Nachmittag"," (NM)",""))&amp;IF(I532="Angefragt"," ?",""))</f>
        <v/>
      </c>
      <c r="U532" s="55" t="str">
        <f t="shared" si="62"/>
        <v/>
      </c>
    </row>
    <row r="533" spans="2:21" ht="16.5" customHeight="1" x14ac:dyDescent="0.25">
      <c r="B533" s="47" t="str">
        <f t="shared" si="56"/>
        <v/>
      </c>
      <c r="C533" s="48"/>
      <c r="D533" s="49" t="str">
        <f t="shared" si="57"/>
        <v/>
      </c>
      <c r="E533" s="50" t="str">
        <f t="shared" si="58"/>
        <v/>
      </c>
      <c r="F533" s="51"/>
      <c r="G533" s="52"/>
      <c r="H533" s="51"/>
      <c r="I533" s="51"/>
      <c r="J533" s="52"/>
      <c r="K533" s="53" t="str">
        <f>IF(G533="","",IFERROR(INDEX(Stammdaten!$P$10:$P$69,MATCH(G533,Stammdaten!$N$10:$N$69,0)),"–"))</f>
        <v/>
      </c>
      <c r="L533" s="53" t="str">
        <f>IF(F533="","",IFERROR(INDEX(Stammdaten!$D$10:$D$49,MATCH(F533,Stammdaten!$B$10:$B$49,0)),"–"))</f>
        <v/>
      </c>
      <c r="M533" s="54" t="str">
        <f>IF(C533="","",IF(OR(F533="",G533="",I533=""),"unvollständig",IF(I533="Storniert","storniert",IF(WEEKDAY(C533,2)&gt;5,"Wochenende",IF(COUNTIF(Stammdaten!$AD$10:$AD$30,C533)&gt;0,"Feiertag",IF(IFERROR(INDEX(Stammdaten!$I$10:$I$49,MATCH(F533,Stammdaten!$B$10:$B$49,0)),"")="Gesperrt","Platz gesperrt",IF(AND(COUNTIF($P$6:$P$605,P533)&gt;1,NOT(AND(COUNTIF($P$6:$P$605,P533)=2,COUNTIFS($P$6:$P$605,P533,$H$6:$H$605,"Vormittag")=1,COUNTIFS($P$6:$P$605,P533,$H$6:$H$605,"Nachmittag")=1))),"Doppelbuchung",IF(AND(COUNTIF($R$6:$R$605,R533)&gt;1,NOT(AND(COUNTIF($R$6:$R$605,R533)=2,COUNTIFS($R$6:$R$605,R533,$H$6:$H$605,"Vormittag")=1,COUNTIFS($R$6:$R$605,R533,$H$6:$H$605,"Nachmittag")=1))),"Person doppelt","OK"))))))))</f>
        <v/>
      </c>
      <c r="O533" s="55">
        <f t="shared" si="59"/>
        <v>0</v>
      </c>
      <c r="P533" s="55" t="str">
        <f t="shared" si="60"/>
        <v/>
      </c>
      <c r="Q533" s="55" t="str">
        <f>IF(P533="","",P533&amp;"|"&amp;COUNTIF(P$6:P533,P533))</f>
        <v/>
      </c>
      <c r="R533" s="55" t="str">
        <f t="shared" si="61"/>
        <v/>
      </c>
      <c r="S533" s="55" t="str">
        <f>IF(R533="","",R533&amp;"|"&amp;COUNTIF(R$6:R533,R533))</f>
        <v/>
      </c>
      <c r="T533" s="55" t="str">
        <f>IF(G533="","",IFERROR(INDEX(Stammdaten!$O$10:$O$69,MATCH(G533,Stammdaten!$N$10:$N$69,0)),G533)&amp;IF(H533="Vormittag"," (VM)",IF(H533="Nachmittag"," (NM)",""))&amp;IF(I533="Angefragt"," ?",""))</f>
        <v/>
      </c>
      <c r="U533" s="55" t="str">
        <f t="shared" si="62"/>
        <v/>
      </c>
    </row>
    <row r="534" spans="2:21" ht="16.5" customHeight="1" x14ac:dyDescent="0.25">
      <c r="B534" s="47" t="str">
        <f t="shared" si="56"/>
        <v/>
      </c>
      <c r="C534" s="48"/>
      <c r="D534" s="49" t="str">
        <f t="shared" si="57"/>
        <v/>
      </c>
      <c r="E534" s="50" t="str">
        <f t="shared" si="58"/>
        <v/>
      </c>
      <c r="F534" s="51"/>
      <c r="G534" s="52"/>
      <c r="H534" s="51"/>
      <c r="I534" s="51"/>
      <c r="J534" s="52"/>
      <c r="K534" s="53" t="str">
        <f>IF(G534="","",IFERROR(INDEX(Stammdaten!$P$10:$P$69,MATCH(G534,Stammdaten!$N$10:$N$69,0)),"–"))</f>
        <v/>
      </c>
      <c r="L534" s="53" t="str">
        <f>IF(F534="","",IFERROR(INDEX(Stammdaten!$D$10:$D$49,MATCH(F534,Stammdaten!$B$10:$B$49,0)),"–"))</f>
        <v/>
      </c>
      <c r="M534" s="54" t="str">
        <f>IF(C534="","",IF(OR(F534="",G534="",I534=""),"unvollständig",IF(I534="Storniert","storniert",IF(WEEKDAY(C534,2)&gt;5,"Wochenende",IF(COUNTIF(Stammdaten!$AD$10:$AD$30,C534)&gt;0,"Feiertag",IF(IFERROR(INDEX(Stammdaten!$I$10:$I$49,MATCH(F534,Stammdaten!$B$10:$B$49,0)),"")="Gesperrt","Platz gesperrt",IF(AND(COUNTIF($P$6:$P$605,P534)&gt;1,NOT(AND(COUNTIF($P$6:$P$605,P534)=2,COUNTIFS($P$6:$P$605,P534,$H$6:$H$605,"Vormittag")=1,COUNTIFS($P$6:$P$605,P534,$H$6:$H$605,"Nachmittag")=1))),"Doppelbuchung",IF(AND(COUNTIF($R$6:$R$605,R534)&gt;1,NOT(AND(COUNTIF($R$6:$R$605,R534)=2,COUNTIFS($R$6:$R$605,R534,$H$6:$H$605,"Vormittag")=1,COUNTIFS($R$6:$R$605,R534,$H$6:$H$605,"Nachmittag")=1))),"Person doppelt","OK"))))))))</f>
        <v/>
      </c>
      <c r="O534" s="55">
        <f t="shared" si="59"/>
        <v>0</v>
      </c>
      <c r="P534" s="55" t="str">
        <f t="shared" si="60"/>
        <v/>
      </c>
      <c r="Q534" s="55" t="str">
        <f>IF(P534="","",P534&amp;"|"&amp;COUNTIF(P$6:P534,P534))</f>
        <v/>
      </c>
      <c r="R534" s="55" t="str">
        <f t="shared" si="61"/>
        <v/>
      </c>
      <c r="S534" s="55" t="str">
        <f>IF(R534="","",R534&amp;"|"&amp;COUNTIF(R$6:R534,R534))</f>
        <v/>
      </c>
      <c r="T534" s="55" t="str">
        <f>IF(G534="","",IFERROR(INDEX(Stammdaten!$O$10:$O$69,MATCH(G534,Stammdaten!$N$10:$N$69,0)),G534)&amp;IF(H534="Vormittag"," (VM)",IF(H534="Nachmittag"," (NM)",""))&amp;IF(I534="Angefragt"," ?",""))</f>
        <v/>
      </c>
      <c r="U534" s="55" t="str">
        <f t="shared" si="62"/>
        <v/>
      </c>
    </row>
    <row r="535" spans="2:21" ht="16.5" customHeight="1" x14ac:dyDescent="0.25">
      <c r="B535" s="47" t="str">
        <f t="shared" si="56"/>
        <v/>
      </c>
      <c r="C535" s="48"/>
      <c r="D535" s="49" t="str">
        <f t="shared" si="57"/>
        <v/>
      </c>
      <c r="E535" s="50" t="str">
        <f t="shared" si="58"/>
        <v/>
      </c>
      <c r="F535" s="51"/>
      <c r="G535" s="52"/>
      <c r="H535" s="51"/>
      <c r="I535" s="51"/>
      <c r="J535" s="52"/>
      <c r="K535" s="53" t="str">
        <f>IF(G535="","",IFERROR(INDEX(Stammdaten!$P$10:$P$69,MATCH(G535,Stammdaten!$N$10:$N$69,0)),"–"))</f>
        <v/>
      </c>
      <c r="L535" s="53" t="str">
        <f>IF(F535="","",IFERROR(INDEX(Stammdaten!$D$10:$D$49,MATCH(F535,Stammdaten!$B$10:$B$49,0)),"–"))</f>
        <v/>
      </c>
      <c r="M535" s="54" t="str">
        <f>IF(C535="","",IF(OR(F535="",G535="",I535=""),"unvollständig",IF(I535="Storniert","storniert",IF(WEEKDAY(C535,2)&gt;5,"Wochenende",IF(COUNTIF(Stammdaten!$AD$10:$AD$30,C535)&gt;0,"Feiertag",IF(IFERROR(INDEX(Stammdaten!$I$10:$I$49,MATCH(F535,Stammdaten!$B$10:$B$49,0)),"")="Gesperrt","Platz gesperrt",IF(AND(COUNTIF($P$6:$P$605,P535)&gt;1,NOT(AND(COUNTIF($P$6:$P$605,P535)=2,COUNTIFS($P$6:$P$605,P535,$H$6:$H$605,"Vormittag")=1,COUNTIFS($P$6:$P$605,P535,$H$6:$H$605,"Nachmittag")=1))),"Doppelbuchung",IF(AND(COUNTIF($R$6:$R$605,R535)&gt;1,NOT(AND(COUNTIF($R$6:$R$605,R535)=2,COUNTIFS($R$6:$R$605,R535,$H$6:$H$605,"Vormittag")=1,COUNTIFS($R$6:$R$605,R535,$H$6:$H$605,"Nachmittag")=1))),"Person doppelt","OK"))))))))</f>
        <v/>
      </c>
      <c r="O535" s="55">
        <f t="shared" si="59"/>
        <v>0</v>
      </c>
      <c r="P535" s="55" t="str">
        <f t="shared" si="60"/>
        <v/>
      </c>
      <c r="Q535" s="55" t="str">
        <f>IF(P535="","",P535&amp;"|"&amp;COUNTIF(P$6:P535,P535))</f>
        <v/>
      </c>
      <c r="R535" s="55" t="str">
        <f t="shared" si="61"/>
        <v/>
      </c>
      <c r="S535" s="55" t="str">
        <f>IF(R535="","",R535&amp;"|"&amp;COUNTIF(R$6:R535,R535))</f>
        <v/>
      </c>
      <c r="T535" s="55" t="str">
        <f>IF(G535="","",IFERROR(INDEX(Stammdaten!$O$10:$O$69,MATCH(G535,Stammdaten!$N$10:$N$69,0)),G535)&amp;IF(H535="Vormittag"," (VM)",IF(H535="Nachmittag"," (NM)",""))&amp;IF(I535="Angefragt"," ?",""))</f>
        <v/>
      </c>
      <c r="U535" s="55" t="str">
        <f t="shared" si="62"/>
        <v/>
      </c>
    </row>
    <row r="536" spans="2:21" ht="16.5" customHeight="1" x14ac:dyDescent="0.25">
      <c r="B536" s="47" t="str">
        <f t="shared" si="56"/>
        <v/>
      </c>
      <c r="C536" s="48"/>
      <c r="D536" s="49" t="str">
        <f t="shared" si="57"/>
        <v/>
      </c>
      <c r="E536" s="50" t="str">
        <f t="shared" si="58"/>
        <v/>
      </c>
      <c r="F536" s="51"/>
      <c r="G536" s="52"/>
      <c r="H536" s="51"/>
      <c r="I536" s="51"/>
      <c r="J536" s="52"/>
      <c r="K536" s="53" t="str">
        <f>IF(G536="","",IFERROR(INDEX(Stammdaten!$P$10:$P$69,MATCH(G536,Stammdaten!$N$10:$N$69,0)),"–"))</f>
        <v/>
      </c>
      <c r="L536" s="53" t="str">
        <f>IF(F536="","",IFERROR(INDEX(Stammdaten!$D$10:$D$49,MATCH(F536,Stammdaten!$B$10:$B$49,0)),"–"))</f>
        <v/>
      </c>
      <c r="M536" s="54" t="str">
        <f>IF(C536="","",IF(OR(F536="",G536="",I536=""),"unvollständig",IF(I536="Storniert","storniert",IF(WEEKDAY(C536,2)&gt;5,"Wochenende",IF(COUNTIF(Stammdaten!$AD$10:$AD$30,C536)&gt;0,"Feiertag",IF(IFERROR(INDEX(Stammdaten!$I$10:$I$49,MATCH(F536,Stammdaten!$B$10:$B$49,0)),"")="Gesperrt","Platz gesperrt",IF(AND(COUNTIF($P$6:$P$605,P536)&gt;1,NOT(AND(COUNTIF($P$6:$P$605,P536)=2,COUNTIFS($P$6:$P$605,P536,$H$6:$H$605,"Vormittag")=1,COUNTIFS($P$6:$P$605,P536,$H$6:$H$605,"Nachmittag")=1))),"Doppelbuchung",IF(AND(COUNTIF($R$6:$R$605,R536)&gt;1,NOT(AND(COUNTIF($R$6:$R$605,R536)=2,COUNTIFS($R$6:$R$605,R536,$H$6:$H$605,"Vormittag")=1,COUNTIFS($R$6:$R$605,R536,$H$6:$H$605,"Nachmittag")=1))),"Person doppelt","OK"))))))))</f>
        <v/>
      </c>
      <c r="O536" s="55">
        <f t="shared" si="59"/>
        <v>0</v>
      </c>
      <c r="P536" s="55" t="str">
        <f t="shared" si="60"/>
        <v/>
      </c>
      <c r="Q536" s="55" t="str">
        <f>IF(P536="","",P536&amp;"|"&amp;COUNTIF(P$6:P536,P536))</f>
        <v/>
      </c>
      <c r="R536" s="55" t="str">
        <f t="shared" si="61"/>
        <v/>
      </c>
      <c r="S536" s="55" t="str">
        <f>IF(R536="","",R536&amp;"|"&amp;COUNTIF(R$6:R536,R536))</f>
        <v/>
      </c>
      <c r="T536" s="55" t="str">
        <f>IF(G536="","",IFERROR(INDEX(Stammdaten!$O$10:$O$69,MATCH(G536,Stammdaten!$N$10:$N$69,0)),G536)&amp;IF(H536="Vormittag"," (VM)",IF(H536="Nachmittag"," (NM)",""))&amp;IF(I536="Angefragt"," ?",""))</f>
        <v/>
      </c>
      <c r="U536" s="55" t="str">
        <f t="shared" si="62"/>
        <v/>
      </c>
    </row>
    <row r="537" spans="2:21" ht="16.5" customHeight="1" x14ac:dyDescent="0.25">
      <c r="B537" s="47" t="str">
        <f t="shared" si="56"/>
        <v/>
      </c>
      <c r="C537" s="48"/>
      <c r="D537" s="49" t="str">
        <f t="shared" si="57"/>
        <v/>
      </c>
      <c r="E537" s="50" t="str">
        <f t="shared" si="58"/>
        <v/>
      </c>
      <c r="F537" s="51"/>
      <c r="G537" s="52"/>
      <c r="H537" s="51"/>
      <c r="I537" s="51"/>
      <c r="J537" s="52"/>
      <c r="K537" s="53" t="str">
        <f>IF(G537="","",IFERROR(INDEX(Stammdaten!$P$10:$P$69,MATCH(G537,Stammdaten!$N$10:$N$69,0)),"–"))</f>
        <v/>
      </c>
      <c r="L537" s="53" t="str">
        <f>IF(F537="","",IFERROR(INDEX(Stammdaten!$D$10:$D$49,MATCH(F537,Stammdaten!$B$10:$B$49,0)),"–"))</f>
        <v/>
      </c>
      <c r="M537" s="54" t="str">
        <f>IF(C537="","",IF(OR(F537="",G537="",I537=""),"unvollständig",IF(I537="Storniert","storniert",IF(WEEKDAY(C537,2)&gt;5,"Wochenende",IF(COUNTIF(Stammdaten!$AD$10:$AD$30,C537)&gt;0,"Feiertag",IF(IFERROR(INDEX(Stammdaten!$I$10:$I$49,MATCH(F537,Stammdaten!$B$10:$B$49,0)),"")="Gesperrt","Platz gesperrt",IF(AND(COUNTIF($P$6:$P$605,P537)&gt;1,NOT(AND(COUNTIF($P$6:$P$605,P537)=2,COUNTIFS($P$6:$P$605,P537,$H$6:$H$605,"Vormittag")=1,COUNTIFS($P$6:$P$605,P537,$H$6:$H$605,"Nachmittag")=1))),"Doppelbuchung",IF(AND(COUNTIF($R$6:$R$605,R537)&gt;1,NOT(AND(COUNTIF($R$6:$R$605,R537)=2,COUNTIFS($R$6:$R$605,R537,$H$6:$H$605,"Vormittag")=1,COUNTIFS($R$6:$R$605,R537,$H$6:$H$605,"Nachmittag")=1))),"Person doppelt","OK"))))))))</f>
        <v/>
      </c>
      <c r="O537" s="55">
        <f t="shared" si="59"/>
        <v>0</v>
      </c>
      <c r="P537" s="55" t="str">
        <f t="shared" si="60"/>
        <v/>
      </c>
      <c r="Q537" s="55" t="str">
        <f>IF(P537="","",P537&amp;"|"&amp;COUNTIF(P$6:P537,P537))</f>
        <v/>
      </c>
      <c r="R537" s="55" t="str">
        <f t="shared" si="61"/>
        <v/>
      </c>
      <c r="S537" s="55" t="str">
        <f>IF(R537="","",R537&amp;"|"&amp;COUNTIF(R$6:R537,R537))</f>
        <v/>
      </c>
      <c r="T537" s="55" t="str">
        <f>IF(G537="","",IFERROR(INDEX(Stammdaten!$O$10:$O$69,MATCH(G537,Stammdaten!$N$10:$N$69,0)),G537)&amp;IF(H537="Vormittag"," (VM)",IF(H537="Nachmittag"," (NM)",""))&amp;IF(I537="Angefragt"," ?",""))</f>
        <v/>
      </c>
      <c r="U537" s="55" t="str">
        <f t="shared" si="62"/>
        <v/>
      </c>
    </row>
    <row r="538" spans="2:21" ht="16.5" customHeight="1" x14ac:dyDescent="0.25">
      <c r="B538" s="47" t="str">
        <f t="shared" si="56"/>
        <v/>
      </c>
      <c r="C538" s="48"/>
      <c r="D538" s="49" t="str">
        <f t="shared" si="57"/>
        <v/>
      </c>
      <c r="E538" s="50" t="str">
        <f t="shared" si="58"/>
        <v/>
      </c>
      <c r="F538" s="51"/>
      <c r="G538" s="52"/>
      <c r="H538" s="51"/>
      <c r="I538" s="51"/>
      <c r="J538" s="52"/>
      <c r="K538" s="53" t="str">
        <f>IF(G538="","",IFERROR(INDEX(Stammdaten!$P$10:$P$69,MATCH(G538,Stammdaten!$N$10:$N$69,0)),"–"))</f>
        <v/>
      </c>
      <c r="L538" s="53" t="str">
        <f>IF(F538="","",IFERROR(INDEX(Stammdaten!$D$10:$D$49,MATCH(F538,Stammdaten!$B$10:$B$49,0)),"–"))</f>
        <v/>
      </c>
      <c r="M538" s="54" t="str">
        <f>IF(C538="","",IF(OR(F538="",G538="",I538=""),"unvollständig",IF(I538="Storniert","storniert",IF(WEEKDAY(C538,2)&gt;5,"Wochenende",IF(COUNTIF(Stammdaten!$AD$10:$AD$30,C538)&gt;0,"Feiertag",IF(IFERROR(INDEX(Stammdaten!$I$10:$I$49,MATCH(F538,Stammdaten!$B$10:$B$49,0)),"")="Gesperrt","Platz gesperrt",IF(AND(COUNTIF($P$6:$P$605,P538)&gt;1,NOT(AND(COUNTIF($P$6:$P$605,P538)=2,COUNTIFS($P$6:$P$605,P538,$H$6:$H$605,"Vormittag")=1,COUNTIFS($P$6:$P$605,P538,$H$6:$H$605,"Nachmittag")=1))),"Doppelbuchung",IF(AND(COUNTIF($R$6:$R$605,R538)&gt;1,NOT(AND(COUNTIF($R$6:$R$605,R538)=2,COUNTIFS($R$6:$R$605,R538,$H$6:$H$605,"Vormittag")=1,COUNTIFS($R$6:$R$605,R538,$H$6:$H$605,"Nachmittag")=1))),"Person doppelt","OK"))))))))</f>
        <v/>
      </c>
      <c r="O538" s="55">
        <f t="shared" si="59"/>
        <v>0</v>
      </c>
      <c r="P538" s="55" t="str">
        <f t="shared" si="60"/>
        <v/>
      </c>
      <c r="Q538" s="55" t="str">
        <f>IF(P538="","",P538&amp;"|"&amp;COUNTIF(P$6:P538,P538))</f>
        <v/>
      </c>
      <c r="R538" s="55" t="str">
        <f t="shared" si="61"/>
        <v/>
      </c>
      <c r="S538" s="55" t="str">
        <f>IF(R538="","",R538&amp;"|"&amp;COUNTIF(R$6:R538,R538))</f>
        <v/>
      </c>
      <c r="T538" s="55" t="str">
        <f>IF(G538="","",IFERROR(INDEX(Stammdaten!$O$10:$O$69,MATCH(G538,Stammdaten!$N$10:$N$69,0)),G538)&amp;IF(H538="Vormittag"," (VM)",IF(H538="Nachmittag"," (NM)",""))&amp;IF(I538="Angefragt"," ?",""))</f>
        <v/>
      </c>
      <c r="U538" s="55" t="str">
        <f t="shared" si="62"/>
        <v/>
      </c>
    </row>
    <row r="539" spans="2:21" ht="16.5" customHeight="1" x14ac:dyDescent="0.25">
      <c r="B539" s="47" t="str">
        <f t="shared" si="56"/>
        <v/>
      </c>
      <c r="C539" s="48"/>
      <c r="D539" s="49" t="str">
        <f t="shared" si="57"/>
        <v/>
      </c>
      <c r="E539" s="50" t="str">
        <f t="shared" si="58"/>
        <v/>
      </c>
      <c r="F539" s="51"/>
      <c r="G539" s="52"/>
      <c r="H539" s="51"/>
      <c r="I539" s="51"/>
      <c r="J539" s="52"/>
      <c r="K539" s="53" t="str">
        <f>IF(G539="","",IFERROR(INDEX(Stammdaten!$P$10:$P$69,MATCH(G539,Stammdaten!$N$10:$N$69,0)),"–"))</f>
        <v/>
      </c>
      <c r="L539" s="53" t="str">
        <f>IF(F539="","",IFERROR(INDEX(Stammdaten!$D$10:$D$49,MATCH(F539,Stammdaten!$B$10:$B$49,0)),"–"))</f>
        <v/>
      </c>
      <c r="M539" s="54" t="str">
        <f>IF(C539="","",IF(OR(F539="",G539="",I539=""),"unvollständig",IF(I539="Storniert","storniert",IF(WEEKDAY(C539,2)&gt;5,"Wochenende",IF(COUNTIF(Stammdaten!$AD$10:$AD$30,C539)&gt;0,"Feiertag",IF(IFERROR(INDEX(Stammdaten!$I$10:$I$49,MATCH(F539,Stammdaten!$B$10:$B$49,0)),"")="Gesperrt","Platz gesperrt",IF(AND(COUNTIF($P$6:$P$605,P539)&gt;1,NOT(AND(COUNTIF($P$6:$P$605,P539)=2,COUNTIFS($P$6:$P$605,P539,$H$6:$H$605,"Vormittag")=1,COUNTIFS($P$6:$P$605,P539,$H$6:$H$605,"Nachmittag")=1))),"Doppelbuchung",IF(AND(COUNTIF($R$6:$R$605,R539)&gt;1,NOT(AND(COUNTIF($R$6:$R$605,R539)=2,COUNTIFS($R$6:$R$605,R539,$H$6:$H$605,"Vormittag")=1,COUNTIFS($R$6:$R$605,R539,$H$6:$H$605,"Nachmittag")=1))),"Person doppelt","OK"))))))))</f>
        <v/>
      </c>
      <c r="O539" s="55">
        <f t="shared" si="59"/>
        <v>0</v>
      </c>
      <c r="P539" s="55" t="str">
        <f t="shared" si="60"/>
        <v/>
      </c>
      <c r="Q539" s="55" t="str">
        <f>IF(P539="","",P539&amp;"|"&amp;COUNTIF(P$6:P539,P539))</f>
        <v/>
      </c>
      <c r="R539" s="55" t="str">
        <f t="shared" si="61"/>
        <v/>
      </c>
      <c r="S539" s="55" t="str">
        <f>IF(R539="","",R539&amp;"|"&amp;COUNTIF(R$6:R539,R539))</f>
        <v/>
      </c>
      <c r="T539" s="55" t="str">
        <f>IF(G539="","",IFERROR(INDEX(Stammdaten!$O$10:$O$69,MATCH(G539,Stammdaten!$N$10:$N$69,0)),G539)&amp;IF(H539="Vormittag"," (VM)",IF(H539="Nachmittag"," (NM)",""))&amp;IF(I539="Angefragt"," ?",""))</f>
        <v/>
      </c>
      <c r="U539" s="55" t="str">
        <f t="shared" si="62"/>
        <v/>
      </c>
    </row>
    <row r="540" spans="2:21" ht="16.5" customHeight="1" x14ac:dyDescent="0.25">
      <c r="B540" s="47" t="str">
        <f t="shared" si="56"/>
        <v/>
      </c>
      <c r="C540" s="48"/>
      <c r="D540" s="49" t="str">
        <f t="shared" si="57"/>
        <v/>
      </c>
      <c r="E540" s="50" t="str">
        <f t="shared" si="58"/>
        <v/>
      </c>
      <c r="F540" s="51"/>
      <c r="G540" s="52"/>
      <c r="H540" s="51"/>
      <c r="I540" s="51"/>
      <c r="J540" s="52"/>
      <c r="K540" s="53" t="str">
        <f>IF(G540="","",IFERROR(INDEX(Stammdaten!$P$10:$P$69,MATCH(G540,Stammdaten!$N$10:$N$69,0)),"–"))</f>
        <v/>
      </c>
      <c r="L540" s="53" t="str">
        <f>IF(F540="","",IFERROR(INDEX(Stammdaten!$D$10:$D$49,MATCH(F540,Stammdaten!$B$10:$B$49,0)),"–"))</f>
        <v/>
      </c>
      <c r="M540" s="54" t="str">
        <f>IF(C540="","",IF(OR(F540="",G540="",I540=""),"unvollständig",IF(I540="Storniert","storniert",IF(WEEKDAY(C540,2)&gt;5,"Wochenende",IF(COUNTIF(Stammdaten!$AD$10:$AD$30,C540)&gt;0,"Feiertag",IF(IFERROR(INDEX(Stammdaten!$I$10:$I$49,MATCH(F540,Stammdaten!$B$10:$B$49,0)),"")="Gesperrt","Platz gesperrt",IF(AND(COUNTIF($P$6:$P$605,P540)&gt;1,NOT(AND(COUNTIF($P$6:$P$605,P540)=2,COUNTIFS($P$6:$P$605,P540,$H$6:$H$605,"Vormittag")=1,COUNTIFS($P$6:$P$605,P540,$H$6:$H$605,"Nachmittag")=1))),"Doppelbuchung",IF(AND(COUNTIF($R$6:$R$605,R540)&gt;1,NOT(AND(COUNTIF($R$6:$R$605,R540)=2,COUNTIFS($R$6:$R$605,R540,$H$6:$H$605,"Vormittag")=1,COUNTIFS($R$6:$R$605,R540,$H$6:$H$605,"Nachmittag")=1))),"Person doppelt","OK"))))))))</f>
        <v/>
      </c>
      <c r="O540" s="55">
        <f t="shared" si="59"/>
        <v>0</v>
      </c>
      <c r="P540" s="55" t="str">
        <f t="shared" si="60"/>
        <v/>
      </c>
      <c r="Q540" s="55" t="str">
        <f>IF(P540="","",P540&amp;"|"&amp;COUNTIF(P$6:P540,P540))</f>
        <v/>
      </c>
      <c r="R540" s="55" t="str">
        <f t="shared" si="61"/>
        <v/>
      </c>
      <c r="S540" s="55" t="str">
        <f>IF(R540="","",R540&amp;"|"&amp;COUNTIF(R$6:R540,R540))</f>
        <v/>
      </c>
      <c r="T540" s="55" t="str">
        <f>IF(G540="","",IFERROR(INDEX(Stammdaten!$O$10:$O$69,MATCH(G540,Stammdaten!$N$10:$N$69,0)),G540)&amp;IF(H540="Vormittag"," (VM)",IF(H540="Nachmittag"," (NM)",""))&amp;IF(I540="Angefragt"," ?",""))</f>
        <v/>
      </c>
      <c r="U540" s="55" t="str">
        <f t="shared" si="62"/>
        <v/>
      </c>
    </row>
    <row r="541" spans="2:21" ht="16.5" customHeight="1" x14ac:dyDescent="0.25">
      <c r="B541" s="47" t="str">
        <f t="shared" si="56"/>
        <v/>
      </c>
      <c r="C541" s="48"/>
      <c r="D541" s="49" t="str">
        <f t="shared" si="57"/>
        <v/>
      </c>
      <c r="E541" s="50" t="str">
        <f t="shared" si="58"/>
        <v/>
      </c>
      <c r="F541" s="51"/>
      <c r="G541" s="52"/>
      <c r="H541" s="51"/>
      <c r="I541" s="51"/>
      <c r="J541" s="52"/>
      <c r="K541" s="53" t="str">
        <f>IF(G541="","",IFERROR(INDEX(Stammdaten!$P$10:$P$69,MATCH(G541,Stammdaten!$N$10:$N$69,0)),"–"))</f>
        <v/>
      </c>
      <c r="L541" s="53" t="str">
        <f>IF(F541="","",IFERROR(INDEX(Stammdaten!$D$10:$D$49,MATCH(F541,Stammdaten!$B$10:$B$49,0)),"–"))</f>
        <v/>
      </c>
      <c r="M541" s="54" t="str">
        <f>IF(C541="","",IF(OR(F541="",G541="",I541=""),"unvollständig",IF(I541="Storniert","storniert",IF(WEEKDAY(C541,2)&gt;5,"Wochenende",IF(COUNTIF(Stammdaten!$AD$10:$AD$30,C541)&gt;0,"Feiertag",IF(IFERROR(INDEX(Stammdaten!$I$10:$I$49,MATCH(F541,Stammdaten!$B$10:$B$49,0)),"")="Gesperrt","Platz gesperrt",IF(AND(COUNTIF($P$6:$P$605,P541)&gt;1,NOT(AND(COUNTIF($P$6:$P$605,P541)=2,COUNTIFS($P$6:$P$605,P541,$H$6:$H$605,"Vormittag")=1,COUNTIFS($P$6:$P$605,P541,$H$6:$H$605,"Nachmittag")=1))),"Doppelbuchung",IF(AND(COUNTIF($R$6:$R$605,R541)&gt;1,NOT(AND(COUNTIF($R$6:$R$605,R541)=2,COUNTIFS($R$6:$R$605,R541,$H$6:$H$605,"Vormittag")=1,COUNTIFS($R$6:$R$605,R541,$H$6:$H$605,"Nachmittag")=1))),"Person doppelt","OK"))))))))</f>
        <v/>
      </c>
      <c r="O541" s="55">
        <f t="shared" si="59"/>
        <v>0</v>
      </c>
      <c r="P541" s="55" t="str">
        <f t="shared" si="60"/>
        <v/>
      </c>
      <c r="Q541" s="55" t="str">
        <f>IF(P541="","",P541&amp;"|"&amp;COUNTIF(P$6:P541,P541))</f>
        <v/>
      </c>
      <c r="R541" s="55" t="str">
        <f t="shared" si="61"/>
        <v/>
      </c>
      <c r="S541" s="55" t="str">
        <f>IF(R541="","",R541&amp;"|"&amp;COUNTIF(R$6:R541,R541))</f>
        <v/>
      </c>
      <c r="T541" s="55" t="str">
        <f>IF(G541="","",IFERROR(INDEX(Stammdaten!$O$10:$O$69,MATCH(G541,Stammdaten!$N$10:$N$69,0)),G541)&amp;IF(H541="Vormittag"," (VM)",IF(H541="Nachmittag"," (NM)",""))&amp;IF(I541="Angefragt"," ?",""))</f>
        <v/>
      </c>
      <c r="U541" s="55" t="str">
        <f t="shared" si="62"/>
        <v/>
      </c>
    </row>
    <row r="542" spans="2:21" ht="16.5" customHeight="1" x14ac:dyDescent="0.25">
      <c r="B542" s="47" t="str">
        <f t="shared" si="56"/>
        <v/>
      </c>
      <c r="C542" s="48"/>
      <c r="D542" s="49" t="str">
        <f t="shared" si="57"/>
        <v/>
      </c>
      <c r="E542" s="50" t="str">
        <f t="shared" si="58"/>
        <v/>
      </c>
      <c r="F542" s="51"/>
      <c r="G542" s="52"/>
      <c r="H542" s="51"/>
      <c r="I542" s="51"/>
      <c r="J542" s="52"/>
      <c r="K542" s="53" t="str">
        <f>IF(G542="","",IFERROR(INDEX(Stammdaten!$P$10:$P$69,MATCH(G542,Stammdaten!$N$10:$N$69,0)),"–"))</f>
        <v/>
      </c>
      <c r="L542" s="53" t="str">
        <f>IF(F542="","",IFERROR(INDEX(Stammdaten!$D$10:$D$49,MATCH(F542,Stammdaten!$B$10:$B$49,0)),"–"))</f>
        <v/>
      </c>
      <c r="M542" s="54" t="str">
        <f>IF(C542="","",IF(OR(F542="",G542="",I542=""),"unvollständig",IF(I542="Storniert","storniert",IF(WEEKDAY(C542,2)&gt;5,"Wochenende",IF(COUNTIF(Stammdaten!$AD$10:$AD$30,C542)&gt;0,"Feiertag",IF(IFERROR(INDEX(Stammdaten!$I$10:$I$49,MATCH(F542,Stammdaten!$B$10:$B$49,0)),"")="Gesperrt","Platz gesperrt",IF(AND(COUNTIF($P$6:$P$605,P542)&gt;1,NOT(AND(COUNTIF($P$6:$P$605,P542)=2,COUNTIFS($P$6:$P$605,P542,$H$6:$H$605,"Vormittag")=1,COUNTIFS($P$6:$P$605,P542,$H$6:$H$605,"Nachmittag")=1))),"Doppelbuchung",IF(AND(COUNTIF($R$6:$R$605,R542)&gt;1,NOT(AND(COUNTIF($R$6:$R$605,R542)=2,COUNTIFS($R$6:$R$605,R542,$H$6:$H$605,"Vormittag")=1,COUNTIFS($R$6:$R$605,R542,$H$6:$H$605,"Nachmittag")=1))),"Person doppelt","OK"))))))))</f>
        <v/>
      </c>
      <c r="O542" s="55">
        <f t="shared" si="59"/>
        <v>0</v>
      </c>
      <c r="P542" s="55" t="str">
        <f t="shared" si="60"/>
        <v/>
      </c>
      <c r="Q542" s="55" t="str">
        <f>IF(P542="","",P542&amp;"|"&amp;COUNTIF(P$6:P542,P542))</f>
        <v/>
      </c>
      <c r="R542" s="55" t="str">
        <f t="shared" si="61"/>
        <v/>
      </c>
      <c r="S542" s="55" t="str">
        <f>IF(R542="","",R542&amp;"|"&amp;COUNTIF(R$6:R542,R542))</f>
        <v/>
      </c>
      <c r="T542" s="55" t="str">
        <f>IF(G542="","",IFERROR(INDEX(Stammdaten!$O$10:$O$69,MATCH(G542,Stammdaten!$N$10:$N$69,0)),G542)&amp;IF(H542="Vormittag"," (VM)",IF(H542="Nachmittag"," (NM)",""))&amp;IF(I542="Angefragt"," ?",""))</f>
        <v/>
      </c>
      <c r="U542" s="55" t="str">
        <f t="shared" si="62"/>
        <v/>
      </c>
    </row>
    <row r="543" spans="2:21" ht="16.5" customHeight="1" x14ac:dyDescent="0.25">
      <c r="B543" s="47" t="str">
        <f t="shared" si="56"/>
        <v/>
      </c>
      <c r="C543" s="48"/>
      <c r="D543" s="49" t="str">
        <f t="shared" si="57"/>
        <v/>
      </c>
      <c r="E543" s="50" t="str">
        <f t="shared" si="58"/>
        <v/>
      </c>
      <c r="F543" s="51"/>
      <c r="G543" s="52"/>
      <c r="H543" s="51"/>
      <c r="I543" s="51"/>
      <c r="J543" s="52"/>
      <c r="K543" s="53" t="str">
        <f>IF(G543="","",IFERROR(INDEX(Stammdaten!$P$10:$P$69,MATCH(G543,Stammdaten!$N$10:$N$69,0)),"–"))</f>
        <v/>
      </c>
      <c r="L543" s="53" t="str">
        <f>IF(F543="","",IFERROR(INDEX(Stammdaten!$D$10:$D$49,MATCH(F543,Stammdaten!$B$10:$B$49,0)),"–"))</f>
        <v/>
      </c>
      <c r="M543" s="54" t="str">
        <f>IF(C543="","",IF(OR(F543="",G543="",I543=""),"unvollständig",IF(I543="Storniert","storniert",IF(WEEKDAY(C543,2)&gt;5,"Wochenende",IF(COUNTIF(Stammdaten!$AD$10:$AD$30,C543)&gt;0,"Feiertag",IF(IFERROR(INDEX(Stammdaten!$I$10:$I$49,MATCH(F543,Stammdaten!$B$10:$B$49,0)),"")="Gesperrt","Platz gesperrt",IF(AND(COUNTIF($P$6:$P$605,P543)&gt;1,NOT(AND(COUNTIF($P$6:$P$605,P543)=2,COUNTIFS($P$6:$P$605,P543,$H$6:$H$605,"Vormittag")=1,COUNTIFS($P$6:$P$605,P543,$H$6:$H$605,"Nachmittag")=1))),"Doppelbuchung",IF(AND(COUNTIF($R$6:$R$605,R543)&gt;1,NOT(AND(COUNTIF($R$6:$R$605,R543)=2,COUNTIFS($R$6:$R$605,R543,$H$6:$H$605,"Vormittag")=1,COUNTIFS($R$6:$R$605,R543,$H$6:$H$605,"Nachmittag")=1))),"Person doppelt","OK"))))))))</f>
        <v/>
      </c>
      <c r="O543" s="55">
        <f t="shared" si="59"/>
        <v>0</v>
      </c>
      <c r="P543" s="55" t="str">
        <f t="shared" si="60"/>
        <v/>
      </c>
      <c r="Q543" s="55" t="str">
        <f>IF(P543="","",P543&amp;"|"&amp;COUNTIF(P$6:P543,P543))</f>
        <v/>
      </c>
      <c r="R543" s="55" t="str">
        <f t="shared" si="61"/>
        <v/>
      </c>
      <c r="S543" s="55" t="str">
        <f>IF(R543="","",R543&amp;"|"&amp;COUNTIF(R$6:R543,R543))</f>
        <v/>
      </c>
      <c r="T543" s="55" t="str">
        <f>IF(G543="","",IFERROR(INDEX(Stammdaten!$O$10:$O$69,MATCH(G543,Stammdaten!$N$10:$N$69,0)),G543)&amp;IF(H543="Vormittag"," (VM)",IF(H543="Nachmittag"," (NM)",""))&amp;IF(I543="Angefragt"," ?",""))</f>
        <v/>
      </c>
      <c r="U543" s="55" t="str">
        <f t="shared" si="62"/>
        <v/>
      </c>
    </row>
    <row r="544" spans="2:21" ht="16.5" customHeight="1" x14ac:dyDescent="0.25">
      <c r="B544" s="47" t="str">
        <f t="shared" si="56"/>
        <v/>
      </c>
      <c r="C544" s="48"/>
      <c r="D544" s="49" t="str">
        <f t="shared" si="57"/>
        <v/>
      </c>
      <c r="E544" s="50" t="str">
        <f t="shared" si="58"/>
        <v/>
      </c>
      <c r="F544" s="51"/>
      <c r="G544" s="52"/>
      <c r="H544" s="51"/>
      <c r="I544" s="51"/>
      <c r="J544" s="52"/>
      <c r="K544" s="53" t="str">
        <f>IF(G544="","",IFERROR(INDEX(Stammdaten!$P$10:$P$69,MATCH(G544,Stammdaten!$N$10:$N$69,0)),"–"))</f>
        <v/>
      </c>
      <c r="L544" s="53" t="str">
        <f>IF(F544="","",IFERROR(INDEX(Stammdaten!$D$10:$D$49,MATCH(F544,Stammdaten!$B$10:$B$49,0)),"–"))</f>
        <v/>
      </c>
      <c r="M544" s="54" t="str">
        <f>IF(C544="","",IF(OR(F544="",G544="",I544=""),"unvollständig",IF(I544="Storniert","storniert",IF(WEEKDAY(C544,2)&gt;5,"Wochenende",IF(COUNTIF(Stammdaten!$AD$10:$AD$30,C544)&gt;0,"Feiertag",IF(IFERROR(INDEX(Stammdaten!$I$10:$I$49,MATCH(F544,Stammdaten!$B$10:$B$49,0)),"")="Gesperrt","Platz gesperrt",IF(AND(COUNTIF($P$6:$P$605,P544)&gt;1,NOT(AND(COUNTIF($P$6:$P$605,P544)=2,COUNTIFS($P$6:$P$605,P544,$H$6:$H$605,"Vormittag")=1,COUNTIFS($P$6:$P$605,P544,$H$6:$H$605,"Nachmittag")=1))),"Doppelbuchung",IF(AND(COUNTIF($R$6:$R$605,R544)&gt;1,NOT(AND(COUNTIF($R$6:$R$605,R544)=2,COUNTIFS($R$6:$R$605,R544,$H$6:$H$605,"Vormittag")=1,COUNTIFS($R$6:$R$605,R544,$H$6:$H$605,"Nachmittag")=1))),"Person doppelt","OK"))))))))</f>
        <v/>
      </c>
      <c r="O544" s="55">
        <f t="shared" si="59"/>
        <v>0</v>
      </c>
      <c r="P544" s="55" t="str">
        <f t="shared" si="60"/>
        <v/>
      </c>
      <c r="Q544" s="55" t="str">
        <f>IF(P544="","",P544&amp;"|"&amp;COUNTIF(P$6:P544,P544))</f>
        <v/>
      </c>
      <c r="R544" s="55" t="str">
        <f t="shared" si="61"/>
        <v/>
      </c>
      <c r="S544" s="55" t="str">
        <f>IF(R544="","",R544&amp;"|"&amp;COUNTIF(R$6:R544,R544))</f>
        <v/>
      </c>
      <c r="T544" s="55" t="str">
        <f>IF(G544="","",IFERROR(INDEX(Stammdaten!$O$10:$O$69,MATCH(G544,Stammdaten!$N$10:$N$69,0)),G544)&amp;IF(H544="Vormittag"," (VM)",IF(H544="Nachmittag"," (NM)",""))&amp;IF(I544="Angefragt"," ?",""))</f>
        <v/>
      </c>
      <c r="U544" s="55" t="str">
        <f t="shared" si="62"/>
        <v/>
      </c>
    </row>
    <row r="545" spans="2:21" ht="16.5" customHeight="1" x14ac:dyDescent="0.25">
      <c r="B545" s="47" t="str">
        <f t="shared" si="56"/>
        <v/>
      </c>
      <c r="C545" s="48"/>
      <c r="D545" s="49" t="str">
        <f t="shared" si="57"/>
        <v/>
      </c>
      <c r="E545" s="50" t="str">
        <f t="shared" si="58"/>
        <v/>
      </c>
      <c r="F545" s="51"/>
      <c r="G545" s="52"/>
      <c r="H545" s="51"/>
      <c r="I545" s="51"/>
      <c r="J545" s="52"/>
      <c r="K545" s="53" t="str">
        <f>IF(G545="","",IFERROR(INDEX(Stammdaten!$P$10:$P$69,MATCH(G545,Stammdaten!$N$10:$N$69,0)),"–"))</f>
        <v/>
      </c>
      <c r="L545" s="53" t="str">
        <f>IF(F545="","",IFERROR(INDEX(Stammdaten!$D$10:$D$49,MATCH(F545,Stammdaten!$B$10:$B$49,0)),"–"))</f>
        <v/>
      </c>
      <c r="M545" s="54" t="str">
        <f>IF(C545="","",IF(OR(F545="",G545="",I545=""),"unvollständig",IF(I545="Storniert","storniert",IF(WEEKDAY(C545,2)&gt;5,"Wochenende",IF(COUNTIF(Stammdaten!$AD$10:$AD$30,C545)&gt;0,"Feiertag",IF(IFERROR(INDEX(Stammdaten!$I$10:$I$49,MATCH(F545,Stammdaten!$B$10:$B$49,0)),"")="Gesperrt","Platz gesperrt",IF(AND(COUNTIF($P$6:$P$605,P545)&gt;1,NOT(AND(COUNTIF($P$6:$P$605,P545)=2,COUNTIFS($P$6:$P$605,P545,$H$6:$H$605,"Vormittag")=1,COUNTIFS($P$6:$P$605,P545,$H$6:$H$605,"Nachmittag")=1))),"Doppelbuchung",IF(AND(COUNTIF($R$6:$R$605,R545)&gt;1,NOT(AND(COUNTIF($R$6:$R$605,R545)=2,COUNTIFS($R$6:$R$605,R545,$H$6:$H$605,"Vormittag")=1,COUNTIFS($R$6:$R$605,R545,$H$6:$H$605,"Nachmittag")=1))),"Person doppelt","OK"))))))))</f>
        <v/>
      </c>
      <c r="O545" s="55">
        <f t="shared" si="59"/>
        <v>0</v>
      </c>
      <c r="P545" s="55" t="str">
        <f t="shared" si="60"/>
        <v/>
      </c>
      <c r="Q545" s="55" t="str">
        <f>IF(P545="","",P545&amp;"|"&amp;COUNTIF(P$6:P545,P545))</f>
        <v/>
      </c>
      <c r="R545" s="55" t="str">
        <f t="shared" si="61"/>
        <v/>
      </c>
      <c r="S545" s="55" t="str">
        <f>IF(R545="","",R545&amp;"|"&amp;COUNTIF(R$6:R545,R545))</f>
        <v/>
      </c>
      <c r="T545" s="55" t="str">
        <f>IF(G545="","",IFERROR(INDEX(Stammdaten!$O$10:$O$69,MATCH(G545,Stammdaten!$N$10:$N$69,0)),G545)&amp;IF(H545="Vormittag"," (VM)",IF(H545="Nachmittag"," (NM)",""))&amp;IF(I545="Angefragt"," ?",""))</f>
        <v/>
      </c>
      <c r="U545" s="55" t="str">
        <f t="shared" si="62"/>
        <v/>
      </c>
    </row>
    <row r="546" spans="2:21" ht="16.5" customHeight="1" x14ac:dyDescent="0.25">
      <c r="B546" s="47" t="str">
        <f t="shared" si="56"/>
        <v/>
      </c>
      <c r="C546" s="48"/>
      <c r="D546" s="49" t="str">
        <f t="shared" si="57"/>
        <v/>
      </c>
      <c r="E546" s="50" t="str">
        <f t="shared" si="58"/>
        <v/>
      </c>
      <c r="F546" s="51"/>
      <c r="G546" s="52"/>
      <c r="H546" s="51"/>
      <c r="I546" s="51"/>
      <c r="J546" s="52"/>
      <c r="K546" s="53" t="str">
        <f>IF(G546="","",IFERROR(INDEX(Stammdaten!$P$10:$P$69,MATCH(G546,Stammdaten!$N$10:$N$69,0)),"–"))</f>
        <v/>
      </c>
      <c r="L546" s="53" t="str">
        <f>IF(F546="","",IFERROR(INDEX(Stammdaten!$D$10:$D$49,MATCH(F546,Stammdaten!$B$10:$B$49,0)),"–"))</f>
        <v/>
      </c>
      <c r="M546" s="54" t="str">
        <f>IF(C546="","",IF(OR(F546="",G546="",I546=""),"unvollständig",IF(I546="Storniert","storniert",IF(WEEKDAY(C546,2)&gt;5,"Wochenende",IF(COUNTIF(Stammdaten!$AD$10:$AD$30,C546)&gt;0,"Feiertag",IF(IFERROR(INDEX(Stammdaten!$I$10:$I$49,MATCH(F546,Stammdaten!$B$10:$B$49,0)),"")="Gesperrt","Platz gesperrt",IF(AND(COUNTIF($P$6:$P$605,P546)&gt;1,NOT(AND(COUNTIF($P$6:$P$605,P546)=2,COUNTIFS($P$6:$P$605,P546,$H$6:$H$605,"Vormittag")=1,COUNTIFS($P$6:$P$605,P546,$H$6:$H$605,"Nachmittag")=1))),"Doppelbuchung",IF(AND(COUNTIF($R$6:$R$605,R546)&gt;1,NOT(AND(COUNTIF($R$6:$R$605,R546)=2,COUNTIFS($R$6:$R$605,R546,$H$6:$H$605,"Vormittag")=1,COUNTIFS($R$6:$R$605,R546,$H$6:$H$605,"Nachmittag")=1))),"Person doppelt","OK"))))))))</f>
        <v/>
      </c>
      <c r="O546" s="55">
        <f t="shared" si="59"/>
        <v>0</v>
      </c>
      <c r="P546" s="55" t="str">
        <f t="shared" si="60"/>
        <v/>
      </c>
      <c r="Q546" s="55" t="str">
        <f>IF(P546="","",P546&amp;"|"&amp;COUNTIF(P$6:P546,P546))</f>
        <v/>
      </c>
      <c r="R546" s="55" t="str">
        <f t="shared" si="61"/>
        <v/>
      </c>
      <c r="S546" s="55" t="str">
        <f>IF(R546="","",R546&amp;"|"&amp;COUNTIF(R$6:R546,R546))</f>
        <v/>
      </c>
      <c r="T546" s="55" t="str">
        <f>IF(G546="","",IFERROR(INDEX(Stammdaten!$O$10:$O$69,MATCH(G546,Stammdaten!$N$10:$N$69,0)),G546)&amp;IF(H546="Vormittag"," (VM)",IF(H546="Nachmittag"," (NM)",""))&amp;IF(I546="Angefragt"," ?",""))</f>
        <v/>
      </c>
      <c r="U546" s="55" t="str">
        <f t="shared" si="62"/>
        <v/>
      </c>
    </row>
    <row r="547" spans="2:21" ht="16.5" customHeight="1" x14ac:dyDescent="0.25">
      <c r="B547" s="47" t="str">
        <f t="shared" si="56"/>
        <v/>
      </c>
      <c r="C547" s="48"/>
      <c r="D547" s="49" t="str">
        <f t="shared" si="57"/>
        <v/>
      </c>
      <c r="E547" s="50" t="str">
        <f t="shared" si="58"/>
        <v/>
      </c>
      <c r="F547" s="51"/>
      <c r="G547" s="52"/>
      <c r="H547" s="51"/>
      <c r="I547" s="51"/>
      <c r="J547" s="52"/>
      <c r="K547" s="53" t="str">
        <f>IF(G547="","",IFERROR(INDEX(Stammdaten!$P$10:$P$69,MATCH(G547,Stammdaten!$N$10:$N$69,0)),"–"))</f>
        <v/>
      </c>
      <c r="L547" s="53" t="str">
        <f>IF(F547="","",IFERROR(INDEX(Stammdaten!$D$10:$D$49,MATCH(F547,Stammdaten!$B$10:$B$49,0)),"–"))</f>
        <v/>
      </c>
      <c r="M547" s="54" t="str">
        <f>IF(C547="","",IF(OR(F547="",G547="",I547=""),"unvollständig",IF(I547="Storniert","storniert",IF(WEEKDAY(C547,2)&gt;5,"Wochenende",IF(COUNTIF(Stammdaten!$AD$10:$AD$30,C547)&gt;0,"Feiertag",IF(IFERROR(INDEX(Stammdaten!$I$10:$I$49,MATCH(F547,Stammdaten!$B$10:$B$49,0)),"")="Gesperrt","Platz gesperrt",IF(AND(COUNTIF($P$6:$P$605,P547)&gt;1,NOT(AND(COUNTIF($P$6:$P$605,P547)=2,COUNTIFS($P$6:$P$605,P547,$H$6:$H$605,"Vormittag")=1,COUNTIFS($P$6:$P$605,P547,$H$6:$H$605,"Nachmittag")=1))),"Doppelbuchung",IF(AND(COUNTIF($R$6:$R$605,R547)&gt;1,NOT(AND(COUNTIF($R$6:$R$605,R547)=2,COUNTIFS($R$6:$R$605,R547,$H$6:$H$605,"Vormittag")=1,COUNTIFS($R$6:$R$605,R547,$H$6:$H$605,"Nachmittag")=1))),"Person doppelt","OK"))))))))</f>
        <v/>
      </c>
      <c r="O547" s="55">
        <f t="shared" si="59"/>
        <v>0</v>
      </c>
      <c r="P547" s="55" t="str">
        <f t="shared" si="60"/>
        <v/>
      </c>
      <c r="Q547" s="55" t="str">
        <f>IF(P547="","",P547&amp;"|"&amp;COUNTIF(P$6:P547,P547))</f>
        <v/>
      </c>
      <c r="R547" s="55" t="str">
        <f t="shared" si="61"/>
        <v/>
      </c>
      <c r="S547" s="55" t="str">
        <f>IF(R547="","",R547&amp;"|"&amp;COUNTIF(R$6:R547,R547))</f>
        <v/>
      </c>
      <c r="T547" s="55" t="str">
        <f>IF(G547="","",IFERROR(INDEX(Stammdaten!$O$10:$O$69,MATCH(G547,Stammdaten!$N$10:$N$69,0)),G547)&amp;IF(H547="Vormittag"," (VM)",IF(H547="Nachmittag"," (NM)",""))&amp;IF(I547="Angefragt"," ?",""))</f>
        <v/>
      </c>
      <c r="U547" s="55" t="str">
        <f t="shared" si="62"/>
        <v/>
      </c>
    </row>
    <row r="548" spans="2:21" ht="16.5" customHeight="1" x14ac:dyDescent="0.25">
      <c r="B548" s="47" t="str">
        <f t="shared" si="56"/>
        <v/>
      </c>
      <c r="C548" s="48"/>
      <c r="D548" s="49" t="str">
        <f t="shared" si="57"/>
        <v/>
      </c>
      <c r="E548" s="50" t="str">
        <f t="shared" si="58"/>
        <v/>
      </c>
      <c r="F548" s="51"/>
      <c r="G548" s="52"/>
      <c r="H548" s="51"/>
      <c r="I548" s="51"/>
      <c r="J548" s="52"/>
      <c r="K548" s="53" t="str">
        <f>IF(G548="","",IFERROR(INDEX(Stammdaten!$P$10:$P$69,MATCH(G548,Stammdaten!$N$10:$N$69,0)),"–"))</f>
        <v/>
      </c>
      <c r="L548" s="53" t="str">
        <f>IF(F548="","",IFERROR(INDEX(Stammdaten!$D$10:$D$49,MATCH(F548,Stammdaten!$B$10:$B$49,0)),"–"))</f>
        <v/>
      </c>
      <c r="M548" s="54" t="str">
        <f>IF(C548="","",IF(OR(F548="",G548="",I548=""),"unvollständig",IF(I548="Storniert","storniert",IF(WEEKDAY(C548,2)&gt;5,"Wochenende",IF(COUNTIF(Stammdaten!$AD$10:$AD$30,C548)&gt;0,"Feiertag",IF(IFERROR(INDEX(Stammdaten!$I$10:$I$49,MATCH(F548,Stammdaten!$B$10:$B$49,0)),"")="Gesperrt","Platz gesperrt",IF(AND(COUNTIF($P$6:$P$605,P548)&gt;1,NOT(AND(COUNTIF($P$6:$P$605,P548)=2,COUNTIFS($P$6:$P$605,P548,$H$6:$H$605,"Vormittag")=1,COUNTIFS($P$6:$P$605,P548,$H$6:$H$605,"Nachmittag")=1))),"Doppelbuchung",IF(AND(COUNTIF($R$6:$R$605,R548)&gt;1,NOT(AND(COUNTIF($R$6:$R$605,R548)=2,COUNTIFS($R$6:$R$605,R548,$H$6:$H$605,"Vormittag")=1,COUNTIFS($R$6:$R$605,R548,$H$6:$H$605,"Nachmittag")=1))),"Person doppelt","OK"))))))))</f>
        <v/>
      </c>
      <c r="O548" s="55">
        <f t="shared" si="59"/>
        <v>0</v>
      </c>
      <c r="P548" s="55" t="str">
        <f t="shared" si="60"/>
        <v/>
      </c>
      <c r="Q548" s="55" t="str">
        <f>IF(P548="","",P548&amp;"|"&amp;COUNTIF(P$6:P548,P548))</f>
        <v/>
      </c>
      <c r="R548" s="55" t="str">
        <f t="shared" si="61"/>
        <v/>
      </c>
      <c r="S548" s="55" t="str">
        <f>IF(R548="","",R548&amp;"|"&amp;COUNTIF(R$6:R548,R548))</f>
        <v/>
      </c>
      <c r="T548" s="55" t="str">
        <f>IF(G548="","",IFERROR(INDEX(Stammdaten!$O$10:$O$69,MATCH(G548,Stammdaten!$N$10:$N$69,0)),G548)&amp;IF(H548="Vormittag"," (VM)",IF(H548="Nachmittag"," (NM)",""))&amp;IF(I548="Angefragt"," ?",""))</f>
        <v/>
      </c>
      <c r="U548" s="55" t="str">
        <f t="shared" si="62"/>
        <v/>
      </c>
    </row>
    <row r="549" spans="2:21" ht="16.5" customHeight="1" x14ac:dyDescent="0.25">
      <c r="B549" s="47" t="str">
        <f t="shared" si="56"/>
        <v/>
      </c>
      <c r="C549" s="48"/>
      <c r="D549" s="49" t="str">
        <f t="shared" si="57"/>
        <v/>
      </c>
      <c r="E549" s="50" t="str">
        <f t="shared" si="58"/>
        <v/>
      </c>
      <c r="F549" s="51"/>
      <c r="G549" s="52"/>
      <c r="H549" s="51"/>
      <c r="I549" s="51"/>
      <c r="J549" s="52"/>
      <c r="K549" s="53" t="str">
        <f>IF(G549="","",IFERROR(INDEX(Stammdaten!$P$10:$P$69,MATCH(G549,Stammdaten!$N$10:$N$69,0)),"–"))</f>
        <v/>
      </c>
      <c r="L549" s="53" t="str">
        <f>IF(F549="","",IFERROR(INDEX(Stammdaten!$D$10:$D$49,MATCH(F549,Stammdaten!$B$10:$B$49,0)),"–"))</f>
        <v/>
      </c>
      <c r="M549" s="54" t="str">
        <f>IF(C549="","",IF(OR(F549="",G549="",I549=""),"unvollständig",IF(I549="Storniert","storniert",IF(WEEKDAY(C549,2)&gt;5,"Wochenende",IF(COUNTIF(Stammdaten!$AD$10:$AD$30,C549)&gt;0,"Feiertag",IF(IFERROR(INDEX(Stammdaten!$I$10:$I$49,MATCH(F549,Stammdaten!$B$10:$B$49,0)),"")="Gesperrt","Platz gesperrt",IF(AND(COUNTIF($P$6:$P$605,P549)&gt;1,NOT(AND(COUNTIF($P$6:$P$605,P549)=2,COUNTIFS($P$6:$P$605,P549,$H$6:$H$605,"Vormittag")=1,COUNTIFS($P$6:$P$605,P549,$H$6:$H$605,"Nachmittag")=1))),"Doppelbuchung",IF(AND(COUNTIF($R$6:$R$605,R549)&gt;1,NOT(AND(COUNTIF($R$6:$R$605,R549)=2,COUNTIFS($R$6:$R$605,R549,$H$6:$H$605,"Vormittag")=1,COUNTIFS($R$6:$R$605,R549,$H$6:$H$605,"Nachmittag")=1))),"Person doppelt","OK"))))))))</f>
        <v/>
      </c>
      <c r="O549" s="55">
        <f t="shared" si="59"/>
        <v>0</v>
      </c>
      <c r="P549" s="55" t="str">
        <f t="shared" si="60"/>
        <v/>
      </c>
      <c r="Q549" s="55" t="str">
        <f>IF(P549="","",P549&amp;"|"&amp;COUNTIF(P$6:P549,P549))</f>
        <v/>
      </c>
      <c r="R549" s="55" t="str">
        <f t="shared" si="61"/>
        <v/>
      </c>
      <c r="S549" s="55" t="str">
        <f>IF(R549="","",R549&amp;"|"&amp;COUNTIF(R$6:R549,R549))</f>
        <v/>
      </c>
      <c r="T549" s="55" t="str">
        <f>IF(G549="","",IFERROR(INDEX(Stammdaten!$O$10:$O$69,MATCH(G549,Stammdaten!$N$10:$N$69,0)),G549)&amp;IF(H549="Vormittag"," (VM)",IF(H549="Nachmittag"," (NM)",""))&amp;IF(I549="Angefragt"," ?",""))</f>
        <v/>
      </c>
      <c r="U549" s="55" t="str">
        <f t="shared" si="62"/>
        <v/>
      </c>
    </row>
    <row r="550" spans="2:21" ht="16.5" customHeight="1" x14ac:dyDescent="0.25">
      <c r="B550" s="47" t="str">
        <f t="shared" si="56"/>
        <v/>
      </c>
      <c r="C550" s="48"/>
      <c r="D550" s="49" t="str">
        <f t="shared" si="57"/>
        <v/>
      </c>
      <c r="E550" s="50" t="str">
        <f t="shared" si="58"/>
        <v/>
      </c>
      <c r="F550" s="51"/>
      <c r="G550" s="52"/>
      <c r="H550" s="51"/>
      <c r="I550" s="51"/>
      <c r="J550" s="52"/>
      <c r="K550" s="53" t="str">
        <f>IF(G550="","",IFERROR(INDEX(Stammdaten!$P$10:$P$69,MATCH(G550,Stammdaten!$N$10:$N$69,0)),"–"))</f>
        <v/>
      </c>
      <c r="L550" s="53" t="str">
        <f>IF(F550="","",IFERROR(INDEX(Stammdaten!$D$10:$D$49,MATCH(F550,Stammdaten!$B$10:$B$49,0)),"–"))</f>
        <v/>
      </c>
      <c r="M550" s="54" t="str">
        <f>IF(C550="","",IF(OR(F550="",G550="",I550=""),"unvollständig",IF(I550="Storniert","storniert",IF(WEEKDAY(C550,2)&gt;5,"Wochenende",IF(COUNTIF(Stammdaten!$AD$10:$AD$30,C550)&gt;0,"Feiertag",IF(IFERROR(INDEX(Stammdaten!$I$10:$I$49,MATCH(F550,Stammdaten!$B$10:$B$49,0)),"")="Gesperrt","Platz gesperrt",IF(AND(COUNTIF($P$6:$P$605,P550)&gt;1,NOT(AND(COUNTIF($P$6:$P$605,P550)=2,COUNTIFS($P$6:$P$605,P550,$H$6:$H$605,"Vormittag")=1,COUNTIFS($P$6:$P$605,P550,$H$6:$H$605,"Nachmittag")=1))),"Doppelbuchung",IF(AND(COUNTIF($R$6:$R$605,R550)&gt;1,NOT(AND(COUNTIF($R$6:$R$605,R550)=2,COUNTIFS($R$6:$R$605,R550,$H$6:$H$605,"Vormittag")=1,COUNTIFS($R$6:$R$605,R550,$H$6:$H$605,"Nachmittag")=1))),"Person doppelt","OK"))))))))</f>
        <v/>
      </c>
      <c r="O550" s="55">
        <f t="shared" si="59"/>
        <v>0</v>
      </c>
      <c r="P550" s="55" t="str">
        <f t="shared" si="60"/>
        <v/>
      </c>
      <c r="Q550" s="55" t="str">
        <f>IF(P550="","",P550&amp;"|"&amp;COUNTIF(P$6:P550,P550))</f>
        <v/>
      </c>
      <c r="R550" s="55" t="str">
        <f t="shared" si="61"/>
        <v/>
      </c>
      <c r="S550" s="55" t="str">
        <f>IF(R550="","",R550&amp;"|"&amp;COUNTIF(R$6:R550,R550))</f>
        <v/>
      </c>
      <c r="T550" s="55" t="str">
        <f>IF(G550="","",IFERROR(INDEX(Stammdaten!$O$10:$O$69,MATCH(G550,Stammdaten!$N$10:$N$69,0)),G550)&amp;IF(H550="Vormittag"," (VM)",IF(H550="Nachmittag"," (NM)",""))&amp;IF(I550="Angefragt"," ?",""))</f>
        <v/>
      </c>
      <c r="U550" s="55" t="str">
        <f t="shared" si="62"/>
        <v/>
      </c>
    </row>
    <row r="551" spans="2:21" ht="16.5" customHeight="1" x14ac:dyDescent="0.25">
      <c r="B551" s="47" t="str">
        <f t="shared" si="56"/>
        <v/>
      </c>
      <c r="C551" s="48"/>
      <c r="D551" s="49" t="str">
        <f t="shared" si="57"/>
        <v/>
      </c>
      <c r="E551" s="50" t="str">
        <f t="shared" si="58"/>
        <v/>
      </c>
      <c r="F551" s="51"/>
      <c r="G551" s="52"/>
      <c r="H551" s="51"/>
      <c r="I551" s="51"/>
      <c r="J551" s="52"/>
      <c r="K551" s="53" t="str">
        <f>IF(G551="","",IFERROR(INDEX(Stammdaten!$P$10:$P$69,MATCH(G551,Stammdaten!$N$10:$N$69,0)),"–"))</f>
        <v/>
      </c>
      <c r="L551" s="53" t="str">
        <f>IF(F551="","",IFERROR(INDEX(Stammdaten!$D$10:$D$49,MATCH(F551,Stammdaten!$B$10:$B$49,0)),"–"))</f>
        <v/>
      </c>
      <c r="M551" s="54" t="str">
        <f>IF(C551="","",IF(OR(F551="",G551="",I551=""),"unvollständig",IF(I551="Storniert","storniert",IF(WEEKDAY(C551,2)&gt;5,"Wochenende",IF(COUNTIF(Stammdaten!$AD$10:$AD$30,C551)&gt;0,"Feiertag",IF(IFERROR(INDEX(Stammdaten!$I$10:$I$49,MATCH(F551,Stammdaten!$B$10:$B$49,0)),"")="Gesperrt","Platz gesperrt",IF(AND(COUNTIF($P$6:$P$605,P551)&gt;1,NOT(AND(COUNTIF($P$6:$P$605,P551)=2,COUNTIFS($P$6:$P$605,P551,$H$6:$H$605,"Vormittag")=1,COUNTIFS($P$6:$P$605,P551,$H$6:$H$605,"Nachmittag")=1))),"Doppelbuchung",IF(AND(COUNTIF($R$6:$R$605,R551)&gt;1,NOT(AND(COUNTIF($R$6:$R$605,R551)=2,COUNTIFS($R$6:$R$605,R551,$H$6:$H$605,"Vormittag")=1,COUNTIFS($R$6:$R$605,R551,$H$6:$H$605,"Nachmittag")=1))),"Person doppelt","OK"))))))))</f>
        <v/>
      </c>
      <c r="O551" s="55">
        <f t="shared" si="59"/>
        <v>0</v>
      </c>
      <c r="P551" s="55" t="str">
        <f t="shared" si="60"/>
        <v/>
      </c>
      <c r="Q551" s="55" t="str">
        <f>IF(P551="","",P551&amp;"|"&amp;COUNTIF(P$6:P551,P551))</f>
        <v/>
      </c>
      <c r="R551" s="55" t="str">
        <f t="shared" si="61"/>
        <v/>
      </c>
      <c r="S551" s="55" t="str">
        <f>IF(R551="","",R551&amp;"|"&amp;COUNTIF(R$6:R551,R551))</f>
        <v/>
      </c>
      <c r="T551" s="55" t="str">
        <f>IF(G551="","",IFERROR(INDEX(Stammdaten!$O$10:$O$69,MATCH(G551,Stammdaten!$N$10:$N$69,0)),G551)&amp;IF(H551="Vormittag"," (VM)",IF(H551="Nachmittag"," (NM)",""))&amp;IF(I551="Angefragt"," ?",""))</f>
        <v/>
      </c>
      <c r="U551" s="55" t="str">
        <f t="shared" si="62"/>
        <v/>
      </c>
    </row>
    <row r="552" spans="2:21" ht="16.5" customHeight="1" x14ac:dyDescent="0.25">
      <c r="B552" s="47" t="str">
        <f t="shared" si="56"/>
        <v/>
      </c>
      <c r="C552" s="48"/>
      <c r="D552" s="49" t="str">
        <f t="shared" si="57"/>
        <v/>
      </c>
      <c r="E552" s="50" t="str">
        <f t="shared" si="58"/>
        <v/>
      </c>
      <c r="F552" s="51"/>
      <c r="G552" s="52"/>
      <c r="H552" s="51"/>
      <c r="I552" s="51"/>
      <c r="J552" s="52"/>
      <c r="K552" s="53" t="str">
        <f>IF(G552="","",IFERROR(INDEX(Stammdaten!$P$10:$P$69,MATCH(G552,Stammdaten!$N$10:$N$69,0)),"–"))</f>
        <v/>
      </c>
      <c r="L552" s="53" t="str">
        <f>IF(F552="","",IFERROR(INDEX(Stammdaten!$D$10:$D$49,MATCH(F552,Stammdaten!$B$10:$B$49,0)),"–"))</f>
        <v/>
      </c>
      <c r="M552" s="54" t="str">
        <f>IF(C552="","",IF(OR(F552="",G552="",I552=""),"unvollständig",IF(I552="Storniert","storniert",IF(WEEKDAY(C552,2)&gt;5,"Wochenende",IF(COUNTIF(Stammdaten!$AD$10:$AD$30,C552)&gt;0,"Feiertag",IF(IFERROR(INDEX(Stammdaten!$I$10:$I$49,MATCH(F552,Stammdaten!$B$10:$B$49,0)),"")="Gesperrt","Platz gesperrt",IF(AND(COUNTIF($P$6:$P$605,P552)&gt;1,NOT(AND(COUNTIF($P$6:$P$605,P552)=2,COUNTIFS($P$6:$P$605,P552,$H$6:$H$605,"Vormittag")=1,COUNTIFS($P$6:$P$605,P552,$H$6:$H$605,"Nachmittag")=1))),"Doppelbuchung",IF(AND(COUNTIF($R$6:$R$605,R552)&gt;1,NOT(AND(COUNTIF($R$6:$R$605,R552)=2,COUNTIFS($R$6:$R$605,R552,$H$6:$H$605,"Vormittag")=1,COUNTIFS($R$6:$R$605,R552,$H$6:$H$605,"Nachmittag")=1))),"Person doppelt","OK"))))))))</f>
        <v/>
      </c>
      <c r="O552" s="55">
        <f t="shared" si="59"/>
        <v>0</v>
      </c>
      <c r="P552" s="55" t="str">
        <f t="shared" si="60"/>
        <v/>
      </c>
      <c r="Q552" s="55" t="str">
        <f>IF(P552="","",P552&amp;"|"&amp;COUNTIF(P$6:P552,P552))</f>
        <v/>
      </c>
      <c r="R552" s="55" t="str">
        <f t="shared" si="61"/>
        <v/>
      </c>
      <c r="S552" s="55" t="str">
        <f>IF(R552="","",R552&amp;"|"&amp;COUNTIF(R$6:R552,R552))</f>
        <v/>
      </c>
      <c r="T552" s="55" t="str">
        <f>IF(G552="","",IFERROR(INDEX(Stammdaten!$O$10:$O$69,MATCH(G552,Stammdaten!$N$10:$N$69,0)),G552)&amp;IF(H552="Vormittag"," (VM)",IF(H552="Nachmittag"," (NM)",""))&amp;IF(I552="Angefragt"," ?",""))</f>
        <v/>
      </c>
      <c r="U552" s="55" t="str">
        <f t="shared" si="62"/>
        <v/>
      </c>
    </row>
    <row r="553" spans="2:21" ht="16.5" customHeight="1" x14ac:dyDescent="0.25">
      <c r="B553" s="47" t="str">
        <f t="shared" si="56"/>
        <v/>
      </c>
      <c r="C553" s="48"/>
      <c r="D553" s="49" t="str">
        <f t="shared" si="57"/>
        <v/>
      </c>
      <c r="E553" s="50" t="str">
        <f t="shared" si="58"/>
        <v/>
      </c>
      <c r="F553" s="51"/>
      <c r="G553" s="52"/>
      <c r="H553" s="51"/>
      <c r="I553" s="51"/>
      <c r="J553" s="52"/>
      <c r="K553" s="53" t="str">
        <f>IF(G553="","",IFERROR(INDEX(Stammdaten!$P$10:$P$69,MATCH(G553,Stammdaten!$N$10:$N$69,0)),"–"))</f>
        <v/>
      </c>
      <c r="L553" s="53" t="str">
        <f>IF(F553="","",IFERROR(INDEX(Stammdaten!$D$10:$D$49,MATCH(F553,Stammdaten!$B$10:$B$49,0)),"–"))</f>
        <v/>
      </c>
      <c r="M553" s="54" t="str">
        <f>IF(C553="","",IF(OR(F553="",G553="",I553=""),"unvollständig",IF(I553="Storniert","storniert",IF(WEEKDAY(C553,2)&gt;5,"Wochenende",IF(COUNTIF(Stammdaten!$AD$10:$AD$30,C553)&gt;0,"Feiertag",IF(IFERROR(INDEX(Stammdaten!$I$10:$I$49,MATCH(F553,Stammdaten!$B$10:$B$49,0)),"")="Gesperrt","Platz gesperrt",IF(AND(COUNTIF($P$6:$P$605,P553)&gt;1,NOT(AND(COUNTIF($P$6:$P$605,P553)=2,COUNTIFS($P$6:$P$605,P553,$H$6:$H$605,"Vormittag")=1,COUNTIFS($P$6:$P$605,P553,$H$6:$H$605,"Nachmittag")=1))),"Doppelbuchung",IF(AND(COUNTIF($R$6:$R$605,R553)&gt;1,NOT(AND(COUNTIF($R$6:$R$605,R553)=2,COUNTIFS($R$6:$R$605,R553,$H$6:$H$605,"Vormittag")=1,COUNTIFS($R$6:$R$605,R553,$H$6:$H$605,"Nachmittag")=1))),"Person doppelt","OK"))))))))</f>
        <v/>
      </c>
      <c r="O553" s="55">
        <f t="shared" si="59"/>
        <v>0</v>
      </c>
      <c r="P553" s="55" t="str">
        <f t="shared" si="60"/>
        <v/>
      </c>
      <c r="Q553" s="55" t="str">
        <f>IF(P553="","",P553&amp;"|"&amp;COUNTIF(P$6:P553,P553))</f>
        <v/>
      </c>
      <c r="R553" s="55" t="str">
        <f t="shared" si="61"/>
        <v/>
      </c>
      <c r="S553" s="55" t="str">
        <f>IF(R553="","",R553&amp;"|"&amp;COUNTIF(R$6:R553,R553))</f>
        <v/>
      </c>
      <c r="T553" s="55" t="str">
        <f>IF(G553="","",IFERROR(INDEX(Stammdaten!$O$10:$O$69,MATCH(G553,Stammdaten!$N$10:$N$69,0)),G553)&amp;IF(H553="Vormittag"," (VM)",IF(H553="Nachmittag"," (NM)",""))&amp;IF(I553="Angefragt"," ?",""))</f>
        <v/>
      </c>
      <c r="U553" s="55" t="str">
        <f t="shared" si="62"/>
        <v/>
      </c>
    </row>
    <row r="554" spans="2:21" ht="16.5" customHeight="1" x14ac:dyDescent="0.25">
      <c r="B554" s="47" t="str">
        <f t="shared" si="56"/>
        <v/>
      </c>
      <c r="C554" s="48"/>
      <c r="D554" s="49" t="str">
        <f t="shared" si="57"/>
        <v/>
      </c>
      <c r="E554" s="50" t="str">
        <f t="shared" si="58"/>
        <v/>
      </c>
      <c r="F554" s="51"/>
      <c r="G554" s="52"/>
      <c r="H554" s="51"/>
      <c r="I554" s="51"/>
      <c r="J554" s="52"/>
      <c r="K554" s="53" t="str">
        <f>IF(G554="","",IFERROR(INDEX(Stammdaten!$P$10:$P$69,MATCH(G554,Stammdaten!$N$10:$N$69,0)),"–"))</f>
        <v/>
      </c>
      <c r="L554" s="53" t="str">
        <f>IF(F554="","",IFERROR(INDEX(Stammdaten!$D$10:$D$49,MATCH(F554,Stammdaten!$B$10:$B$49,0)),"–"))</f>
        <v/>
      </c>
      <c r="M554" s="54" t="str">
        <f>IF(C554="","",IF(OR(F554="",G554="",I554=""),"unvollständig",IF(I554="Storniert","storniert",IF(WEEKDAY(C554,2)&gt;5,"Wochenende",IF(COUNTIF(Stammdaten!$AD$10:$AD$30,C554)&gt;0,"Feiertag",IF(IFERROR(INDEX(Stammdaten!$I$10:$I$49,MATCH(F554,Stammdaten!$B$10:$B$49,0)),"")="Gesperrt","Platz gesperrt",IF(AND(COUNTIF($P$6:$P$605,P554)&gt;1,NOT(AND(COUNTIF($P$6:$P$605,P554)=2,COUNTIFS($P$6:$P$605,P554,$H$6:$H$605,"Vormittag")=1,COUNTIFS($P$6:$P$605,P554,$H$6:$H$605,"Nachmittag")=1))),"Doppelbuchung",IF(AND(COUNTIF($R$6:$R$605,R554)&gt;1,NOT(AND(COUNTIF($R$6:$R$605,R554)=2,COUNTIFS($R$6:$R$605,R554,$H$6:$H$605,"Vormittag")=1,COUNTIFS($R$6:$R$605,R554,$H$6:$H$605,"Nachmittag")=1))),"Person doppelt","OK"))))))))</f>
        <v/>
      </c>
      <c r="O554" s="55">
        <f t="shared" si="59"/>
        <v>0</v>
      </c>
      <c r="P554" s="55" t="str">
        <f t="shared" si="60"/>
        <v/>
      </c>
      <c r="Q554" s="55" t="str">
        <f>IF(P554="","",P554&amp;"|"&amp;COUNTIF(P$6:P554,P554))</f>
        <v/>
      </c>
      <c r="R554" s="55" t="str">
        <f t="shared" si="61"/>
        <v/>
      </c>
      <c r="S554" s="55" t="str">
        <f>IF(R554="","",R554&amp;"|"&amp;COUNTIF(R$6:R554,R554))</f>
        <v/>
      </c>
      <c r="T554" s="55" t="str">
        <f>IF(G554="","",IFERROR(INDEX(Stammdaten!$O$10:$O$69,MATCH(G554,Stammdaten!$N$10:$N$69,0)),G554)&amp;IF(H554="Vormittag"," (VM)",IF(H554="Nachmittag"," (NM)",""))&amp;IF(I554="Angefragt"," ?",""))</f>
        <v/>
      </c>
      <c r="U554" s="55" t="str">
        <f t="shared" si="62"/>
        <v/>
      </c>
    </row>
    <row r="555" spans="2:21" ht="16.5" customHeight="1" x14ac:dyDescent="0.25">
      <c r="B555" s="47" t="str">
        <f t="shared" si="56"/>
        <v/>
      </c>
      <c r="C555" s="48"/>
      <c r="D555" s="49" t="str">
        <f t="shared" si="57"/>
        <v/>
      </c>
      <c r="E555" s="50" t="str">
        <f t="shared" si="58"/>
        <v/>
      </c>
      <c r="F555" s="51"/>
      <c r="G555" s="52"/>
      <c r="H555" s="51"/>
      <c r="I555" s="51"/>
      <c r="J555" s="52"/>
      <c r="K555" s="53" t="str">
        <f>IF(G555="","",IFERROR(INDEX(Stammdaten!$P$10:$P$69,MATCH(G555,Stammdaten!$N$10:$N$69,0)),"–"))</f>
        <v/>
      </c>
      <c r="L555" s="53" t="str">
        <f>IF(F555="","",IFERROR(INDEX(Stammdaten!$D$10:$D$49,MATCH(F555,Stammdaten!$B$10:$B$49,0)),"–"))</f>
        <v/>
      </c>
      <c r="M555" s="54" t="str">
        <f>IF(C555="","",IF(OR(F555="",G555="",I555=""),"unvollständig",IF(I555="Storniert","storniert",IF(WEEKDAY(C555,2)&gt;5,"Wochenende",IF(COUNTIF(Stammdaten!$AD$10:$AD$30,C555)&gt;0,"Feiertag",IF(IFERROR(INDEX(Stammdaten!$I$10:$I$49,MATCH(F555,Stammdaten!$B$10:$B$49,0)),"")="Gesperrt","Platz gesperrt",IF(AND(COUNTIF($P$6:$P$605,P555)&gt;1,NOT(AND(COUNTIF($P$6:$P$605,P555)=2,COUNTIFS($P$6:$P$605,P555,$H$6:$H$605,"Vormittag")=1,COUNTIFS($P$6:$P$605,P555,$H$6:$H$605,"Nachmittag")=1))),"Doppelbuchung",IF(AND(COUNTIF($R$6:$R$605,R555)&gt;1,NOT(AND(COUNTIF($R$6:$R$605,R555)=2,COUNTIFS($R$6:$R$605,R555,$H$6:$H$605,"Vormittag")=1,COUNTIFS($R$6:$R$605,R555,$H$6:$H$605,"Nachmittag")=1))),"Person doppelt","OK"))))))))</f>
        <v/>
      </c>
      <c r="O555" s="55">
        <f t="shared" si="59"/>
        <v>0</v>
      </c>
      <c r="P555" s="55" t="str">
        <f t="shared" si="60"/>
        <v/>
      </c>
      <c r="Q555" s="55" t="str">
        <f>IF(P555="","",P555&amp;"|"&amp;COUNTIF(P$6:P555,P555))</f>
        <v/>
      </c>
      <c r="R555" s="55" t="str">
        <f t="shared" si="61"/>
        <v/>
      </c>
      <c r="S555" s="55" t="str">
        <f>IF(R555="","",R555&amp;"|"&amp;COUNTIF(R$6:R555,R555))</f>
        <v/>
      </c>
      <c r="T555" s="55" t="str">
        <f>IF(G555="","",IFERROR(INDEX(Stammdaten!$O$10:$O$69,MATCH(G555,Stammdaten!$N$10:$N$69,0)),G555)&amp;IF(H555="Vormittag"," (VM)",IF(H555="Nachmittag"," (NM)",""))&amp;IF(I555="Angefragt"," ?",""))</f>
        <v/>
      </c>
      <c r="U555" s="55" t="str">
        <f t="shared" si="62"/>
        <v/>
      </c>
    </row>
    <row r="556" spans="2:21" ht="16.5" customHeight="1" x14ac:dyDescent="0.25">
      <c r="B556" s="47" t="str">
        <f t="shared" si="56"/>
        <v/>
      </c>
      <c r="C556" s="48"/>
      <c r="D556" s="49" t="str">
        <f t="shared" si="57"/>
        <v/>
      </c>
      <c r="E556" s="50" t="str">
        <f t="shared" si="58"/>
        <v/>
      </c>
      <c r="F556" s="51"/>
      <c r="G556" s="52"/>
      <c r="H556" s="51"/>
      <c r="I556" s="51"/>
      <c r="J556" s="52"/>
      <c r="K556" s="53" t="str">
        <f>IF(G556="","",IFERROR(INDEX(Stammdaten!$P$10:$P$69,MATCH(G556,Stammdaten!$N$10:$N$69,0)),"–"))</f>
        <v/>
      </c>
      <c r="L556" s="53" t="str">
        <f>IF(F556="","",IFERROR(INDEX(Stammdaten!$D$10:$D$49,MATCH(F556,Stammdaten!$B$10:$B$49,0)),"–"))</f>
        <v/>
      </c>
      <c r="M556" s="54" t="str">
        <f>IF(C556="","",IF(OR(F556="",G556="",I556=""),"unvollständig",IF(I556="Storniert","storniert",IF(WEEKDAY(C556,2)&gt;5,"Wochenende",IF(COUNTIF(Stammdaten!$AD$10:$AD$30,C556)&gt;0,"Feiertag",IF(IFERROR(INDEX(Stammdaten!$I$10:$I$49,MATCH(F556,Stammdaten!$B$10:$B$49,0)),"")="Gesperrt","Platz gesperrt",IF(AND(COUNTIF($P$6:$P$605,P556)&gt;1,NOT(AND(COUNTIF($P$6:$P$605,P556)=2,COUNTIFS($P$6:$P$605,P556,$H$6:$H$605,"Vormittag")=1,COUNTIFS($P$6:$P$605,P556,$H$6:$H$605,"Nachmittag")=1))),"Doppelbuchung",IF(AND(COUNTIF($R$6:$R$605,R556)&gt;1,NOT(AND(COUNTIF($R$6:$R$605,R556)=2,COUNTIFS($R$6:$R$605,R556,$H$6:$H$605,"Vormittag")=1,COUNTIFS($R$6:$R$605,R556,$H$6:$H$605,"Nachmittag")=1))),"Person doppelt","OK"))))))))</f>
        <v/>
      </c>
      <c r="O556" s="55">
        <f t="shared" si="59"/>
        <v>0</v>
      </c>
      <c r="P556" s="55" t="str">
        <f t="shared" si="60"/>
        <v/>
      </c>
      <c r="Q556" s="55" t="str">
        <f>IF(P556="","",P556&amp;"|"&amp;COUNTIF(P$6:P556,P556))</f>
        <v/>
      </c>
      <c r="R556" s="55" t="str">
        <f t="shared" si="61"/>
        <v/>
      </c>
      <c r="S556" s="55" t="str">
        <f>IF(R556="","",R556&amp;"|"&amp;COUNTIF(R$6:R556,R556))</f>
        <v/>
      </c>
      <c r="T556" s="55" t="str">
        <f>IF(G556="","",IFERROR(INDEX(Stammdaten!$O$10:$O$69,MATCH(G556,Stammdaten!$N$10:$N$69,0)),G556)&amp;IF(H556="Vormittag"," (VM)",IF(H556="Nachmittag"," (NM)",""))&amp;IF(I556="Angefragt"," ?",""))</f>
        <v/>
      </c>
      <c r="U556" s="55" t="str">
        <f t="shared" si="62"/>
        <v/>
      </c>
    </row>
    <row r="557" spans="2:21" ht="16.5" customHeight="1" x14ac:dyDescent="0.25">
      <c r="B557" s="47" t="str">
        <f t="shared" si="56"/>
        <v/>
      </c>
      <c r="C557" s="48"/>
      <c r="D557" s="49" t="str">
        <f t="shared" si="57"/>
        <v/>
      </c>
      <c r="E557" s="50" t="str">
        <f t="shared" si="58"/>
        <v/>
      </c>
      <c r="F557" s="51"/>
      <c r="G557" s="52"/>
      <c r="H557" s="51"/>
      <c r="I557" s="51"/>
      <c r="J557" s="52"/>
      <c r="K557" s="53" t="str">
        <f>IF(G557="","",IFERROR(INDEX(Stammdaten!$P$10:$P$69,MATCH(G557,Stammdaten!$N$10:$N$69,0)),"–"))</f>
        <v/>
      </c>
      <c r="L557" s="53" t="str">
        <f>IF(F557="","",IFERROR(INDEX(Stammdaten!$D$10:$D$49,MATCH(F557,Stammdaten!$B$10:$B$49,0)),"–"))</f>
        <v/>
      </c>
      <c r="M557" s="54" t="str">
        <f>IF(C557="","",IF(OR(F557="",G557="",I557=""),"unvollständig",IF(I557="Storniert","storniert",IF(WEEKDAY(C557,2)&gt;5,"Wochenende",IF(COUNTIF(Stammdaten!$AD$10:$AD$30,C557)&gt;0,"Feiertag",IF(IFERROR(INDEX(Stammdaten!$I$10:$I$49,MATCH(F557,Stammdaten!$B$10:$B$49,0)),"")="Gesperrt","Platz gesperrt",IF(AND(COUNTIF($P$6:$P$605,P557)&gt;1,NOT(AND(COUNTIF($P$6:$P$605,P557)=2,COUNTIFS($P$6:$P$605,P557,$H$6:$H$605,"Vormittag")=1,COUNTIFS($P$6:$P$605,P557,$H$6:$H$605,"Nachmittag")=1))),"Doppelbuchung",IF(AND(COUNTIF($R$6:$R$605,R557)&gt;1,NOT(AND(COUNTIF($R$6:$R$605,R557)=2,COUNTIFS($R$6:$R$605,R557,$H$6:$H$605,"Vormittag")=1,COUNTIFS($R$6:$R$605,R557,$H$6:$H$605,"Nachmittag")=1))),"Person doppelt","OK"))))))))</f>
        <v/>
      </c>
      <c r="O557" s="55">
        <f t="shared" si="59"/>
        <v>0</v>
      </c>
      <c r="P557" s="55" t="str">
        <f t="shared" si="60"/>
        <v/>
      </c>
      <c r="Q557" s="55" t="str">
        <f>IF(P557="","",P557&amp;"|"&amp;COUNTIF(P$6:P557,P557))</f>
        <v/>
      </c>
      <c r="R557" s="55" t="str">
        <f t="shared" si="61"/>
        <v/>
      </c>
      <c r="S557" s="55" t="str">
        <f>IF(R557="","",R557&amp;"|"&amp;COUNTIF(R$6:R557,R557))</f>
        <v/>
      </c>
      <c r="T557" s="55" t="str">
        <f>IF(G557="","",IFERROR(INDEX(Stammdaten!$O$10:$O$69,MATCH(G557,Stammdaten!$N$10:$N$69,0)),G557)&amp;IF(H557="Vormittag"," (VM)",IF(H557="Nachmittag"," (NM)",""))&amp;IF(I557="Angefragt"," ?",""))</f>
        <v/>
      </c>
      <c r="U557" s="55" t="str">
        <f t="shared" si="62"/>
        <v/>
      </c>
    </row>
    <row r="558" spans="2:21" ht="16.5" customHeight="1" x14ac:dyDescent="0.25">
      <c r="B558" s="47" t="str">
        <f t="shared" si="56"/>
        <v/>
      </c>
      <c r="C558" s="48"/>
      <c r="D558" s="49" t="str">
        <f t="shared" si="57"/>
        <v/>
      </c>
      <c r="E558" s="50" t="str">
        <f t="shared" si="58"/>
        <v/>
      </c>
      <c r="F558" s="51"/>
      <c r="G558" s="52"/>
      <c r="H558" s="51"/>
      <c r="I558" s="51"/>
      <c r="J558" s="52"/>
      <c r="K558" s="53" t="str">
        <f>IF(G558="","",IFERROR(INDEX(Stammdaten!$P$10:$P$69,MATCH(G558,Stammdaten!$N$10:$N$69,0)),"–"))</f>
        <v/>
      </c>
      <c r="L558" s="53" t="str">
        <f>IF(F558="","",IFERROR(INDEX(Stammdaten!$D$10:$D$49,MATCH(F558,Stammdaten!$B$10:$B$49,0)),"–"))</f>
        <v/>
      </c>
      <c r="M558" s="54" t="str">
        <f>IF(C558="","",IF(OR(F558="",G558="",I558=""),"unvollständig",IF(I558="Storniert","storniert",IF(WEEKDAY(C558,2)&gt;5,"Wochenende",IF(COUNTIF(Stammdaten!$AD$10:$AD$30,C558)&gt;0,"Feiertag",IF(IFERROR(INDEX(Stammdaten!$I$10:$I$49,MATCH(F558,Stammdaten!$B$10:$B$49,0)),"")="Gesperrt","Platz gesperrt",IF(AND(COUNTIF($P$6:$P$605,P558)&gt;1,NOT(AND(COUNTIF($P$6:$P$605,P558)=2,COUNTIFS($P$6:$P$605,P558,$H$6:$H$605,"Vormittag")=1,COUNTIFS($P$6:$P$605,P558,$H$6:$H$605,"Nachmittag")=1))),"Doppelbuchung",IF(AND(COUNTIF($R$6:$R$605,R558)&gt;1,NOT(AND(COUNTIF($R$6:$R$605,R558)=2,COUNTIFS($R$6:$R$605,R558,$H$6:$H$605,"Vormittag")=1,COUNTIFS($R$6:$R$605,R558,$H$6:$H$605,"Nachmittag")=1))),"Person doppelt","OK"))))))))</f>
        <v/>
      </c>
      <c r="O558" s="55">
        <f t="shared" si="59"/>
        <v>0</v>
      </c>
      <c r="P558" s="55" t="str">
        <f t="shared" si="60"/>
        <v/>
      </c>
      <c r="Q558" s="55" t="str">
        <f>IF(P558="","",P558&amp;"|"&amp;COUNTIF(P$6:P558,P558))</f>
        <v/>
      </c>
      <c r="R558" s="55" t="str">
        <f t="shared" si="61"/>
        <v/>
      </c>
      <c r="S558" s="55" t="str">
        <f>IF(R558="","",R558&amp;"|"&amp;COUNTIF(R$6:R558,R558))</f>
        <v/>
      </c>
      <c r="T558" s="55" t="str">
        <f>IF(G558="","",IFERROR(INDEX(Stammdaten!$O$10:$O$69,MATCH(G558,Stammdaten!$N$10:$N$69,0)),G558)&amp;IF(H558="Vormittag"," (VM)",IF(H558="Nachmittag"," (NM)",""))&amp;IF(I558="Angefragt"," ?",""))</f>
        <v/>
      </c>
      <c r="U558" s="55" t="str">
        <f t="shared" si="62"/>
        <v/>
      </c>
    </row>
    <row r="559" spans="2:21" ht="16.5" customHeight="1" x14ac:dyDescent="0.25">
      <c r="B559" s="47" t="str">
        <f t="shared" si="56"/>
        <v/>
      </c>
      <c r="C559" s="48"/>
      <c r="D559" s="49" t="str">
        <f t="shared" si="57"/>
        <v/>
      </c>
      <c r="E559" s="50" t="str">
        <f t="shared" si="58"/>
        <v/>
      </c>
      <c r="F559" s="51"/>
      <c r="G559" s="52"/>
      <c r="H559" s="51"/>
      <c r="I559" s="51"/>
      <c r="J559" s="52"/>
      <c r="K559" s="53" t="str">
        <f>IF(G559="","",IFERROR(INDEX(Stammdaten!$P$10:$P$69,MATCH(G559,Stammdaten!$N$10:$N$69,0)),"–"))</f>
        <v/>
      </c>
      <c r="L559" s="53" t="str">
        <f>IF(F559="","",IFERROR(INDEX(Stammdaten!$D$10:$D$49,MATCH(F559,Stammdaten!$B$10:$B$49,0)),"–"))</f>
        <v/>
      </c>
      <c r="M559" s="54" t="str">
        <f>IF(C559="","",IF(OR(F559="",G559="",I559=""),"unvollständig",IF(I559="Storniert","storniert",IF(WEEKDAY(C559,2)&gt;5,"Wochenende",IF(COUNTIF(Stammdaten!$AD$10:$AD$30,C559)&gt;0,"Feiertag",IF(IFERROR(INDEX(Stammdaten!$I$10:$I$49,MATCH(F559,Stammdaten!$B$10:$B$49,0)),"")="Gesperrt","Platz gesperrt",IF(AND(COUNTIF($P$6:$P$605,P559)&gt;1,NOT(AND(COUNTIF($P$6:$P$605,P559)=2,COUNTIFS($P$6:$P$605,P559,$H$6:$H$605,"Vormittag")=1,COUNTIFS($P$6:$P$605,P559,$H$6:$H$605,"Nachmittag")=1))),"Doppelbuchung",IF(AND(COUNTIF($R$6:$R$605,R559)&gt;1,NOT(AND(COUNTIF($R$6:$R$605,R559)=2,COUNTIFS($R$6:$R$605,R559,$H$6:$H$605,"Vormittag")=1,COUNTIFS($R$6:$R$605,R559,$H$6:$H$605,"Nachmittag")=1))),"Person doppelt","OK"))))))))</f>
        <v/>
      </c>
      <c r="O559" s="55">
        <f t="shared" si="59"/>
        <v>0</v>
      </c>
      <c r="P559" s="55" t="str">
        <f t="shared" si="60"/>
        <v/>
      </c>
      <c r="Q559" s="55" t="str">
        <f>IF(P559="","",P559&amp;"|"&amp;COUNTIF(P$6:P559,P559))</f>
        <v/>
      </c>
      <c r="R559" s="55" t="str">
        <f t="shared" si="61"/>
        <v/>
      </c>
      <c r="S559" s="55" t="str">
        <f>IF(R559="","",R559&amp;"|"&amp;COUNTIF(R$6:R559,R559))</f>
        <v/>
      </c>
      <c r="T559" s="55" t="str">
        <f>IF(G559="","",IFERROR(INDEX(Stammdaten!$O$10:$O$69,MATCH(G559,Stammdaten!$N$10:$N$69,0)),G559)&amp;IF(H559="Vormittag"," (VM)",IF(H559="Nachmittag"," (NM)",""))&amp;IF(I559="Angefragt"," ?",""))</f>
        <v/>
      </c>
      <c r="U559" s="55" t="str">
        <f t="shared" si="62"/>
        <v/>
      </c>
    </row>
    <row r="560" spans="2:21" ht="16.5" customHeight="1" x14ac:dyDescent="0.25">
      <c r="B560" s="47" t="str">
        <f t="shared" si="56"/>
        <v/>
      </c>
      <c r="C560" s="48"/>
      <c r="D560" s="49" t="str">
        <f t="shared" si="57"/>
        <v/>
      </c>
      <c r="E560" s="50" t="str">
        <f t="shared" si="58"/>
        <v/>
      </c>
      <c r="F560" s="51"/>
      <c r="G560" s="52"/>
      <c r="H560" s="51"/>
      <c r="I560" s="51"/>
      <c r="J560" s="52"/>
      <c r="K560" s="53" t="str">
        <f>IF(G560="","",IFERROR(INDEX(Stammdaten!$P$10:$P$69,MATCH(G560,Stammdaten!$N$10:$N$69,0)),"–"))</f>
        <v/>
      </c>
      <c r="L560" s="53" t="str">
        <f>IF(F560="","",IFERROR(INDEX(Stammdaten!$D$10:$D$49,MATCH(F560,Stammdaten!$B$10:$B$49,0)),"–"))</f>
        <v/>
      </c>
      <c r="M560" s="54" t="str">
        <f>IF(C560="","",IF(OR(F560="",G560="",I560=""),"unvollständig",IF(I560="Storniert","storniert",IF(WEEKDAY(C560,2)&gt;5,"Wochenende",IF(COUNTIF(Stammdaten!$AD$10:$AD$30,C560)&gt;0,"Feiertag",IF(IFERROR(INDEX(Stammdaten!$I$10:$I$49,MATCH(F560,Stammdaten!$B$10:$B$49,0)),"")="Gesperrt","Platz gesperrt",IF(AND(COUNTIF($P$6:$P$605,P560)&gt;1,NOT(AND(COUNTIF($P$6:$P$605,P560)=2,COUNTIFS($P$6:$P$605,P560,$H$6:$H$605,"Vormittag")=1,COUNTIFS($P$6:$P$605,P560,$H$6:$H$605,"Nachmittag")=1))),"Doppelbuchung",IF(AND(COUNTIF($R$6:$R$605,R560)&gt;1,NOT(AND(COUNTIF($R$6:$R$605,R560)=2,COUNTIFS($R$6:$R$605,R560,$H$6:$H$605,"Vormittag")=1,COUNTIFS($R$6:$R$605,R560,$H$6:$H$605,"Nachmittag")=1))),"Person doppelt","OK"))))))))</f>
        <v/>
      </c>
      <c r="O560" s="55">
        <f t="shared" si="59"/>
        <v>0</v>
      </c>
      <c r="P560" s="55" t="str">
        <f t="shared" si="60"/>
        <v/>
      </c>
      <c r="Q560" s="55" t="str">
        <f>IF(P560="","",P560&amp;"|"&amp;COUNTIF(P$6:P560,P560))</f>
        <v/>
      </c>
      <c r="R560" s="55" t="str">
        <f t="shared" si="61"/>
        <v/>
      </c>
      <c r="S560" s="55" t="str">
        <f>IF(R560="","",R560&amp;"|"&amp;COUNTIF(R$6:R560,R560))</f>
        <v/>
      </c>
      <c r="T560" s="55" t="str">
        <f>IF(G560="","",IFERROR(INDEX(Stammdaten!$O$10:$O$69,MATCH(G560,Stammdaten!$N$10:$N$69,0)),G560)&amp;IF(H560="Vormittag"," (VM)",IF(H560="Nachmittag"," (NM)",""))&amp;IF(I560="Angefragt"," ?",""))</f>
        <v/>
      </c>
      <c r="U560" s="55" t="str">
        <f t="shared" si="62"/>
        <v/>
      </c>
    </row>
    <row r="561" spans="2:21" ht="16.5" customHeight="1" x14ac:dyDescent="0.25">
      <c r="B561" s="47" t="str">
        <f t="shared" si="56"/>
        <v/>
      </c>
      <c r="C561" s="48"/>
      <c r="D561" s="49" t="str">
        <f t="shared" si="57"/>
        <v/>
      </c>
      <c r="E561" s="50" t="str">
        <f t="shared" si="58"/>
        <v/>
      </c>
      <c r="F561" s="51"/>
      <c r="G561" s="52"/>
      <c r="H561" s="51"/>
      <c r="I561" s="51"/>
      <c r="J561" s="52"/>
      <c r="K561" s="53" t="str">
        <f>IF(G561="","",IFERROR(INDEX(Stammdaten!$P$10:$P$69,MATCH(G561,Stammdaten!$N$10:$N$69,0)),"–"))</f>
        <v/>
      </c>
      <c r="L561" s="53" t="str">
        <f>IF(F561="","",IFERROR(INDEX(Stammdaten!$D$10:$D$49,MATCH(F561,Stammdaten!$B$10:$B$49,0)),"–"))</f>
        <v/>
      </c>
      <c r="M561" s="54" t="str">
        <f>IF(C561="","",IF(OR(F561="",G561="",I561=""),"unvollständig",IF(I561="Storniert","storniert",IF(WEEKDAY(C561,2)&gt;5,"Wochenende",IF(COUNTIF(Stammdaten!$AD$10:$AD$30,C561)&gt;0,"Feiertag",IF(IFERROR(INDEX(Stammdaten!$I$10:$I$49,MATCH(F561,Stammdaten!$B$10:$B$49,0)),"")="Gesperrt","Platz gesperrt",IF(AND(COUNTIF($P$6:$P$605,P561)&gt;1,NOT(AND(COUNTIF($P$6:$P$605,P561)=2,COUNTIFS($P$6:$P$605,P561,$H$6:$H$605,"Vormittag")=1,COUNTIFS($P$6:$P$605,P561,$H$6:$H$605,"Nachmittag")=1))),"Doppelbuchung",IF(AND(COUNTIF($R$6:$R$605,R561)&gt;1,NOT(AND(COUNTIF($R$6:$R$605,R561)=2,COUNTIFS($R$6:$R$605,R561,$H$6:$H$605,"Vormittag")=1,COUNTIFS($R$6:$R$605,R561,$H$6:$H$605,"Nachmittag")=1))),"Person doppelt","OK"))))))))</f>
        <v/>
      </c>
      <c r="O561" s="55">
        <f t="shared" si="59"/>
        <v>0</v>
      </c>
      <c r="P561" s="55" t="str">
        <f t="shared" si="60"/>
        <v/>
      </c>
      <c r="Q561" s="55" t="str">
        <f>IF(P561="","",P561&amp;"|"&amp;COUNTIF(P$6:P561,P561))</f>
        <v/>
      </c>
      <c r="R561" s="55" t="str">
        <f t="shared" si="61"/>
        <v/>
      </c>
      <c r="S561" s="55" t="str">
        <f>IF(R561="","",R561&amp;"|"&amp;COUNTIF(R$6:R561,R561))</f>
        <v/>
      </c>
      <c r="T561" s="55" t="str">
        <f>IF(G561="","",IFERROR(INDEX(Stammdaten!$O$10:$O$69,MATCH(G561,Stammdaten!$N$10:$N$69,0)),G561)&amp;IF(H561="Vormittag"," (VM)",IF(H561="Nachmittag"," (NM)",""))&amp;IF(I561="Angefragt"," ?",""))</f>
        <v/>
      </c>
      <c r="U561" s="55" t="str">
        <f t="shared" si="62"/>
        <v/>
      </c>
    </row>
    <row r="562" spans="2:21" ht="16.5" customHeight="1" x14ac:dyDescent="0.25">
      <c r="B562" s="47" t="str">
        <f t="shared" si="56"/>
        <v/>
      </c>
      <c r="C562" s="48"/>
      <c r="D562" s="49" t="str">
        <f t="shared" si="57"/>
        <v/>
      </c>
      <c r="E562" s="50" t="str">
        <f t="shared" si="58"/>
        <v/>
      </c>
      <c r="F562" s="51"/>
      <c r="G562" s="52"/>
      <c r="H562" s="51"/>
      <c r="I562" s="51"/>
      <c r="J562" s="52"/>
      <c r="K562" s="53" t="str">
        <f>IF(G562="","",IFERROR(INDEX(Stammdaten!$P$10:$P$69,MATCH(G562,Stammdaten!$N$10:$N$69,0)),"–"))</f>
        <v/>
      </c>
      <c r="L562" s="53" t="str">
        <f>IF(F562="","",IFERROR(INDEX(Stammdaten!$D$10:$D$49,MATCH(F562,Stammdaten!$B$10:$B$49,0)),"–"))</f>
        <v/>
      </c>
      <c r="M562" s="54" t="str">
        <f>IF(C562="","",IF(OR(F562="",G562="",I562=""),"unvollständig",IF(I562="Storniert","storniert",IF(WEEKDAY(C562,2)&gt;5,"Wochenende",IF(COUNTIF(Stammdaten!$AD$10:$AD$30,C562)&gt;0,"Feiertag",IF(IFERROR(INDEX(Stammdaten!$I$10:$I$49,MATCH(F562,Stammdaten!$B$10:$B$49,0)),"")="Gesperrt","Platz gesperrt",IF(AND(COUNTIF($P$6:$P$605,P562)&gt;1,NOT(AND(COUNTIF($P$6:$P$605,P562)=2,COUNTIFS($P$6:$P$605,P562,$H$6:$H$605,"Vormittag")=1,COUNTIFS($P$6:$P$605,P562,$H$6:$H$605,"Nachmittag")=1))),"Doppelbuchung",IF(AND(COUNTIF($R$6:$R$605,R562)&gt;1,NOT(AND(COUNTIF($R$6:$R$605,R562)=2,COUNTIFS($R$6:$R$605,R562,$H$6:$H$605,"Vormittag")=1,COUNTIFS($R$6:$R$605,R562,$H$6:$H$605,"Nachmittag")=1))),"Person doppelt","OK"))))))))</f>
        <v/>
      </c>
      <c r="O562" s="55">
        <f t="shared" si="59"/>
        <v>0</v>
      </c>
      <c r="P562" s="55" t="str">
        <f t="shared" si="60"/>
        <v/>
      </c>
      <c r="Q562" s="55" t="str">
        <f>IF(P562="","",P562&amp;"|"&amp;COUNTIF(P$6:P562,P562))</f>
        <v/>
      </c>
      <c r="R562" s="55" t="str">
        <f t="shared" si="61"/>
        <v/>
      </c>
      <c r="S562" s="55" t="str">
        <f>IF(R562="","",R562&amp;"|"&amp;COUNTIF(R$6:R562,R562))</f>
        <v/>
      </c>
      <c r="T562" s="55" t="str">
        <f>IF(G562="","",IFERROR(INDEX(Stammdaten!$O$10:$O$69,MATCH(G562,Stammdaten!$N$10:$N$69,0)),G562)&amp;IF(H562="Vormittag"," (VM)",IF(H562="Nachmittag"," (NM)",""))&amp;IF(I562="Angefragt"," ?",""))</f>
        <v/>
      </c>
      <c r="U562" s="55" t="str">
        <f t="shared" si="62"/>
        <v/>
      </c>
    </row>
    <row r="563" spans="2:21" ht="16.5" customHeight="1" x14ac:dyDescent="0.25">
      <c r="B563" s="47" t="str">
        <f t="shared" si="56"/>
        <v/>
      </c>
      <c r="C563" s="48"/>
      <c r="D563" s="49" t="str">
        <f t="shared" si="57"/>
        <v/>
      </c>
      <c r="E563" s="50" t="str">
        <f t="shared" si="58"/>
        <v/>
      </c>
      <c r="F563" s="51"/>
      <c r="G563" s="52"/>
      <c r="H563" s="51"/>
      <c r="I563" s="51"/>
      <c r="J563" s="52"/>
      <c r="K563" s="53" t="str">
        <f>IF(G563="","",IFERROR(INDEX(Stammdaten!$P$10:$P$69,MATCH(G563,Stammdaten!$N$10:$N$69,0)),"–"))</f>
        <v/>
      </c>
      <c r="L563" s="53" t="str">
        <f>IF(F563="","",IFERROR(INDEX(Stammdaten!$D$10:$D$49,MATCH(F563,Stammdaten!$B$10:$B$49,0)),"–"))</f>
        <v/>
      </c>
      <c r="M563" s="54" t="str">
        <f>IF(C563="","",IF(OR(F563="",G563="",I563=""),"unvollständig",IF(I563="Storniert","storniert",IF(WEEKDAY(C563,2)&gt;5,"Wochenende",IF(COUNTIF(Stammdaten!$AD$10:$AD$30,C563)&gt;0,"Feiertag",IF(IFERROR(INDEX(Stammdaten!$I$10:$I$49,MATCH(F563,Stammdaten!$B$10:$B$49,0)),"")="Gesperrt","Platz gesperrt",IF(AND(COUNTIF($P$6:$P$605,P563)&gt;1,NOT(AND(COUNTIF($P$6:$P$605,P563)=2,COUNTIFS($P$6:$P$605,P563,$H$6:$H$605,"Vormittag")=1,COUNTIFS($P$6:$P$605,P563,$H$6:$H$605,"Nachmittag")=1))),"Doppelbuchung",IF(AND(COUNTIF($R$6:$R$605,R563)&gt;1,NOT(AND(COUNTIF($R$6:$R$605,R563)=2,COUNTIFS($R$6:$R$605,R563,$H$6:$H$605,"Vormittag")=1,COUNTIFS($R$6:$R$605,R563,$H$6:$H$605,"Nachmittag")=1))),"Person doppelt","OK"))))))))</f>
        <v/>
      </c>
      <c r="O563" s="55">
        <f t="shared" si="59"/>
        <v>0</v>
      </c>
      <c r="P563" s="55" t="str">
        <f t="shared" si="60"/>
        <v/>
      </c>
      <c r="Q563" s="55" t="str">
        <f>IF(P563="","",P563&amp;"|"&amp;COUNTIF(P$6:P563,P563))</f>
        <v/>
      </c>
      <c r="R563" s="55" t="str">
        <f t="shared" si="61"/>
        <v/>
      </c>
      <c r="S563" s="55" t="str">
        <f>IF(R563="","",R563&amp;"|"&amp;COUNTIF(R$6:R563,R563))</f>
        <v/>
      </c>
      <c r="T563" s="55" t="str">
        <f>IF(G563="","",IFERROR(INDEX(Stammdaten!$O$10:$O$69,MATCH(G563,Stammdaten!$N$10:$N$69,0)),G563)&amp;IF(H563="Vormittag"," (VM)",IF(H563="Nachmittag"," (NM)",""))&amp;IF(I563="Angefragt"," ?",""))</f>
        <v/>
      </c>
      <c r="U563" s="55" t="str">
        <f t="shared" si="62"/>
        <v/>
      </c>
    </row>
    <row r="564" spans="2:21" ht="16.5" customHeight="1" x14ac:dyDescent="0.25">
      <c r="B564" s="47" t="str">
        <f t="shared" si="56"/>
        <v/>
      </c>
      <c r="C564" s="48"/>
      <c r="D564" s="49" t="str">
        <f t="shared" si="57"/>
        <v/>
      </c>
      <c r="E564" s="50" t="str">
        <f t="shared" si="58"/>
        <v/>
      </c>
      <c r="F564" s="51"/>
      <c r="G564" s="52"/>
      <c r="H564" s="51"/>
      <c r="I564" s="51"/>
      <c r="J564" s="52"/>
      <c r="K564" s="53" t="str">
        <f>IF(G564="","",IFERROR(INDEX(Stammdaten!$P$10:$P$69,MATCH(G564,Stammdaten!$N$10:$N$69,0)),"–"))</f>
        <v/>
      </c>
      <c r="L564" s="53" t="str">
        <f>IF(F564="","",IFERROR(INDEX(Stammdaten!$D$10:$D$49,MATCH(F564,Stammdaten!$B$10:$B$49,0)),"–"))</f>
        <v/>
      </c>
      <c r="M564" s="54" t="str">
        <f>IF(C564="","",IF(OR(F564="",G564="",I564=""),"unvollständig",IF(I564="Storniert","storniert",IF(WEEKDAY(C564,2)&gt;5,"Wochenende",IF(COUNTIF(Stammdaten!$AD$10:$AD$30,C564)&gt;0,"Feiertag",IF(IFERROR(INDEX(Stammdaten!$I$10:$I$49,MATCH(F564,Stammdaten!$B$10:$B$49,0)),"")="Gesperrt","Platz gesperrt",IF(AND(COUNTIF($P$6:$P$605,P564)&gt;1,NOT(AND(COUNTIF($P$6:$P$605,P564)=2,COUNTIFS($P$6:$P$605,P564,$H$6:$H$605,"Vormittag")=1,COUNTIFS($P$6:$P$605,P564,$H$6:$H$605,"Nachmittag")=1))),"Doppelbuchung",IF(AND(COUNTIF($R$6:$R$605,R564)&gt;1,NOT(AND(COUNTIF($R$6:$R$605,R564)=2,COUNTIFS($R$6:$R$605,R564,$H$6:$H$605,"Vormittag")=1,COUNTIFS($R$6:$R$605,R564,$H$6:$H$605,"Nachmittag")=1))),"Person doppelt","OK"))))))))</f>
        <v/>
      </c>
      <c r="O564" s="55">
        <f t="shared" si="59"/>
        <v>0</v>
      </c>
      <c r="P564" s="55" t="str">
        <f t="shared" si="60"/>
        <v/>
      </c>
      <c r="Q564" s="55" t="str">
        <f>IF(P564="","",P564&amp;"|"&amp;COUNTIF(P$6:P564,P564))</f>
        <v/>
      </c>
      <c r="R564" s="55" t="str">
        <f t="shared" si="61"/>
        <v/>
      </c>
      <c r="S564" s="55" t="str">
        <f>IF(R564="","",R564&amp;"|"&amp;COUNTIF(R$6:R564,R564))</f>
        <v/>
      </c>
      <c r="T564" s="55" t="str">
        <f>IF(G564="","",IFERROR(INDEX(Stammdaten!$O$10:$O$69,MATCH(G564,Stammdaten!$N$10:$N$69,0)),G564)&amp;IF(H564="Vormittag"," (VM)",IF(H564="Nachmittag"," (NM)",""))&amp;IF(I564="Angefragt"," ?",""))</f>
        <v/>
      </c>
      <c r="U564" s="55" t="str">
        <f t="shared" si="62"/>
        <v/>
      </c>
    </row>
    <row r="565" spans="2:21" ht="16.5" customHeight="1" x14ac:dyDescent="0.25">
      <c r="B565" s="47" t="str">
        <f t="shared" si="56"/>
        <v/>
      </c>
      <c r="C565" s="48"/>
      <c r="D565" s="49" t="str">
        <f t="shared" si="57"/>
        <v/>
      </c>
      <c r="E565" s="50" t="str">
        <f t="shared" si="58"/>
        <v/>
      </c>
      <c r="F565" s="51"/>
      <c r="G565" s="52"/>
      <c r="H565" s="51"/>
      <c r="I565" s="51"/>
      <c r="J565" s="52"/>
      <c r="K565" s="53" t="str">
        <f>IF(G565="","",IFERROR(INDEX(Stammdaten!$P$10:$P$69,MATCH(G565,Stammdaten!$N$10:$N$69,0)),"–"))</f>
        <v/>
      </c>
      <c r="L565" s="53" t="str">
        <f>IF(F565="","",IFERROR(INDEX(Stammdaten!$D$10:$D$49,MATCH(F565,Stammdaten!$B$10:$B$49,0)),"–"))</f>
        <v/>
      </c>
      <c r="M565" s="54" t="str">
        <f>IF(C565="","",IF(OR(F565="",G565="",I565=""),"unvollständig",IF(I565="Storniert","storniert",IF(WEEKDAY(C565,2)&gt;5,"Wochenende",IF(COUNTIF(Stammdaten!$AD$10:$AD$30,C565)&gt;0,"Feiertag",IF(IFERROR(INDEX(Stammdaten!$I$10:$I$49,MATCH(F565,Stammdaten!$B$10:$B$49,0)),"")="Gesperrt","Platz gesperrt",IF(AND(COUNTIF($P$6:$P$605,P565)&gt;1,NOT(AND(COUNTIF($P$6:$P$605,P565)=2,COUNTIFS($P$6:$P$605,P565,$H$6:$H$605,"Vormittag")=1,COUNTIFS($P$6:$P$605,P565,$H$6:$H$605,"Nachmittag")=1))),"Doppelbuchung",IF(AND(COUNTIF($R$6:$R$605,R565)&gt;1,NOT(AND(COUNTIF($R$6:$R$605,R565)=2,COUNTIFS($R$6:$R$605,R565,$H$6:$H$605,"Vormittag")=1,COUNTIFS($R$6:$R$605,R565,$H$6:$H$605,"Nachmittag")=1))),"Person doppelt","OK"))))))))</f>
        <v/>
      </c>
      <c r="O565" s="55">
        <f t="shared" si="59"/>
        <v>0</v>
      </c>
      <c r="P565" s="55" t="str">
        <f t="shared" si="60"/>
        <v/>
      </c>
      <c r="Q565" s="55" t="str">
        <f>IF(P565="","",P565&amp;"|"&amp;COUNTIF(P$6:P565,P565))</f>
        <v/>
      </c>
      <c r="R565" s="55" t="str">
        <f t="shared" si="61"/>
        <v/>
      </c>
      <c r="S565" s="55" t="str">
        <f>IF(R565="","",R565&amp;"|"&amp;COUNTIF(R$6:R565,R565))</f>
        <v/>
      </c>
      <c r="T565" s="55" t="str">
        <f>IF(G565="","",IFERROR(INDEX(Stammdaten!$O$10:$O$69,MATCH(G565,Stammdaten!$N$10:$N$69,0)),G565)&amp;IF(H565="Vormittag"," (VM)",IF(H565="Nachmittag"," (NM)",""))&amp;IF(I565="Angefragt"," ?",""))</f>
        <v/>
      </c>
      <c r="U565" s="55" t="str">
        <f t="shared" si="62"/>
        <v/>
      </c>
    </row>
    <row r="566" spans="2:21" ht="16.5" customHeight="1" x14ac:dyDescent="0.25">
      <c r="B566" s="47" t="str">
        <f t="shared" si="56"/>
        <v/>
      </c>
      <c r="C566" s="48"/>
      <c r="D566" s="49" t="str">
        <f t="shared" si="57"/>
        <v/>
      </c>
      <c r="E566" s="50" t="str">
        <f t="shared" si="58"/>
        <v/>
      </c>
      <c r="F566" s="51"/>
      <c r="G566" s="52"/>
      <c r="H566" s="51"/>
      <c r="I566" s="51"/>
      <c r="J566" s="52"/>
      <c r="K566" s="53" t="str">
        <f>IF(G566="","",IFERROR(INDEX(Stammdaten!$P$10:$P$69,MATCH(G566,Stammdaten!$N$10:$N$69,0)),"–"))</f>
        <v/>
      </c>
      <c r="L566" s="53" t="str">
        <f>IF(F566="","",IFERROR(INDEX(Stammdaten!$D$10:$D$49,MATCH(F566,Stammdaten!$B$10:$B$49,0)),"–"))</f>
        <v/>
      </c>
      <c r="M566" s="54" t="str">
        <f>IF(C566="","",IF(OR(F566="",G566="",I566=""),"unvollständig",IF(I566="Storniert","storniert",IF(WEEKDAY(C566,2)&gt;5,"Wochenende",IF(COUNTIF(Stammdaten!$AD$10:$AD$30,C566)&gt;0,"Feiertag",IF(IFERROR(INDEX(Stammdaten!$I$10:$I$49,MATCH(F566,Stammdaten!$B$10:$B$49,0)),"")="Gesperrt","Platz gesperrt",IF(AND(COUNTIF($P$6:$P$605,P566)&gt;1,NOT(AND(COUNTIF($P$6:$P$605,P566)=2,COUNTIFS($P$6:$P$605,P566,$H$6:$H$605,"Vormittag")=1,COUNTIFS($P$6:$P$605,P566,$H$6:$H$605,"Nachmittag")=1))),"Doppelbuchung",IF(AND(COUNTIF($R$6:$R$605,R566)&gt;1,NOT(AND(COUNTIF($R$6:$R$605,R566)=2,COUNTIFS($R$6:$R$605,R566,$H$6:$H$605,"Vormittag")=1,COUNTIFS($R$6:$R$605,R566,$H$6:$H$605,"Nachmittag")=1))),"Person doppelt","OK"))))))))</f>
        <v/>
      </c>
      <c r="O566" s="55">
        <f t="shared" si="59"/>
        <v>0</v>
      </c>
      <c r="P566" s="55" t="str">
        <f t="shared" si="60"/>
        <v/>
      </c>
      <c r="Q566" s="55" t="str">
        <f>IF(P566="","",P566&amp;"|"&amp;COUNTIF(P$6:P566,P566))</f>
        <v/>
      </c>
      <c r="R566" s="55" t="str">
        <f t="shared" si="61"/>
        <v/>
      </c>
      <c r="S566" s="55" t="str">
        <f>IF(R566="","",R566&amp;"|"&amp;COUNTIF(R$6:R566,R566))</f>
        <v/>
      </c>
      <c r="T566" s="55" t="str">
        <f>IF(G566="","",IFERROR(INDEX(Stammdaten!$O$10:$O$69,MATCH(G566,Stammdaten!$N$10:$N$69,0)),G566)&amp;IF(H566="Vormittag"," (VM)",IF(H566="Nachmittag"," (NM)",""))&amp;IF(I566="Angefragt"," ?",""))</f>
        <v/>
      </c>
      <c r="U566" s="55" t="str">
        <f t="shared" si="62"/>
        <v/>
      </c>
    </row>
    <row r="567" spans="2:21" ht="16.5" customHeight="1" x14ac:dyDescent="0.25">
      <c r="B567" s="47" t="str">
        <f t="shared" si="56"/>
        <v/>
      </c>
      <c r="C567" s="48"/>
      <c r="D567" s="49" t="str">
        <f t="shared" si="57"/>
        <v/>
      </c>
      <c r="E567" s="50" t="str">
        <f t="shared" si="58"/>
        <v/>
      </c>
      <c r="F567" s="51"/>
      <c r="G567" s="52"/>
      <c r="H567" s="51"/>
      <c r="I567" s="51"/>
      <c r="J567" s="52"/>
      <c r="K567" s="53" t="str">
        <f>IF(G567="","",IFERROR(INDEX(Stammdaten!$P$10:$P$69,MATCH(G567,Stammdaten!$N$10:$N$69,0)),"–"))</f>
        <v/>
      </c>
      <c r="L567" s="53" t="str">
        <f>IF(F567="","",IFERROR(INDEX(Stammdaten!$D$10:$D$49,MATCH(F567,Stammdaten!$B$10:$B$49,0)),"–"))</f>
        <v/>
      </c>
      <c r="M567" s="54" t="str">
        <f>IF(C567="","",IF(OR(F567="",G567="",I567=""),"unvollständig",IF(I567="Storniert","storniert",IF(WEEKDAY(C567,2)&gt;5,"Wochenende",IF(COUNTIF(Stammdaten!$AD$10:$AD$30,C567)&gt;0,"Feiertag",IF(IFERROR(INDEX(Stammdaten!$I$10:$I$49,MATCH(F567,Stammdaten!$B$10:$B$49,0)),"")="Gesperrt","Platz gesperrt",IF(AND(COUNTIF($P$6:$P$605,P567)&gt;1,NOT(AND(COUNTIF($P$6:$P$605,P567)=2,COUNTIFS($P$6:$P$605,P567,$H$6:$H$605,"Vormittag")=1,COUNTIFS($P$6:$P$605,P567,$H$6:$H$605,"Nachmittag")=1))),"Doppelbuchung",IF(AND(COUNTIF($R$6:$R$605,R567)&gt;1,NOT(AND(COUNTIF($R$6:$R$605,R567)=2,COUNTIFS($R$6:$R$605,R567,$H$6:$H$605,"Vormittag")=1,COUNTIFS($R$6:$R$605,R567,$H$6:$H$605,"Nachmittag")=1))),"Person doppelt","OK"))))))))</f>
        <v/>
      </c>
      <c r="O567" s="55">
        <f t="shared" si="59"/>
        <v>0</v>
      </c>
      <c r="P567" s="55" t="str">
        <f t="shared" si="60"/>
        <v/>
      </c>
      <c r="Q567" s="55" t="str">
        <f>IF(P567="","",P567&amp;"|"&amp;COUNTIF(P$6:P567,P567))</f>
        <v/>
      </c>
      <c r="R567" s="55" t="str">
        <f t="shared" si="61"/>
        <v/>
      </c>
      <c r="S567" s="55" t="str">
        <f>IF(R567="","",R567&amp;"|"&amp;COUNTIF(R$6:R567,R567))</f>
        <v/>
      </c>
      <c r="T567" s="55" t="str">
        <f>IF(G567="","",IFERROR(INDEX(Stammdaten!$O$10:$O$69,MATCH(G567,Stammdaten!$N$10:$N$69,0)),G567)&amp;IF(H567="Vormittag"," (VM)",IF(H567="Nachmittag"," (NM)",""))&amp;IF(I567="Angefragt"," ?",""))</f>
        <v/>
      </c>
      <c r="U567" s="55" t="str">
        <f t="shared" si="62"/>
        <v/>
      </c>
    </row>
    <row r="568" spans="2:21" ht="16.5" customHeight="1" x14ac:dyDescent="0.25">
      <c r="B568" s="47" t="str">
        <f t="shared" si="56"/>
        <v/>
      </c>
      <c r="C568" s="48"/>
      <c r="D568" s="49" t="str">
        <f t="shared" si="57"/>
        <v/>
      </c>
      <c r="E568" s="50" t="str">
        <f t="shared" si="58"/>
        <v/>
      </c>
      <c r="F568" s="51"/>
      <c r="G568" s="52"/>
      <c r="H568" s="51"/>
      <c r="I568" s="51"/>
      <c r="J568" s="52"/>
      <c r="K568" s="53" t="str">
        <f>IF(G568="","",IFERROR(INDEX(Stammdaten!$P$10:$P$69,MATCH(G568,Stammdaten!$N$10:$N$69,0)),"–"))</f>
        <v/>
      </c>
      <c r="L568" s="53" t="str">
        <f>IF(F568="","",IFERROR(INDEX(Stammdaten!$D$10:$D$49,MATCH(F568,Stammdaten!$B$10:$B$49,0)),"–"))</f>
        <v/>
      </c>
      <c r="M568" s="54" t="str">
        <f>IF(C568="","",IF(OR(F568="",G568="",I568=""),"unvollständig",IF(I568="Storniert","storniert",IF(WEEKDAY(C568,2)&gt;5,"Wochenende",IF(COUNTIF(Stammdaten!$AD$10:$AD$30,C568)&gt;0,"Feiertag",IF(IFERROR(INDEX(Stammdaten!$I$10:$I$49,MATCH(F568,Stammdaten!$B$10:$B$49,0)),"")="Gesperrt","Platz gesperrt",IF(AND(COUNTIF($P$6:$P$605,P568)&gt;1,NOT(AND(COUNTIF($P$6:$P$605,P568)=2,COUNTIFS($P$6:$P$605,P568,$H$6:$H$605,"Vormittag")=1,COUNTIFS($P$6:$P$605,P568,$H$6:$H$605,"Nachmittag")=1))),"Doppelbuchung",IF(AND(COUNTIF($R$6:$R$605,R568)&gt;1,NOT(AND(COUNTIF($R$6:$R$605,R568)=2,COUNTIFS($R$6:$R$605,R568,$H$6:$H$605,"Vormittag")=1,COUNTIFS($R$6:$R$605,R568,$H$6:$H$605,"Nachmittag")=1))),"Person doppelt","OK"))))))))</f>
        <v/>
      </c>
      <c r="O568" s="55">
        <f t="shared" si="59"/>
        <v>0</v>
      </c>
      <c r="P568" s="55" t="str">
        <f t="shared" si="60"/>
        <v/>
      </c>
      <c r="Q568" s="55" t="str">
        <f>IF(P568="","",P568&amp;"|"&amp;COUNTIF(P$6:P568,P568))</f>
        <v/>
      </c>
      <c r="R568" s="55" t="str">
        <f t="shared" si="61"/>
        <v/>
      </c>
      <c r="S568" s="55" t="str">
        <f>IF(R568="","",R568&amp;"|"&amp;COUNTIF(R$6:R568,R568))</f>
        <v/>
      </c>
      <c r="T568" s="55" t="str">
        <f>IF(G568="","",IFERROR(INDEX(Stammdaten!$O$10:$O$69,MATCH(G568,Stammdaten!$N$10:$N$69,0)),G568)&amp;IF(H568="Vormittag"," (VM)",IF(H568="Nachmittag"," (NM)",""))&amp;IF(I568="Angefragt"," ?",""))</f>
        <v/>
      </c>
      <c r="U568" s="55" t="str">
        <f t="shared" si="62"/>
        <v/>
      </c>
    </row>
    <row r="569" spans="2:21" ht="16.5" customHeight="1" x14ac:dyDescent="0.25">
      <c r="B569" s="47" t="str">
        <f t="shared" si="56"/>
        <v/>
      </c>
      <c r="C569" s="48"/>
      <c r="D569" s="49" t="str">
        <f t="shared" si="57"/>
        <v/>
      </c>
      <c r="E569" s="50" t="str">
        <f t="shared" si="58"/>
        <v/>
      </c>
      <c r="F569" s="51"/>
      <c r="G569" s="52"/>
      <c r="H569" s="51"/>
      <c r="I569" s="51"/>
      <c r="J569" s="52"/>
      <c r="K569" s="53" t="str">
        <f>IF(G569="","",IFERROR(INDEX(Stammdaten!$P$10:$P$69,MATCH(G569,Stammdaten!$N$10:$N$69,0)),"–"))</f>
        <v/>
      </c>
      <c r="L569" s="53" t="str">
        <f>IF(F569="","",IFERROR(INDEX(Stammdaten!$D$10:$D$49,MATCH(F569,Stammdaten!$B$10:$B$49,0)),"–"))</f>
        <v/>
      </c>
      <c r="M569" s="54" t="str">
        <f>IF(C569="","",IF(OR(F569="",G569="",I569=""),"unvollständig",IF(I569="Storniert","storniert",IF(WEEKDAY(C569,2)&gt;5,"Wochenende",IF(COUNTIF(Stammdaten!$AD$10:$AD$30,C569)&gt;0,"Feiertag",IF(IFERROR(INDEX(Stammdaten!$I$10:$I$49,MATCH(F569,Stammdaten!$B$10:$B$49,0)),"")="Gesperrt","Platz gesperrt",IF(AND(COUNTIF($P$6:$P$605,P569)&gt;1,NOT(AND(COUNTIF($P$6:$P$605,P569)=2,COUNTIFS($P$6:$P$605,P569,$H$6:$H$605,"Vormittag")=1,COUNTIFS($P$6:$P$605,P569,$H$6:$H$605,"Nachmittag")=1))),"Doppelbuchung",IF(AND(COUNTIF($R$6:$R$605,R569)&gt;1,NOT(AND(COUNTIF($R$6:$R$605,R569)=2,COUNTIFS($R$6:$R$605,R569,$H$6:$H$605,"Vormittag")=1,COUNTIFS($R$6:$R$605,R569,$H$6:$H$605,"Nachmittag")=1))),"Person doppelt","OK"))))))))</f>
        <v/>
      </c>
      <c r="O569" s="55">
        <f t="shared" si="59"/>
        <v>0</v>
      </c>
      <c r="P569" s="55" t="str">
        <f t="shared" si="60"/>
        <v/>
      </c>
      <c r="Q569" s="55" t="str">
        <f>IF(P569="","",P569&amp;"|"&amp;COUNTIF(P$6:P569,P569))</f>
        <v/>
      </c>
      <c r="R569" s="55" t="str">
        <f t="shared" si="61"/>
        <v/>
      </c>
      <c r="S569" s="55" t="str">
        <f>IF(R569="","",R569&amp;"|"&amp;COUNTIF(R$6:R569,R569))</f>
        <v/>
      </c>
      <c r="T569" s="55" t="str">
        <f>IF(G569="","",IFERROR(INDEX(Stammdaten!$O$10:$O$69,MATCH(G569,Stammdaten!$N$10:$N$69,0)),G569)&amp;IF(H569="Vormittag"," (VM)",IF(H569="Nachmittag"," (NM)",""))&amp;IF(I569="Angefragt"," ?",""))</f>
        <v/>
      </c>
      <c r="U569" s="55" t="str">
        <f t="shared" si="62"/>
        <v/>
      </c>
    </row>
    <row r="570" spans="2:21" ht="16.5" customHeight="1" x14ac:dyDescent="0.25">
      <c r="B570" s="47" t="str">
        <f t="shared" si="56"/>
        <v/>
      </c>
      <c r="C570" s="48"/>
      <c r="D570" s="49" t="str">
        <f t="shared" si="57"/>
        <v/>
      </c>
      <c r="E570" s="50" t="str">
        <f t="shared" si="58"/>
        <v/>
      </c>
      <c r="F570" s="51"/>
      <c r="G570" s="52"/>
      <c r="H570" s="51"/>
      <c r="I570" s="51"/>
      <c r="J570" s="52"/>
      <c r="K570" s="53" t="str">
        <f>IF(G570="","",IFERROR(INDEX(Stammdaten!$P$10:$P$69,MATCH(G570,Stammdaten!$N$10:$N$69,0)),"–"))</f>
        <v/>
      </c>
      <c r="L570" s="53" t="str">
        <f>IF(F570="","",IFERROR(INDEX(Stammdaten!$D$10:$D$49,MATCH(F570,Stammdaten!$B$10:$B$49,0)),"–"))</f>
        <v/>
      </c>
      <c r="M570" s="54" t="str">
        <f>IF(C570="","",IF(OR(F570="",G570="",I570=""),"unvollständig",IF(I570="Storniert","storniert",IF(WEEKDAY(C570,2)&gt;5,"Wochenende",IF(COUNTIF(Stammdaten!$AD$10:$AD$30,C570)&gt;0,"Feiertag",IF(IFERROR(INDEX(Stammdaten!$I$10:$I$49,MATCH(F570,Stammdaten!$B$10:$B$49,0)),"")="Gesperrt","Platz gesperrt",IF(AND(COUNTIF($P$6:$P$605,P570)&gt;1,NOT(AND(COUNTIF($P$6:$P$605,P570)=2,COUNTIFS($P$6:$P$605,P570,$H$6:$H$605,"Vormittag")=1,COUNTIFS($P$6:$P$605,P570,$H$6:$H$605,"Nachmittag")=1))),"Doppelbuchung",IF(AND(COUNTIF($R$6:$R$605,R570)&gt;1,NOT(AND(COUNTIF($R$6:$R$605,R570)=2,COUNTIFS($R$6:$R$605,R570,$H$6:$H$605,"Vormittag")=1,COUNTIFS($R$6:$R$605,R570,$H$6:$H$605,"Nachmittag")=1))),"Person doppelt","OK"))))))))</f>
        <v/>
      </c>
      <c r="O570" s="55">
        <f t="shared" si="59"/>
        <v>0</v>
      </c>
      <c r="P570" s="55" t="str">
        <f t="shared" si="60"/>
        <v/>
      </c>
      <c r="Q570" s="55" t="str">
        <f>IF(P570="","",P570&amp;"|"&amp;COUNTIF(P$6:P570,P570))</f>
        <v/>
      </c>
      <c r="R570" s="55" t="str">
        <f t="shared" si="61"/>
        <v/>
      </c>
      <c r="S570" s="55" t="str">
        <f>IF(R570="","",R570&amp;"|"&amp;COUNTIF(R$6:R570,R570))</f>
        <v/>
      </c>
      <c r="T570" s="55" t="str">
        <f>IF(G570="","",IFERROR(INDEX(Stammdaten!$O$10:$O$69,MATCH(G570,Stammdaten!$N$10:$N$69,0)),G570)&amp;IF(H570="Vormittag"," (VM)",IF(H570="Nachmittag"," (NM)",""))&amp;IF(I570="Angefragt"," ?",""))</f>
        <v/>
      </c>
      <c r="U570" s="55" t="str">
        <f t="shared" si="62"/>
        <v/>
      </c>
    </row>
    <row r="571" spans="2:21" ht="16.5" customHeight="1" x14ac:dyDescent="0.25">
      <c r="B571" s="47" t="str">
        <f t="shared" si="56"/>
        <v/>
      </c>
      <c r="C571" s="48"/>
      <c r="D571" s="49" t="str">
        <f t="shared" si="57"/>
        <v/>
      </c>
      <c r="E571" s="50" t="str">
        <f t="shared" si="58"/>
        <v/>
      </c>
      <c r="F571" s="51"/>
      <c r="G571" s="52"/>
      <c r="H571" s="51"/>
      <c r="I571" s="51"/>
      <c r="J571" s="52"/>
      <c r="K571" s="53" t="str">
        <f>IF(G571="","",IFERROR(INDEX(Stammdaten!$P$10:$P$69,MATCH(G571,Stammdaten!$N$10:$N$69,0)),"–"))</f>
        <v/>
      </c>
      <c r="L571" s="53" t="str">
        <f>IF(F571="","",IFERROR(INDEX(Stammdaten!$D$10:$D$49,MATCH(F571,Stammdaten!$B$10:$B$49,0)),"–"))</f>
        <v/>
      </c>
      <c r="M571" s="54" t="str">
        <f>IF(C571="","",IF(OR(F571="",G571="",I571=""),"unvollständig",IF(I571="Storniert","storniert",IF(WEEKDAY(C571,2)&gt;5,"Wochenende",IF(COUNTIF(Stammdaten!$AD$10:$AD$30,C571)&gt;0,"Feiertag",IF(IFERROR(INDEX(Stammdaten!$I$10:$I$49,MATCH(F571,Stammdaten!$B$10:$B$49,0)),"")="Gesperrt","Platz gesperrt",IF(AND(COUNTIF($P$6:$P$605,P571)&gt;1,NOT(AND(COUNTIF($P$6:$P$605,P571)=2,COUNTIFS($P$6:$P$605,P571,$H$6:$H$605,"Vormittag")=1,COUNTIFS($P$6:$P$605,P571,$H$6:$H$605,"Nachmittag")=1))),"Doppelbuchung",IF(AND(COUNTIF($R$6:$R$605,R571)&gt;1,NOT(AND(COUNTIF($R$6:$R$605,R571)=2,COUNTIFS($R$6:$R$605,R571,$H$6:$H$605,"Vormittag")=1,COUNTIFS($R$6:$R$605,R571,$H$6:$H$605,"Nachmittag")=1))),"Person doppelt","OK"))))))))</f>
        <v/>
      </c>
      <c r="O571" s="55">
        <f t="shared" si="59"/>
        <v>0</v>
      </c>
      <c r="P571" s="55" t="str">
        <f t="shared" si="60"/>
        <v/>
      </c>
      <c r="Q571" s="55" t="str">
        <f>IF(P571="","",P571&amp;"|"&amp;COUNTIF(P$6:P571,P571))</f>
        <v/>
      </c>
      <c r="R571" s="55" t="str">
        <f t="shared" si="61"/>
        <v/>
      </c>
      <c r="S571" s="55" t="str">
        <f>IF(R571="","",R571&amp;"|"&amp;COUNTIF(R$6:R571,R571))</f>
        <v/>
      </c>
      <c r="T571" s="55" t="str">
        <f>IF(G571="","",IFERROR(INDEX(Stammdaten!$O$10:$O$69,MATCH(G571,Stammdaten!$N$10:$N$69,0)),G571)&amp;IF(H571="Vormittag"," (VM)",IF(H571="Nachmittag"," (NM)",""))&amp;IF(I571="Angefragt"," ?",""))</f>
        <v/>
      </c>
      <c r="U571" s="55" t="str">
        <f t="shared" si="62"/>
        <v/>
      </c>
    </row>
    <row r="572" spans="2:21" ht="16.5" customHeight="1" x14ac:dyDescent="0.25">
      <c r="B572" s="47" t="str">
        <f t="shared" si="56"/>
        <v/>
      </c>
      <c r="C572" s="48"/>
      <c r="D572" s="49" t="str">
        <f t="shared" si="57"/>
        <v/>
      </c>
      <c r="E572" s="50" t="str">
        <f t="shared" si="58"/>
        <v/>
      </c>
      <c r="F572" s="51"/>
      <c r="G572" s="52"/>
      <c r="H572" s="51"/>
      <c r="I572" s="51"/>
      <c r="J572" s="52"/>
      <c r="K572" s="53" t="str">
        <f>IF(G572="","",IFERROR(INDEX(Stammdaten!$P$10:$P$69,MATCH(G572,Stammdaten!$N$10:$N$69,0)),"–"))</f>
        <v/>
      </c>
      <c r="L572" s="53" t="str">
        <f>IF(F572="","",IFERROR(INDEX(Stammdaten!$D$10:$D$49,MATCH(F572,Stammdaten!$B$10:$B$49,0)),"–"))</f>
        <v/>
      </c>
      <c r="M572" s="54" t="str">
        <f>IF(C572="","",IF(OR(F572="",G572="",I572=""),"unvollständig",IF(I572="Storniert","storniert",IF(WEEKDAY(C572,2)&gt;5,"Wochenende",IF(COUNTIF(Stammdaten!$AD$10:$AD$30,C572)&gt;0,"Feiertag",IF(IFERROR(INDEX(Stammdaten!$I$10:$I$49,MATCH(F572,Stammdaten!$B$10:$B$49,0)),"")="Gesperrt","Platz gesperrt",IF(AND(COUNTIF($P$6:$P$605,P572)&gt;1,NOT(AND(COUNTIF($P$6:$P$605,P572)=2,COUNTIFS($P$6:$P$605,P572,$H$6:$H$605,"Vormittag")=1,COUNTIFS($P$6:$P$605,P572,$H$6:$H$605,"Nachmittag")=1))),"Doppelbuchung",IF(AND(COUNTIF($R$6:$R$605,R572)&gt;1,NOT(AND(COUNTIF($R$6:$R$605,R572)=2,COUNTIFS($R$6:$R$605,R572,$H$6:$H$605,"Vormittag")=1,COUNTIFS($R$6:$R$605,R572,$H$6:$H$605,"Nachmittag")=1))),"Person doppelt","OK"))))))))</f>
        <v/>
      </c>
      <c r="O572" s="55">
        <f t="shared" si="59"/>
        <v>0</v>
      </c>
      <c r="P572" s="55" t="str">
        <f t="shared" si="60"/>
        <v/>
      </c>
      <c r="Q572" s="55" t="str">
        <f>IF(P572="","",P572&amp;"|"&amp;COUNTIF(P$6:P572,P572))</f>
        <v/>
      </c>
      <c r="R572" s="55" t="str">
        <f t="shared" si="61"/>
        <v/>
      </c>
      <c r="S572" s="55" t="str">
        <f>IF(R572="","",R572&amp;"|"&amp;COUNTIF(R$6:R572,R572))</f>
        <v/>
      </c>
      <c r="T572" s="55" t="str">
        <f>IF(G572="","",IFERROR(INDEX(Stammdaten!$O$10:$O$69,MATCH(G572,Stammdaten!$N$10:$N$69,0)),G572)&amp;IF(H572="Vormittag"," (VM)",IF(H572="Nachmittag"," (NM)",""))&amp;IF(I572="Angefragt"," ?",""))</f>
        <v/>
      </c>
      <c r="U572" s="55" t="str">
        <f t="shared" si="62"/>
        <v/>
      </c>
    </row>
    <row r="573" spans="2:21" ht="16.5" customHeight="1" x14ac:dyDescent="0.25">
      <c r="B573" s="47" t="str">
        <f t="shared" si="56"/>
        <v/>
      </c>
      <c r="C573" s="48"/>
      <c r="D573" s="49" t="str">
        <f t="shared" si="57"/>
        <v/>
      </c>
      <c r="E573" s="50" t="str">
        <f t="shared" si="58"/>
        <v/>
      </c>
      <c r="F573" s="51"/>
      <c r="G573" s="52"/>
      <c r="H573" s="51"/>
      <c r="I573" s="51"/>
      <c r="J573" s="52"/>
      <c r="K573" s="53" t="str">
        <f>IF(G573="","",IFERROR(INDEX(Stammdaten!$P$10:$P$69,MATCH(G573,Stammdaten!$N$10:$N$69,0)),"–"))</f>
        <v/>
      </c>
      <c r="L573" s="53" t="str">
        <f>IF(F573="","",IFERROR(INDEX(Stammdaten!$D$10:$D$49,MATCH(F573,Stammdaten!$B$10:$B$49,0)),"–"))</f>
        <v/>
      </c>
      <c r="M573" s="54" t="str">
        <f>IF(C573="","",IF(OR(F573="",G573="",I573=""),"unvollständig",IF(I573="Storniert","storniert",IF(WEEKDAY(C573,2)&gt;5,"Wochenende",IF(COUNTIF(Stammdaten!$AD$10:$AD$30,C573)&gt;0,"Feiertag",IF(IFERROR(INDEX(Stammdaten!$I$10:$I$49,MATCH(F573,Stammdaten!$B$10:$B$49,0)),"")="Gesperrt","Platz gesperrt",IF(AND(COUNTIF($P$6:$P$605,P573)&gt;1,NOT(AND(COUNTIF($P$6:$P$605,P573)=2,COUNTIFS($P$6:$P$605,P573,$H$6:$H$605,"Vormittag")=1,COUNTIFS($P$6:$P$605,P573,$H$6:$H$605,"Nachmittag")=1))),"Doppelbuchung",IF(AND(COUNTIF($R$6:$R$605,R573)&gt;1,NOT(AND(COUNTIF($R$6:$R$605,R573)=2,COUNTIFS($R$6:$R$605,R573,$H$6:$H$605,"Vormittag")=1,COUNTIFS($R$6:$R$605,R573,$H$6:$H$605,"Nachmittag")=1))),"Person doppelt","OK"))))))))</f>
        <v/>
      </c>
      <c r="O573" s="55">
        <f t="shared" si="59"/>
        <v>0</v>
      </c>
      <c r="P573" s="55" t="str">
        <f t="shared" si="60"/>
        <v/>
      </c>
      <c r="Q573" s="55" t="str">
        <f>IF(P573="","",P573&amp;"|"&amp;COUNTIF(P$6:P573,P573))</f>
        <v/>
      </c>
      <c r="R573" s="55" t="str">
        <f t="shared" si="61"/>
        <v/>
      </c>
      <c r="S573" s="55" t="str">
        <f>IF(R573="","",R573&amp;"|"&amp;COUNTIF(R$6:R573,R573))</f>
        <v/>
      </c>
      <c r="T573" s="55" t="str">
        <f>IF(G573="","",IFERROR(INDEX(Stammdaten!$O$10:$O$69,MATCH(G573,Stammdaten!$N$10:$N$69,0)),G573)&amp;IF(H573="Vormittag"," (VM)",IF(H573="Nachmittag"," (NM)",""))&amp;IF(I573="Angefragt"," ?",""))</f>
        <v/>
      </c>
      <c r="U573" s="55" t="str">
        <f t="shared" si="62"/>
        <v/>
      </c>
    </row>
    <row r="574" spans="2:21" ht="16.5" customHeight="1" x14ac:dyDescent="0.25">
      <c r="B574" s="47" t="str">
        <f t="shared" si="56"/>
        <v/>
      </c>
      <c r="C574" s="48"/>
      <c r="D574" s="49" t="str">
        <f t="shared" si="57"/>
        <v/>
      </c>
      <c r="E574" s="50" t="str">
        <f t="shared" si="58"/>
        <v/>
      </c>
      <c r="F574" s="51"/>
      <c r="G574" s="52"/>
      <c r="H574" s="51"/>
      <c r="I574" s="51"/>
      <c r="J574" s="52"/>
      <c r="K574" s="53" t="str">
        <f>IF(G574="","",IFERROR(INDEX(Stammdaten!$P$10:$P$69,MATCH(G574,Stammdaten!$N$10:$N$69,0)),"–"))</f>
        <v/>
      </c>
      <c r="L574" s="53" t="str">
        <f>IF(F574="","",IFERROR(INDEX(Stammdaten!$D$10:$D$49,MATCH(F574,Stammdaten!$B$10:$B$49,0)),"–"))</f>
        <v/>
      </c>
      <c r="M574" s="54" t="str">
        <f>IF(C574="","",IF(OR(F574="",G574="",I574=""),"unvollständig",IF(I574="Storniert","storniert",IF(WEEKDAY(C574,2)&gt;5,"Wochenende",IF(COUNTIF(Stammdaten!$AD$10:$AD$30,C574)&gt;0,"Feiertag",IF(IFERROR(INDEX(Stammdaten!$I$10:$I$49,MATCH(F574,Stammdaten!$B$10:$B$49,0)),"")="Gesperrt","Platz gesperrt",IF(AND(COUNTIF($P$6:$P$605,P574)&gt;1,NOT(AND(COUNTIF($P$6:$P$605,P574)=2,COUNTIFS($P$6:$P$605,P574,$H$6:$H$605,"Vormittag")=1,COUNTIFS($P$6:$P$605,P574,$H$6:$H$605,"Nachmittag")=1))),"Doppelbuchung",IF(AND(COUNTIF($R$6:$R$605,R574)&gt;1,NOT(AND(COUNTIF($R$6:$R$605,R574)=2,COUNTIFS($R$6:$R$605,R574,$H$6:$H$605,"Vormittag")=1,COUNTIFS($R$6:$R$605,R574,$H$6:$H$605,"Nachmittag")=1))),"Person doppelt","OK"))))))))</f>
        <v/>
      </c>
      <c r="O574" s="55">
        <f t="shared" si="59"/>
        <v>0</v>
      </c>
      <c r="P574" s="55" t="str">
        <f t="shared" si="60"/>
        <v/>
      </c>
      <c r="Q574" s="55" t="str">
        <f>IF(P574="","",P574&amp;"|"&amp;COUNTIF(P$6:P574,P574))</f>
        <v/>
      </c>
      <c r="R574" s="55" t="str">
        <f t="shared" si="61"/>
        <v/>
      </c>
      <c r="S574" s="55" t="str">
        <f>IF(R574="","",R574&amp;"|"&amp;COUNTIF(R$6:R574,R574))</f>
        <v/>
      </c>
      <c r="T574" s="55" t="str">
        <f>IF(G574="","",IFERROR(INDEX(Stammdaten!$O$10:$O$69,MATCH(G574,Stammdaten!$N$10:$N$69,0)),G574)&amp;IF(H574="Vormittag"," (VM)",IF(H574="Nachmittag"," (NM)",""))&amp;IF(I574="Angefragt"," ?",""))</f>
        <v/>
      </c>
      <c r="U574" s="55" t="str">
        <f t="shared" si="62"/>
        <v/>
      </c>
    </row>
    <row r="575" spans="2:21" ht="16.5" customHeight="1" x14ac:dyDescent="0.25">
      <c r="B575" s="47" t="str">
        <f t="shared" si="56"/>
        <v/>
      </c>
      <c r="C575" s="48"/>
      <c r="D575" s="49" t="str">
        <f t="shared" si="57"/>
        <v/>
      </c>
      <c r="E575" s="50" t="str">
        <f t="shared" si="58"/>
        <v/>
      </c>
      <c r="F575" s="51"/>
      <c r="G575" s="52"/>
      <c r="H575" s="51"/>
      <c r="I575" s="51"/>
      <c r="J575" s="52"/>
      <c r="K575" s="53" t="str">
        <f>IF(G575="","",IFERROR(INDEX(Stammdaten!$P$10:$P$69,MATCH(G575,Stammdaten!$N$10:$N$69,0)),"–"))</f>
        <v/>
      </c>
      <c r="L575" s="53" t="str">
        <f>IF(F575="","",IFERROR(INDEX(Stammdaten!$D$10:$D$49,MATCH(F575,Stammdaten!$B$10:$B$49,0)),"–"))</f>
        <v/>
      </c>
      <c r="M575" s="54" t="str">
        <f>IF(C575="","",IF(OR(F575="",G575="",I575=""),"unvollständig",IF(I575="Storniert","storniert",IF(WEEKDAY(C575,2)&gt;5,"Wochenende",IF(COUNTIF(Stammdaten!$AD$10:$AD$30,C575)&gt;0,"Feiertag",IF(IFERROR(INDEX(Stammdaten!$I$10:$I$49,MATCH(F575,Stammdaten!$B$10:$B$49,0)),"")="Gesperrt","Platz gesperrt",IF(AND(COUNTIF($P$6:$P$605,P575)&gt;1,NOT(AND(COUNTIF($P$6:$P$605,P575)=2,COUNTIFS($P$6:$P$605,P575,$H$6:$H$605,"Vormittag")=1,COUNTIFS($P$6:$P$605,P575,$H$6:$H$605,"Nachmittag")=1))),"Doppelbuchung",IF(AND(COUNTIF($R$6:$R$605,R575)&gt;1,NOT(AND(COUNTIF($R$6:$R$605,R575)=2,COUNTIFS($R$6:$R$605,R575,$H$6:$H$605,"Vormittag")=1,COUNTIFS($R$6:$R$605,R575,$H$6:$H$605,"Nachmittag")=1))),"Person doppelt","OK"))))))))</f>
        <v/>
      </c>
      <c r="O575" s="55">
        <f t="shared" si="59"/>
        <v>0</v>
      </c>
      <c r="P575" s="55" t="str">
        <f t="shared" si="60"/>
        <v/>
      </c>
      <c r="Q575" s="55" t="str">
        <f>IF(P575="","",P575&amp;"|"&amp;COUNTIF(P$6:P575,P575))</f>
        <v/>
      </c>
      <c r="R575" s="55" t="str">
        <f t="shared" si="61"/>
        <v/>
      </c>
      <c r="S575" s="55" t="str">
        <f>IF(R575="","",R575&amp;"|"&amp;COUNTIF(R$6:R575,R575))</f>
        <v/>
      </c>
      <c r="T575" s="55" t="str">
        <f>IF(G575="","",IFERROR(INDEX(Stammdaten!$O$10:$O$69,MATCH(G575,Stammdaten!$N$10:$N$69,0)),G575)&amp;IF(H575="Vormittag"," (VM)",IF(H575="Nachmittag"," (NM)",""))&amp;IF(I575="Angefragt"," ?",""))</f>
        <v/>
      </c>
      <c r="U575" s="55" t="str">
        <f t="shared" si="62"/>
        <v/>
      </c>
    </row>
    <row r="576" spans="2:21" ht="16.5" customHeight="1" x14ac:dyDescent="0.25">
      <c r="B576" s="47" t="str">
        <f t="shared" si="56"/>
        <v/>
      </c>
      <c r="C576" s="48"/>
      <c r="D576" s="49" t="str">
        <f t="shared" si="57"/>
        <v/>
      </c>
      <c r="E576" s="50" t="str">
        <f t="shared" si="58"/>
        <v/>
      </c>
      <c r="F576" s="51"/>
      <c r="G576" s="52"/>
      <c r="H576" s="51"/>
      <c r="I576" s="51"/>
      <c r="J576" s="52"/>
      <c r="K576" s="53" t="str">
        <f>IF(G576="","",IFERROR(INDEX(Stammdaten!$P$10:$P$69,MATCH(G576,Stammdaten!$N$10:$N$69,0)),"–"))</f>
        <v/>
      </c>
      <c r="L576" s="53" t="str">
        <f>IF(F576="","",IFERROR(INDEX(Stammdaten!$D$10:$D$49,MATCH(F576,Stammdaten!$B$10:$B$49,0)),"–"))</f>
        <v/>
      </c>
      <c r="M576" s="54" t="str">
        <f>IF(C576="","",IF(OR(F576="",G576="",I576=""),"unvollständig",IF(I576="Storniert","storniert",IF(WEEKDAY(C576,2)&gt;5,"Wochenende",IF(COUNTIF(Stammdaten!$AD$10:$AD$30,C576)&gt;0,"Feiertag",IF(IFERROR(INDEX(Stammdaten!$I$10:$I$49,MATCH(F576,Stammdaten!$B$10:$B$49,0)),"")="Gesperrt","Platz gesperrt",IF(AND(COUNTIF($P$6:$P$605,P576)&gt;1,NOT(AND(COUNTIF($P$6:$P$605,P576)=2,COUNTIFS($P$6:$P$605,P576,$H$6:$H$605,"Vormittag")=1,COUNTIFS($P$6:$P$605,P576,$H$6:$H$605,"Nachmittag")=1))),"Doppelbuchung",IF(AND(COUNTIF($R$6:$R$605,R576)&gt;1,NOT(AND(COUNTIF($R$6:$R$605,R576)=2,COUNTIFS($R$6:$R$605,R576,$H$6:$H$605,"Vormittag")=1,COUNTIFS($R$6:$R$605,R576,$H$6:$H$605,"Nachmittag")=1))),"Person doppelt","OK"))))))))</f>
        <v/>
      </c>
      <c r="O576" s="55">
        <f t="shared" si="59"/>
        <v>0</v>
      </c>
      <c r="P576" s="55" t="str">
        <f t="shared" si="60"/>
        <v/>
      </c>
      <c r="Q576" s="55" t="str">
        <f>IF(P576="","",P576&amp;"|"&amp;COUNTIF(P$6:P576,P576))</f>
        <v/>
      </c>
      <c r="R576" s="55" t="str">
        <f t="shared" si="61"/>
        <v/>
      </c>
      <c r="S576" s="55" t="str">
        <f>IF(R576="","",R576&amp;"|"&amp;COUNTIF(R$6:R576,R576))</f>
        <v/>
      </c>
      <c r="T576" s="55" t="str">
        <f>IF(G576="","",IFERROR(INDEX(Stammdaten!$O$10:$O$69,MATCH(G576,Stammdaten!$N$10:$N$69,0)),G576)&amp;IF(H576="Vormittag"," (VM)",IF(H576="Nachmittag"," (NM)",""))&amp;IF(I576="Angefragt"," ?",""))</f>
        <v/>
      </c>
      <c r="U576" s="55" t="str">
        <f t="shared" si="62"/>
        <v/>
      </c>
    </row>
    <row r="577" spans="2:21" ht="16.5" customHeight="1" x14ac:dyDescent="0.25">
      <c r="B577" s="47" t="str">
        <f t="shared" si="56"/>
        <v/>
      </c>
      <c r="C577" s="48"/>
      <c r="D577" s="49" t="str">
        <f t="shared" si="57"/>
        <v/>
      </c>
      <c r="E577" s="50" t="str">
        <f t="shared" si="58"/>
        <v/>
      </c>
      <c r="F577" s="51"/>
      <c r="G577" s="52"/>
      <c r="H577" s="51"/>
      <c r="I577" s="51"/>
      <c r="J577" s="52"/>
      <c r="K577" s="53" t="str">
        <f>IF(G577="","",IFERROR(INDEX(Stammdaten!$P$10:$P$69,MATCH(G577,Stammdaten!$N$10:$N$69,0)),"–"))</f>
        <v/>
      </c>
      <c r="L577" s="53" t="str">
        <f>IF(F577="","",IFERROR(INDEX(Stammdaten!$D$10:$D$49,MATCH(F577,Stammdaten!$B$10:$B$49,0)),"–"))</f>
        <v/>
      </c>
      <c r="M577" s="54" t="str">
        <f>IF(C577="","",IF(OR(F577="",G577="",I577=""),"unvollständig",IF(I577="Storniert","storniert",IF(WEEKDAY(C577,2)&gt;5,"Wochenende",IF(COUNTIF(Stammdaten!$AD$10:$AD$30,C577)&gt;0,"Feiertag",IF(IFERROR(INDEX(Stammdaten!$I$10:$I$49,MATCH(F577,Stammdaten!$B$10:$B$49,0)),"")="Gesperrt","Platz gesperrt",IF(AND(COUNTIF($P$6:$P$605,P577)&gt;1,NOT(AND(COUNTIF($P$6:$P$605,P577)=2,COUNTIFS($P$6:$P$605,P577,$H$6:$H$605,"Vormittag")=1,COUNTIFS($P$6:$P$605,P577,$H$6:$H$605,"Nachmittag")=1))),"Doppelbuchung",IF(AND(COUNTIF($R$6:$R$605,R577)&gt;1,NOT(AND(COUNTIF($R$6:$R$605,R577)=2,COUNTIFS($R$6:$R$605,R577,$H$6:$H$605,"Vormittag")=1,COUNTIFS($R$6:$R$605,R577,$H$6:$H$605,"Nachmittag")=1))),"Person doppelt","OK"))))))))</f>
        <v/>
      </c>
      <c r="O577" s="55">
        <f t="shared" si="59"/>
        <v>0</v>
      </c>
      <c r="P577" s="55" t="str">
        <f t="shared" si="60"/>
        <v/>
      </c>
      <c r="Q577" s="55" t="str">
        <f>IF(P577="","",P577&amp;"|"&amp;COUNTIF(P$6:P577,P577))</f>
        <v/>
      </c>
      <c r="R577" s="55" t="str">
        <f t="shared" si="61"/>
        <v/>
      </c>
      <c r="S577" s="55" t="str">
        <f>IF(R577="","",R577&amp;"|"&amp;COUNTIF(R$6:R577,R577))</f>
        <v/>
      </c>
      <c r="T577" s="55" t="str">
        <f>IF(G577="","",IFERROR(INDEX(Stammdaten!$O$10:$O$69,MATCH(G577,Stammdaten!$N$10:$N$69,0)),G577)&amp;IF(H577="Vormittag"," (VM)",IF(H577="Nachmittag"," (NM)",""))&amp;IF(I577="Angefragt"," ?",""))</f>
        <v/>
      </c>
      <c r="U577" s="55" t="str">
        <f t="shared" si="62"/>
        <v/>
      </c>
    </row>
    <row r="578" spans="2:21" ht="16.5" customHeight="1" x14ac:dyDescent="0.25">
      <c r="B578" s="47" t="str">
        <f t="shared" si="56"/>
        <v/>
      </c>
      <c r="C578" s="48"/>
      <c r="D578" s="49" t="str">
        <f t="shared" si="57"/>
        <v/>
      </c>
      <c r="E578" s="50" t="str">
        <f t="shared" si="58"/>
        <v/>
      </c>
      <c r="F578" s="51"/>
      <c r="G578" s="52"/>
      <c r="H578" s="51"/>
      <c r="I578" s="51"/>
      <c r="J578" s="52"/>
      <c r="K578" s="53" t="str">
        <f>IF(G578="","",IFERROR(INDEX(Stammdaten!$P$10:$P$69,MATCH(G578,Stammdaten!$N$10:$N$69,0)),"–"))</f>
        <v/>
      </c>
      <c r="L578" s="53" t="str">
        <f>IF(F578="","",IFERROR(INDEX(Stammdaten!$D$10:$D$49,MATCH(F578,Stammdaten!$B$10:$B$49,0)),"–"))</f>
        <v/>
      </c>
      <c r="M578" s="54" t="str">
        <f>IF(C578="","",IF(OR(F578="",G578="",I578=""),"unvollständig",IF(I578="Storniert","storniert",IF(WEEKDAY(C578,2)&gt;5,"Wochenende",IF(COUNTIF(Stammdaten!$AD$10:$AD$30,C578)&gt;0,"Feiertag",IF(IFERROR(INDEX(Stammdaten!$I$10:$I$49,MATCH(F578,Stammdaten!$B$10:$B$49,0)),"")="Gesperrt","Platz gesperrt",IF(AND(COUNTIF($P$6:$P$605,P578)&gt;1,NOT(AND(COUNTIF($P$6:$P$605,P578)=2,COUNTIFS($P$6:$P$605,P578,$H$6:$H$605,"Vormittag")=1,COUNTIFS($P$6:$P$605,P578,$H$6:$H$605,"Nachmittag")=1))),"Doppelbuchung",IF(AND(COUNTIF($R$6:$R$605,R578)&gt;1,NOT(AND(COUNTIF($R$6:$R$605,R578)=2,COUNTIFS($R$6:$R$605,R578,$H$6:$H$605,"Vormittag")=1,COUNTIFS($R$6:$R$605,R578,$H$6:$H$605,"Nachmittag")=1))),"Person doppelt","OK"))))))))</f>
        <v/>
      </c>
      <c r="O578" s="55">
        <f t="shared" si="59"/>
        <v>0</v>
      </c>
      <c r="P578" s="55" t="str">
        <f t="shared" si="60"/>
        <v/>
      </c>
      <c r="Q578" s="55" t="str">
        <f>IF(P578="","",P578&amp;"|"&amp;COUNTIF(P$6:P578,P578))</f>
        <v/>
      </c>
      <c r="R578" s="55" t="str">
        <f t="shared" si="61"/>
        <v/>
      </c>
      <c r="S578" s="55" t="str">
        <f>IF(R578="","",R578&amp;"|"&amp;COUNTIF(R$6:R578,R578))</f>
        <v/>
      </c>
      <c r="T578" s="55" t="str">
        <f>IF(G578="","",IFERROR(INDEX(Stammdaten!$O$10:$O$69,MATCH(G578,Stammdaten!$N$10:$N$69,0)),G578)&amp;IF(H578="Vormittag"," (VM)",IF(H578="Nachmittag"," (NM)",""))&amp;IF(I578="Angefragt"," ?",""))</f>
        <v/>
      </c>
      <c r="U578" s="55" t="str">
        <f t="shared" si="62"/>
        <v/>
      </c>
    </row>
    <row r="579" spans="2:21" ht="16.5" customHeight="1" x14ac:dyDescent="0.25">
      <c r="B579" s="47" t="str">
        <f t="shared" si="56"/>
        <v/>
      </c>
      <c r="C579" s="48"/>
      <c r="D579" s="49" t="str">
        <f t="shared" si="57"/>
        <v/>
      </c>
      <c r="E579" s="50" t="str">
        <f t="shared" si="58"/>
        <v/>
      </c>
      <c r="F579" s="51"/>
      <c r="G579" s="52"/>
      <c r="H579" s="51"/>
      <c r="I579" s="51"/>
      <c r="J579" s="52"/>
      <c r="K579" s="53" t="str">
        <f>IF(G579="","",IFERROR(INDEX(Stammdaten!$P$10:$P$69,MATCH(G579,Stammdaten!$N$10:$N$69,0)),"–"))</f>
        <v/>
      </c>
      <c r="L579" s="53" t="str">
        <f>IF(F579="","",IFERROR(INDEX(Stammdaten!$D$10:$D$49,MATCH(F579,Stammdaten!$B$10:$B$49,0)),"–"))</f>
        <v/>
      </c>
      <c r="M579" s="54" t="str">
        <f>IF(C579="","",IF(OR(F579="",G579="",I579=""),"unvollständig",IF(I579="Storniert","storniert",IF(WEEKDAY(C579,2)&gt;5,"Wochenende",IF(COUNTIF(Stammdaten!$AD$10:$AD$30,C579)&gt;0,"Feiertag",IF(IFERROR(INDEX(Stammdaten!$I$10:$I$49,MATCH(F579,Stammdaten!$B$10:$B$49,0)),"")="Gesperrt","Platz gesperrt",IF(AND(COUNTIF($P$6:$P$605,P579)&gt;1,NOT(AND(COUNTIF($P$6:$P$605,P579)=2,COUNTIFS($P$6:$P$605,P579,$H$6:$H$605,"Vormittag")=1,COUNTIFS($P$6:$P$605,P579,$H$6:$H$605,"Nachmittag")=1))),"Doppelbuchung",IF(AND(COUNTIF($R$6:$R$605,R579)&gt;1,NOT(AND(COUNTIF($R$6:$R$605,R579)=2,COUNTIFS($R$6:$R$605,R579,$H$6:$H$605,"Vormittag")=1,COUNTIFS($R$6:$R$605,R579,$H$6:$H$605,"Nachmittag")=1))),"Person doppelt","OK"))))))))</f>
        <v/>
      </c>
      <c r="O579" s="55">
        <f t="shared" si="59"/>
        <v>0</v>
      </c>
      <c r="P579" s="55" t="str">
        <f t="shared" si="60"/>
        <v/>
      </c>
      <c r="Q579" s="55" t="str">
        <f>IF(P579="","",P579&amp;"|"&amp;COUNTIF(P$6:P579,P579))</f>
        <v/>
      </c>
      <c r="R579" s="55" t="str">
        <f t="shared" si="61"/>
        <v/>
      </c>
      <c r="S579" s="55" t="str">
        <f>IF(R579="","",R579&amp;"|"&amp;COUNTIF(R$6:R579,R579))</f>
        <v/>
      </c>
      <c r="T579" s="55" t="str">
        <f>IF(G579="","",IFERROR(INDEX(Stammdaten!$O$10:$O$69,MATCH(G579,Stammdaten!$N$10:$N$69,0)),G579)&amp;IF(H579="Vormittag"," (VM)",IF(H579="Nachmittag"," (NM)",""))&amp;IF(I579="Angefragt"," ?",""))</f>
        <v/>
      </c>
      <c r="U579" s="55" t="str">
        <f t="shared" si="62"/>
        <v/>
      </c>
    </row>
    <row r="580" spans="2:21" ht="16.5" customHeight="1" x14ac:dyDescent="0.25">
      <c r="B580" s="47" t="str">
        <f t="shared" si="56"/>
        <v/>
      </c>
      <c r="C580" s="48"/>
      <c r="D580" s="49" t="str">
        <f t="shared" si="57"/>
        <v/>
      </c>
      <c r="E580" s="50" t="str">
        <f t="shared" si="58"/>
        <v/>
      </c>
      <c r="F580" s="51"/>
      <c r="G580" s="52"/>
      <c r="H580" s="51"/>
      <c r="I580" s="51"/>
      <c r="J580" s="52"/>
      <c r="K580" s="53" t="str">
        <f>IF(G580="","",IFERROR(INDEX(Stammdaten!$P$10:$P$69,MATCH(G580,Stammdaten!$N$10:$N$69,0)),"–"))</f>
        <v/>
      </c>
      <c r="L580" s="53" t="str">
        <f>IF(F580="","",IFERROR(INDEX(Stammdaten!$D$10:$D$49,MATCH(F580,Stammdaten!$B$10:$B$49,0)),"–"))</f>
        <v/>
      </c>
      <c r="M580" s="54" t="str">
        <f>IF(C580="","",IF(OR(F580="",G580="",I580=""),"unvollständig",IF(I580="Storniert","storniert",IF(WEEKDAY(C580,2)&gt;5,"Wochenende",IF(COUNTIF(Stammdaten!$AD$10:$AD$30,C580)&gt;0,"Feiertag",IF(IFERROR(INDEX(Stammdaten!$I$10:$I$49,MATCH(F580,Stammdaten!$B$10:$B$49,0)),"")="Gesperrt","Platz gesperrt",IF(AND(COUNTIF($P$6:$P$605,P580)&gt;1,NOT(AND(COUNTIF($P$6:$P$605,P580)=2,COUNTIFS($P$6:$P$605,P580,$H$6:$H$605,"Vormittag")=1,COUNTIFS($P$6:$P$605,P580,$H$6:$H$605,"Nachmittag")=1))),"Doppelbuchung",IF(AND(COUNTIF($R$6:$R$605,R580)&gt;1,NOT(AND(COUNTIF($R$6:$R$605,R580)=2,COUNTIFS($R$6:$R$605,R580,$H$6:$H$605,"Vormittag")=1,COUNTIFS($R$6:$R$605,R580,$H$6:$H$605,"Nachmittag")=1))),"Person doppelt","OK"))))))))</f>
        <v/>
      </c>
      <c r="O580" s="55">
        <f t="shared" si="59"/>
        <v>0</v>
      </c>
      <c r="P580" s="55" t="str">
        <f t="shared" si="60"/>
        <v/>
      </c>
      <c r="Q580" s="55" t="str">
        <f>IF(P580="","",P580&amp;"|"&amp;COUNTIF(P$6:P580,P580))</f>
        <v/>
      </c>
      <c r="R580" s="55" t="str">
        <f t="shared" si="61"/>
        <v/>
      </c>
      <c r="S580" s="55" t="str">
        <f>IF(R580="","",R580&amp;"|"&amp;COUNTIF(R$6:R580,R580))</f>
        <v/>
      </c>
      <c r="T580" s="55" t="str">
        <f>IF(G580="","",IFERROR(INDEX(Stammdaten!$O$10:$O$69,MATCH(G580,Stammdaten!$N$10:$N$69,0)),G580)&amp;IF(H580="Vormittag"," (VM)",IF(H580="Nachmittag"," (NM)",""))&amp;IF(I580="Angefragt"," ?",""))</f>
        <v/>
      </c>
      <c r="U580" s="55" t="str">
        <f t="shared" si="62"/>
        <v/>
      </c>
    </row>
    <row r="581" spans="2:21" ht="16.5" customHeight="1" x14ac:dyDescent="0.25">
      <c r="B581" s="47" t="str">
        <f t="shared" si="56"/>
        <v/>
      </c>
      <c r="C581" s="48"/>
      <c r="D581" s="49" t="str">
        <f t="shared" si="57"/>
        <v/>
      </c>
      <c r="E581" s="50" t="str">
        <f t="shared" si="58"/>
        <v/>
      </c>
      <c r="F581" s="51"/>
      <c r="G581" s="52"/>
      <c r="H581" s="51"/>
      <c r="I581" s="51"/>
      <c r="J581" s="52"/>
      <c r="K581" s="53" t="str">
        <f>IF(G581="","",IFERROR(INDEX(Stammdaten!$P$10:$P$69,MATCH(G581,Stammdaten!$N$10:$N$69,0)),"–"))</f>
        <v/>
      </c>
      <c r="L581" s="53" t="str">
        <f>IF(F581="","",IFERROR(INDEX(Stammdaten!$D$10:$D$49,MATCH(F581,Stammdaten!$B$10:$B$49,0)),"–"))</f>
        <v/>
      </c>
      <c r="M581" s="54" t="str">
        <f>IF(C581="","",IF(OR(F581="",G581="",I581=""),"unvollständig",IF(I581="Storniert","storniert",IF(WEEKDAY(C581,2)&gt;5,"Wochenende",IF(COUNTIF(Stammdaten!$AD$10:$AD$30,C581)&gt;0,"Feiertag",IF(IFERROR(INDEX(Stammdaten!$I$10:$I$49,MATCH(F581,Stammdaten!$B$10:$B$49,0)),"")="Gesperrt","Platz gesperrt",IF(AND(COUNTIF($P$6:$P$605,P581)&gt;1,NOT(AND(COUNTIF($P$6:$P$605,P581)=2,COUNTIFS($P$6:$P$605,P581,$H$6:$H$605,"Vormittag")=1,COUNTIFS($P$6:$P$605,P581,$H$6:$H$605,"Nachmittag")=1))),"Doppelbuchung",IF(AND(COUNTIF($R$6:$R$605,R581)&gt;1,NOT(AND(COUNTIF($R$6:$R$605,R581)=2,COUNTIFS($R$6:$R$605,R581,$H$6:$H$605,"Vormittag")=1,COUNTIFS($R$6:$R$605,R581,$H$6:$H$605,"Nachmittag")=1))),"Person doppelt","OK"))))))))</f>
        <v/>
      </c>
      <c r="O581" s="55">
        <f t="shared" si="59"/>
        <v>0</v>
      </c>
      <c r="P581" s="55" t="str">
        <f t="shared" si="60"/>
        <v/>
      </c>
      <c r="Q581" s="55" t="str">
        <f>IF(P581="","",P581&amp;"|"&amp;COUNTIF(P$6:P581,P581))</f>
        <v/>
      </c>
      <c r="R581" s="55" t="str">
        <f t="shared" si="61"/>
        <v/>
      </c>
      <c r="S581" s="55" t="str">
        <f>IF(R581="","",R581&amp;"|"&amp;COUNTIF(R$6:R581,R581))</f>
        <v/>
      </c>
      <c r="T581" s="55" t="str">
        <f>IF(G581="","",IFERROR(INDEX(Stammdaten!$O$10:$O$69,MATCH(G581,Stammdaten!$N$10:$N$69,0)),G581)&amp;IF(H581="Vormittag"," (VM)",IF(H581="Nachmittag"," (NM)",""))&amp;IF(I581="Angefragt"," ?",""))</f>
        <v/>
      </c>
      <c r="U581" s="55" t="str">
        <f t="shared" si="62"/>
        <v/>
      </c>
    </row>
    <row r="582" spans="2:21" ht="16.5" customHeight="1" x14ac:dyDescent="0.25">
      <c r="B582" s="47" t="str">
        <f t="shared" ref="B582:B645" si="63">IF(C582="","",ROW()-5)</f>
        <v/>
      </c>
      <c r="C582" s="48"/>
      <c r="D582" s="49" t="str">
        <f t="shared" ref="D582:D645" si="64">IF(C582="","",CHOOSE(WEEKDAY(C582,2),"Mo","Di","Mi","Do","Fr","Sa","So"))</f>
        <v/>
      </c>
      <c r="E582" s="50" t="str">
        <f t="shared" ref="E582:E605" si="65">IF(C582="","",_xlfn.ISOWEEKNUM(C582))</f>
        <v/>
      </c>
      <c r="F582" s="51"/>
      <c r="G582" s="52"/>
      <c r="H582" s="51"/>
      <c r="I582" s="51"/>
      <c r="J582" s="52"/>
      <c r="K582" s="53" t="str">
        <f>IF(G582="","",IFERROR(INDEX(Stammdaten!$P$10:$P$69,MATCH(G582,Stammdaten!$N$10:$N$69,0)),"–"))</f>
        <v/>
      </c>
      <c r="L582" s="53" t="str">
        <f>IF(F582="","",IFERROR(INDEX(Stammdaten!$D$10:$D$49,MATCH(F582,Stammdaten!$B$10:$B$49,0)),"–"))</f>
        <v/>
      </c>
      <c r="M582" s="54" t="str">
        <f>IF(C582="","",IF(OR(F582="",G582="",I582=""),"unvollständig",IF(I582="Storniert","storniert",IF(WEEKDAY(C582,2)&gt;5,"Wochenende",IF(COUNTIF(Stammdaten!$AD$10:$AD$30,C582)&gt;0,"Feiertag",IF(IFERROR(INDEX(Stammdaten!$I$10:$I$49,MATCH(F582,Stammdaten!$B$10:$B$49,0)),"")="Gesperrt","Platz gesperrt",IF(AND(COUNTIF($P$6:$P$605,P582)&gt;1,NOT(AND(COUNTIF($P$6:$P$605,P582)=2,COUNTIFS($P$6:$P$605,P582,$H$6:$H$605,"Vormittag")=1,COUNTIFS($P$6:$P$605,P582,$H$6:$H$605,"Nachmittag")=1))),"Doppelbuchung",IF(AND(COUNTIF($R$6:$R$605,R582)&gt;1,NOT(AND(COUNTIF($R$6:$R$605,R582)=2,COUNTIFS($R$6:$R$605,R582,$H$6:$H$605,"Vormittag")=1,COUNTIFS($R$6:$R$605,R582,$H$6:$H$605,"Nachmittag")=1))),"Person doppelt","OK"))))))))</f>
        <v/>
      </c>
      <c r="O582" s="55">
        <f t="shared" ref="O582:O605" si="66">IF(OR(C582="",I582&lt;&gt;"Bestätigt",M582="Platz gesperrt"),0,IF(H582="Ganztägig",1,0.5))</f>
        <v>0</v>
      </c>
      <c r="P582" s="55" t="str">
        <f t="shared" ref="P582:P605" si="67">IF(OR(C582="",F582="",I582="Storniert"),"",F582&amp;"|"&amp;C582)</f>
        <v/>
      </c>
      <c r="Q582" s="55" t="str">
        <f>IF(P582="","",P582&amp;"|"&amp;COUNTIF(P$6:P582,P582))</f>
        <v/>
      </c>
      <c r="R582" s="55" t="str">
        <f t="shared" ref="R582:R605" si="68">IF(OR(C582="",G582="",I582="Storniert"),"",G582&amp;"|"&amp;C582)</f>
        <v/>
      </c>
      <c r="S582" s="55" t="str">
        <f>IF(R582="","",R582&amp;"|"&amp;COUNTIF(R$6:R582,R582))</f>
        <v/>
      </c>
      <c r="T582" s="55" t="str">
        <f>IF(G582="","",IFERROR(INDEX(Stammdaten!$O$10:$O$69,MATCH(G582,Stammdaten!$N$10:$N$69,0)),G582)&amp;IF(H582="Vormittag"," (VM)",IF(H582="Nachmittag"," (NM)",""))&amp;IF(I582="Angefragt"," ?",""))</f>
        <v/>
      </c>
      <c r="U582" s="55" t="str">
        <f t="shared" ref="U582:U605" si="69">IF(F582="","",F582&amp;IF(H582="Vormittag"," (VM)",IF(H582="Nachmittag"," (NM)",""))&amp;IF(I582="Angefragt"," ?",""))</f>
        <v/>
      </c>
    </row>
    <row r="583" spans="2:21" ht="16.5" customHeight="1" x14ac:dyDescent="0.25">
      <c r="B583" s="47" t="str">
        <f t="shared" si="63"/>
        <v/>
      </c>
      <c r="C583" s="48"/>
      <c r="D583" s="49" t="str">
        <f t="shared" si="64"/>
        <v/>
      </c>
      <c r="E583" s="50" t="str">
        <f t="shared" si="65"/>
        <v/>
      </c>
      <c r="F583" s="51"/>
      <c r="G583" s="52"/>
      <c r="H583" s="51"/>
      <c r="I583" s="51"/>
      <c r="J583" s="52"/>
      <c r="K583" s="53" t="str">
        <f>IF(G583="","",IFERROR(INDEX(Stammdaten!$P$10:$P$69,MATCH(G583,Stammdaten!$N$10:$N$69,0)),"–"))</f>
        <v/>
      </c>
      <c r="L583" s="53" t="str">
        <f>IF(F583="","",IFERROR(INDEX(Stammdaten!$D$10:$D$49,MATCH(F583,Stammdaten!$B$10:$B$49,0)),"–"))</f>
        <v/>
      </c>
      <c r="M583" s="54" t="str">
        <f>IF(C583="","",IF(OR(F583="",G583="",I583=""),"unvollständig",IF(I583="Storniert","storniert",IF(WEEKDAY(C583,2)&gt;5,"Wochenende",IF(COUNTIF(Stammdaten!$AD$10:$AD$30,C583)&gt;0,"Feiertag",IF(IFERROR(INDEX(Stammdaten!$I$10:$I$49,MATCH(F583,Stammdaten!$B$10:$B$49,0)),"")="Gesperrt","Platz gesperrt",IF(AND(COUNTIF($P$6:$P$605,P583)&gt;1,NOT(AND(COUNTIF($P$6:$P$605,P583)=2,COUNTIFS($P$6:$P$605,P583,$H$6:$H$605,"Vormittag")=1,COUNTIFS($P$6:$P$605,P583,$H$6:$H$605,"Nachmittag")=1))),"Doppelbuchung",IF(AND(COUNTIF($R$6:$R$605,R583)&gt;1,NOT(AND(COUNTIF($R$6:$R$605,R583)=2,COUNTIFS($R$6:$R$605,R583,$H$6:$H$605,"Vormittag")=1,COUNTIFS($R$6:$R$605,R583,$H$6:$H$605,"Nachmittag")=1))),"Person doppelt","OK"))))))))</f>
        <v/>
      </c>
      <c r="O583" s="55">
        <f t="shared" si="66"/>
        <v>0</v>
      </c>
      <c r="P583" s="55" t="str">
        <f t="shared" si="67"/>
        <v/>
      </c>
      <c r="Q583" s="55" t="str">
        <f>IF(P583="","",P583&amp;"|"&amp;COUNTIF(P$6:P583,P583))</f>
        <v/>
      </c>
      <c r="R583" s="55" t="str">
        <f t="shared" si="68"/>
        <v/>
      </c>
      <c r="S583" s="55" t="str">
        <f>IF(R583="","",R583&amp;"|"&amp;COUNTIF(R$6:R583,R583))</f>
        <v/>
      </c>
      <c r="T583" s="55" t="str">
        <f>IF(G583="","",IFERROR(INDEX(Stammdaten!$O$10:$O$69,MATCH(G583,Stammdaten!$N$10:$N$69,0)),G583)&amp;IF(H583="Vormittag"," (VM)",IF(H583="Nachmittag"," (NM)",""))&amp;IF(I583="Angefragt"," ?",""))</f>
        <v/>
      </c>
      <c r="U583" s="55" t="str">
        <f t="shared" si="69"/>
        <v/>
      </c>
    </row>
    <row r="584" spans="2:21" ht="16.5" customHeight="1" x14ac:dyDescent="0.25">
      <c r="B584" s="47" t="str">
        <f t="shared" si="63"/>
        <v/>
      </c>
      <c r="C584" s="48"/>
      <c r="D584" s="49" t="str">
        <f t="shared" si="64"/>
        <v/>
      </c>
      <c r="E584" s="50" t="str">
        <f t="shared" si="65"/>
        <v/>
      </c>
      <c r="F584" s="51"/>
      <c r="G584" s="52"/>
      <c r="H584" s="51"/>
      <c r="I584" s="51"/>
      <c r="J584" s="52"/>
      <c r="K584" s="53" t="str">
        <f>IF(G584="","",IFERROR(INDEX(Stammdaten!$P$10:$P$69,MATCH(G584,Stammdaten!$N$10:$N$69,0)),"–"))</f>
        <v/>
      </c>
      <c r="L584" s="53" t="str">
        <f>IF(F584="","",IFERROR(INDEX(Stammdaten!$D$10:$D$49,MATCH(F584,Stammdaten!$B$10:$B$49,0)),"–"))</f>
        <v/>
      </c>
      <c r="M584" s="54" t="str">
        <f>IF(C584="","",IF(OR(F584="",G584="",I584=""),"unvollständig",IF(I584="Storniert","storniert",IF(WEEKDAY(C584,2)&gt;5,"Wochenende",IF(COUNTIF(Stammdaten!$AD$10:$AD$30,C584)&gt;0,"Feiertag",IF(IFERROR(INDEX(Stammdaten!$I$10:$I$49,MATCH(F584,Stammdaten!$B$10:$B$49,0)),"")="Gesperrt","Platz gesperrt",IF(AND(COUNTIF($P$6:$P$605,P584)&gt;1,NOT(AND(COUNTIF($P$6:$P$605,P584)=2,COUNTIFS($P$6:$P$605,P584,$H$6:$H$605,"Vormittag")=1,COUNTIFS($P$6:$P$605,P584,$H$6:$H$605,"Nachmittag")=1))),"Doppelbuchung",IF(AND(COUNTIF($R$6:$R$605,R584)&gt;1,NOT(AND(COUNTIF($R$6:$R$605,R584)=2,COUNTIFS($R$6:$R$605,R584,$H$6:$H$605,"Vormittag")=1,COUNTIFS($R$6:$R$605,R584,$H$6:$H$605,"Nachmittag")=1))),"Person doppelt","OK"))))))))</f>
        <v/>
      </c>
      <c r="O584" s="55">
        <f t="shared" si="66"/>
        <v>0</v>
      </c>
      <c r="P584" s="55" t="str">
        <f t="shared" si="67"/>
        <v/>
      </c>
      <c r="Q584" s="55" t="str">
        <f>IF(P584="","",P584&amp;"|"&amp;COUNTIF(P$6:P584,P584))</f>
        <v/>
      </c>
      <c r="R584" s="55" t="str">
        <f t="shared" si="68"/>
        <v/>
      </c>
      <c r="S584" s="55" t="str">
        <f>IF(R584="","",R584&amp;"|"&amp;COUNTIF(R$6:R584,R584))</f>
        <v/>
      </c>
      <c r="T584" s="55" t="str">
        <f>IF(G584="","",IFERROR(INDEX(Stammdaten!$O$10:$O$69,MATCH(G584,Stammdaten!$N$10:$N$69,0)),G584)&amp;IF(H584="Vormittag"," (VM)",IF(H584="Nachmittag"," (NM)",""))&amp;IF(I584="Angefragt"," ?",""))</f>
        <v/>
      </c>
      <c r="U584" s="55" t="str">
        <f t="shared" si="69"/>
        <v/>
      </c>
    </row>
    <row r="585" spans="2:21" ht="16.5" customHeight="1" x14ac:dyDescent="0.25">
      <c r="B585" s="47" t="str">
        <f t="shared" si="63"/>
        <v/>
      </c>
      <c r="C585" s="48"/>
      <c r="D585" s="49" t="str">
        <f t="shared" si="64"/>
        <v/>
      </c>
      <c r="E585" s="50" t="str">
        <f t="shared" si="65"/>
        <v/>
      </c>
      <c r="F585" s="51"/>
      <c r="G585" s="52"/>
      <c r="H585" s="51"/>
      <c r="I585" s="51"/>
      <c r="J585" s="52"/>
      <c r="K585" s="53" t="str">
        <f>IF(G585="","",IFERROR(INDEX(Stammdaten!$P$10:$P$69,MATCH(G585,Stammdaten!$N$10:$N$69,0)),"–"))</f>
        <v/>
      </c>
      <c r="L585" s="53" t="str">
        <f>IF(F585="","",IFERROR(INDEX(Stammdaten!$D$10:$D$49,MATCH(F585,Stammdaten!$B$10:$B$49,0)),"–"))</f>
        <v/>
      </c>
      <c r="M585" s="54" t="str">
        <f>IF(C585="","",IF(OR(F585="",G585="",I585=""),"unvollständig",IF(I585="Storniert","storniert",IF(WEEKDAY(C585,2)&gt;5,"Wochenende",IF(COUNTIF(Stammdaten!$AD$10:$AD$30,C585)&gt;0,"Feiertag",IF(IFERROR(INDEX(Stammdaten!$I$10:$I$49,MATCH(F585,Stammdaten!$B$10:$B$49,0)),"")="Gesperrt","Platz gesperrt",IF(AND(COUNTIF($P$6:$P$605,P585)&gt;1,NOT(AND(COUNTIF($P$6:$P$605,P585)=2,COUNTIFS($P$6:$P$605,P585,$H$6:$H$605,"Vormittag")=1,COUNTIFS($P$6:$P$605,P585,$H$6:$H$605,"Nachmittag")=1))),"Doppelbuchung",IF(AND(COUNTIF($R$6:$R$605,R585)&gt;1,NOT(AND(COUNTIF($R$6:$R$605,R585)=2,COUNTIFS($R$6:$R$605,R585,$H$6:$H$605,"Vormittag")=1,COUNTIFS($R$6:$R$605,R585,$H$6:$H$605,"Nachmittag")=1))),"Person doppelt","OK"))))))))</f>
        <v/>
      </c>
      <c r="O585" s="55">
        <f t="shared" si="66"/>
        <v>0</v>
      </c>
      <c r="P585" s="55" t="str">
        <f t="shared" si="67"/>
        <v/>
      </c>
      <c r="Q585" s="55" t="str">
        <f>IF(P585="","",P585&amp;"|"&amp;COUNTIF(P$6:P585,P585))</f>
        <v/>
      </c>
      <c r="R585" s="55" t="str">
        <f t="shared" si="68"/>
        <v/>
      </c>
      <c r="S585" s="55" t="str">
        <f>IF(R585="","",R585&amp;"|"&amp;COUNTIF(R$6:R585,R585))</f>
        <v/>
      </c>
      <c r="T585" s="55" t="str">
        <f>IF(G585="","",IFERROR(INDEX(Stammdaten!$O$10:$O$69,MATCH(G585,Stammdaten!$N$10:$N$69,0)),G585)&amp;IF(H585="Vormittag"," (VM)",IF(H585="Nachmittag"," (NM)",""))&amp;IF(I585="Angefragt"," ?",""))</f>
        <v/>
      </c>
      <c r="U585" s="55" t="str">
        <f t="shared" si="69"/>
        <v/>
      </c>
    </row>
    <row r="586" spans="2:21" ht="16.5" customHeight="1" x14ac:dyDescent="0.25">
      <c r="B586" s="47" t="str">
        <f t="shared" si="63"/>
        <v/>
      </c>
      <c r="C586" s="48"/>
      <c r="D586" s="49" t="str">
        <f t="shared" si="64"/>
        <v/>
      </c>
      <c r="E586" s="50" t="str">
        <f t="shared" si="65"/>
        <v/>
      </c>
      <c r="F586" s="51"/>
      <c r="G586" s="52"/>
      <c r="H586" s="51"/>
      <c r="I586" s="51"/>
      <c r="J586" s="52"/>
      <c r="K586" s="53" t="str">
        <f>IF(G586="","",IFERROR(INDEX(Stammdaten!$P$10:$P$69,MATCH(G586,Stammdaten!$N$10:$N$69,0)),"–"))</f>
        <v/>
      </c>
      <c r="L586" s="53" t="str">
        <f>IF(F586="","",IFERROR(INDEX(Stammdaten!$D$10:$D$49,MATCH(F586,Stammdaten!$B$10:$B$49,0)),"–"))</f>
        <v/>
      </c>
      <c r="M586" s="54" t="str">
        <f>IF(C586="","",IF(OR(F586="",G586="",I586=""),"unvollständig",IF(I586="Storniert","storniert",IF(WEEKDAY(C586,2)&gt;5,"Wochenende",IF(COUNTIF(Stammdaten!$AD$10:$AD$30,C586)&gt;0,"Feiertag",IF(IFERROR(INDEX(Stammdaten!$I$10:$I$49,MATCH(F586,Stammdaten!$B$10:$B$49,0)),"")="Gesperrt","Platz gesperrt",IF(AND(COUNTIF($P$6:$P$605,P586)&gt;1,NOT(AND(COUNTIF($P$6:$P$605,P586)=2,COUNTIFS($P$6:$P$605,P586,$H$6:$H$605,"Vormittag")=1,COUNTIFS($P$6:$P$605,P586,$H$6:$H$605,"Nachmittag")=1))),"Doppelbuchung",IF(AND(COUNTIF($R$6:$R$605,R586)&gt;1,NOT(AND(COUNTIF($R$6:$R$605,R586)=2,COUNTIFS($R$6:$R$605,R586,$H$6:$H$605,"Vormittag")=1,COUNTIFS($R$6:$R$605,R586,$H$6:$H$605,"Nachmittag")=1))),"Person doppelt","OK"))))))))</f>
        <v/>
      </c>
      <c r="O586" s="55">
        <f t="shared" si="66"/>
        <v>0</v>
      </c>
      <c r="P586" s="55" t="str">
        <f t="shared" si="67"/>
        <v/>
      </c>
      <c r="Q586" s="55" t="str">
        <f>IF(P586="","",P586&amp;"|"&amp;COUNTIF(P$6:P586,P586))</f>
        <v/>
      </c>
      <c r="R586" s="55" t="str">
        <f t="shared" si="68"/>
        <v/>
      </c>
      <c r="S586" s="55" t="str">
        <f>IF(R586="","",R586&amp;"|"&amp;COUNTIF(R$6:R586,R586))</f>
        <v/>
      </c>
      <c r="T586" s="55" t="str">
        <f>IF(G586="","",IFERROR(INDEX(Stammdaten!$O$10:$O$69,MATCH(G586,Stammdaten!$N$10:$N$69,0)),G586)&amp;IF(H586="Vormittag"," (VM)",IF(H586="Nachmittag"," (NM)",""))&amp;IF(I586="Angefragt"," ?",""))</f>
        <v/>
      </c>
      <c r="U586" s="55" t="str">
        <f t="shared" si="69"/>
        <v/>
      </c>
    </row>
    <row r="587" spans="2:21" ht="16.5" customHeight="1" x14ac:dyDescent="0.25">
      <c r="B587" s="47" t="str">
        <f t="shared" si="63"/>
        <v/>
      </c>
      <c r="C587" s="48"/>
      <c r="D587" s="49" t="str">
        <f t="shared" si="64"/>
        <v/>
      </c>
      <c r="E587" s="50" t="str">
        <f t="shared" si="65"/>
        <v/>
      </c>
      <c r="F587" s="51"/>
      <c r="G587" s="52"/>
      <c r="H587" s="51"/>
      <c r="I587" s="51"/>
      <c r="J587" s="52"/>
      <c r="K587" s="53" t="str">
        <f>IF(G587="","",IFERROR(INDEX(Stammdaten!$P$10:$P$69,MATCH(G587,Stammdaten!$N$10:$N$69,0)),"–"))</f>
        <v/>
      </c>
      <c r="L587" s="53" t="str">
        <f>IF(F587="","",IFERROR(INDEX(Stammdaten!$D$10:$D$49,MATCH(F587,Stammdaten!$B$10:$B$49,0)),"–"))</f>
        <v/>
      </c>
      <c r="M587" s="54" t="str">
        <f>IF(C587="","",IF(OR(F587="",G587="",I587=""),"unvollständig",IF(I587="Storniert","storniert",IF(WEEKDAY(C587,2)&gt;5,"Wochenende",IF(COUNTIF(Stammdaten!$AD$10:$AD$30,C587)&gt;0,"Feiertag",IF(IFERROR(INDEX(Stammdaten!$I$10:$I$49,MATCH(F587,Stammdaten!$B$10:$B$49,0)),"")="Gesperrt","Platz gesperrt",IF(AND(COUNTIF($P$6:$P$605,P587)&gt;1,NOT(AND(COUNTIF($P$6:$P$605,P587)=2,COUNTIFS($P$6:$P$605,P587,$H$6:$H$605,"Vormittag")=1,COUNTIFS($P$6:$P$605,P587,$H$6:$H$605,"Nachmittag")=1))),"Doppelbuchung",IF(AND(COUNTIF($R$6:$R$605,R587)&gt;1,NOT(AND(COUNTIF($R$6:$R$605,R587)=2,COUNTIFS($R$6:$R$605,R587,$H$6:$H$605,"Vormittag")=1,COUNTIFS($R$6:$R$605,R587,$H$6:$H$605,"Nachmittag")=1))),"Person doppelt","OK"))))))))</f>
        <v/>
      </c>
      <c r="O587" s="55">
        <f t="shared" si="66"/>
        <v>0</v>
      </c>
      <c r="P587" s="55" t="str">
        <f t="shared" si="67"/>
        <v/>
      </c>
      <c r="Q587" s="55" t="str">
        <f>IF(P587="","",P587&amp;"|"&amp;COUNTIF(P$6:P587,P587))</f>
        <v/>
      </c>
      <c r="R587" s="55" t="str">
        <f t="shared" si="68"/>
        <v/>
      </c>
      <c r="S587" s="55" t="str">
        <f>IF(R587="","",R587&amp;"|"&amp;COUNTIF(R$6:R587,R587))</f>
        <v/>
      </c>
      <c r="T587" s="55" t="str">
        <f>IF(G587="","",IFERROR(INDEX(Stammdaten!$O$10:$O$69,MATCH(G587,Stammdaten!$N$10:$N$69,0)),G587)&amp;IF(H587="Vormittag"," (VM)",IF(H587="Nachmittag"," (NM)",""))&amp;IF(I587="Angefragt"," ?",""))</f>
        <v/>
      </c>
      <c r="U587" s="55" t="str">
        <f t="shared" si="69"/>
        <v/>
      </c>
    </row>
    <row r="588" spans="2:21" ht="16.5" customHeight="1" x14ac:dyDescent="0.25">
      <c r="B588" s="47" t="str">
        <f t="shared" si="63"/>
        <v/>
      </c>
      <c r="C588" s="48"/>
      <c r="D588" s="49" t="str">
        <f t="shared" si="64"/>
        <v/>
      </c>
      <c r="E588" s="50" t="str">
        <f t="shared" si="65"/>
        <v/>
      </c>
      <c r="F588" s="51"/>
      <c r="G588" s="52"/>
      <c r="H588" s="51"/>
      <c r="I588" s="51"/>
      <c r="J588" s="52"/>
      <c r="K588" s="53" t="str">
        <f>IF(G588="","",IFERROR(INDEX(Stammdaten!$P$10:$P$69,MATCH(G588,Stammdaten!$N$10:$N$69,0)),"–"))</f>
        <v/>
      </c>
      <c r="L588" s="53" t="str">
        <f>IF(F588="","",IFERROR(INDEX(Stammdaten!$D$10:$D$49,MATCH(F588,Stammdaten!$B$10:$B$49,0)),"–"))</f>
        <v/>
      </c>
      <c r="M588" s="54" t="str">
        <f>IF(C588="","",IF(OR(F588="",G588="",I588=""),"unvollständig",IF(I588="Storniert","storniert",IF(WEEKDAY(C588,2)&gt;5,"Wochenende",IF(COUNTIF(Stammdaten!$AD$10:$AD$30,C588)&gt;0,"Feiertag",IF(IFERROR(INDEX(Stammdaten!$I$10:$I$49,MATCH(F588,Stammdaten!$B$10:$B$49,0)),"")="Gesperrt","Platz gesperrt",IF(AND(COUNTIF($P$6:$P$605,P588)&gt;1,NOT(AND(COUNTIF($P$6:$P$605,P588)=2,COUNTIFS($P$6:$P$605,P588,$H$6:$H$605,"Vormittag")=1,COUNTIFS($P$6:$P$605,P588,$H$6:$H$605,"Nachmittag")=1))),"Doppelbuchung",IF(AND(COUNTIF($R$6:$R$605,R588)&gt;1,NOT(AND(COUNTIF($R$6:$R$605,R588)=2,COUNTIFS($R$6:$R$605,R588,$H$6:$H$605,"Vormittag")=1,COUNTIFS($R$6:$R$605,R588,$H$6:$H$605,"Nachmittag")=1))),"Person doppelt","OK"))))))))</f>
        <v/>
      </c>
      <c r="O588" s="55">
        <f t="shared" si="66"/>
        <v>0</v>
      </c>
      <c r="P588" s="55" t="str">
        <f t="shared" si="67"/>
        <v/>
      </c>
      <c r="Q588" s="55" t="str">
        <f>IF(P588="","",P588&amp;"|"&amp;COUNTIF(P$6:P588,P588))</f>
        <v/>
      </c>
      <c r="R588" s="55" t="str">
        <f t="shared" si="68"/>
        <v/>
      </c>
      <c r="S588" s="55" t="str">
        <f>IF(R588="","",R588&amp;"|"&amp;COUNTIF(R$6:R588,R588))</f>
        <v/>
      </c>
      <c r="T588" s="55" t="str">
        <f>IF(G588="","",IFERROR(INDEX(Stammdaten!$O$10:$O$69,MATCH(G588,Stammdaten!$N$10:$N$69,0)),G588)&amp;IF(H588="Vormittag"," (VM)",IF(H588="Nachmittag"," (NM)",""))&amp;IF(I588="Angefragt"," ?",""))</f>
        <v/>
      </c>
      <c r="U588" s="55" t="str">
        <f t="shared" si="69"/>
        <v/>
      </c>
    </row>
    <row r="589" spans="2:21" ht="16.5" customHeight="1" x14ac:dyDescent="0.25">
      <c r="B589" s="47" t="str">
        <f t="shared" si="63"/>
        <v/>
      </c>
      <c r="C589" s="48"/>
      <c r="D589" s="49" t="str">
        <f t="shared" si="64"/>
        <v/>
      </c>
      <c r="E589" s="50" t="str">
        <f t="shared" si="65"/>
        <v/>
      </c>
      <c r="F589" s="51"/>
      <c r="G589" s="52"/>
      <c r="H589" s="51"/>
      <c r="I589" s="51"/>
      <c r="J589" s="52"/>
      <c r="K589" s="53" t="str">
        <f>IF(G589="","",IFERROR(INDEX(Stammdaten!$P$10:$P$69,MATCH(G589,Stammdaten!$N$10:$N$69,0)),"–"))</f>
        <v/>
      </c>
      <c r="L589" s="53" t="str">
        <f>IF(F589="","",IFERROR(INDEX(Stammdaten!$D$10:$D$49,MATCH(F589,Stammdaten!$B$10:$B$49,0)),"–"))</f>
        <v/>
      </c>
      <c r="M589" s="54" t="str">
        <f>IF(C589="","",IF(OR(F589="",G589="",I589=""),"unvollständig",IF(I589="Storniert","storniert",IF(WEEKDAY(C589,2)&gt;5,"Wochenende",IF(COUNTIF(Stammdaten!$AD$10:$AD$30,C589)&gt;0,"Feiertag",IF(IFERROR(INDEX(Stammdaten!$I$10:$I$49,MATCH(F589,Stammdaten!$B$10:$B$49,0)),"")="Gesperrt","Platz gesperrt",IF(AND(COUNTIF($P$6:$P$605,P589)&gt;1,NOT(AND(COUNTIF($P$6:$P$605,P589)=2,COUNTIFS($P$6:$P$605,P589,$H$6:$H$605,"Vormittag")=1,COUNTIFS($P$6:$P$605,P589,$H$6:$H$605,"Nachmittag")=1))),"Doppelbuchung",IF(AND(COUNTIF($R$6:$R$605,R589)&gt;1,NOT(AND(COUNTIF($R$6:$R$605,R589)=2,COUNTIFS($R$6:$R$605,R589,$H$6:$H$605,"Vormittag")=1,COUNTIFS($R$6:$R$605,R589,$H$6:$H$605,"Nachmittag")=1))),"Person doppelt","OK"))))))))</f>
        <v/>
      </c>
      <c r="O589" s="55">
        <f t="shared" si="66"/>
        <v>0</v>
      </c>
      <c r="P589" s="55" t="str">
        <f t="shared" si="67"/>
        <v/>
      </c>
      <c r="Q589" s="55" t="str">
        <f>IF(P589="","",P589&amp;"|"&amp;COUNTIF(P$6:P589,P589))</f>
        <v/>
      </c>
      <c r="R589" s="55" t="str">
        <f t="shared" si="68"/>
        <v/>
      </c>
      <c r="S589" s="55" t="str">
        <f>IF(R589="","",R589&amp;"|"&amp;COUNTIF(R$6:R589,R589))</f>
        <v/>
      </c>
      <c r="T589" s="55" t="str">
        <f>IF(G589="","",IFERROR(INDEX(Stammdaten!$O$10:$O$69,MATCH(G589,Stammdaten!$N$10:$N$69,0)),G589)&amp;IF(H589="Vormittag"," (VM)",IF(H589="Nachmittag"," (NM)",""))&amp;IF(I589="Angefragt"," ?",""))</f>
        <v/>
      </c>
      <c r="U589" s="55" t="str">
        <f t="shared" si="69"/>
        <v/>
      </c>
    </row>
    <row r="590" spans="2:21" ht="16.5" customHeight="1" x14ac:dyDescent="0.25">
      <c r="B590" s="47" t="str">
        <f t="shared" si="63"/>
        <v/>
      </c>
      <c r="C590" s="48"/>
      <c r="D590" s="49" t="str">
        <f t="shared" si="64"/>
        <v/>
      </c>
      <c r="E590" s="50" t="str">
        <f t="shared" si="65"/>
        <v/>
      </c>
      <c r="F590" s="51"/>
      <c r="G590" s="52"/>
      <c r="H590" s="51"/>
      <c r="I590" s="51"/>
      <c r="J590" s="52"/>
      <c r="K590" s="53" t="str">
        <f>IF(G590="","",IFERROR(INDEX(Stammdaten!$P$10:$P$69,MATCH(G590,Stammdaten!$N$10:$N$69,0)),"–"))</f>
        <v/>
      </c>
      <c r="L590" s="53" t="str">
        <f>IF(F590="","",IFERROR(INDEX(Stammdaten!$D$10:$D$49,MATCH(F590,Stammdaten!$B$10:$B$49,0)),"–"))</f>
        <v/>
      </c>
      <c r="M590" s="54" t="str">
        <f>IF(C590="","",IF(OR(F590="",G590="",I590=""),"unvollständig",IF(I590="Storniert","storniert",IF(WEEKDAY(C590,2)&gt;5,"Wochenende",IF(COUNTIF(Stammdaten!$AD$10:$AD$30,C590)&gt;0,"Feiertag",IF(IFERROR(INDEX(Stammdaten!$I$10:$I$49,MATCH(F590,Stammdaten!$B$10:$B$49,0)),"")="Gesperrt","Platz gesperrt",IF(AND(COUNTIF($P$6:$P$605,P590)&gt;1,NOT(AND(COUNTIF($P$6:$P$605,P590)=2,COUNTIFS($P$6:$P$605,P590,$H$6:$H$605,"Vormittag")=1,COUNTIFS($P$6:$P$605,P590,$H$6:$H$605,"Nachmittag")=1))),"Doppelbuchung",IF(AND(COUNTIF($R$6:$R$605,R590)&gt;1,NOT(AND(COUNTIF($R$6:$R$605,R590)=2,COUNTIFS($R$6:$R$605,R590,$H$6:$H$605,"Vormittag")=1,COUNTIFS($R$6:$R$605,R590,$H$6:$H$605,"Nachmittag")=1))),"Person doppelt","OK"))))))))</f>
        <v/>
      </c>
      <c r="O590" s="55">
        <f t="shared" si="66"/>
        <v>0</v>
      </c>
      <c r="P590" s="55" t="str">
        <f t="shared" si="67"/>
        <v/>
      </c>
      <c r="Q590" s="55" t="str">
        <f>IF(P590="","",P590&amp;"|"&amp;COUNTIF(P$6:P590,P590))</f>
        <v/>
      </c>
      <c r="R590" s="55" t="str">
        <f t="shared" si="68"/>
        <v/>
      </c>
      <c r="S590" s="55" t="str">
        <f>IF(R590="","",R590&amp;"|"&amp;COUNTIF(R$6:R590,R590))</f>
        <v/>
      </c>
      <c r="T590" s="55" t="str">
        <f>IF(G590="","",IFERROR(INDEX(Stammdaten!$O$10:$O$69,MATCH(G590,Stammdaten!$N$10:$N$69,0)),G590)&amp;IF(H590="Vormittag"," (VM)",IF(H590="Nachmittag"," (NM)",""))&amp;IF(I590="Angefragt"," ?",""))</f>
        <v/>
      </c>
      <c r="U590" s="55" t="str">
        <f t="shared" si="69"/>
        <v/>
      </c>
    </row>
    <row r="591" spans="2:21" ht="16.5" customHeight="1" x14ac:dyDescent="0.25">
      <c r="B591" s="47" t="str">
        <f t="shared" si="63"/>
        <v/>
      </c>
      <c r="C591" s="48"/>
      <c r="D591" s="49" t="str">
        <f t="shared" si="64"/>
        <v/>
      </c>
      <c r="E591" s="50" t="str">
        <f t="shared" si="65"/>
        <v/>
      </c>
      <c r="F591" s="51"/>
      <c r="G591" s="52"/>
      <c r="H591" s="51"/>
      <c r="I591" s="51"/>
      <c r="J591" s="52"/>
      <c r="K591" s="53" t="str">
        <f>IF(G591="","",IFERROR(INDEX(Stammdaten!$P$10:$P$69,MATCH(G591,Stammdaten!$N$10:$N$69,0)),"–"))</f>
        <v/>
      </c>
      <c r="L591" s="53" t="str">
        <f>IF(F591="","",IFERROR(INDEX(Stammdaten!$D$10:$D$49,MATCH(F591,Stammdaten!$B$10:$B$49,0)),"–"))</f>
        <v/>
      </c>
      <c r="M591" s="54" t="str">
        <f>IF(C591="","",IF(OR(F591="",G591="",I591=""),"unvollständig",IF(I591="Storniert","storniert",IF(WEEKDAY(C591,2)&gt;5,"Wochenende",IF(COUNTIF(Stammdaten!$AD$10:$AD$30,C591)&gt;0,"Feiertag",IF(IFERROR(INDEX(Stammdaten!$I$10:$I$49,MATCH(F591,Stammdaten!$B$10:$B$49,0)),"")="Gesperrt","Platz gesperrt",IF(AND(COUNTIF($P$6:$P$605,P591)&gt;1,NOT(AND(COUNTIF($P$6:$P$605,P591)=2,COUNTIFS($P$6:$P$605,P591,$H$6:$H$605,"Vormittag")=1,COUNTIFS($P$6:$P$605,P591,$H$6:$H$605,"Nachmittag")=1))),"Doppelbuchung",IF(AND(COUNTIF($R$6:$R$605,R591)&gt;1,NOT(AND(COUNTIF($R$6:$R$605,R591)=2,COUNTIFS($R$6:$R$605,R591,$H$6:$H$605,"Vormittag")=1,COUNTIFS($R$6:$R$605,R591,$H$6:$H$605,"Nachmittag")=1))),"Person doppelt","OK"))))))))</f>
        <v/>
      </c>
      <c r="O591" s="55">
        <f t="shared" si="66"/>
        <v>0</v>
      </c>
      <c r="P591" s="55" t="str">
        <f t="shared" si="67"/>
        <v/>
      </c>
      <c r="Q591" s="55" t="str">
        <f>IF(P591="","",P591&amp;"|"&amp;COUNTIF(P$6:P591,P591))</f>
        <v/>
      </c>
      <c r="R591" s="55" t="str">
        <f t="shared" si="68"/>
        <v/>
      </c>
      <c r="S591" s="55" t="str">
        <f>IF(R591="","",R591&amp;"|"&amp;COUNTIF(R$6:R591,R591))</f>
        <v/>
      </c>
      <c r="T591" s="55" t="str">
        <f>IF(G591="","",IFERROR(INDEX(Stammdaten!$O$10:$O$69,MATCH(G591,Stammdaten!$N$10:$N$69,0)),G591)&amp;IF(H591="Vormittag"," (VM)",IF(H591="Nachmittag"," (NM)",""))&amp;IF(I591="Angefragt"," ?",""))</f>
        <v/>
      </c>
      <c r="U591" s="55" t="str">
        <f t="shared" si="69"/>
        <v/>
      </c>
    </row>
    <row r="592" spans="2:21" ht="16.5" customHeight="1" x14ac:dyDescent="0.25">
      <c r="B592" s="47" t="str">
        <f t="shared" si="63"/>
        <v/>
      </c>
      <c r="C592" s="48"/>
      <c r="D592" s="49" t="str">
        <f t="shared" si="64"/>
        <v/>
      </c>
      <c r="E592" s="50" t="str">
        <f t="shared" si="65"/>
        <v/>
      </c>
      <c r="F592" s="51"/>
      <c r="G592" s="52"/>
      <c r="H592" s="51"/>
      <c r="I592" s="51"/>
      <c r="J592" s="52"/>
      <c r="K592" s="53" t="str">
        <f>IF(G592="","",IFERROR(INDEX(Stammdaten!$P$10:$P$69,MATCH(G592,Stammdaten!$N$10:$N$69,0)),"–"))</f>
        <v/>
      </c>
      <c r="L592" s="53" t="str">
        <f>IF(F592="","",IFERROR(INDEX(Stammdaten!$D$10:$D$49,MATCH(F592,Stammdaten!$B$10:$B$49,0)),"–"))</f>
        <v/>
      </c>
      <c r="M592" s="54" t="str">
        <f>IF(C592="","",IF(OR(F592="",G592="",I592=""),"unvollständig",IF(I592="Storniert","storniert",IF(WEEKDAY(C592,2)&gt;5,"Wochenende",IF(COUNTIF(Stammdaten!$AD$10:$AD$30,C592)&gt;0,"Feiertag",IF(IFERROR(INDEX(Stammdaten!$I$10:$I$49,MATCH(F592,Stammdaten!$B$10:$B$49,0)),"")="Gesperrt","Platz gesperrt",IF(AND(COUNTIF($P$6:$P$605,P592)&gt;1,NOT(AND(COUNTIF($P$6:$P$605,P592)=2,COUNTIFS($P$6:$P$605,P592,$H$6:$H$605,"Vormittag")=1,COUNTIFS($P$6:$P$605,P592,$H$6:$H$605,"Nachmittag")=1))),"Doppelbuchung",IF(AND(COUNTIF($R$6:$R$605,R592)&gt;1,NOT(AND(COUNTIF($R$6:$R$605,R592)=2,COUNTIFS($R$6:$R$605,R592,$H$6:$H$605,"Vormittag")=1,COUNTIFS($R$6:$R$605,R592,$H$6:$H$605,"Nachmittag")=1))),"Person doppelt","OK"))))))))</f>
        <v/>
      </c>
      <c r="O592" s="55">
        <f t="shared" si="66"/>
        <v>0</v>
      </c>
      <c r="P592" s="55" t="str">
        <f t="shared" si="67"/>
        <v/>
      </c>
      <c r="Q592" s="55" t="str">
        <f>IF(P592="","",P592&amp;"|"&amp;COUNTIF(P$6:P592,P592))</f>
        <v/>
      </c>
      <c r="R592" s="55" t="str">
        <f t="shared" si="68"/>
        <v/>
      </c>
      <c r="S592" s="55" t="str">
        <f>IF(R592="","",R592&amp;"|"&amp;COUNTIF(R$6:R592,R592))</f>
        <v/>
      </c>
      <c r="T592" s="55" t="str">
        <f>IF(G592="","",IFERROR(INDEX(Stammdaten!$O$10:$O$69,MATCH(G592,Stammdaten!$N$10:$N$69,0)),G592)&amp;IF(H592="Vormittag"," (VM)",IF(H592="Nachmittag"," (NM)",""))&amp;IF(I592="Angefragt"," ?",""))</f>
        <v/>
      </c>
      <c r="U592" s="55" t="str">
        <f t="shared" si="69"/>
        <v/>
      </c>
    </row>
    <row r="593" spans="2:21" ht="16.5" customHeight="1" x14ac:dyDescent="0.25">
      <c r="B593" s="47" t="str">
        <f t="shared" si="63"/>
        <v/>
      </c>
      <c r="C593" s="48"/>
      <c r="D593" s="49" t="str">
        <f t="shared" si="64"/>
        <v/>
      </c>
      <c r="E593" s="50" t="str">
        <f t="shared" si="65"/>
        <v/>
      </c>
      <c r="F593" s="51"/>
      <c r="G593" s="52"/>
      <c r="H593" s="51"/>
      <c r="I593" s="51"/>
      <c r="J593" s="52"/>
      <c r="K593" s="53" t="str">
        <f>IF(G593="","",IFERROR(INDEX(Stammdaten!$P$10:$P$69,MATCH(G593,Stammdaten!$N$10:$N$69,0)),"–"))</f>
        <v/>
      </c>
      <c r="L593" s="53" t="str">
        <f>IF(F593="","",IFERROR(INDEX(Stammdaten!$D$10:$D$49,MATCH(F593,Stammdaten!$B$10:$B$49,0)),"–"))</f>
        <v/>
      </c>
      <c r="M593" s="54" t="str">
        <f>IF(C593="","",IF(OR(F593="",G593="",I593=""),"unvollständig",IF(I593="Storniert","storniert",IF(WEEKDAY(C593,2)&gt;5,"Wochenende",IF(COUNTIF(Stammdaten!$AD$10:$AD$30,C593)&gt;0,"Feiertag",IF(IFERROR(INDEX(Stammdaten!$I$10:$I$49,MATCH(F593,Stammdaten!$B$10:$B$49,0)),"")="Gesperrt","Platz gesperrt",IF(AND(COUNTIF($P$6:$P$605,P593)&gt;1,NOT(AND(COUNTIF($P$6:$P$605,P593)=2,COUNTIFS($P$6:$P$605,P593,$H$6:$H$605,"Vormittag")=1,COUNTIFS($P$6:$P$605,P593,$H$6:$H$605,"Nachmittag")=1))),"Doppelbuchung",IF(AND(COUNTIF($R$6:$R$605,R593)&gt;1,NOT(AND(COUNTIF($R$6:$R$605,R593)=2,COUNTIFS($R$6:$R$605,R593,$H$6:$H$605,"Vormittag")=1,COUNTIFS($R$6:$R$605,R593,$H$6:$H$605,"Nachmittag")=1))),"Person doppelt","OK"))))))))</f>
        <v/>
      </c>
      <c r="O593" s="55">
        <f t="shared" si="66"/>
        <v>0</v>
      </c>
      <c r="P593" s="55" t="str">
        <f t="shared" si="67"/>
        <v/>
      </c>
      <c r="Q593" s="55" t="str">
        <f>IF(P593="","",P593&amp;"|"&amp;COUNTIF(P$6:P593,P593))</f>
        <v/>
      </c>
      <c r="R593" s="55" t="str">
        <f t="shared" si="68"/>
        <v/>
      </c>
      <c r="S593" s="55" t="str">
        <f>IF(R593="","",R593&amp;"|"&amp;COUNTIF(R$6:R593,R593))</f>
        <v/>
      </c>
      <c r="T593" s="55" t="str">
        <f>IF(G593="","",IFERROR(INDEX(Stammdaten!$O$10:$O$69,MATCH(G593,Stammdaten!$N$10:$N$69,0)),G593)&amp;IF(H593="Vormittag"," (VM)",IF(H593="Nachmittag"," (NM)",""))&amp;IF(I593="Angefragt"," ?",""))</f>
        <v/>
      </c>
      <c r="U593" s="55" t="str">
        <f t="shared" si="69"/>
        <v/>
      </c>
    </row>
    <row r="594" spans="2:21" ht="16.5" customHeight="1" x14ac:dyDescent="0.25">
      <c r="B594" s="47" t="str">
        <f t="shared" si="63"/>
        <v/>
      </c>
      <c r="C594" s="48"/>
      <c r="D594" s="49" t="str">
        <f t="shared" si="64"/>
        <v/>
      </c>
      <c r="E594" s="50" t="str">
        <f t="shared" si="65"/>
        <v/>
      </c>
      <c r="F594" s="51"/>
      <c r="G594" s="52"/>
      <c r="H594" s="51"/>
      <c r="I594" s="51"/>
      <c r="J594" s="52"/>
      <c r="K594" s="53" t="str">
        <f>IF(G594="","",IFERROR(INDEX(Stammdaten!$P$10:$P$69,MATCH(G594,Stammdaten!$N$10:$N$69,0)),"–"))</f>
        <v/>
      </c>
      <c r="L594" s="53" t="str">
        <f>IF(F594="","",IFERROR(INDEX(Stammdaten!$D$10:$D$49,MATCH(F594,Stammdaten!$B$10:$B$49,0)),"–"))</f>
        <v/>
      </c>
      <c r="M594" s="54" t="str">
        <f>IF(C594="","",IF(OR(F594="",G594="",I594=""),"unvollständig",IF(I594="Storniert","storniert",IF(WEEKDAY(C594,2)&gt;5,"Wochenende",IF(COUNTIF(Stammdaten!$AD$10:$AD$30,C594)&gt;0,"Feiertag",IF(IFERROR(INDEX(Stammdaten!$I$10:$I$49,MATCH(F594,Stammdaten!$B$10:$B$49,0)),"")="Gesperrt","Platz gesperrt",IF(AND(COUNTIF($P$6:$P$605,P594)&gt;1,NOT(AND(COUNTIF($P$6:$P$605,P594)=2,COUNTIFS($P$6:$P$605,P594,$H$6:$H$605,"Vormittag")=1,COUNTIFS($P$6:$P$605,P594,$H$6:$H$605,"Nachmittag")=1))),"Doppelbuchung",IF(AND(COUNTIF($R$6:$R$605,R594)&gt;1,NOT(AND(COUNTIF($R$6:$R$605,R594)=2,COUNTIFS($R$6:$R$605,R594,$H$6:$H$605,"Vormittag")=1,COUNTIFS($R$6:$R$605,R594,$H$6:$H$605,"Nachmittag")=1))),"Person doppelt","OK"))))))))</f>
        <v/>
      </c>
      <c r="O594" s="55">
        <f t="shared" si="66"/>
        <v>0</v>
      </c>
      <c r="P594" s="55" t="str">
        <f t="shared" si="67"/>
        <v/>
      </c>
      <c r="Q594" s="55" t="str">
        <f>IF(P594="","",P594&amp;"|"&amp;COUNTIF(P$6:P594,P594))</f>
        <v/>
      </c>
      <c r="R594" s="55" t="str">
        <f t="shared" si="68"/>
        <v/>
      </c>
      <c r="S594" s="55" t="str">
        <f>IF(R594="","",R594&amp;"|"&amp;COUNTIF(R$6:R594,R594))</f>
        <v/>
      </c>
      <c r="T594" s="55" t="str">
        <f>IF(G594="","",IFERROR(INDEX(Stammdaten!$O$10:$O$69,MATCH(G594,Stammdaten!$N$10:$N$69,0)),G594)&amp;IF(H594="Vormittag"," (VM)",IF(H594="Nachmittag"," (NM)",""))&amp;IF(I594="Angefragt"," ?",""))</f>
        <v/>
      </c>
      <c r="U594" s="55" t="str">
        <f t="shared" si="69"/>
        <v/>
      </c>
    </row>
    <row r="595" spans="2:21" ht="16.5" customHeight="1" x14ac:dyDescent="0.25">
      <c r="B595" s="47" t="str">
        <f t="shared" si="63"/>
        <v/>
      </c>
      <c r="C595" s="48"/>
      <c r="D595" s="49" t="str">
        <f t="shared" si="64"/>
        <v/>
      </c>
      <c r="E595" s="50" t="str">
        <f t="shared" si="65"/>
        <v/>
      </c>
      <c r="F595" s="51"/>
      <c r="G595" s="52"/>
      <c r="H595" s="51"/>
      <c r="I595" s="51"/>
      <c r="J595" s="52"/>
      <c r="K595" s="53" t="str">
        <f>IF(G595="","",IFERROR(INDEX(Stammdaten!$P$10:$P$69,MATCH(G595,Stammdaten!$N$10:$N$69,0)),"–"))</f>
        <v/>
      </c>
      <c r="L595" s="53" t="str">
        <f>IF(F595="","",IFERROR(INDEX(Stammdaten!$D$10:$D$49,MATCH(F595,Stammdaten!$B$10:$B$49,0)),"–"))</f>
        <v/>
      </c>
      <c r="M595" s="54" t="str">
        <f>IF(C595="","",IF(OR(F595="",G595="",I595=""),"unvollständig",IF(I595="Storniert","storniert",IF(WEEKDAY(C595,2)&gt;5,"Wochenende",IF(COUNTIF(Stammdaten!$AD$10:$AD$30,C595)&gt;0,"Feiertag",IF(IFERROR(INDEX(Stammdaten!$I$10:$I$49,MATCH(F595,Stammdaten!$B$10:$B$49,0)),"")="Gesperrt","Platz gesperrt",IF(AND(COUNTIF($P$6:$P$605,P595)&gt;1,NOT(AND(COUNTIF($P$6:$P$605,P595)=2,COUNTIFS($P$6:$P$605,P595,$H$6:$H$605,"Vormittag")=1,COUNTIFS($P$6:$P$605,P595,$H$6:$H$605,"Nachmittag")=1))),"Doppelbuchung",IF(AND(COUNTIF($R$6:$R$605,R595)&gt;1,NOT(AND(COUNTIF($R$6:$R$605,R595)=2,COUNTIFS($R$6:$R$605,R595,$H$6:$H$605,"Vormittag")=1,COUNTIFS($R$6:$R$605,R595,$H$6:$H$605,"Nachmittag")=1))),"Person doppelt","OK"))))))))</f>
        <v/>
      </c>
      <c r="O595" s="55">
        <f t="shared" si="66"/>
        <v>0</v>
      </c>
      <c r="P595" s="55" t="str">
        <f t="shared" si="67"/>
        <v/>
      </c>
      <c r="Q595" s="55" t="str">
        <f>IF(P595="","",P595&amp;"|"&amp;COUNTIF(P$6:P595,P595))</f>
        <v/>
      </c>
      <c r="R595" s="55" t="str">
        <f t="shared" si="68"/>
        <v/>
      </c>
      <c r="S595" s="55" t="str">
        <f>IF(R595="","",R595&amp;"|"&amp;COUNTIF(R$6:R595,R595))</f>
        <v/>
      </c>
      <c r="T595" s="55" t="str">
        <f>IF(G595="","",IFERROR(INDEX(Stammdaten!$O$10:$O$69,MATCH(G595,Stammdaten!$N$10:$N$69,0)),G595)&amp;IF(H595="Vormittag"," (VM)",IF(H595="Nachmittag"," (NM)",""))&amp;IF(I595="Angefragt"," ?",""))</f>
        <v/>
      </c>
      <c r="U595" s="55" t="str">
        <f t="shared" si="69"/>
        <v/>
      </c>
    </row>
    <row r="596" spans="2:21" ht="16.5" customHeight="1" x14ac:dyDescent="0.25">
      <c r="B596" s="47" t="str">
        <f t="shared" si="63"/>
        <v/>
      </c>
      <c r="C596" s="48"/>
      <c r="D596" s="49" t="str">
        <f t="shared" si="64"/>
        <v/>
      </c>
      <c r="E596" s="50" t="str">
        <f t="shared" si="65"/>
        <v/>
      </c>
      <c r="F596" s="51"/>
      <c r="G596" s="52"/>
      <c r="H596" s="51"/>
      <c r="I596" s="51"/>
      <c r="J596" s="52"/>
      <c r="K596" s="53" t="str">
        <f>IF(G596="","",IFERROR(INDEX(Stammdaten!$P$10:$P$69,MATCH(G596,Stammdaten!$N$10:$N$69,0)),"–"))</f>
        <v/>
      </c>
      <c r="L596" s="53" t="str">
        <f>IF(F596="","",IFERROR(INDEX(Stammdaten!$D$10:$D$49,MATCH(F596,Stammdaten!$B$10:$B$49,0)),"–"))</f>
        <v/>
      </c>
      <c r="M596" s="54" t="str">
        <f>IF(C596="","",IF(OR(F596="",G596="",I596=""),"unvollständig",IF(I596="Storniert","storniert",IF(WEEKDAY(C596,2)&gt;5,"Wochenende",IF(COUNTIF(Stammdaten!$AD$10:$AD$30,C596)&gt;0,"Feiertag",IF(IFERROR(INDEX(Stammdaten!$I$10:$I$49,MATCH(F596,Stammdaten!$B$10:$B$49,0)),"")="Gesperrt","Platz gesperrt",IF(AND(COUNTIF($P$6:$P$605,P596)&gt;1,NOT(AND(COUNTIF($P$6:$P$605,P596)=2,COUNTIFS($P$6:$P$605,P596,$H$6:$H$605,"Vormittag")=1,COUNTIFS($P$6:$P$605,P596,$H$6:$H$605,"Nachmittag")=1))),"Doppelbuchung",IF(AND(COUNTIF($R$6:$R$605,R596)&gt;1,NOT(AND(COUNTIF($R$6:$R$605,R596)=2,COUNTIFS($R$6:$R$605,R596,$H$6:$H$605,"Vormittag")=1,COUNTIFS($R$6:$R$605,R596,$H$6:$H$605,"Nachmittag")=1))),"Person doppelt","OK"))))))))</f>
        <v/>
      </c>
      <c r="O596" s="55">
        <f t="shared" si="66"/>
        <v>0</v>
      </c>
      <c r="P596" s="55" t="str">
        <f t="shared" si="67"/>
        <v/>
      </c>
      <c r="Q596" s="55" t="str">
        <f>IF(P596="","",P596&amp;"|"&amp;COUNTIF(P$6:P596,P596))</f>
        <v/>
      </c>
      <c r="R596" s="55" t="str">
        <f t="shared" si="68"/>
        <v/>
      </c>
      <c r="S596" s="55" t="str">
        <f>IF(R596="","",R596&amp;"|"&amp;COUNTIF(R$6:R596,R596))</f>
        <v/>
      </c>
      <c r="T596" s="55" t="str">
        <f>IF(G596="","",IFERROR(INDEX(Stammdaten!$O$10:$O$69,MATCH(G596,Stammdaten!$N$10:$N$69,0)),G596)&amp;IF(H596="Vormittag"," (VM)",IF(H596="Nachmittag"," (NM)",""))&amp;IF(I596="Angefragt"," ?",""))</f>
        <v/>
      </c>
      <c r="U596" s="55" t="str">
        <f t="shared" si="69"/>
        <v/>
      </c>
    </row>
    <row r="597" spans="2:21" ht="16.5" customHeight="1" x14ac:dyDescent="0.25">
      <c r="B597" s="47" t="str">
        <f t="shared" si="63"/>
        <v/>
      </c>
      <c r="C597" s="48"/>
      <c r="D597" s="49" t="str">
        <f t="shared" si="64"/>
        <v/>
      </c>
      <c r="E597" s="50" t="str">
        <f t="shared" si="65"/>
        <v/>
      </c>
      <c r="F597" s="51"/>
      <c r="G597" s="52"/>
      <c r="H597" s="51"/>
      <c r="I597" s="51"/>
      <c r="J597" s="52"/>
      <c r="K597" s="53" t="str">
        <f>IF(G597="","",IFERROR(INDEX(Stammdaten!$P$10:$P$69,MATCH(G597,Stammdaten!$N$10:$N$69,0)),"–"))</f>
        <v/>
      </c>
      <c r="L597" s="53" t="str">
        <f>IF(F597="","",IFERROR(INDEX(Stammdaten!$D$10:$D$49,MATCH(F597,Stammdaten!$B$10:$B$49,0)),"–"))</f>
        <v/>
      </c>
      <c r="M597" s="54" t="str">
        <f>IF(C597="","",IF(OR(F597="",G597="",I597=""),"unvollständig",IF(I597="Storniert","storniert",IF(WEEKDAY(C597,2)&gt;5,"Wochenende",IF(COUNTIF(Stammdaten!$AD$10:$AD$30,C597)&gt;0,"Feiertag",IF(IFERROR(INDEX(Stammdaten!$I$10:$I$49,MATCH(F597,Stammdaten!$B$10:$B$49,0)),"")="Gesperrt","Platz gesperrt",IF(AND(COUNTIF($P$6:$P$605,P597)&gt;1,NOT(AND(COUNTIF($P$6:$P$605,P597)=2,COUNTIFS($P$6:$P$605,P597,$H$6:$H$605,"Vormittag")=1,COUNTIFS($P$6:$P$605,P597,$H$6:$H$605,"Nachmittag")=1))),"Doppelbuchung",IF(AND(COUNTIF($R$6:$R$605,R597)&gt;1,NOT(AND(COUNTIF($R$6:$R$605,R597)=2,COUNTIFS($R$6:$R$605,R597,$H$6:$H$605,"Vormittag")=1,COUNTIFS($R$6:$R$605,R597,$H$6:$H$605,"Nachmittag")=1))),"Person doppelt","OK"))))))))</f>
        <v/>
      </c>
      <c r="O597" s="55">
        <f t="shared" si="66"/>
        <v>0</v>
      </c>
      <c r="P597" s="55" t="str">
        <f t="shared" si="67"/>
        <v/>
      </c>
      <c r="Q597" s="55" t="str">
        <f>IF(P597="","",P597&amp;"|"&amp;COUNTIF(P$6:P597,P597))</f>
        <v/>
      </c>
      <c r="R597" s="55" t="str">
        <f t="shared" si="68"/>
        <v/>
      </c>
      <c r="S597" s="55" t="str">
        <f>IF(R597="","",R597&amp;"|"&amp;COUNTIF(R$6:R597,R597))</f>
        <v/>
      </c>
      <c r="T597" s="55" t="str">
        <f>IF(G597="","",IFERROR(INDEX(Stammdaten!$O$10:$O$69,MATCH(G597,Stammdaten!$N$10:$N$69,0)),G597)&amp;IF(H597="Vormittag"," (VM)",IF(H597="Nachmittag"," (NM)",""))&amp;IF(I597="Angefragt"," ?",""))</f>
        <v/>
      </c>
      <c r="U597" s="55" t="str">
        <f t="shared" si="69"/>
        <v/>
      </c>
    </row>
    <row r="598" spans="2:21" ht="16.5" customHeight="1" x14ac:dyDescent="0.25">
      <c r="B598" s="47" t="str">
        <f t="shared" si="63"/>
        <v/>
      </c>
      <c r="C598" s="48"/>
      <c r="D598" s="49" t="str">
        <f t="shared" si="64"/>
        <v/>
      </c>
      <c r="E598" s="50" t="str">
        <f t="shared" si="65"/>
        <v/>
      </c>
      <c r="F598" s="51"/>
      <c r="G598" s="52"/>
      <c r="H598" s="51"/>
      <c r="I598" s="51"/>
      <c r="J598" s="52"/>
      <c r="K598" s="53" t="str">
        <f>IF(G598="","",IFERROR(INDEX(Stammdaten!$P$10:$P$69,MATCH(G598,Stammdaten!$N$10:$N$69,0)),"–"))</f>
        <v/>
      </c>
      <c r="L598" s="53" t="str">
        <f>IF(F598="","",IFERROR(INDEX(Stammdaten!$D$10:$D$49,MATCH(F598,Stammdaten!$B$10:$B$49,0)),"–"))</f>
        <v/>
      </c>
      <c r="M598" s="54" t="str">
        <f>IF(C598="","",IF(OR(F598="",G598="",I598=""),"unvollständig",IF(I598="Storniert","storniert",IF(WEEKDAY(C598,2)&gt;5,"Wochenende",IF(COUNTIF(Stammdaten!$AD$10:$AD$30,C598)&gt;0,"Feiertag",IF(IFERROR(INDEX(Stammdaten!$I$10:$I$49,MATCH(F598,Stammdaten!$B$10:$B$49,0)),"")="Gesperrt","Platz gesperrt",IF(AND(COUNTIF($P$6:$P$605,P598)&gt;1,NOT(AND(COUNTIF($P$6:$P$605,P598)=2,COUNTIFS($P$6:$P$605,P598,$H$6:$H$605,"Vormittag")=1,COUNTIFS($P$6:$P$605,P598,$H$6:$H$605,"Nachmittag")=1))),"Doppelbuchung",IF(AND(COUNTIF($R$6:$R$605,R598)&gt;1,NOT(AND(COUNTIF($R$6:$R$605,R598)=2,COUNTIFS($R$6:$R$605,R598,$H$6:$H$605,"Vormittag")=1,COUNTIFS($R$6:$R$605,R598,$H$6:$H$605,"Nachmittag")=1))),"Person doppelt","OK"))))))))</f>
        <v/>
      </c>
      <c r="O598" s="55">
        <f t="shared" si="66"/>
        <v>0</v>
      </c>
      <c r="P598" s="55" t="str">
        <f t="shared" si="67"/>
        <v/>
      </c>
      <c r="Q598" s="55" t="str">
        <f>IF(P598="","",P598&amp;"|"&amp;COUNTIF(P$6:P598,P598))</f>
        <v/>
      </c>
      <c r="R598" s="55" t="str">
        <f t="shared" si="68"/>
        <v/>
      </c>
      <c r="S598" s="55" t="str">
        <f>IF(R598="","",R598&amp;"|"&amp;COUNTIF(R$6:R598,R598))</f>
        <v/>
      </c>
      <c r="T598" s="55" t="str">
        <f>IF(G598="","",IFERROR(INDEX(Stammdaten!$O$10:$O$69,MATCH(G598,Stammdaten!$N$10:$N$69,0)),G598)&amp;IF(H598="Vormittag"," (VM)",IF(H598="Nachmittag"," (NM)",""))&amp;IF(I598="Angefragt"," ?",""))</f>
        <v/>
      </c>
      <c r="U598" s="55" t="str">
        <f t="shared" si="69"/>
        <v/>
      </c>
    </row>
    <row r="599" spans="2:21" ht="16.5" customHeight="1" x14ac:dyDescent="0.25">
      <c r="B599" s="47" t="str">
        <f t="shared" si="63"/>
        <v/>
      </c>
      <c r="C599" s="48"/>
      <c r="D599" s="49" t="str">
        <f t="shared" si="64"/>
        <v/>
      </c>
      <c r="E599" s="50" t="str">
        <f t="shared" si="65"/>
        <v/>
      </c>
      <c r="F599" s="51"/>
      <c r="G599" s="52"/>
      <c r="H599" s="51"/>
      <c r="I599" s="51"/>
      <c r="J599" s="52"/>
      <c r="K599" s="53" t="str">
        <f>IF(G599="","",IFERROR(INDEX(Stammdaten!$P$10:$P$69,MATCH(G599,Stammdaten!$N$10:$N$69,0)),"–"))</f>
        <v/>
      </c>
      <c r="L599" s="53" t="str">
        <f>IF(F599="","",IFERROR(INDEX(Stammdaten!$D$10:$D$49,MATCH(F599,Stammdaten!$B$10:$B$49,0)),"–"))</f>
        <v/>
      </c>
      <c r="M599" s="54" t="str">
        <f>IF(C599="","",IF(OR(F599="",G599="",I599=""),"unvollständig",IF(I599="Storniert","storniert",IF(WEEKDAY(C599,2)&gt;5,"Wochenende",IF(COUNTIF(Stammdaten!$AD$10:$AD$30,C599)&gt;0,"Feiertag",IF(IFERROR(INDEX(Stammdaten!$I$10:$I$49,MATCH(F599,Stammdaten!$B$10:$B$49,0)),"")="Gesperrt","Platz gesperrt",IF(AND(COUNTIF($P$6:$P$605,P599)&gt;1,NOT(AND(COUNTIF($P$6:$P$605,P599)=2,COUNTIFS($P$6:$P$605,P599,$H$6:$H$605,"Vormittag")=1,COUNTIFS($P$6:$P$605,P599,$H$6:$H$605,"Nachmittag")=1))),"Doppelbuchung",IF(AND(COUNTIF($R$6:$R$605,R599)&gt;1,NOT(AND(COUNTIF($R$6:$R$605,R599)=2,COUNTIFS($R$6:$R$605,R599,$H$6:$H$605,"Vormittag")=1,COUNTIFS($R$6:$R$605,R599,$H$6:$H$605,"Nachmittag")=1))),"Person doppelt","OK"))))))))</f>
        <v/>
      </c>
      <c r="O599" s="55">
        <f t="shared" si="66"/>
        <v>0</v>
      </c>
      <c r="P599" s="55" t="str">
        <f t="shared" si="67"/>
        <v/>
      </c>
      <c r="Q599" s="55" t="str">
        <f>IF(P599="","",P599&amp;"|"&amp;COUNTIF(P$6:P599,P599))</f>
        <v/>
      </c>
      <c r="R599" s="55" t="str">
        <f t="shared" si="68"/>
        <v/>
      </c>
      <c r="S599" s="55" t="str">
        <f>IF(R599="","",R599&amp;"|"&amp;COUNTIF(R$6:R599,R599))</f>
        <v/>
      </c>
      <c r="T599" s="55" t="str">
        <f>IF(G599="","",IFERROR(INDEX(Stammdaten!$O$10:$O$69,MATCH(G599,Stammdaten!$N$10:$N$69,0)),G599)&amp;IF(H599="Vormittag"," (VM)",IF(H599="Nachmittag"," (NM)",""))&amp;IF(I599="Angefragt"," ?",""))</f>
        <v/>
      </c>
      <c r="U599" s="55" t="str">
        <f t="shared" si="69"/>
        <v/>
      </c>
    </row>
    <row r="600" spans="2:21" ht="16.5" customHeight="1" x14ac:dyDescent="0.25">
      <c r="B600" s="47" t="str">
        <f t="shared" si="63"/>
        <v/>
      </c>
      <c r="C600" s="48"/>
      <c r="D600" s="49" t="str">
        <f t="shared" si="64"/>
        <v/>
      </c>
      <c r="E600" s="50" t="str">
        <f t="shared" si="65"/>
        <v/>
      </c>
      <c r="F600" s="51"/>
      <c r="G600" s="52"/>
      <c r="H600" s="51"/>
      <c r="I600" s="51"/>
      <c r="J600" s="52"/>
      <c r="K600" s="53" t="str">
        <f>IF(G600="","",IFERROR(INDEX(Stammdaten!$P$10:$P$69,MATCH(G600,Stammdaten!$N$10:$N$69,0)),"–"))</f>
        <v/>
      </c>
      <c r="L600" s="53" t="str">
        <f>IF(F600="","",IFERROR(INDEX(Stammdaten!$D$10:$D$49,MATCH(F600,Stammdaten!$B$10:$B$49,0)),"–"))</f>
        <v/>
      </c>
      <c r="M600" s="54" t="str">
        <f>IF(C600="","",IF(OR(F600="",G600="",I600=""),"unvollständig",IF(I600="Storniert","storniert",IF(WEEKDAY(C600,2)&gt;5,"Wochenende",IF(COUNTIF(Stammdaten!$AD$10:$AD$30,C600)&gt;0,"Feiertag",IF(IFERROR(INDEX(Stammdaten!$I$10:$I$49,MATCH(F600,Stammdaten!$B$10:$B$49,0)),"")="Gesperrt","Platz gesperrt",IF(AND(COUNTIF($P$6:$P$605,P600)&gt;1,NOT(AND(COUNTIF($P$6:$P$605,P600)=2,COUNTIFS($P$6:$P$605,P600,$H$6:$H$605,"Vormittag")=1,COUNTIFS($P$6:$P$605,P600,$H$6:$H$605,"Nachmittag")=1))),"Doppelbuchung",IF(AND(COUNTIF($R$6:$R$605,R600)&gt;1,NOT(AND(COUNTIF($R$6:$R$605,R600)=2,COUNTIFS($R$6:$R$605,R600,$H$6:$H$605,"Vormittag")=1,COUNTIFS($R$6:$R$605,R600,$H$6:$H$605,"Nachmittag")=1))),"Person doppelt","OK"))))))))</f>
        <v/>
      </c>
      <c r="O600" s="55">
        <f t="shared" si="66"/>
        <v>0</v>
      </c>
      <c r="P600" s="55" t="str">
        <f t="shared" si="67"/>
        <v/>
      </c>
      <c r="Q600" s="55" t="str">
        <f>IF(P600="","",P600&amp;"|"&amp;COUNTIF(P$6:P600,P600))</f>
        <v/>
      </c>
      <c r="R600" s="55" t="str">
        <f t="shared" si="68"/>
        <v/>
      </c>
      <c r="S600" s="55" t="str">
        <f>IF(R600="","",R600&amp;"|"&amp;COUNTIF(R$6:R600,R600))</f>
        <v/>
      </c>
      <c r="T600" s="55" t="str">
        <f>IF(G600="","",IFERROR(INDEX(Stammdaten!$O$10:$O$69,MATCH(G600,Stammdaten!$N$10:$N$69,0)),G600)&amp;IF(H600="Vormittag"," (VM)",IF(H600="Nachmittag"," (NM)",""))&amp;IF(I600="Angefragt"," ?",""))</f>
        <v/>
      </c>
      <c r="U600" s="55" t="str">
        <f t="shared" si="69"/>
        <v/>
      </c>
    </row>
    <row r="601" spans="2:21" ht="16.5" customHeight="1" x14ac:dyDescent="0.25">
      <c r="B601" s="47" t="str">
        <f t="shared" si="63"/>
        <v/>
      </c>
      <c r="C601" s="48"/>
      <c r="D601" s="49" t="str">
        <f t="shared" si="64"/>
        <v/>
      </c>
      <c r="E601" s="50" t="str">
        <f t="shared" si="65"/>
        <v/>
      </c>
      <c r="F601" s="51"/>
      <c r="G601" s="52"/>
      <c r="H601" s="51"/>
      <c r="I601" s="51"/>
      <c r="J601" s="52"/>
      <c r="K601" s="53" t="str">
        <f>IF(G601="","",IFERROR(INDEX(Stammdaten!$P$10:$P$69,MATCH(G601,Stammdaten!$N$10:$N$69,0)),"–"))</f>
        <v/>
      </c>
      <c r="L601" s="53" t="str">
        <f>IF(F601="","",IFERROR(INDEX(Stammdaten!$D$10:$D$49,MATCH(F601,Stammdaten!$B$10:$B$49,0)),"–"))</f>
        <v/>
      </c>
      <c r="M601" s="54" t="str">
        <f>IF(C601="","",IF(OR(F601="",G601="",I601=""),"unvollständig",IF(I601="Storniert","storniert",IF(WEEKDAY(C601,2)&gt;5,"Wochenende",IF(COUNTIF(Stammdaten!$AD$10:$AD$30,C601)&gt;0,"Feiertag",IF(IFERROR(INDEX(Stammdaten!$I$10:$I$49,MATCH(F601,Stammdaten!$B$10:$B$49,0)),"")="Gesperrt","Platz gesperrt",IF(AND(COUNTIF($P$6:$P$605,P601)&gt;1,NOT(AND(COUNTIF($P$6:$P$605,P601)=2,COUNTIFS($P$6:$P$605,P601,$H$6:$H$605,"Vormittag")=1,COUNTIFS($P$6:$P$605,P601,$H$6:$H$605,"Nachmittag")=1))),"Doppelbuchung",IF(AND(COUNTIF($R$6:$R$605,R601)&gt;1,NOT(AND(COUNTIF($R$6:$R$605,R601)=2,COUNTIFS($R$6:$R$605,R601,$H$6:$H$605,"Vormittag")=1,COUNTIFS($R$6:$R$605,R601,$H$6:$H$605,"Nachmittag")=1))),"Person doppelt","OK"))))))))</f>
        <v/>
      </c>
      <c r="O601" s="55">
        <f t="shared" si="66"/>
        <v>0</v>
      </c>
      <c r="P601" s="55" t="str">
        <f t="shared" si="67"/>
        <v/>
      </c>
      <c r="Q601" s="55" t="str">
        <f>IF(P601="","",P601&amp;"|"&amp;COUNTIF(P$6:P601,P601))</f>
        <v/>
      </c>
      <c r="R601" s="55" t="str">
        <f t="shared" si="68"/>
        <v/>
      </c>
      <c r="S601" s="55" t="str">
        <f>IF(R601="","",R601&amp;"|"&amp;COUNTIF(R$6:R601,R601))</f>
        <v/>
      </c>
      <c r="T601" s="55" t="str">
        <f>IF(G601="","",IFERROR(INDEX(Stammdaten!$O$10:$O$69,MATCH(G601,Stammdaten!$N$10:$N$69,0)),G601)&amp;IF(H601="Vormittag"," (VM)",IF(H601="Nachmittag"," (NM)",""))&amp;IF(I601="Angefragt"," ?",""))</f>
        <v/>
      </c>
      <c r="U601" s="55" t="str">
        <f t="shared" si="69"/>
        <v/>
      </c>
    </row>
    <row r="602" spans="2:21" ht="16.5" customHeight="1" x14ac:dyDescent="0.25">
      <c r="B602" s="47" t="str">
        <f t="shared" si="63"/>
        <v/>
      </c>
      <c r="C602" s="48"/>
      <c r="D602" s="49" t="str">
        <f t="shared" si="64"/>
        <v/>
      </c>
      <c r="E602" s="50" t="str">
        <f t="shared" si="65"/>
        <v/>
      </c>
      <c r="F602" s="51"/>
      <c r="G602" s="52"/>
      <c r="H602" s="51"/>
      <c r="I602" s="51"/>
      <c r="J602" s="52"/>
      <c r="K602" s="53" t="str">
        <f>IF(G602="","",IFERROR(INDEX(Stammdaten!$P$10:$P$69,MATCH(G602,Stammdaten!$N$10:$N$69,0)),"–"))</f>
        <v/>
      </c>
      <c r="L602" s="53" t="str">
        <f>IF(F602="","",IFERROR(INDEX(Stammdaten!$D$10:$D$49,MATCH(F602,Stammdaten!$B$10:$B$49,0)),"–"))</f>
        <v/>
      </c>
      <c r="M602" s="54" t="str">
        <f>IF(C602="","",IF(OR(F602="",G602="",I602=""),"unvollständig",IF(I602="Storniert","storniert",IF(WEEKDAY(C602,2)&gt;5,"Wochenende",IF(COUNTIF(Stammdaten!$AD$10:$AD$30,C602)&gt;0,"Feiertag",IF(IFERROR(INDEX(Stammdaten!$I$10:$I$49,MATCH(F602,Stammdaten!$B$10:$B$49,0)),"")="Gesperrt","Platz gesperrt",IF(AND(COUNTIF($P$6:$P$605,P602)&gt;1,NOT(AND(COUNTIF($P$6:$P$605,P602)=2,COUNTIFS($P$6:$P$605,P602,$H$6:$H$605,"Vormittag")=1,COUNTIFS($P$6:$P$605,P602,$H$6:$H$605,"Nachmittag")=1))),"Doppelbuchung",IF(AND(COUNTIF($R$6:$R$605,R602)&gt;1,NOT(AND(COUNTIF($R$6:$R$605,R602)=2,COUNTIFS($R$6:$R$605,R602,$H$6:$H$605,"Vormittag")=1,COUNTIFS($R$6:$R$605,R602,$H$6:$H$605,"Nachmittag")=1))),"Person doppelt","OK"))))))))</f>
        <v/>
      </c>
      <c r="O602" s="55">
        <f t="shared" si="66"/>
        <v>0</v>
      </c>
      <c r="P602" s="55" t="str">
        <f t="shared" si="67"/>
        <v/>
      </c>
      <c r="Q602" s="55" t="str">
        <f>IF(P602="","",P602&amp;"|"&amp;COUNTIF(P$6:P602,P602))</f>
        <v/>
      </c>
      <c r="R602" s="55" t="str">
        <f t="shared" si="68"/>
        <v/>
      </c>
      <c r="S602" s="55" t="str">
        <f>IF(R602="","",R602&amp;"|"&amp;COUNTIF(R$6:R602,R602))</f>
        <v/>
      </c>
      <c r="T602" s="55" t="str">
        <f>IF(G602="","",IFERROR(INDEX(Stammdaten!$O$10:$O$69,MATCH(G602,Stammdaten!$N$10:$N$69,0)),G602)&amp;IF(H602="Vormittag"," (VM)",IF(H602="Nachmittag"," (NM)",""))&amp;IF(I602="Angefragt"," ?",""))</f>
        <v/>
      </c>
      <c r="U602" s="55" t="str">
        <f t="shared" si="69"/>
        <v/>
      </c>
    </row>
    <row r="603" spans="2:21" ht="16.5" customHeight="1" x14ac:dyDescent="0.25">
      <c r="B603" s="47" t="str">
        <f t="shared" si="63"/>
        <v/>
      </c>
      <c r="C603" s="48"/>
      <c r="D603" s="49" t="str">
        <f t="shared" si="64"/>
        <v/>
      </c>
      <c r="E603" s="50" t="str">
        <f t="shared" si="65"/>
        <v/>
      </c>
      <c r="F603" s="51"/>
      <c r="G603" s="52"/>
      <c r="H603" s="51"/>
      <c r="I603" s="51"/>
      <c r="J603" s="52"/>
      <c r="K603" s="53" t="str">
        <f>IF(G603="","",IFERROR(INDEX(Stammdaten!$P$10:$P$69,MATCH(G603,Stammdaten!$N$10:$N$69,0)),"–"))</f>
        <v/>
      </c>
      <c r="L603" s="53" t="str">
        <f>IF(F603="","",IFERROR(INDEX(Stammdaten!$D$10:$D$49,MATCH(F603,Stammdaten!$B$10:$B$49,0)),"–"))</f>
        <v/>
      </c>
      <c r="M603" s="54" t="str">
        <f>IF(C603="","",IF(OR(F603="",G603="",I603=""),"unvollständig",IF(I603="Storniert","storniert",IF(WEEKDAY(C603,2)&gt;5,"Wochenende",IF(COUNTIF(Stammdaten!$AD$10:$AD$30,C603)&gt;0,"Feiertag",IF(IFERROR(INDEX(Stammdaten!$I$10:$I$49,MATCH(F603,Stammdaten!$B$10:$B$49,0)),"")="Gesperrt","Platz gesperrt",IF(AND(COUNTIF($P$6:$P$605,P603)&gt;1,NOT(AND(COUNTIF($P$6:$P$605,P603)=2,COUNTIFS($P$6:$P$605,P603,$H$6:$H$605,"Vormittag")=1,COUNTIFS($P$6:$P$605,P603,$H$6:$H$605,"Nachmittag")=1))),"Doppelbuchung",IF(AND(COUNTIF($R$6:$R$605,R603)&gt;1,NOT(AND(COUNTIF($R$6:$R$605,R603)=2,COUNTIFS($R$6:$R$605,R603,$H$6:$H$605,"Vormittag")=1,COUNTIFS($R$6:$R$605,R603,$H$6:$H$605,"Nachmittag")=1))),"Person doppelt","OK"))))))))</f>
        <v/>
      </c>
      <c r="O603" s="55">
        <f t="shared" si="66"/>
        <v>0</v>
      </c>
      <c r="P603" s="55" t="str">
        <f t="shared" si="67"/>
        <v/>
      </c>
      <c r="Q603" s="55" t="str">
        <f>IF(P603="","",P603&amp;"|"&amp;COUNTIF(P$6:P603,P603))</f>
        <v/>
      </c>
      <c r="R603" s="55" t="str">
        <f t="shared" si="68"/>
        <v/>
      </c>
      <c r="S603" s="55" t="str">
        <f>IF(R603="","",R603&amp;"|"&amp;COUNTIF(R$6:R603,R603))</f>
        <v/>
      </c>
      <c r="T603" s="55" t="str">
        <f>IF(G603="","",IFERROR(INDEX(Stammdaten!$O$10:$O$69,MATCH(G603,Stammdaten!$N$10:$N$69,0)),G603)&amp;IF(H603="Vormittag"," (VM)",IF(H603="Nachmittag"," (NM)",""))&amp;IF(I603="Angefragt"," ?",""))</f>
        <v/>
      </c>
      <c r="U603" s="55" t="str">
        <f t="shared" si="69"/>
        <v/>
      </c>
    </row>
    <row r="604" spans="2:21" ht="16.5" customHeight="1" x14ac:dyDescent="0.25">
      <c r="B604" s="47" t="str">
        <f t="shared" si="63"/>
        <v/>
      </c>
      <c r="C604" s="48"/>
      <c r="D604" s="49" t="str">
        <f t="shared" si="64"/>
        <v/>
      </c>
      <c r="E604" s="50" t="str">
        <f t="shared" si="65"/>
        <v/>
      </c>
      <c r="F604" s="51"/>
      <c r="G604" s="52"/>
      <c r="H604" s="51"/>
      <c r="I604" s="51"/>
      <c r="J604" s="52"/>
      <c r="K604" s="53" t="str">
        <f>IF(G604="","",IFERROR(INDEX(Stammdaten!$P$10:$P$69,MATCH(G604,Stammdaten!$N$10:$N$69,0)),"–"))</f>
        <v/>
      </c>
      <c r="L604" s="53" t="str">
        <f>IF(F604="","",IFERROR(INDEX(Stammdaten!$D$10:$D$49,MATCH(F604,Stammdaten!$B$10:$B$49,0)),"–"))</f>
        <v/>
      </c>
      <c r="M604" s="54" t="str">
        <f>IF(C604="","",IF(OR(F604="",G604="",I604=""),"unvollständig",IF(I604="Storniert","storniert",IF(WEEKDAY(C604,2)&gt;5,"Wochenende",IF(COUNTIF(Stammdaten!$AD$10:$AD$30,C604)&gt;0,"Feiertag",IF(IFERROR(INDEX(Stammdaten!$I$10:$I$49,MATCH(F604,Stammdaten!$B$10:$B$49,0)),"")="Gesperrt","Platz gesperrt",IF(AND(COUNTIF($P$6:$P$605,P604)&gt;1,NOT(AND(COUNTIF($P$6:$P$605,P604)=2,COUNTIFS($P$6:$P$605,P604,$H$6:$H$605,"Vormittag")=1,COUNTIFS($P$6:$P$605,P604,$H$6:$H$605,"Nachmittag")=1))),"Doppelbuchung",IF(AND(COUNTIF($R$6:$R$605,R604)&gt;1,NOT(AND(COUNTIF($R$6:$R$605,R604)=2,COUNTIFS($R$6:$R$605,R604,$H$6:$H$605,"Vormittag")=1,COUNTIFS($R$6:$R$605,R604,$H$6:$H$605,"Nachmittag")=1))),"Person doppelt","OK"))))))))</f>
        <v/>
      </c>
      <c r="O604" s="55">
        <f t="shared" si="66"/>
        <v>0</v>
      </c>
      <c r="P604" s="55" t="str">
        <f t="shared" si="67"/>
        <v/>
      </c>
      <c r="Q604" s="55" t="str">
        <f>IF(P604="","",P604&amp;"|"&amp;COUNTIF(P$6:P604,P604))</f>
        <v/>
      </c>
      <c r="R604" s="55" t="str">
        <f t="shared" si="68"/>
        <v/>
      </c>
      <c r="S604" s="55" t="str">
        <f>IF(R604="","",R604&amp;"|"&amp;COUNTIF(R$6:R604,R604))</f>
        <v/>
      </c>
      <c r="T604" s="55" t="str">
        <f>IF(G604="","",IFERROR(INDEX(Stammdaten!$O$10:$O$69,MATCH(G604,Stammdaten!$N$10:$N$69,0)),G604)&amp;IF(H604="Vormittag"," (VM)",IF(H604="Nachmittag"," (NM)",""))&amp;IF(I604="Angefragt"," ?",""))</f>
        <v/>
      </c>
      <c r="U604" s="55" t="str">
        <f t="shared" si="69"/>
        <v/>
      </c>
    </row>
    <row r="605" spans="2:21" ht="16.5" customHeight="1" x14ac:dyDescent="0.25">
      <c r="B605" s="47" t="str">
        <f t="shared" si="63"/>
        <v/>
      </c>
      <c r="C605" s="48"/>
      <c r="D605" s="49" t="str">
        <f t="shared" si="64"/>
        <v/>
      </c>
      <c r="E605" s="50" t="str">
        <f t="shared" si="65"/>
        <v/>
      </c>
      <c r="F605" s="51"/>
      <c r="G605" s="52"/>
      <c r="H605" s="51"/>
      <c r="I605" s="51"/>
      <c r="J605" s="52"/>
      <c r="K605" s="53" t="str">
        <f>IF(G605="","",IFERROR(INDEX(Stammdaten!$P$10:$P$69,MATCH(G605,Stammdaten!$N$10:$N$69,0)),"–"))</f>
        <v/>
      </c>
      <c r="L605" s="53" t="str">
        <f>IF(F605="","",IFERROR(INDEX(Stammdaten!$D$10:$D$49,MATCH(F605,Stammdaten!$B$10:$B$49,0)),"–"))</f>
        <v/>
      </c>
      <c r="M605" s="54" t="str">
        <f>IF(C605="","",IF(OR(F605="",G605="",I605=""),"unvollständig",IF(I605="Storniert","storniert",IF(WEEKDAY(C605,2)&gt;5,"Wochenende",IF(COUNTIF(Stammdaten!$AD$10:$AD$30,C605)&gt;0,"Feiertag",IF(IFERROR(INDEX(Stammdaten!$I$10:$I$49,MATCH(F605,Stammdaten!$B$10:$B$49,0)),"")="Gesperrt","Platz gesperrt",IF(AND(COUNTIF($P$6:$P$605,P605)&gt;1,NOT(AND(COUNTIF($P$6:$P$605,P605)=2,COUNTIFS($P$6:$P$605,P605,$H$6:$H$605,"Vormittag")=1,COUNTIFS($P$6:$P$605,P605,$H$6:$H$605,"Nachmittag")=1))),"Doppelbuchung",IF(AND(COUNTIF($R$6:$R$605,R605)&gt;1,NOT(AND(COUNTIF($R$6:$R$605,R605)=2,COUNTIFS($R$6:$R$605,R605,$H$6:$H$605,"Vormittag")=1,COUNTIFS($R$6:$R$605,R605,$H$6:$H$605,"Nachmittag")=1))),"Person doppelt","OK"))))))))</f>
        <v/>
      </c>
      <c r="O605" s="55">
        <f t="shared" si="66"/>
        <v>0</v>
      </c>
      <c r="P605" s="55" t="str">
        <f t="shared" si="67"/>
        <v/>
      </c>
      <c r="Q605" s="55" t="str">
        <f>IF(P605="","",P605&amp;"|"&amp;COUNTIF(P$6:P605,P605))</f>
        <v/>
      </c>
      <c r="R605" s="55" t="str">
        <f t="shared" si="68"/>
        <v/>
      </c>
      <c r="S605" s="55" t="str">
        <f>IF(R605="","",R605&amp;"|"&amp;COUNTIF(R$6:R605,R605))</f>
        <v/>
      </c>
      <c r="T605" s="55" t="str">
        <f>IF(G605="","",IFERROR(INDEX(Stammdaten!$O$10:$O$69,MATCH(G605,Stammdaten!$N$10:$N$69,0)),G605)&amp;IF(H605="Vormittag"," (VM)",IF(H605="Nachmittag"," (NM)",""))&amp;IF(I605="Angefragt"," ?",""))</f>
        <v/>
      </c>
      <c r="U605" s="55" t="str">
        <f t="shared" si="69"/>
        <v/>
      </c>
    </row>
  </sheetData>
  <autoFilter ref="B5:M605" xr:uid="{00000000-0009-0000-0000-000002000000}"/>
  <conditionalFormatting sqref="B6:M605">
    <cfRule type="expression" dxfId="23" priority="2">
      <formula>$I6="Storniert"</formula>
    </cfRule>
    <cfRule type="expression" dxfId="22" priority="3">
      <formula>AND($C6&lt;&gt;"",$C6=TODAY())</formula>
    </cfRule>
  </conditionalFormatting>
  <conditionalFormatting sqref="I6:I605">
    <cfRule type="expression" dxfId="21" priority="7">
      <formula>$I6="Bestätigt"</formula>
    </cfRule>
    <cfRule type="expression" dxfId="20" priority="8">
      <formula>$I6="Angefragt"</formula>
    </cfRule>
  </conditionalFormatting>
  <conditionalFormatting sqref="M6:M605">
    <cfRule type="expression" dxfId="19" priority="4">
      <formula>$M6="OK"</formula>
    </cfRule>
    <cfRule type="expression" dxfId="18" priority="5">
      <formula>OR($M6="Doppelbuchung",$M6="Person doppelt",$M6="Platz gesperrt")</formula>
    </cfRule>
    <cfRule type="expression" dxfId="17" priority="6">
      <formula>OR($M6="Wochenende",$M6="Feiertag",$M6="unvollständig")</formula>
    </cfRule>
  </conditionalFormatting>
  <dataValidations count="1">
    <dataValidation type="date" allowBlank="1" showErrorMessage="1" error="Bitte ein gültiges Datum eingeben (TT.MM.JJJJ)." sqref="C6:C605" xr:uid="{00000000-0002-0000-0200-000004000000}">
      <formula1>DATE(2020,1,1)</formula1>
      <formula2>DATE(2035,12,31)</formula2>
    </dataValidation>
  </dataValidations>
  <printOptions horizontalCentered="1"/>
  <pageMargins left="0.4" right="0.4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r Wert" error="Bitte einen Wert aus der Liste wählen." xr:uid="{00000000-0002-0000-0200-000000000000}">
          <x14:formula1>
            <xm:f>Stammdaten!$B$10:$B$49</xm:f>
          </x14:formula1>
          <x14:formula2>
            <xm:f>0</xm:f>
          </x14:formula2>
          <xm:sqref>F6:F605</xm:sqref>
        </x14:dataValidation>
        <x14:dataValidation type="list" allowBlank="1" showErrorMessage="1" errorTitle="Ungültiger Wert" error="Bitte einen Wert aus der Liste wählen." xr:uid="{00000000-0002-0000-0200-000001000000}">
          <x14:formula1>
            <xm:f>Stammdaten!$N$10:$N$69</xm:f>
          </x14:formula1>
          <x14:formula2>
            <xm:f>0</xm:f>
          </x14:formula2>
          <xm:sqref>G6:G605</xm:sqref>
        </x14:dataValidation>
        <x14:dataValidation type="list" allowBlank="1" showErrorMessage="1" errorTitle="Ungültiger Wert" error="Bitte einen Wert aus der Liste wählen." xr:uid="{00000000-0002-0000-0200-000002000000}">
          <x14:formula1>
            <xm:f>Stammdaten!$AA$10:$AA$12</xm:f>
          </x14:formula1>
          <x14:formula2>
            <xm:f>0</xm:f>
          </x14:formula2>
          <xm:sqref>H6:H605</xm:sqref>
        </x14:dataValidation>
        <x14:dataValidation type="list" allowBlank="1" showErrorMessage="1" errorTitle="Ungültiger Wert" error="Bitte einen Wert aus der Liste wählen." xr:uid="{00000000-0002-0000-0200-000003000000}">
          <x14:formula1>
            <xm:f>Stammdaten!$AB$10:$AB$12</xm:f>
          </x14:formula1>
          <x14:formula2>
            <xm:f>0</xm:f>
          </x14:formula2>
          <xm:sqref>I6:I605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6B73"/>
    <pageSetUpPr fitToPage="1"/>
  </sheetPr>
  <dimension ref="A1:U72"/>
  <sheetViews>
    <sheetView showGridLines="0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20" customWidth="1"/>
    <col min="3" max="3" width="17" customWidth="1"/>
    <col min="4" max="4" width="9" customWidth="1"/>
    <col min="5" max="5" width="17" customWidth="1"/>
    <col min="6" max="10" width="11" customWidth="1"/>
    <col min="11" max="11" width="1.140625" customWidth="1"/>
    <col min="12" max="16" width="11" customWidth="1"/>
    <col min="17" max="17" width="2" customWidth="1"/>
    <col min="18" max="20" width="11" customWidth="1"/>
  </cols>
  <sheetData>
    <row r="1" spans="1:21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3.75" customHeight="1" x14ac:dyDescent="0.25">
      <c r="A2" s="16"/>
      <c r="B2" s="17" t="s">
        <v>149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8" t="s">
        <v>40</v>
      </c>
      <c r="U2" s="16"/>
    </row>
    <row r="3" spans="1:21" ht="19.5" customHeight="1" x14ac:dyDescent="0.25">
      <c r="A3" s="16"/>
      <c r="B3" s="19" t="str">
        <f>Stammdaten!$C$5&amp;"  ·  "&amp;Stammdaten!$C$6</f>
        <v>Beispielunternehmen GmbH  ·  Hauptsitz – Bürogebäude A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2" customHeight="1" x14ac:dyDescent="0.25"/>
    <row r="5" spans="1:21" ht="21.75" customHeight="1" x14ac:dyDescent="0.25">
      <c r="B5" s="94" t="s">
        <v>150</v>
      </c>
      <c r="C5" s="94"/>
      <c r="D5" s="94"/>
      <c r="E5" s="26">
        <f>Belegungsplan!F8</f>
        <v>46307</v>
      </c>
      <c r="F5" s="27" t="s">
        <v>151</v>
      </c>
    </row>
    <row r="6" spans="1:21" ht="7.5" customHeight="1" x14ac:dyDescent="0.25"/>
    <row r="7" spans="1:21" ht="19.5" customHeight="1" x14ac:dyDescent="0.25">
      <c r="F7" s="91" t="str">
        <f>"KALENDERWOCHE "&amp;_xlfn.ISOWEEKNUM(F8)</f>
        <v>KALENDERWOCHE 42</v>
      </c>
      <c r="G7" s="91"/>
      <c r="H7" s="91"/>
      <c r="I7" s="91"/>
      <c r="J7" s="91"/>
      <c r="L7" s="91" t="str">
        <f>"KALENDERWOCHE "&amp;_xlfn.ISOWEEKNUM(L8)</f>
        <v>KALENDERWOCHE 43</v>
      </c>
      <c r="M7" s="91"/>
      <c r="N7" s="91"/>
      <c r="O7" s="91"/>
      <c r="P7" s="91"/>
    </row>
    <row r="8" spans="1:21" ht="21.75" customHeight="1" x14ac:dyDescent="0.25">
      <c r="B8" s="16"/>
      <c r="C8" s="16"/>
      <c r="D8" s="16"/>
      <c r="E8" s="16"/>
      <c r="F8" s="37">
        <f>Belegungsplan!F8</f>
        <v>46307</v>
      </c>
      <c r="G8" s="37">
        <f>Belegungsplan!G8</f>
        <v>46308</v>
      </c>
      <c r="H8" s="37">
        <f>Belegungsplan!H8</f>
        <v>46309</v>
      </c>
      <c r="I8" s="37">
        <f>Belegungsplan!I8</f>
        <v>46310</v>
      </c>
      <c r="J8" s="37">
        <f>Belegungsplan!J8</f>
        <v>46311</v>
      </c>
      <c r="L8" s="37">
        <f>Belegungsplan!L8</f>
        <v>46314</v>
      </c>
      <c r="M8" s="37">
        <f>Belegungsplan!M8</f>
        <v>46315</v>
      </c>
      <c r="N8" s="37">
        <f>Belegungsplan!N8</f>
        <v>46316</v>
      </c>
      <c r="O8" s="37">
        <f>Belegungsplan!O8</f>
        <v>46317</v>
      </c>
      <c r="P8" s="37">
        <f>Belegungsplan!P8</f>
        <v>46318</v>
      </c>
      <c r="R8" s="16"/>
      <c r="S8" s="16"/>
      <c r="T8" s="16"/>
    </row>
    <row r="9" spans="1:21" ht="30" customHeight="1" x14ac:dyDescent="0.25">
      <c r="B9" s="38" t="s">
        <v>152</v>
      </c>
      <c r="C9" s="38" t="s">
        <v>65</v>
      </c>
      <c r="D9" s="38" t="s">
        <v>153</v>
      </c>
      <c r="E9" s="38" t="s">
        <v>154</v>
      </c>
      <c r="F9" s="39" t="str">
        <f>CHOOSE(WEEKDAY(F$8,2),"Mo","Di","Mi","Do","Fr","Sa","So")</f>
        <v>Mo</v>
      </c>
      <c r="G9" s="39" t="str">
        <f>CHOOSE(WEEKDAY(G$8,2),"Mo","Di","Mi","Do","Fr","Sa","So")</f>
        <v>Di</v>
      </c>
      <c r="H9" s="39" t="str">
        <f>CHOOSE(WEEKDAY(H$8,2),"Mo","Di","Mi","Do","Fr","Sa","So")</f>
        <v>Mi</v>
      </c>
      <c r="I9" s="39" t="str">
        <f>CHOOSE(WEEKDAY(I$8,2),"Mo","Di","Mi","Do","Fr","Sa","So")</f>
        <v>Do</v>
      </c>
      <c r="J9" s="39" t="str">
        <f>CHOOSE(WEEKDAY(J$8,2),"Mo","Di","Mi","Do","Fr","Sa","So")</f>
        <v>Fr</v>
      </c>
      <c r="L9" s="39" t="str">
        <f>CHOOSE(WEEKDAY(L$8,2),"Mo","Di","Mi","Do","Fr","Sa","So")</f>
        <v>Mo</v>
      </c>
      <c r="M9" s="39" t="str">
        <f>CHOOSE(WEEKDAY(M$8,2),"Mo","Di","Mi","Do","Fr","Sa","So")</f>
        <v>Di</v>
      </c>
      <c r="N9" s="39" t="str">
        <f>CHOOSE(WEEKDAY(N$8,2),"Mo","Di","Mi","Do","Fr","Sa","So")</f>
        <v>Mi</v>
      </c>
      <c r="O9" s="39" t="str">
        <f>CHOOSE(WEEKDAY(O$8,2),"Mo","Di","Mi","Do","Fr","Sa","So")</f>
        <v>Do</v>
      </c>
      <c r="P9" s="39" t="str">
        <f>CHOOSE(WEEKDAY(P$8,2),"Mo","Di","Mi","Do","Fr","Sa","So")</f>
        <v>Fr</v>
      </c>
      <c r="R9" s="38" t="s">
        <v>155</v>
      </c>
      <c r="S9" s="38" t="s">
        <v>156</v>
      </c>
      <c r="T9" s="38" t="s">
        <v>157</v>
      </c>
    </row>
    <row r="10" spans="1:21" ht="18.75" customHeight="1" x14ac:dyDescent="0.25">
      <c r="B10" s="56" t="str">
        <f>IF(Stammdaten!$N10="","",Stammdaten!$N10)</f>
        <v>Lena Hartmann</v>
      </c>
      <c r="C10" s="41" t="str">
        <f>IF($B10="","",Stammdaten!$P10)</f>
        <v>Vertrieb</v>
      </c>
      <c r="D10" s="57">
        <f>IF($B10="","",Stammdaten!$Q10)</f>
        <v>3</v>
      </c>
      <c r="E10" s="42" t="str">
        <f>IF($B10="","",Stammdaten!$R10)</f>
        <v>Teamzone Nord</v>
      </c>
      <c r="F10" s="58" t="str">
        <f>IF($B10="","",IF(COUNTIF(Stammdaten!$AD$10:$AD$30,F$8)&gt;0,"Feiertag",IFERROR(INDEX(Buchungen!$U$6:$U$605,MATCH($B10&amp;"|"&amp;F$8&amp;"|1",Buchungen!$S$6:$S$605,0)),"")&amp;IFERROR(" / "&amp;INDEX(Buchungen!$U$6:$U$605,MATCH($B10&amp;"|"&amp;F$8&amp;"|2",Buchungen!$S$6:$S$605,0)),"")))</f>
        <v/>
      </c>
      <c r="G10" s="58" t="str">
        <f>IF($B10="","",IF(COUNTIF(Stammdaten!$AD$10:$AD$30,G$8)&gt;0,"Feiertag",IFERROR(INDEX(Buchungen!$U$6:$U$605,MATCH($B10&amp;"|"&amp;G$8&amp;"|1",Buchungen!$S$6:$S$605,0)),"")&amp;IFERROR(" / "&amp;INDEX(Buchungen!$U$6:$U$605,MATCH($B10&amp;"|"&amp;G$8&amp;"|2",Buchungen!$S$6:$S$605,0)),"")))</f>
        <v/>
      </c>
      <c r="H10" s="58" t="str">
        <f>IF($B10="","",IF(COUNTIF(Stammdaten!$AD$10:$AD$30,H$8)&gt;0,"Feiertag",IFERROR(INDEX(Buchungen!$U$6:$U$605,MATCH($B10&amp;"|"&amp;H$8&amp;"|1",Buchungen!$S$6:$S$605,0)),"")&amp;IFERROR(" / "&amp;INDEX(Buchungen!$U$6:$U$605,MATCH($B10&amp;"|"&amp;H$8&amp;"|2",Buchungen!$S$6:$S$605,0)),"")))</f>
        <v>A-05</v>
      </c>
      <c r="I10" s="58" t="str">
        <f>IF($B10="","",IF(COUNTIF(Stammdaten!$AD$10:$AD$30,I$8)&gt;0,"Feiertag",IFERROR(INDEX(Buchungen!$U$6:$U$605,MATCH($B10&amp;"|"&amp;I$8&amp;"|1",Buchungen!$S$6:$S$605,0)),"")&amp;IFERROR(" / "&amp;INDEX(Buchungen!$U$6:$U$605,MATCH($B10&amp;"|"&amp;I$8&amp;"|2",Buchungen!$S$6:$S$605,0)),"")))</f>
        <v>A-02</v>
      </c>
      <c r="J10" s="58" t="str">
        <f>IF($B10="","",IF(COUNTIF(Stammdaten!$AD$10:$AD$30,J$8)&gt;0,"Feiertag",IFERROR(INDEX(Buchungen!$U$6:$U$605,MATCH($B10&amp;"|"&amp;J$8&amp;"|1",Buchungen!$S$6:$S$605,0)),"")&amp;IFERROR(" / "&amp;INDEX(Buchungen!$U$6:$U$605,MATCH($B10&amp;"|"&amp;J$8&amp;"|2",Buchungen!$S$6:$S$605,0)),"")))</f>
        <v>A-02</v>
      </c>
      <c r="K10" s="16"/>
      <c r="L10" s="58" t="str">
        <f>IF($B10="","",IF(COUNTIF(Stammdaten!$AD$10:$AD$30,L$8)&gt;0,"Feiertag",IFERROR(INDEX(Buchungen!$U$6:$U$605,MATCH($B10&amp;"|"&amp;L$8&amp;"|1",Buchungen!$S$6:$S$605,0)),"")&amp;IFERROR(" / "&amp;INDEX(Buchungen!$U$6:$U$605,MATCH($B10&amp;"|"&amp;L$8&amp;"|2",Buchungen!$S$6:$S$605,0)),"")))</f>
        <v>A-07</v>
      </c>
      <c r="M10" s="58" t="str">
        <f>IF($B10="","",IF(COUNTIF(Stammdaten!$AD$10:$AD$30,M$8)&gt;0,"Feiertag",IFERROR(INDEX(Buchungen!$U$6:$U$605,MATCH($B10&amp;"|"&amp;M$8&amp;"|1",Buchungen!$S$6:$S$605,0)),"")&amp;IFERROR(" / "&amp;INDEX(Buchungen!$U$6:$U$605,MATCH($B10&amp;"|"&amp;M$8&amp;"|2",Buchungen!$S$6:$S$605,0)),"")))</f>
        <v>A-04</v>
      </c>
      <c r="N10" s="58" t="str">
        <f>IF($B10="","",IF(COUNTIF(Stammdaten!$AD$10:$AD$30,N$8)&gt;0,"Feiertag",IFERROR(INDEX(Buchungen!$U$6:$U$605,MATCH($B10&amp;"|"&amp;N$8&amp;"|1",Buchungen!$S$6:$S$605,0)),"")&amp;IFERROR(" / "&amp;INDEX(Buchungen!$U$6:$U$605,MATCH($B10&amp;"|"&amp;N$8&amp;"|2",Buchungen!$S$6:$S$605,0)),"")))</f>
        <v>A-02</v>
      </c>
      <c r="O10" s="58" t="str">
        <f>IF($B10="","",IF(COUNTIF(Stammdaten!$AD$10:$AD$30,O$8)&gt;0,"Feiertag",IFERROR(INDEX(Buchungen!$U$6:$U$605,MATCH($B10&amp;"|"&amp;O$8&amp;"|1",Buchungen!$S$6:$S$605,0)),"")&amp;IFERROR(" / "&amp;INDEX(Buchungen!$U$6:$U$605,MATCH($B10&amp;"|"&amp;O$8&amp;"|2",Buchungen!$S$6:$S$605,0)),"")))</f>
        <v/>
      </c>
      <c r="P10" s="58" t="str">
        <f>IF($B10="","",IF(COUNTIF(Stammdaten!$AD$10:$AD$30,P$8)&gt;0,"Feiertag",IFERROR(INDEX(Buchungen!$U$6:$U$605,MATCH($B10&amp;"|"&amp;P$8&amp;"|1",Buchungen!$S$6:$S$605,0)),"")&amp;IFERROR(" / "&amp;INDEX(Buchungen!$U$6:$U$605,MATCH($B10&amp;"|"&amp;P$8&amp;"|2",Buchungen!$S$6:$S$605,0)),"")))</f>
        <v/>
      </c>
      <c r="R10" s="50">
        <f t="shared" ref="R10:R41" si="0">IF($B10="","",COUNTIF(F10:J10,"?*")+COUNTIF(L10:P10,"?*")-COUNTIF(F10:J10,"Feiertag")-COUNTIF(L10:P10,"Feiertag"))</f>
        <v>6</v>
      </c>
      <c r="S10" s="50">
        <f t="shared" ref="S10:S41" si="1">IF($B10="","",D10*2)</f>
        <v>6</v>
      </c>
      <c r="T10" s="59">
        <f t="shared" ref="T10:T41" si="2">IF($B10="","",R10-S10)</f>
        <v>0</v>
      </c>
    </row>
    <row r="11" spans="1:21" ht="18.75" customHeight="1" x14ac:dyDescent="0.25">
      <c r="B11" s="56" t="str">
        <f>IF(Stammdaten!$N11="","",Stammdaten!$N11)</f>
        <v>Jonas Weber</v>
      </c>
      <c r="C11" s="41" t="str">
        <f>IF($B11="","",Stammdaten!$P11)</f>
        <v>Vertrieb</v>
      </c>
      <c r="D11" s="57">
        <f>IF($B11="","",Stammdaten!$Q11)</f>
        <v>2</v>
      </c>
      <c r="E11" s="42" t="str">
        <f>IF($B11="","",Stammdaten!$R11)</f>
        <v>Teamzone Nord</v>
      </c>
      <c r="F11" s="58" t="str">
        <f>IF($B11="","",IF(COUNTIF(Stammdaten!$AD$10:$AD$30,F$8)&gt;0,"Feiertag",IFERROR(INDEX(Buchungen!$U$6:$U$605,MATCH($B11&amp;"|"&amp;F$8&amp;"|1",Buchungen!$S$6:$S$605,0)),"")&amp;IFERROR(" / "&amp;INDEX(Buchungen!$U$6:$U$605,MATCH($B11&amp;"|"&amp;F$8&amp;"|2",Buchungen!$S$6:$S$605,0)),"")))</f>
        <v>A-01</v>
      </c>
      <c r="G11" s="58" t="str">
        <f>IF($B11="","",IF(COUNTIF(Stammdaten!$AD$10:$AD$30,G$8)&gt;0,"Feiertag",IFERROR(INDEX(Buchungen!$U$6:$U$605,MATCH($B11&amp;"|"&amp;G$8&amp;"|1",Buchungen!$S$6:$S$605,0)),"")&amp;IFERROR(" / "&amp;INDEX(Buchungen!$U$6:$U$605,MATCH($B11&amp;"|"&amp;G$8&amp;"|2",Buchungen!$S$6:$S$605,0)),"")))</f>
        <v/>
      </c>
      <c r="H11" s="58" t="str">
        <f>IF($B11="","",IF(COUNTIF(Stammdaten!$AD$10:$AD$30,H$8)&gt;0,"Feiertag",IFERROR(INDEX(Buchungen!$U$6:$U$605,MATCH($B11&amp;"|"&amp;H$8&amp;"|1",Buchungen!$S$6:$S$605,0)),"")&amp;IFERROR(" / "&amp;INDEX(Buchungen!$U$6:$U$605,MATCH($B11&amp;"|"&amp;H$8&amp;"|2",Buchungen!$S$6:$S$605,0)),"")))</f>
        <v>A-01</v>
      </c>
      <c r="I11" s="58" t="str">
        <f>IF($B11="","",IF(COUNTIF(Stammdaten!$AD$10:$AD$30,I$8)&gt;0,"Feiertag",IFERROR(INDEX(Buchungen!$U$6:$U$605,MATCH($B11&amp;"|"&amp;I$8&amp;"|1",Buchungen!$S$6:$S$605,0)),"")&amp;IFERROR(" / "&amp;INDEX(Buchungen!$U$6:$U$605,MATCH($B11&amp;"|"&amp;I$8&amp;"|2",Buchungen!$S$6:$S$605,0)),"")))</f>
        <v/>
      </c>
      <c r="J11" s="58" t="str">
        <f>IF($B11="","",IF(COUNTIF(Stammdaten!$AD$10:$AD$30,J$8)&gt;0,"Feiertag",IFERROR(INDEX(Buchungen!$U$6:$U$605,MATCH($B11&amp;"|"&amp;J$8&amp;"|1",Buchungen!$S$6:$S$605,0)),"")&amp;IFERROR(" / "&amp;INDEX(Buchungen!$U$6:$U$605,MATCH($B11&amp;"|"&amp;J$8&amp;"|2",Buchungen!$S$6:$S$605,0)),"")))</f>
        <v/>
      </c>
      <c r="K11" s="16"/>
      <c r="L11" s="58" t="str">
        <f>IF($B11="","",IF(COUNTIF(Stammdaten!$AD$10:$AD$30,L$8)&gt;0,"Feiertag",IFERROR(INDEX(Buchungen!$U$6:$U$605,MATCH($B11&amp;"|"&amp;L$8&amp;"|1",Buchungen!$S$6:$S$605,0)),"")&amp;IFERROR(" / "&amp;INDEX(Buchungen!$U$6:$U$605,MATCH($B11&amp;"|"&amp;L$8&amp;"|2",Buchungen!$S$6:$S$605,0)),"")))</f>
        <v>A-06</v>
      </c>
      <c r="M11" s="58" t="str">
        <f>IF($B11="","",IF(COUNTIF(Stammdaten!$AD$10:$AD$30,M$8)&gt;0,"Feiertag",IFERROR(INDEX(Buchungen!$U$6:$U$605,MATCH($B11&amp;"|"&amp;M$8&amp;"|1",Buchungen!$S$6:$S$605,0)),"")&amp;IFERROR(" / "&amp;INDEX(Buchungen!$U$6:$U$605,MATCH($B11&amp;"|"&amp;M$8&amp;"|2",Buchungen!$S$6:$S$605,0)),"")))</f>
        <v>A-05 (NM)</v>
      </c>
      <c r="N11" s="58" t="str">
        <f>IF($B11="","",IF(COUNTIF(Stammdaten!$AD$10:$AD$30,N$8)&gt;0,"Feiertag",IFERROR(INDEX(Buchungen!$U$6:$U$605,MATCH($B11&amp;"|"&amp;N$8&amp;"|1",Buchungen!$S$6:$S$605,0)),"")&amp;IFERROR(" / "&amp;INDEX(Buchungen!$U$6:$U$605,MATCH($B11&amp;"|"&amp;N$8&amp;"|2",Buchungen!$S$6:$S$605,0)),"")))</f>
        <v/>
      </c>
      <c r="O11" s="58" t="str">
        <f>IF($B11="","",IF(COUNTIF(Stammdaten!$AD$10:$AD$30,O$8)&gt;0,"Feiertag",IFERROR(INDEX(Buchungen!$U$6:$U$605,MATCH($B11&amp;"|"&amp;O$8&amp;"|1",Buchungen!$S$6:$S$605,0)),"")&amp;IFERROR(" / "&amp;INDEX(Buchungen!$U$6:$U$605,MATCH($B11&amp;"|"&amp;O$8&amp;"|2",Buchungen!$S$6:$S$605,0)),"")))</f>
        <v>A-04</v>
      </c>
      <c r="P11" s="58" t="str">
        <f>IF($B11="","",IF(COUNTIF(Stammdaten!$AD$10:$AD$30,P$8)&gt;0,"Feiertag",IFERROR(INDEX(Buchungen!$U$6:$U$605,MATCH($B11&amp;"|"&amp;P$8&amp;"|1",Buchungen!$S$6:$S$605,0)),"")&amp;IFERROR(" / "&amp;INDEX(Buchungen!$U$6:$U$605,MATCH($B11&amp;"|"&amp;P$8&amp;"|2",Buchungen!$S$6:$S$605,0)),"")))</f>
        <v/>
      </c>
      <c r="R11" s="50">
        <f t="shared" si="0"/>
        <v>5</v>
      </c>
      <c r="S11" s="50">
        <f t="shared" si="1"/>
        <v>4</v>
      </c>
      <c r="T11" s="59">
        <f t="shared" si="2"/>
        <v>1</v>
      </c>
    </row>
    <row r="12" spans="1:21" ht="18.75" customHeight="1" x14ac:dyDescent="0.25">
      <c r="B12" s="56" t="str">
        <f>IF(Stammdaten!$N12="","",Stammdaten!$N12)</f>
        <v>Miriam Krause</v>
      </c>
      <c r="C12" s="41" t="str">
        <f>IF($B12="","",Stammdaten!$P12)</f>
        <v>Vertrieb</v>
      </c>
      <c r="D12" s="57">
        <f>IF($B12="","",Stammdaten!$Q12)</f>
        <v>4</v>
      </c>
      <c r="E12" s="42" t="str">
        <f>IF($B12="","",Stammdaten!$R12)</f>
        <v>Teamzone Nord</v>
      </c>
      <c r="F12" s="58" t="str">
        <f>IF($B12="","",IF(COUNTIF(Stammdaten!$AD$10:$AD$30,F$8)&gt;0,"Feiertag",IFERROR(INDEX(Buchungen!$U$6:$U$605,MATCH($B12&amp;"|"&amp;F$8&amp;"|1",Buchungen!$S$6:$S$605,0)),"")&amp;IFERROR(" / "&amp;INDEX(Buchungen!$U$6:$U$605,MATCH($B12&amp;"|"&amp;F$8&amp;"|2",Buchungen!$S$6:$S$605,0)),"")))</f>
        <v>A-04</v>
      </c>
      <c r="G12" s="58" t="str">
        <f>IF($B12="","",IF(COUNTIF(Stammdaten!$AD$10:$AD$30,G$8)&gt;0,"Feiertag",IFERROR(INDEX(Buchungen!$U$6:$U$605,MATCH($B12&amp;"|"&amp;G$8&amp;"|1",Buchungen!$S$6:$S$605,0)),"")&amp;IFERROR(" / "&amp;INDEX(Buchungen!$U$6:$U$605,MATCH($B12&amp;"|"&amp;G$8&amp;"|2",Buchungen!$S$6:$S$605,0)),"")))</f>
        <v>A-05</v>
      </c>
      <c r="H12" s="58" t="str">
        <f>IF($B12="","",IF(COUNTIF(Stammdaten!$AD$10:$AD$30,H$8)&gt;0,"Feiertag",IFERROR(INDEX(Buchungen!$U$6:$U$605,MATCH($B12&amp;"|"&amp;H$8&amp;"|1",Buchungen!$S$6:$S$605,0)),"")&amp;IFERROR(" / "&amp;INDEX(Buchungen!$U$6:$U$605,MATCH($B12&amp;"|"&amp;H$8&amp;"|2",Buchungen!$S$6:$S$605,0)),"")))</f>
        <v>A-03</v>
      </c>
      <c r="I12" s="58" t="str">
        <f>IF($B12="","",IF(COUNTIF(Stammdaten!$AD$10:$AD$30,I$8)&gt;0,"Feiertag",IFERROR(INDEX(Buchungen!$U$6:$U$605,MATCH($B12&amp;"|"&amp;I$8&amp;"|1",Buchungen!$S$6:$S$605,0)),"")&amp;IFERROR(" / "&amp;INDEX(Buchungen!$U$6:$U$605,MATCH($B12&amp;"|"&amp;I$8&amp;"|2",Buchungen!$S$6:$S$605,0)),"")))</f>
        <v>A-05</v>
      </c>
      <c r="J12" s="58" t="str">
        <f>IF($B12="","",IF(COUNTIF(Stammdaten!$AD$10:$AD$30,J$8)&gt;0,"Feiertag",IFERROR(INDEX(Buchungen!$U$6:$U$605,MATCH($B12&amp;"|"&amp;J$8&amp;"|1",Buchungen!$S$6:$S$605,0)),"")&amp;IFERROR(" / "&amp;INDEX(Buchungen!$U$6:$U$605,MATCH($B12&amp;"|"&amp;J$8&amp;"|2",Buchungen!$S$6:$S$605,0)),"")))</f>
        <v/>
      </c>
      <c r="K12" s="16"/>
      <c r="L12" s="58" t="str">
        <f>IF($B12="","",IF(COUNTIF(Stammdaten!$AD$10:$AD$30,L$8)&gt;0,"Feiertag",IFERROR(INDEX(Buchungen!$U$6:$U$605,MATCH($B12&amp;"|"&amp;L$8&amp;"|1",Buchungen!$S$6:$S$605,0)),"")&amp;IFERROR(" / "&amp;INDEX(Buchungen!$U$6:$U$605,MATCH($B12&amp;"|"&amp;L$8&amp;"|2",Buchungen!$S$6:$S$605,0)),"")))</f>
        <v>A-09</v>
      </c>
      <c r="M12" s="58" t="str">
        <f>IF($B12="","",IF(COUNTIF(Stammdaten!$AD$10:$AD$30,M$8)&gt;0,"Feiertag",IFERROR(INDEX(Buchungen!$U$6:$U$605,MATCH($B12&amp;"|"&amp;M$8&amp;"|1",Buchungen!$S$6:$S$605,0)),"")&amp;IFERROR(" / "&amp;INDEX(Buchungen!$U$6:$U$605,MATCH($B12&amp;"|"&amp;M$8&amp;"|2",Buchungen!$S$6:$S$605,0)),"")))</f>
        <v>A-05 (VM)</v>
      </c>
      <c r="N12" s="58" t="str">
        <f>IF($B12="","",IF(COUNTIF(Stammdaten!$AD$10:$AD$30,N$8)&gt;0,"Feiertag",IFERROR(INDEX(Buchungen!$U$6:$U$605,MATCH($B12&amp;"|"&amp;N$8&amp;"|1",Buchungen!$S$6:$S$605,0)),"")&amp;IFERROR(" / "&amp;INDEX(Buchungen!$U$6:$U$605,MATCH($B12&amp;"|"&amp;N$8&amp;"|2",Buchungen!$S$6:$S$605,0)),"")))</f>
        <v>A-05 ?</v>
      </c>
      <c r="O12" s="58" t="str">
        <f>IF($B12="","",IF(COUNTIF(Stammdaten!$AD$10:$AD$30,O$8)&gt;0,"Feiertag",IFERROR(INDEX(Buchungen!$U$6:$U$605,MATCH($B12&amp;"|"&amp;O$8&amp;"|1",Buchungen!$S$6:$S$605,0)),"")&amp;IFERROR(" / "&amp;INDEX(Buchungen!$U$6:$U$605,MATCH($B12&amp;"|"&amp;O$8&amp;"|2",Buchungen!$S$6:$S$605,0)),"")))</f>
        <v>A-05 ?</v>
      </c>
      <c r="P12" s="58" t="str">
        <f>IF($B12="","",IF(COUNTIF(Stammdaten!$AD$10:$AD$30,P$8)&gt;0,"Feiertag",IFERROR(INDEX(Buchungen!$U$6:$U$605,MATCH($B12&amp;"|"&amp;P$8&amp;"|1",Buchungen!$S$6:$S$605,0)),"")&amp;IFERROR(" / "&amp;INDEX(Buchungen!$U$6:$U$605,MATCH($B12&amp;"|"&amp;P$8&amp;"|2",Buchungen!$S$6:$S$605,0)),"")))</f>
        <v/>
      </c>
      <c r="R12" s="50">
        <f t="shared" si="0"/>
        <v>8</v>
      </c>
      <c r="S12" s="50">
        <f t="shared" si="1"/>
        <v>8</v>
      </c>
      <c r="T12" s="59">
        <f t="shared" si="2"/>
        <v>0</v>
      </c>
    </row>
    <row r="13" spans="1:21" ht="18.75" customHeight="1" x14ac:dyDescent="0.25">
      <c r="B13" s="56" t="str">
        <f>IF(Stammdaten!$N13="","",Stammdaten!$N13)</f>
        <v>Tobias Lindner</v>
      </c>
      <c r="C13" s="41" t="str">
        <f>IF($B13="","",Stammdaten!$P13)</f>
        <v>Vertrieb</v>
      </c>
      <c r="D13" s="57">
        <f>IF($B13="","",Stammdaten!$Q13)</f>
        <v>2</v>
      </c>
      <c r="E13" s="42" t="str">
        <f>IF($B13="","",Stammdaten!$R13)</f>
        <v>Teamzone Nord</v>
      </c>
      <c r="F13" s="58" t="str">
        <f>IF($B13="","",IF(COUNTIF(Stammdaten!$AD$10:$AD$30,F$8)&gt;0,"Feiertag",IFERROR(INDEX(Buchungen!$U$6:$U$605,MATCH($B13&amp;"|"&amp;F$8&amp;"|1",Buchungen!$S$6:$S$605,0)),"")&amp;IFERROR(" / "&amp;INDEX(Buchungen!$U$6:$U$605,MATCH($B13&amp;"|"&amp;F$8&amp;"|2",Buchungen!$S$6:$S$605,0)),"")))</f>
        <v/>
      </c>
      <c r="G13" s="58" t="str">
        <f>IF($B13="","",IF(COUNTIF(Stammdaten!$AD$10:$AD$30,G$8)&gt;0,"Feiertag",IFERROR(INDEX(Buchungen!$U$6:$U$605,MATCH($B13&amp;"|"&amp;G$8&amp;"|1",Buchungen!$S$6:$S$605,0)),"")&amp;IFERROR(" / "&amp;INDEX(Buchungen!$U$6:$U$605,MATCH($B13&amp;"|"&amp;G$8&amp;"|2",Buchungen!$S$6:$S$605,0)),"")))</f>
        <v>A-04</v>
      </c>
      <c r="H13" s="58" t="str">
        <f>IF($B13="","",IF(COUNTIF(Stammdaten!$AD$10:$AD$30,H$8)&gt;0,"Feiertag",IFERROR(INDEX(Buchungen!$U$6:$U$605,MATCH($B13&amp;"|"&amp;H$8&amp;"|1",Buchungen!$S$6:$S$605,0)),"")&amp;IFERROR(" / "&amp;INDEX(Buchungen!$U$6:$U$605,MATCH($B13&amp;"|"&amp;H$8&amp;"|2",Buchungen!$S$6:$S$605,0)),"")))</f>
        <v/>
      </c>
      <c r="I13" s="58" t="str">
        <f>IF($B13="","",IF(COUNTIF(Stammdaten!$AD$10:$AD$30,I$8)&gt;0,"Feiertag",IFERROR(INDEX(Buchungen!$U$6:$U$605,MATCH($B13&amp;"|"&amp;I$8&amp;"|1",Buchungen!$S$6:$S$605,0)),"")&amp;IFERROR(" / "&amp;INDEX(Buchungen!$U$6:$U$605,MATCH($B13&amp;"|"&amp;I$8&amp;"|2",Buchungen!$S$6:$S$605,0)),"")))</f>
        <v/>
      </c>
      <c r="J13" s="58" t="str">
        <f>IF($B13="","",IF(COUNTIF(Stammdaten!$AD$10:$AD$30,J$8)&gt;0,"Feiertag",IFERROR(INDEX(Buchungen!$U$6:$U$605,MATCH($B13&amp;"|"&amp;J$8&amp;"|1",Buchungen!$S$6:$S$605,0)),"")&amp;IFERROR(" / "&amp;INDEX(Buchungen!$U$6:$U$605,MATCH($B13&amp;"|"&amp;J$8&amp;"|2",Buchungen!$S$6:$S$605,0)),"")))</f>
        <v>A-04</v>
      </c>
      <c r="K13" s="16"/>
      <c r="L13" s="58" t="str">
        <f>IF($B13="","",IF(COUNTIF(Stammdaten!$AD$10:$AD$30,L$8)&gt;0,"Feiertag",IFERROR(INDEX(Buchungen!$U$6:$U$605,MATCH($B13&amp;"|"&amp;L$8&amp;"|1",Buchungen!$S$6:$S$605,0)),"")&amp;IFERROR(" / "&amp;INDEX(Buchungen!$U$6:$U$605,MATCH($B13&amp;"|"&amp;L$8&amp;"|2",Buchungen!$S$6:$S$605,0)),"")))</f>
        <v>A-12</v>
      </c>
      <c r="M13" s="58" t="str">
        <f>IF($B13="","",IF(COUNTIF(Stammdaten!$AD$10:$AD$30,M$8)&gt;0,"Feiertag",IFERROR(INDEX(Buchungen!$U$6:$U$605,MATCH($B13&amp;"|"&amp;M$8&amp;"|1",Buchungen!$S$6:$S$605,0)),"")&amp;IFERROR(" / "&amp;INDEX(Buchungen!$U$6:$U$605,MATCH($B13&amp;"|"&amp;M$8&amp;"|2",Buchungen!$S$6:$S$605,0)),"")))</f>
        <v/>
      </c>
      <c r="N13" s="58" t="str">
        <f>IF($B13="","",IF(COUNTIF(Stammdaten!$AD$10:$AD$30,N$8)&gt;0,"Feiertag",IFERROR(INDEX(Buchungen!$U$6:$U$605,MATCH($B13&amp;"|"&amp;N$8&amp;"|1",Buchungen!$S$6:$S$605,0)),"")&amp;IFERROR(" / "&amp;INDEX(Buchungen!$U$6:$U$605,MATCH($B13&amp;"|"&amp;N$8&amp;"|2",Buchungen!$S$6:$S$605,0)),"")))</f>
        <v>A-03</v>
      </c>
      <c r="O13" s="58" t="str">
        <f>IF($B13="","",IF(COUNTIF(Stammdaten!$AD$10:$AD$30,O$8)&gt;0,"Feiertag",IFERROR(INDEX(Buchungen!$U$6:$U$605,MATCH($B13&amp;"|"&amp;O$8&amp;"|1",Buchungen!$S$6:$S$605,0)),"")&amp;IFERROR(" / "&amp;INDEX(Buchungen!$U$6:$U$605,MATCH($B13&amp;"|"&amp;O$8&amp;"|2",Buchungen!$S$6:$S$605,0)),"")))</f>
        <v/>
      </c>
      <c r="P13" s="58" t="str">
        <f>IF($B13="","",IF(COUNTIF(Stammdaten!$AD$10:$AD$30,P$8)&gt;0,"Feiertag",IFERROR(INDEX(Buchungen!$U$6:$U$605,MATCH($B13&amp;"|"&amp;P$8&amp;"|1",Buchungen!$S$6:$S$605,0)),"")&amp;IFERROR(" / "&amp;INDEX(Buchungen!$U$6:$U$605,MATCH($B13&amp;"|"&amp;P$8&amp;"|2",Buchungen!$S$6:$S$605,0)),"")))</f>
        <v/>
      </c>
      <c r="R13" s="50">
        <f t="shared" si="0"/>
        <v>4</v>
      </c>
      <c r="S13" s="50">
        <f t="shared" si="1"/>
        <v>4</v>
      </c>
      <c r="T13" s="59">
        <f t="shared" si="2"/>
        <v>0</v>
      </c>
    </row>
    <row r="14" spans="1:21" ht="18.75" customHeight="1" x14ac:dyDescent="0.25">
      <c r="B14" s="56" t="str">
        <f>IF(Stammdaten!$N14="","",Stammdaten!$N14)</f>
        <v>Sophie Brandt</v>
      </c>
      <c r="C14" s="41" t="str">
        <f>IF($B14="","",Stammdaten!$P14)</f>
        <v>Vertrieb</v>
      </c>
      <c r="D14" s="57">
        <f>IF($B14="","",Stammdaten!$Q14)</f>
        <v>3</v>
      </c>
      <c r="E14" s="42" t="str">
        <f>IF($B14="","",Stammdaten!$R14)</f>
        <v>Teamzone Nord</v>
      </c>
      <c r="F14" s="58" t="str">
        <f>IF($B14="","",IF(COUNTIF(Stammdaten!$AD$10:$AD$30,F$8)&gt;0,"Feiertag",IFERROR(INDEX(Buchungen!$U$6:$U$605,MATCH($B14&amp;"|"&amp;F$8&amp;"|1",Buchungen!$S$6:$S$605,0)),"")&amp;IFERROR(" / "&amp;INDEX(Buchungen!$U$6:$U$605,MATCH($B14&amp;"|"&amp;F$8&amp;"|2",Buchungen!$S$6:$S$605,0)),"")))</f>
        <v/>
      </c>
      <c r="G14" s="58" t="str">
        <f>IF($B14="","",IF(COUNTIF(Stammdaten!$AD$10:$AD$30,G$8)&gt;0,"Feiertag",IFERROR(INDEX(Buchungen!$U$6:$U$605,MATCH($B14&amp;"|"&amp;G$8&amp;"|1",Buchungen!$S$6:$S$605,0)),"")&amp;IFERROR(" / "&amp;INDEX(Buchungen!$U$6:$U$605,MATCH($B14&amp;"|"&amp;G$8&amp;"|2",Buchungen!$S$6:$S$605,0)),"")))</f>
        <v>A-08</v>
      </c>
      <c r="H14" s="58" t="str">
        <f>IF($B14="","",IF(COUNTIF(Stammdaten!$AD$10:$AD$30,H$8)&gt;0,"Feiertag",IFERROR(INDEX(Buchungen!$U$6:$U$605,MATCH($B14&amp;"|"&amp;H$8&amp;"|1",Buchungen!$S$6:$S$605,0)),"")&amp;IFERROR(" / "&amp;INDEX(Buchungen!$U$6:$U$605,MATCH($B14&amp;"|"&amp;H$8&amp;"|2",Buchungen!$S$6:$S$605,0)),"")))</f>
        <v>A-09</v>
      </c>
      <c r="I14" s="58" t="str">
        <f>IF($B14="","",IF(COUNTIF(Stammdaten!$AD$10:$AD$30,I$8)&gt;0,"Feiertag",IFERROR(INDEX(Buchungen!$U$6:$U$605,MATCH($B14&amp;"|"&amp;I$8&amp;"|1",Buchungen!$S$6:$S$605,0)),"")&amp;IFERROR(" / "&amp;INDEX(Buchungen!$U$6:$U$605,MATCH($B14&amp;"|"&amp;I$8&amp;"|2",Buchungen!$S$6:$S$605,0)),"")))</f>
        <v/>
      </c>
      <c r="J14" s="58" t="str">
        <f>IF($B14="","",IF(COUNTIF(Stammdaten!$AD$10:$AD$30,J$8)&gt;0,"Feiertag",IFERROR(INDEX(Buchungen!$U$6:$U$605,MATCH($B14&amp;"|"&amp;J$8&amp;"|1",Buchungen!$S$6:$S$605,0)),"")&amp;IFERROR(" / "&amp;INDEX(Buchungen!$U$6:$U$605,MATCH($B14&amp;"|"&amp;J$8&amp;"|2",Buchungen!$S$6:$S$605,0)),"")))</f>
        <v/>
      </c>
      <c r="K14" s="16"/>
      <c r="L14" s="58" t="str">
        <f>IF($B14="","",IF(COUNTIF(Stammdaten!$AD$10:$AD$30,L$8)&gt;0,"Feiertag",IFERROR(INDEX(Buchungen!$U$6:$U$605,MATCH($B14&amp;"|"&amp;L$8&amp;"|1",Buchungen!$S$6:$S$605,0)),"")&amp;IFERROR(" / "&amp;INDEX(Buchungen!$U$6:$U$605,MATCH($B14&amp;"|"&amp;L$8&amp;"|2",Buchungen!$S$6:$S$605,0)),"")))</f>
        <v>A-04</v>
      </c>
      <c r="M14" s="58" t="str">
        <f>IF($B14="","",IF(COUNTIF(Stammdaten!$AD$10:$AD$30,M$8)&gt;0,"Feiertag",IFERROR(INDEX(Buchungen!$U$6:$U$605,MATCH($B14&amp;"|"&amp;M$8&amp;"|1",Buchungen!$S$6:$S$605,0)),"")&amp;IFERROR(" / "&amp;INDEX(Buchungen!$U$6:$U$605,MATCH($B14&amp;"|"&amp;M$8&amp;"|2",Buchungen!$S$6:$S$605,0)),"")))</f>
        <v/>
      </c>
      <c r="N14" s="58" t="str">
        <f>IF($B14="","",IF(COUNTIF(Stammdaten!$AD$10:$AD$30,N$8)&gt;0,"Feiertag",IFERROR(INDEX(Buchungen!$U$6:$U$605,MATCH($B14&amp;"|"&amp;N$8&amp;"|1",Buchungen!$S$6:$S$605,0)),"")&amp;IFERROR(" / "&amp;INDEX(Buchungen!$U$6:$U$605,MATCH($B14&amp;"|"&amp;N$8&amp;"|2",Buchungen!$S$6:$S$605,0)),"")))</f>
        <v/>
      </c>
      <c r="O14" s="58" t="str">
        <f>IF($B14="","",IF(COUNTIF(Stammdaten!$AD$10:$AD$30,O$8)&gt;0,"Feiertag",IFERROR(INDEX(Buchungen!$U$6:$U$605,MATCH($B14&amp;"|"&amp;O$8&amp;"|1",Buchungen!$S$6:$S$605,0)),"")&amp;IFERROR(" / "&amp;INDEX(Buchungen!$U$6:$U$605,MATCH($B14&amp;"|"&amp;O$8&amp;"|2",Buchungen!$S$6:$S$605,0)),"")))</f>
        <v>A-08</v>
      </c>
      <c r="P14" s="58" t="str">
        <f>IF($B14="","",IF(COUNTIF(Stammdaten!$AD$10:$AD$30,P$8)&gt;0,"Feiertag",IFERROR(INDEX(Buchungen!$U$6:$U$605,MATCH($B14&amp;"|"&amp;P$8&amp;"|1",Buchungen!$S$6:$S$605,0)),"")&amp;IFERROR(" / "&amp;INDEX(Buchungen!$U$6:$U$605,MATCH($B14&amp;"|"&amp;P$8&amp;"|2",Buchungen!$S$6:$S$605,0)),"")))</f>
        <v>A-04</v>
      </c>
      <c r="R14" s="50">
        <f t="shared" si="0"/>
        <v>5</v>
      </c>
      <c r="S14" s="50">
        <f t="shared" si="1"/>
        <v>6</v>
      </c>
      <c r="T14" s="59">
        <f t="shared" si="2"/>
        <v>-1</v>
      </c>
    </row>
    <row r="15" spans="1:21" ht="18.75" customHeight="1" x14ac:dyDescent="0.25">
      <c r="B15" s="56" t="str">
        <f>IF(Stammdaten!$N15="","",Stammdaten!$N15)</f>
        <v>David Kühn</v>
      </c>
      <c r="C15" s="41" t="str">
        <f>IF($B15="","",Stammdaten!$P15)</f>
        <v>Vertrieb</v>
      </c>
      <c r="D15" s="57">
        <f>IF($B15="","",Stammdaten!$Q15)</f>
        <v>1</v>
      </c>
      <c r="E15" s="42" t="str">
        <f>IF($B15="","",Stammdaten!$R15)</f>
        <v>Teamzone Nord</v>
      </c>
      <c r="F15" s="58" t="str">
        <f>IF($B15="","",IF(COUNTIF(Stammdaten!$AD$10:$AD$30,F$8)&gt;0,"Feiertag",IFERROR(INDEX(Buchungen!$U$6:$U$605,MATCH($B15&amp;"|"&amp;F$8&amp;"|1",Buchungen!$S$6:$S$605,0)),"")&amp;IFERROR(" / "&amp;INDEX(Buchungen!$U$6:$U$605,MATCH($B15&amp;"|"&amp;F$8&amp;"|2",Buchungen!$S$6:$S$605,0)),"")))</f>
        <v/>
      </c>
      <c r="G15" s="58" t="str">
        <f>IF($B15="","",IF(COUNTIF(Stammdaten!$AD$10:$AD$30,G$8)&gt;0,"Feiertag",IFERROR(INDEX(Buchungen!$U$6:$U$605,MATCH($B15&amp;"|"&amp;G$8&amp;"|1",Buchungen!$S$6:$S$605,0)),"")&amp;IFERROR(" / "&amp;INDEX(Buchungen!$U$6:$U$605,MATCH($B15&amp;"|"&amp;G$8&amp;"|2",Buchungen!$S$6:$S$605,0)),"")))</f>
        <v/>
      </c>
      <c r="H15" s="58" t="str">
        <f>IF($B15="","",IF(COUNTIF(Stammdaten!$AD$10:$AD$30,H$8)&gt;0,"Feiertag",IFERROR(INDEX(Buchungen!$U$6:$U$605,MATCH($B15&amp;"|"&amp;H$8&amp;"|1",Buchungen!$S$6:$S$605,0)),"")&amp;IFERROR(" / "&amp;INDEX(Buchungen!$U$6:$U$605,MATCH($B15&amp;"|"&amp;H$8&amp;"|2",Buchungen!$S$6:$S$605,0)),"")))</f>
        <v/>
      </c>
      <c r="I15" s="58" t="str">
        <f>IF($B15="","",IF(COUNTIF(Stammdaten!$AD$10:$AD$30,I$8)&gt;0,"Feiertag",IFERROR(INDEX(Buchungen!$U$6:$U$605,MATCH($B15&amp;"|"&amp;I$8&amp;"|1",Buchungen!$S$6:$S$605,0)),"")&amp;IFERROR(" / "&amp;INDEX(Buchungen!$U$6:$U$605,MATCH($B15&amp;"|"&amp;I$8&amp;"|2",Buchungen!$S$6:$S$605,0)),"")))</f>
        <v/>
      </c>
      <c r="J15" s="58" t="str">
        <f>IF($B15="","",IF(COUNTIF(Stammdaten!$AD$10:$AD$30,J$8)&gt;0,"Feiertag",IFERROR(INDEX(Buchungen!$U$6:$U$605,MATCH($B15&amp;"|"&amp;J$8&amp;"|1",Buchungen!$S$6:$S$605,0)),"")&amp;IFERROR(" / "&amp;INDEX(Buchungen!$U$6:$U$605,MATCH($B15&amp;"|"&amp;J$8&amp;"|2",Buchungen!$S$6:$S$605,0)),"")))</f>
        <v>A-05</v>
      </c>
      <c r="K15" s="16"/>
      <c r="L15" s="58" t="str">
        <f>IF($B15="","",IF(COUNTIF(Stammdaten!$AD$10:$AD$30,L$8)&gt;0,"Feiertag",IFERROR(INDEX(Buchungen!$U$6:$U$605,MATCH($B15&amp;"|"&amp;L$8&amp;"|1",Buchungen!$S$6:$S$605,0)),"")&amp;IFERROR(" / "&amp;INDEX(Buchungen!$U$6:$U$605,MATCH($B15&amp;"|"&amp;L$8&amp;"|2",Buchungen!$S$6:$S$605,0)),"")))</f>
        <v/>
      </c>
      <c r="M15" s="58" t="str">
        <f>IF($B15="","",IF(COUNTIF(Stammdaten!$AD$10:$AD$30,M$8)&gt;0,"Feiertag",IFERROR(INDEX(Buchungen!$U$6:$U$605,MATCH($B15&amp;"|"&amp;M$8&amp;"|1",Buchungen!$S$6:$S$605,0)),"")&amp;IFERROR(" / "&amp;INDEX(Buchungen!$U$6:$U$605,MATCH($B15&amp;"|"&amp;M$8&amp;"|2",Buchungen!$S$6:$S$605,0)),"")))</f>
        <v/>
      </c>
      <c r="N15" s="58" t="str">
        <f>IF($B15="","",IF(COUNTIF(Stammdaten!$AD$10:$AD$30,N$8)&gt;0,"Feiertag",IFERROR(INDEX(Buchungen!$U$6:$U$605,MATCH($B15&amp;"|"&amp;N$8&amp;"|1",Buchungen!$S$6:$S$605,0)),"")&amp;IFERROR(" / "&amp;INDEX(Buchungen!$U$6:$U$605,MATCH($B15&amp;"|"&amp;N$8&amp;"|2",Buchungen!$S$6:$S$605,0)),"")))</f>
        <v>A-04</v>
      </c>
      <c r="O15" s="58" t="str">
        <f>IF($B15="","",IF(COUNTIF(Stammdaten!$AD$10:$AD$30,O$8)&gt;0,"Feiertag",IFERROR(INDEX(Buchungen!$U$6:$U$605,MATCH($B15&amp;"|"&amp;O$8&amp;"|1",Buchungen!$S$6:$S$605,0)),"")&amp;IFERROR(" / "&amp;INDEX(Buchungen!$U$6:$U$605,MATCH($B15&amp;"|"&amp;O$8&amp;"|2",Buchungen!$S$6:$S$605,0)),"")))</f>
        <v/>
      </c>
      <c r="P15" s="58" t="str">
        <f>IF($B15="","",IF(COUNTIF(Stammdaten!$AD$10:$AD$30,P$8)&gt;0,"Feiertag",IFERROR(INDEX(Buchungen!$U$6:$U$605,MATCH($B15&amp;"|"&amp;P$8&amp;"|1",Buchungen!$S$6:$S$605,0)),"")&amp;IFERROR(" / "&amp;INDEX(Buchungen!$U$6:$U$605,MATCH($B15&amp;"|"&amp;P$8&amp;"|2",Buchungen!$S$6:$S$605,0)),"")))</f>
        <v/>
      </c>
      <c r="R15" s="50">
        <f t="shared" si="0"/>
        <v>2</v>
      </c>
      <c r="S15" s="50">
        <f t="shared" si="1"/>
        <v>2</v>
      </c>
      <c r="T15" s="59">
        <f t="shared" si="2"/>
        <v>0</v>
      </c>
    </row>
    <row r="16" spans="1:21" ht="18.75" customHeight="1" x14ac:dyDescent="0.25">
      <c r="B16" s="56" t="str">
        <f>IF(Stammdaten!$N16="","",Stammdaten!$N16)</f>
        <v>Nina Albrecht</v>
      </c>
      <c r="C16" s="41" t="str">
        <f>IF($B16="","",Stammdaten!$P16)</f>
        <v>Vertrieb</v>
      </c>
      <c r="D16" s="57">
        <f>IF($B16="","",Stammdaten!$Q16)</f>
        <v>3</v>
      </c>
      <c r="E16" s="42" t="str">
        <f>IF($B16="","",Stammdaten!$R16)</f>
        <v>Teamzone Nord</v>
      </c>
      <c r="F16" s="58" t="str">
        <f>IF($B16="","",IF(COUNTIF(Stammdaten!$AD$10:$AD$30,F$8)&gt;0,"Feiertag",IFERROR(INDEX(Buchungen!$U$6:$U$605,MATCH($B16&amp;"|"&amp;F$8&amp;"|1",Buchungen!$S$6:$S$605,0)),"")&amp;IFERROR(" / "&amp;INDEX(Buchungen!$U$6:$U$605,MATCH($B16&amp;"|"&amp;F$8&amp;"|2",Buchungen!$S$6:$S$605,0)),"")))</f>
        <v/>
      </c>
      <c r="G16" s="58" t="str">
        <f>IF($B16="","",IF(COUNTIF(Stammdaten!$AD$10:$AD$30,G$8)&gt;0,"Feiertag",IFERROR(INDEX(Buchungen!$U$6:$U$605,MATCH($B16&amp;"|"&amp;G$8&amp;"|1",Buchungen!$S$6:$S$605,0)),"")&amp;IFERROR(" / "&amp;INDEX(Buchungen!$U$6:$U$605,MATCH($B16&amp;"|"&amp;G$8&amp;"|2",Buchungen!$S$6:$S$605,0)),"")))</f>
        <v/>
      </c>
      <c r="H16" s="58" t="str">
        <f>IF($B16="","",IF(COUNTIF(Stammdaten!$AD$10:$AD$30,H$8)&gt;0,"Feiertag",IFERROR(INDEX(Buchungen!$U$6:$U$605,MATCH($B16&amp;"|"&amp;H$8&amp;"|1",Buchungen!$S$6:$S$605,0)),"")&amp;IFERROR(" / "&amp;INDEX(Buchungen!$U$6:$U$605,MATCH($B16&amp;"|"&amp;H$8&amp;"|2",Buchungen!$S$6:$S$605,0)),"")))</f>
        <v>A-02</v>
      </c>
      <c r="I16" s="58" t="str">
        <f>IF($B16="","",IF(COUNTIF(Stammdaten!$AD$10:$AD$30,I$8)&gt;0,"Feiertag",IFERROR(INDEX(Buchungen!$U$6:$U$605,MATCH($B16&amp;"|"&amp;I$8&amp;"|1",Buchungen!$S$6:$S$605,0)),"")&amp;IFERROR(" / "&amp;INDEX(Buchungen!$U$6:$U$605,MATCH($B16&amp;"|"&amp;I$8&amp;"|2",Buchungen!$S$6:$S$605,0)),"")))</f>
        <v>A-08</v>
      </c>
      <c r="J16" s="58" t="str">
        <f>IF($B16="","",IF(COUNTIF(Stammdaten!$AD$10:$AD$30,J$8)&gt;0,"Feiertag",IFERROR(INDEX(Buchungen!$U$6:$U$605,MATCH($B16&amp;"|"&amp;J$8&amp;"|1",Buchungen!$S$6:$S$605,0)),"")&amp;IFERROR(" / "&amp;INDEX(Buchungen!$U$6:$U$605,MATCH($B16&amp;"|"&amp;J$8&amp;"|2",Buchungen!$S$6:$S$605,0)),"")))</f>
        <v>A-07</v>
      </c>
      <c r="K16" s="16"/>
      <c r="L16" s="58" t="str">
        <f>IF($B16="","",IF(COUNTIF(Stammdaten!$AD$10:$AD$30,L$8)&gt;0,"Feiertag",IFERROR(INDEX(Buchungen!$U$6:$U$605,MATCH($B16&amp;"|"&amp;L$8&amp;"|1",Buchungen!$S$6:$S$605,0)),"")&amp;IFERROR(" / "&amp;INDEX(Buchungen!$U$6:$U$605,MATCH($B16&amp;"|"&amp;L$8&amp;"|2",Buchungen!$S$6:$S$605,0)),"")))</f>
        <v>A-02</v>
      </c>
      <c r="M16" s="58" t="str">
        <f>IF($B16="","",IF(COUNTIF(Stammdaten!$AD$10:$AD$30,M$8)&gt;0,"Feiertag",IFERROR(INDEX(Buchungen!$U$6:$U$605,MATCH($B16&amp;"|"&amp;M$8&amp;"|1",Buchungen!$S$6:$S$605,0)),"")&amp;IFERROR(" / "&amp;INDEX(Buchungen!$U$6:$U$605,MATCH($B16&amp;"|"&amp;M$8&amp;"|2",Buchungen!$S$6:$S$605,0)),"")))</f>
        <v/>
      </c>
      <c r="N16" s="58" t="str">
        <f>IF($B16="","",IF(COUNTIF(Stammdaten!$AD$10:$AD$30,N$8)&gt;0,"Feiertag",IFERROR(INDEX(Buchungen!$U$6:$U$605,MATCH($B16&amp;"|"&amp;N$8&amp;"|1",Buchungen!$S$6:$S$605,0)),"")&amp;IFERROR(" / "&amp;INDEX(Buchungen!$U$6:$U$605,MATCH($B16&amp;"|"&amp;N$8&amp;"|2",Buchungen!$S$6:$S$605,0)),"")))</f>
        <v>A-08 ?</v>
      </c>
      <c r="O16" s="58" t="str">
        <f>IF($B16="","",IF(COUNTIF(Stammdaten!$AD$10:$AD$30,O$8)&gt;0,"Feiertag",IFERROR(INDEX(Buchungen!$U$6:$U$605,MATCH($B16&amp;"|"&amp;O$8&amp;"|1",Buchungen!$S$6:$S$605,0)),"")&amp;IFERROR(" / "&amp;INDEX(Buchungen!$U$6:$U$605,MATCH($B16&amp;"|"&amp;O$8&amp;"|2",Buchungen!$S$6:$S$605,0)),"")))</f>
        <v>A-02</v>
      </c>
      <c r="P16" s="58" t="str">
        <f>IF($B16="","",IF(COUNTIF(Stammdaten!$AD$10:$AD$30,P$8)&gt;0,"Feiertag",IFERROR(INDEX(Buchungen!$U$6:$U$605,MATCH($B16&amp;"|"&amp;P$8&amp;"|1",Buchungen!$S$6:$S$605,0)),"")&amp;IFERROR(" / "&amp;INDEX(Buchungen!$U$6:$U$605,MATCH($B16&amp;"|"&amp;P$8&amp;"|2",Buchungen!$S$6:$S$605,0)),"")))</f>
        <v/>
      </c>
      <c r="R16" s="50">
        <f t="shared" si="0"/>
        <v>6</v>
      </c>
      <c r="S16" s="50">
        <f t="shared" si="1"/>
        <v>6</v>
      </c>
      <c r="T16" s="59">
        <f t="shared" si="2"/>
        <v>0</v>
      </c>
    </row>
    <row r="17" spans="2:20" ht="18.75" customHeight="1" x14ac:dyDescent="0.25">
      <c r="B17" s="56" t="str">
        <f>IF(Stammdaten!$N17="","",Stammdaten!$N17)</f>
        <v>Felix Engel</v>
      </c>
      <c r="C17" s="41" t="str">
        <f>IF($B17="","",Stammdaten!$P17)</f>
        <v>Marketing</v>
      </c>
      <c r="D17" s="57">
        <f>IF($B17="","",Stammdaten!$Q17)</f>
        <v>3</v>
      </c>
      <c r="E17" s="42" t="str">
        <f>IF($B17="","",Stammdaten!$R17)</f>
        <v>Teamzone Nord</v>
      </c>
      <c r="F17" s="58" t="str">
        <f>IF($B17="","",IF(COUNTIF(Stammdaten!$AD$10:$AD$30,F$8)&gt;0,"Feiertag",IFERROR(INDEX(Buchungen!$U$6:$U$605,MATCH($B17&amp;"|"&amp;F$8&amp;"|1",Buchungen!$S$6:$S$605,0)),"")&amp;IFERROR(" / "&amp;INDEX(Buchungen!$U$6:$U$605,MATCH($B17&amp;"|"&amp;F$8&amp;"|2",Buchungen!$S$6:$S$605,0)),"")))</f>
        <v>A-05</v>
      </c>
      <c r="G17" s="58" t="str">
        <f>IF($B17="","",IF(COUNTIF(Stammdaten!$AD$10:$AD$30,G$8)&gt;0,"Feiertag",IFERROR(INDEX(Buchungen!$U$6:$U$605,MATCH($B17&amp;"|"&amp;G$8&amp;"|1",Buchungen!$S$6:$S$605,0)),"")&amp;IFERROR(" / "&amp;INDEX(Buchungen!$U$6:$U$605,MATCH($B17&amp;"|"&amp;G$8&amp;"|2",Buchungen!$S$6:$S$605,0)),"")))</f>
        <v>A-02</v>
      </c>
      <c r="H17" s="58" t="str">
        <f>IF($B17="","",IF(COUNTIF(Stammdaten!$AD$10:$AD$30,H$8)&gt;0,"Feiertag",IFERROR(INDEX(Buchungen!$U$6:$U$605,MATCH($B17&amp;"|"&amp;H$8&amp;"|1",Buchungen!$S$6:$S$605,0)),"")&amp;IFERROR(" / "&amp;INDEX(Buchungen!$U$6:$U$605,MATCH($B17&amp;"|"&amp;H$8&amp;"|2",Buchungen!$S$6:$S$605,0)),"")))</f>
        <v/>
      </c>
      <c r="I17" s="58" t="str">
        <f>IF($B17="","",IF(COUNTIF(Stammdaten!$AD$10:$AD$30,I$8)&gt;0,"Feiertag",IFERROR(INDEX(Buchungen!$U$6:$U$605,MATCH($B17&amp;"|"&amp;I$8&amp;"|1",Buchungen!$S$6:$S$605,0)),"")&amp;IFERROR(" / "&amp;INDEX(Buchungen!$U$6:$U$605,MATCH($B17&amp;"|"&amp;I$8&amp;"|2",Buchungen!$S$6:$S$605,0)),"")))</f>
        <v>A-11</v>
      </c>
      <c r="J17" s="58" t="str">
        <f>IF($B17="","",IF(COUNTIF(Stammdaten!$AD$10:$AD$30,J$8)&gt;0,"Feiertag",IFERROR(INDEX(Buchungen!$U$6:$U$605,MATCH($B17&amp;"|"&amp;J$8&amp;"|1",Buchungen!$S$6:$S$605,0)),"")&amp;IFERROR(" / "&amp;INDEX(Buchungen!$U$6:$U$605,MATCH($B17&amp;"|"&amp;J$8&amp;"|2",Buchungen!$S$6:$S$605,0)),"")))</f>
        <v>A-01</v>
      </c>
      <c r="K17" s="16"/>
      <c r="L17" s="58" t="str">
        <f>IF($B17="","",IF(COUNTIF(Stammdaten!$AD$10:$AD$30,L$8)&gt;0,"Feiertag",IFERROR(INDEX(Buchungen!$U$6:$U$605,MATCH($B17&amp;"|"&amp;L$8&amp;"|1",Buchungen!$S$6:$S$605,0)),"")&amp;IFERROR(" / "&amp;INDEX(Buchungen!$U$6:$U$605,MATCH($B17&amp;"|"&amp;L$8&amp;"|2",Buchungen!$S$6:$S$605,0)),"")))</f>
        <v>A-05</v>
      </c>
      <c r="M17" s="58" t="str">
        <f>IF($B17="","",IF(COUNTIF(Stammdaten!$AD$10:$AD$30,M$8)&gt;0,"Feiertag",IFERROR(INDEX(Buchungen!$U$6:$U$605,MATCH($B17&amp;"|"&amp;M$8&amp;"|1",Buchungen!$S$6:$S$605,0)),"")&amp;IFERROR(" / "&amp;INDEX(Buchungen!$U$6:$U$605,MATCH($B17&amp;"|"&amp;M$8&amp;"|2",Buchungen!$S$6:$S$605,0)),"")))</f>
        <v/>
      </c>
      <c r="N17" s="58" t="str">
        <f>IF($B17="","",IF(COUNTIF(Stammdaten!$AD$10:$AD$30,N$8)&gt;0,"Feiertag",IFERROR(INDEX(Buchungen!$U$6:$U$605,MATCH($B17&amp;"|"&amp;N$8&amp;"|1",Buchungen!$S$6:$S$605,0)),"")&amp;IFERROR(" / "&amp;INDEX(Buchungen!$U$6:$U$605,MATCH($B17&amp;"|"&amp;N$8&amp;"|2",Buchungen!$S$6:$S$605,0)),"")))</f>
        <v>A-07</v>
      </c>
      <c r="O17" s="58" t="str">
        <f>IF($B17="","",IF(COUNTIF(Stammdaten!$AD$10:$AD$30,O$8)&gt;0,"Feiertag",IFERROR(INDEX(Buchungen!$U$6:$U$605,MATCH($B17&amp;"|"&amp;O$8&amp;"|1",Buchungen!$S$6:$S$605,0)),"")&amp;IFERROR(" / "&amp;INDEX(Buchungen!$U$6:$U$605,MATCH($B17&amp;"|"&amp;O$8&amp;"|2",Buchungen!$S$6:$S$605,0)),"")))</f>
        <v/>
      </c>
      <c r="P17" s="58" t="str">
        <f>IF($B17="","",IF(COUNTIF(Stammdaten!$AD$10:$AD$30,P$8)&gt;0,"Feiertag",IFERROR(INDEX(Buchungen!$U$6:$U$605,MATCH($B17&amp;"|"&amp;P$8&amp;"|1",Buchungen!$S$6:$S$605,0)),"")&amp;IFERROR(" / "&amp;INDEX(Buchungen!$U$6:$U$605,MATCH($B17&amp;"|"&amp;P$8&amp;"|2",Buchungen!$S$6:$S$605,0)),"")))</f>
        <v>A-02</v>
      </c>
      <c r="R17" s="50">
        <f t="shared" si="0"/>
        <v>7</v>
      </c>
      <c r="S17" s="50">
        <f t="shared" si="1"/>
        <v>6</v>
      </c>
      <c r="T17" s="59">
        <f t="shared" si="2"/>
        <v>1</v>
      </c>
    </row>
    <row r="18" spans="2:20" ht="18.75" customHeight="1" x14ac:dyDescent="0.25">
      <c r="B18" s="56" t="str">
        <f>IF(Stammdaten!$N18="","",Stammdaten!$N18)</f>
        <v>Clara Vogt</v>
      </c>
      <c r="C18" s="41" t="str">
        <f>IF($B18="","",Stammdaten!$P18)</f>
        <v>Marketing</v>
      </c>
      <c r="D18" s="57">
        <f>IF($B18="","",Stammdaten!$Q18)</f>
        <v>2</v>
      </c>
      <c r="E18" s="42" t="str">
        <f>IF($B18="","",Stammdaten!$R18)</f>
        <v>Teamzone Nord</v>
      </c>
      <c r="F18" s="58" t="str">
        <f>IF($B18="","",IF(COUNTIF(Stammdaten!$AD$10:$AD$30,F$8)&gt;0,"Feiertag",IFERROR(INDEX(Buchungen!$U$6:$U$605,MATCH($B18&amp;"|"&amp;F$8&amp;"|1",Buchungen!$S$6:$S$605,0)),"")&amp;IFERROR(" / "&amp;INDEX(Buchungen!$U$6:$U$605,MATCH($B18&amp;"|"&amp;F$8&amp;"|2",Buchungen!$S$6:$S$605,0)),"")))</f>
        <v/>
      </c>
      <c r="G18" s="58" t="str">
        <f>IF($B18="","",IF(COUNTIF(Stammdaten!$AD$10:$AD$30,G$8)&gt;0,"Feiertag",IFERROR(INDEX(Buchungen!$U$6:$U$605,MATCH($B18&amp;"|"&amp;G$8&amp;"|1",Buchungen!$S$6:$S$605,0)),"")&amp;IFERROR(" / "&amp;INDEX(Buchungen!$U$6:$U$605,MATCH($B18&amp;"|"&amp;G$8&amp;"|2",Buchungen!$S$6:$S$605,0)),"")))</f>
        <v>A-07 (VM)</v>
      </c>
      <c r="H18" s="58" t="str">
        <f>IF($B18="","",IF(COUNTIF(Stammdaten!$AD$10:$AD$30,H$8)&gt;0,"Feiertag",IFERROR(INDEX(Buchungen!$U$6:$U$605,MATCH($B18&amp;"|"&amp;H$8&amp;"|1",Buchungen!$S$6:$S$605,0)),"")&amp;IFERROR(" / "&amp;INDEX(Buchungen!$U$6:$U$605,MATCH($B18&amp;"|"&amp;H$8&amp;"|2",Buchungen!$S$6:$S$605,0)),"")))</f>
        <v>A-04</v>
      </c>
      <c r="I18" s="58" t="str">
        <f>IF($B18="","",IF(COUNTIF(Stammdaten!$AD$10:$AD$30,I$8)&gt;0,"Feiertag",IFERROR(INDEX(Buchungen!$U$6:$U$605,MATCH($B18&amp;"|"&amp;I$8&amp;"|1",Buchungen!$S$6:$S$605,0)),"")&amp;IFERROR(" / "&amp;INDEX(Buchungen!$U$6:$U$605,MATCH($B18&amp;"|"&amp;I$8&amp;"|2",Buchungen!$S$6:$S$605,0)),"")))</f>
        <v/>
      </c>
      <c r="J18" s="58" t="str">
        <f>IF($B18="","",IF(COUNTIF(Stammdaten!$AD$10:$AD$30,J$8)&gt;0,"Feiertag",IFERROR(INDEX(Buchungen!$U$6:$U$605,MATCH($B18&amp;"|"&amp;J$8&amp;"|1",Buchungen!$S$6:$S$605,0)),"")&amp;IFERROR(" / "&amp;INDEX(Buchungen!$U$6:$U$605,MATCH($B18&amp;"|"&amp;J$8&amp;"|2",Buchungen!$S$6:$S$605,0)),"")))</f>
        <v/>
      </c>
      <c r="K18" s="16"/>
      <c r="L18" s="58" t="str">
        <f>IF($B18="","",IF(COUNTIF(Stammdaten!$AD$10:$AD$30,L$8)&gt;0,"Feiertag",IFERROR(INDEX(Buchungen!$U$6:$U$605,MATCH($B18&amp;"|"&amp;L$8&amp;"|1",Buchungen!$S$6:$S$605,0)),"")&amp;IFERROR(" / "&amp;INDEX(Buchungen!$U$6:$U$605,MATCH($B18&amp;"|"&amp;L$8&amp;"|2",Buchungen!$S$6:$S$605,0)),"")))</f>
        <v/>
      </c>
      <c r="M18" s="58" t="str">
        <f>IF($B18="","",IF(COUNTIF(Stammdaten!$AD$10:$AD$30,M$8)&gt;0,"Feiertag",IFERROR(INDEX(Buchungen!$U$6:$U$605,MATCH($B18&amp;"|"&amp;M$8&amp;"|1",Buchungen!$S$6:$S$605,0)),"")&amp;IFERROR(" / "&amp;INDEX(Buchungen!$U$6:$U$605,MATCH($B18&amp;"|"&amp;M$8&amp;"|2",Buchungen!$S$6:$S$605,0)),"")))</f>
        <v/>
      </c>
      <c r="N18" s="58" t="str">
        <f>IF($B18="","",IF(COUNTIF(Stammdaten!$AD$10:$AD$30,N$8)&gt;0,"Feiertag",IFERROR(INDEX(Buchungen!$U$6:$U$605,MATCH($B18&amp;"|"&amp;N$8&amp;"|1",Buchungen!$S$6:$S$605,0)),"")&amp;IFERROR(" / "&amp;INDEX(Buchungen!$U$6:$U$605,MATCH($B18&amp;"|"&amp;N$8&amp;"|2",Buchungen!$S$6:$S$605,0)),"")))</f>
        <v/>
      </c>
      <c r="O18" s="58" t="str">
        <f>IF($B18="","",IF(COUNTIF(Stammdaten!$AD$10:$AD$30,O$8)&gt;0,"Feiertag",IFERROR(INDEX(Buchungen!$U$6:$U$605,MATCH($B18&amp;"|"&amp;O$8&amp;"|1",Buchungen!$S$6:$S$605,0)),"")&amp;IFERROR(" / "&amp;INDEX(Buchungen!$U$6:$U$605,MATCH($B18&amp;"|"&amp;O$8&amp;"|2",Buchungen!$S$6:$S$605,0)),"")))</f>
        <v>A-07</v>
      </c>
      <c r="P18" s="58" t="str">
        <f>IF($B18="","",IF(COUNTIF(Stammdaten!$AD$10:$AD$30,P$8)&gt;0,"Feiertag",IFERROR(INDEX(Buchungen!$U$6:$U$605,MATCH($B18&amp;"|"&amp;P$8&amp;"|1",Buchungen!$S$6:$S$605,0)),"")&amp;IFERROR(" / "&amp;INDEX(Buchungen!$U$6:$U$605,MATCH($B18&amp;"|"&amp;P$8&amp;"|2",Buchungen!$S$6:$S$605,0)),"")))</f>
        <v>A-05 ?</v>
      </c>
      <c r="R18" s="50">
        <f t="shared" si="0"/>
        <v>4</v>
      </c>
      <c r="S18" s="50">
        <f t="shared" si="1"/>
        <v>4</v>
      </c>
      <c r="T18" s="59">
        <f t="shared" si="2"/>
        <v>0</v>
      </c>
    </row>
    <row r="19" spans="2:20" ht="18.75" customHeight="1" x14ac:dyDescent="0.25">
      <c r="B19" s="56" t="str">
        <f>IF(Stammdaten!$N19="","",Stammdaten!$N19)</f>
        <v>Marco Seidel</v>
      </c>
      <c r="C19" s="41" t="str">
        <f>IF($B19="","",Stammdaten!$P19)</f>
        <v>Marketing</v>
      </c>
      <c r="D19" s="57">
        <f>IF($B19="","",Stammdaten!$Q19)</f>
        <v>3</v>
      </c>
      <c r="E19" s="42" t="str">
        <f>IF($B19="","",Stammdaten!$R19)</f>
        <v>Teamzone Nord</v>
      </c>
      <c r="F19" s="58" t="str">
        <f>IF($B19="","",IF(COUNTIF(Stammdaten!$AD$10:$AD$30,F$8)&gt;0,"Feiertag",IFERROR(INDEX(Buchungen!$U$6:$U$605,MATCH($B19&amp;"|"&amp;F$8&amp;"|1",Buchungen!$S$6:$S$605,0)),"")&amp;IFERROR(" / "&amp;INDEX(Buchungen!$U$6:$U$605,MATCH($B19&amp;"|"&amp;F$8&amp;"|2",Buchungen!$S$6:$S$605,0)),"")))</f>
        <v>A-07</v>
      </c>
      <c r="G19" s="58" t="str">
        <f>IF($B19="","",IF(COUNTIF(Stammdaten!$AD$10:$AD$30,G$8)&gt;0,"Feiertag",IFERROR(INDEX(Buchungen!$U$6:$U$605,MATCH($B19&amp;"|"&amp;G$8&amp;"|1",Buchungen!$S$6:$S$605,0)),"")&amp;IFERROR(" / "&amp;INDEX(Buchungen!$U$6:$U$605,MATCH($B19&amp;"|"&amp;G$8&amp;"|2",Buchungen!$S$6:$S$605,0)),"")))</f>
        <v/>
      </c>
      <c r="H19" s="58" t="str">
        <f>IF($B19="","",IF(COUNTIF(Stammdaten!$AD$10:$AD$30,H$8)&gt;0,"Feiertag",IFERROR(INDEX(Buchungen!$U$6:$U$605,MATCH($B19&amp;"|"&amp;H$8&amp;"|1",Buchungen!$S$6:$S$605,0)),"")&amp;IFERROR(" / "&amp;INDEX(Buchungen!$U$6:$U$605,MATCH($B19&amp;"|"&amp;H$8&amp;"|2",Buchungen!$S$6:$S$605,0)),"")))</f>
        <v>A-06</v>
      </c>
      <c r="I19" s="58" t="str">
        <f>IF($B19="","",IF(COUNTIF(Stammdaten!$AD$10:$AD$30,I$8)&gt;0,"Feiertag",IFERROR(INDEX(Buchungen!$U$6:$U$605,MATCH($B19&amp;"|"&amp;I$8&amp;"|1",Buchungen!$S$6:$S$605,0)),"")&amp;IFERROR(" / "&amp;INDEX(Buchungen!$U$6:$U$605,MATCH($B19&amp;"|"&amp;I$8&amp;"|2",Buchungen!$S$6:$S$605,0)),"")))</f>
        <v>A-01</v>
      </c>
      <c r="J19" s="58" t="str">
        <f>IF($B19="","",IF(COUNTIF(Stammdaten!$AD$10:$AD$30,J$8)&gt;0,"Feiertag",IFERROR(INDEX(Buchungen!$U$6:$U$605,MATCH($B19&amp;"|"&amp;J$8&amp;"|1",Buchungen!$S$6:$S$605,0)),"")&amp;IFERROR(" / "&amp;INDEX(Buchungen!$U$6:$U$605,MATCH($B19&amp;"|"&amp;J$8&amp;"|2",Buchungen!$S$6:$S$605,0)),"")))</f>
        <v/>
      </c>
      <c r="K19" s="16"/>
      <c r="L19" s="58" t="str">
        <f>IF($B19="","",IF(COUNTIF(Stammdaten!$AD$10:$AD$30,L$8)&gt;0,"Feiertag",IFERROR(INDEX(Buchungen!$U$6:$U$605,MATCH($B19&amp;"|"&amp;L$8&amp;"|1",Buchungen!$S$6:$S$605,0)),"")&amp;IFERROR(" / "&amp;INDEX(Buchungen!$U$6:$U$605,MATCH($B19&amp;"|"&amp;L$8&amp;"|2",Buchungen!$S$6:$S$605,0)),"")))</f>
        <v>A-01</v>
      </c>
      <c r="M19" s="58" t="str">
        <f>IF($B19="","",IF(COUNTIF(Stammdaten!$AD$10:$AD$30,M$8)&gt;0,"Feiertag",IFERROR(INDEX(Buchungen!$U$6:$U$605,MATCH($B19&amp;"|"&amp;M$8&amp;"|1",Buchungen!$S$6:$S$605,0)),"")&amp;IFERROR(" / "&amp;INDEX(Buchungen!$U$6:$U$605,MATCH($B19&amp;"|"&amp;M$8&amp;"|2",Buchungen!$S$6:$S$605,0)),"")))</f>
        <v>A-01</v>
      </c>
      <c r="N19" s="58" t="str">
        <f>IF($B19="","",IF(COUNTIF(Stammdaten!$AD$10:$AD$30,N$8)&gt;0,"Feiertag",IFERROR(INDEX(Buchungen!$U$6:$U$605,MATCH($B19&amp;"|"&amp;N$8&amp;"|1",Buchungen!$S$6:$S$605,0)),"")&amp;IFERROR(" / "&amp;INDEX(Buchungen!$U$6:$U$605,MATCH($B19&amp;"|"&amp;N$8&amp;"|2",Buchungen!$S$6:$S$605,0)),"")))</f>
        <v/>
      </c>
      <c r="O19" s="58" t="str">
        <f>IF($B19="","",IF(COUNTIF(Stammdaten!$AD$10:$AD$30,O$8)&gt;0,"Feiertag",IFERROR(INDEX(Buchungen!$U$6:$U$605,MATCH($B19&amp;"|"&amp;O$8&amp;"|1",Buchungen!$S$6:$S$605,0)),"")&amp;IFERROR(" / "&amp;INDEX(Buchungen!$U$6:$U$605,MATCH($B19&amp;"|"&amp;O$8&amp;"|2",Buchungen!$S$6:$S$605,0)),"")))</f>
        <v/>
      </c>
      <c r="P19" s="58" t="str">
        <f>IF($B19="","",IF(COUNTIF(Stammdaten!$AD$10:$AD$30,P$8)&gt;0,"Feiertag",IFERROR(INDEX(Buchungen!$U$6:$U$605,MATCH($B19&amp;"|"&amp;P$8&amp;"|1",Buchungen!$S$6:$S$605,0)),"")&amp;IFERROR(" / "&amp;INDEX(Buchungen!$U$6:$U$605,MATCH($B19&amp;"|"&amp;P$8&amp;"|2",Buchungen!$S$6:$S$605,0)),"")))</f>
        <v>A-01</v>
      </c>
      <c r="R19" s="50">
        <f t="shared" si="0"/>
        <v>6</v>
      </c>
      <c r="S19" s="50">
        <f t="shared" si="1"/>
        <v>6</v>
      </c>
      <c r="T19" s="59">
        <f t="shared" si="2"/>
        <v>0</v>
      </c>
    </row>
    <row r="20" spans="2:20" ht="18.75" customHeight="1" x14ac:dyDescent="0.25">
      <c r="B20" s="56" t="str">
        <f>IF(Stammdaten!$N20="","",Stammdaten!$N20)</f>
        <v>Aylin Demir</v>
      </c>
      <c r="C20" s="41" t="str">
        <f>IF($B20="","",Stammdaten!$P20)</f>
        <v>Marketing</v>
      </c>
      <c r="D20" s="57">
        <f>IF($B20="","",Stammdaten!$Q20)</f>
        <v>2</v>
      </c>
      <c r="E20" s="42" t="str">
        <f>IF($B20="","",Stammdaten!$R20)</f>
        <v>Teamzone Nord</v>
      </c>
      <c r="F20" s="58" t="str">
        <f>IF($B20="","",IF(COUNTIF(Stammdaten!$AD$10:$AD$30,F$8)&gt;0,"Feiertag",IFERROR(INDEX(Buchungen!$U$6:$U$605,MATCH($B20&amp;"|"&amp;F$8&amp;"|1",Buchungen!$S$6:$S$605,0)),"")&amp;IFERROR(" / "&amp;INDEX(Buchungen!$U$6:$U$605,MATCH($B20&amp;"|"&amp;F$8&amp;"|2",Buchungen!$S$6:$S$605,0)),"")))</f>
        <v/>
      </c>
      <c r="G20" s="58" t="str">
        <f>IF($B20="","",IF(COUNTIF(Stammdaten!$AD$10:$AD$30,G$8)&gt;0,"Feiertag",IFERROR(INDEX(Buchungen!$U$6:$U$605,MATCH($B20&amp;"|"&amp;G$8&amp;"|1",Buchungen!$S$6:$S$605,0)),"")&amp;IFERROR(" / "&amp;INDEX(Buchungen!$U$6:$U$605,MATCH($B20&amp;"|"&amp;G$8&amp;"|2",Buchungen!$S$6:$S$605,0)),"")))</f>
        <v/>
      </c>
      <c r="H20" s="58" t="str">
        <f>IF($B20="","",IF(COUNTIF(Stammdaten!$AD$10:$AD$30,H$8)&gt;0,"Feiertag",IFERROR(INDEX(Buchungen!$U$6:$U$605,MATCH($B20&amp;"|"&amp;H$8&amp;"|1",Buchungen!$S$6:$S$605,0)),"")&amp;IFERROR(" / "&amp;INDEX(Buchungen!$U$6:$U$605,MATCH($B20&amp;"|"&amp;H$8&amp;"|2",Buchungen!$S$6:$S$605,0)),"")))</f>
        <v>A-08</v>
      </c>
      <c r="I20" s="58" t="str">
        <f>IF($B20="","",IF(COUNTIF(Stammdaten!$AD$10:$AD$30,I$8)&gt;0,"Feiertag",IFERROR(INDEX(Buchungen!$U$6:$U$605,MATCH($B20&amp;"|"&amp;I$8&amp;"|1",Buchungen!$S$6:$S$605,0)),"")&amp;IFERROR(" / "&amp;INDEX(Buchungen!$U$6:$U$605,MATCH($B20&amp;"|"&amp;I$8&amp;"|2",Buchungen!$S$6:$S$605,0)),"")))</f>
        <v/>
      </c>
      <c r="J20" s="58" t="str">
        <f>IF($B20="","",IF(COUNTIF(Stammdaten!$AD$10:$AD$30,J$8)&gt;0,"Feiertag",IFERROR(INDEX(Buchungen!$U$6:$U$605,MATCH($B20&amp;"|"&amp;J$8&amp;"|1",Buchungen!$S$6:$S$605,0)),"")&amp;IFERROR(" / "&amp;INDEX(Buchungen!$U$6:$U$605,MATCH($B20&amp;"|"&amp;J$8&amp;"|2",Buchungen!$S$6:$S$605,0)),"")))</f>
        <v>A-03</v>
      </c>
      <c r="K20" s="16"/>
      <c r="L20" s="58" t="str">
        <f>IF($B20="","",IF(COUNTIF(Stammdaten!$AD$10:$AD$30,L$8)&gt;0,"Feiertag",IFERROR(INDEX(Buchungen!$U$6:$U$605,MATCH($B20&amp;"|"&amp;L$8&amp;"|1",Buchungen!$S$6:$S$605,0)),"")&amp;IFERROR(" / "&amp;INDEX(Buchungen!$U$6:$U$605,MATCH($B20&amp;"|"&amp;L$8&amp;"|2",Buchungen!$S$6:$S$605,0)),"")))</f>
        <v>A-08</v>
      </c>
      <c r="M20" s="58" t="str">
        <f>IF($B20="","",IF(COUNTIF(Stammdaten!$AD$10:$AD$30,M$8)&gt;0,"Feiertag",IFERROR(INDEX(Buchungen!$U$6:$U$605,MATCH($B20&amp;"|"&amp;M$8&amp;"|1",Buchungen!$S$6:$S$605,0)),"")&amp;IFERROR(" / "&amp;INDEX(Buchungen!$U$6:$U$605,MATCH($B20&amp;"|"&amp;M$8&amp;"|2",Buchungen!$S$6:$S$605,0)),"")))</f>
        <v/>
      </c>
      <c r="N20" s="58" t="str">
        <f>IF($B20="","",IF(COUNTIF(Stammdaten!$AD$10:$AD$30,N$8)&gt;0,"Feiertag",IFERROR(INDEX(Buchungen!$U$6:$U$605,MATCH($B20&amp;"|"&amp;N$8&amp;"|1",Buchungen!$S$6:$S$605,0)),"")&amp;IFERROR(" / "&amp;INDEX(Buchungen!$U$6:$U$605,MATCH($B20&amp;"|"&amp;N$8&amp;"|2",Buchungen!$S$6:$S$605,0)),"")))</f>
        <v/>
      </c>
      <c r="O20" s="58" t="str">
        <f>IF($B20="","",IF(COUNTIF(Stammdaten!$AD$10:$AD$30,O$8)&gt;0,"Feiertag",IFERROR(INDEX(Buchungen!$U$6:$U$605,MATCH($B20&amp;"|"&amp;O$8&amp;"|1",Buchungen!$S$6:$S$605,0)),"")&amp;IFERROR(" / "&amp;INDEX(Buchungen!$U$6:$U$605,MATCH($B20&amp;"|"&amp;O$8&amp;"|2",Buchungen!$S$6:$S$605,0)),"")))</f>
        <v>A-01</v>
      </c>
      <c r="P20" s="58" t="str">
        <f>IF($B20="","",IF(COUNTIF(Stammdaten!$AD$10:$AD$30,P$8)&gt;0,"Feiertag",IFERROR(INDEX(Buchungen!$U$6:$U$605,MATCH($B20&amp;"|"&amp;P$8&amp;"|1",Buchungen!$S$6:$S$605,0)),"")&amp;IFERROR(" / "&amp;INDEX(Buchungen!$U$6:$U$605,MATCH($B20&amp;"|"&amp;P$8&amp;"|2",Buchungen!$S$6:$S$605,0)),"")))</f>
        <v/>
      </c>
      <c r="R20" s="50">
        <f t="shared" si="0"/>
        <v>4</v>
      </c>
      <c r="S20" s="50">
        <f t="shared" si="1"/>
        <v>4</v>
      </c>
      <c r="T20" s="59">
        <f t="shared" si="2"/>
        <v>0</v>
      </c>
    </row>
    <row r="21" spans="2:20" ht="18.75" customHeight="1" x14ac:dyDescent="0.25">
      <c r="B21" s="56" t="str">
        <f>IF(Stammdaten!$N21="","",Stammdaten!$N21)</f>
        <v>Paul Schreiber</v>
      </c>
      <c r="C21" s="41" t="str">
        <f>IF($B21="","",Stammdaten!$P21)</f>
        <v>Marketing</v>
      </c>
      <c r="D21" s="57">
        <f>IF($B21="","",Stammdaten!$Q21)</f>
        <v>4</v>
      </c>
      <c r="E21" s="42" t="str">
        <f>IF($B21="","",Stammdaten!$R21)</f>
        <v>Teamzone Nord</v>
      </c>
      <c r="F21" s="58" t="str">
        <f>IF($B21="","",IF(COUNTIF(Stammdaten!$AD$10:$AD$30,F$8)&gt;0,"Feiertag",IFERROR(INDEX(Buchungen!$U$6:$U$605,MATCH($B21&amp;"|"&amp;F$8&amp;"|1",Buchungen!$S$6:$S$605,0)),"")&amp;IFERROR(" / "&amp;INDEX(Buchungen!$U$6:$U$605,MATCH($B21&amp;"|"&amp;F$8&amp;"|2",Buchungen!$S$6:$S$605,0)),"")))</f>
        <v>A-02</v>
      </c>
      <c r="G21" s="58" t="str">
        <f>IF($B21="","",IF(COUNTIF(Stammdaten!$AD$10:$AD$30,G$8)&gt;0,"Feiertag",IFERROR(INDEX(Buchungen!$U$6:$U$605,MATCH($B21&amp;"|"&amp;G$8&amp;"|1",Buchungen!$S$6:$S$605,0)),"")&amp;IFERROR(" / "&amp;INDEX(Buchungen!$U$6:$U$605,MATCH($B21&amp;"|"&amp;G$8&amp;"|2",Buchungen!$S$6:$S$605,0)),"")))</f>
        <v>A-06</v>
      </c>
      <c r="H21" s="58" t="str">
        <f>IF($B21="","",IF(COUNTIF(Stammdaten!$AD$10:$AD$30,H$8)&gt;0,"Feiertag",IFERROR(INDEX(Buchungen!$U$6:$U$605,MATCH($B21&amp;"|"&amp;H$8&amp;"|1",Buchungen!$S$6:$S$605,0)),"")&amp;IFERROR(" / "&amp;INDEX(Buchungen!$U$6:$U$605,MATCH($B21&amp;"|"&amp;H$8&amp;"|2",Buchungen!$S$6:$S$605,0)),"")))</f>
        <v>A-07</v>
      </c>
      <c r="I21" s="58" t="str">
        <f>IF($B21="","",IF(COUNTIF(Stammdaten!$AD$10:$AD$30,I$8)&gt;0,"Feiertag",IFERROR(INDEX(Buchungen!$U$6:$U$605,MATCH($B21&amp;"|"&amp;I$8&amp;"|1",Buchungen!$S$6:$S$605,0)),"")&amp;IFERROR(" / "&amp;INDEX(Buchungen!$U$6:$U$605,MATCH($B21&amp;"|"&amp;I$8&amp;"|2",Buchungen!$S$6:$S$605,0)),"")))</f>
        <v/>
      </c>
      <c r="J21" s="58" t="str">
        <f>IF($B21="","",IF(COUNTIF(Stammdaten!$AD$10:$AD$30,J$8)&gt;0,"Feiertag",IFERROR(INDEX(Buchungen!$U$6:$U$605,MATCH($B21&amp;"|"&amp;J$8&amp;"|1",Buchungen!$S$6:$S$605,0)),"")&amp;IFERROR(" / "&amp;INDEX(Buchungen!$U$6:$U$605,MATCH($B21&amp;"|"&amp;J$8&amp;"|2",Buchungen!$S$6:$S$605,0)),"")))</f>
        <v>A-06</v>
      </c>
      <c r="K21" s="16"/>
      <c r="L21" s="58" t="str">
        <f>IF($B21="","",IF(COUNTIF(Stammdaten!$AD$10:$AD$30,L$8)&gt;0,"Feiertag",IFERROR(INDEX(Buchungen!$U$6:$U$605,MATCH($B21&amp;"|"&amp;L$8&amp;"|1",Buchungen!$S$6:$S$605,0)),"")&amp;IFERROR(" / "&amp;INDEX(Buchungen!$U$6:$U$605,MATCH($B21&amp;"|"&amp;L$8&amp;"|2",Buchungen!$S$6:$S$605,0)),"")))</f>
        <v>A-03</v>
      </c>
      <c r="M21" s="58" t="str">
        <f>IF($B21="","",IF(COUNTIF(Stammdaten!$AD$10:$AD$30,M$8)&gt;0,"Feiertag",IFERROR(INDEX(Buchungen!$U$6:$U$605,MATCH($B21&amp;"|"&amp;M$8&amp;"|1",Buchungen!$S$6:$S$605,0)),"")&amp;IFERROR(" / "&amp;INDEX(Buchungen!$U$6:$U$605,MATCH($B21&amp;"|"&amp;M$8&amp;"|2",Buchungen!$S$6:$S$605,0)),"")))</f>
        <v>A-02</v>
      </c>
      <c r="N21" s="58" t="str">
        <f>IF($B21="","",IF(COUNTIF(Stammdaten!$AD$10:$AD$30,N$8)&gt;0,"Feiertag",IFERROR(INDEX(Buchungen!$U$6:$U$605,MATCH($B21&amp;"|"&amp;N$8&amp;"|1",Buchungen!$S$6:$S$605,0)),"")&amp;IFERROR(" / "&amp;INDEX(Buchungen!$U$6:$U$605,MATCH($B21&amp;"|"&amp;N$8&amp;"|2",Buchungen!$S$6:$S$605,0)),"")))</f>
        <v>A-06</v>
      </c>
      <c r="O21" s="58" t="str">
        <f>IF($B21="","",IF(COUNTIF(Stammdaten!$AD$10:$AD$30,O$8)&gt;0,"Feiertag",IFERROR(INDEX(Buchungen!$U$6:$U$605,MATCH($B21&amp;"|"&amp;O$8&amp;"|1",Buchungen!$S$6:$S$605,0)),"")&amp;IFERROR(" / "&amp;INDEX(Buchungen!$U$6:$U$605,MATCH($B21&amp;"|"&amp;O$8&amp;"|2",Buchungen!$S$6:$S$605,0)),"")))</f>
        <v/>
      </c>
      <c r="P21" s="58" t="str">
        <f>IF($B21="","",IF(COUNTIF(Stammdaten!$AD$10:$AD$30,P$8)&gt;0,"Feiertag",IFERROR(INDEX(Buchungen!$U$6:$U$605,MATCH($B21&amp;"|"&amp;P$8&amp;"|1",Buchungen!$S$6:$S$605,0)),"")&amp;IFERROR(" / "&amp;INDEX(Buchungen!$U$6:$U$605,MATCH($B21&amp;"|"&amp;P$8&amp;"|2",Buchungen!$S$6:$S$605,0)),"")))</f>
        <v>A-07</v>
      </c>
      <c r="R21" s="50">
        <f t="shared" si="0"/>
        <v>8</v>
      </c>
      <c r="S21" s="50">
        <f t="shared" si="1"/>
        <v>8</v>
      </c>
      <c r="T21" s="59">
        <f t="shared" si="2"/>
        <v>0</v>
      </c>
    </row>
    <row r="22" spans="2:20" ht="18.75" customHeight="1" x14ac:dyDescent="0.25">
      <c r="B22" s="56" t="str">
        <f>IF(Stammdaten!$N22="","",Stammdaten!$N22)</f>
        <v>Hanna Roth</v>
      </c>
      <c r="C22" s="41" t="str">
        <f>IF($B22="","",Stammdaten!$P22)</f>
        <v>Finanzen</v>
      </c>
      <c r="D22" s="57">
        <f>IF($B22="","",Stammdaten!$Q22)</f>
        <v>3</v>
      </c>
      <c r="E22" s="42" t="str">
        <f>IF($B22="","",Stammdaten!$R22)</f>
        <v>Teamzone Süd</v>
      </c>
      <c r="F22" s="58" t="str">
        <f>IF($B22="","",IF(COUNTIF(Stammdaten!$AD$10:$AD$30,F$8)&gt;0,"Feiertag",IFERROR(INDEX(Buchungen!$U$6:$U$605,MATCH($B22&amp;"|"&amp;F$8&amp;"|1",Buchungen!$S$6:$S$605,0)),"")&amp;IFERROR(" / "&amp;INDEX(Buchungen!$U$6:$U$605,MATCH($B22&amp;"|"&amp;F$8&amp;"|2",Buchungen!$S$6:$S$605,0)),"")))</f>
        <v>B-04</v>
      </c>
      <c r="G22" s="58" t="str">
        <f>IF($B22="","",IF(COUNTIF(Stammdaten!$AD$10:$AD$30,G$8)&gt;0,"Feiertag",IFERROR(INDEX(Buchungen!$U$6:$U$605,MATCH($B22&amp;"|"&amp;G$8&amp;"|1",Buchungen!$S$6:$S$605,0)),"")&amp;IFERROR(" / "&amp;INDEX(Buchungen!$U$6:$U$605,MATCH($B22&amp;"|"&amp;G$8&amp;"|2",Buchungen!$S$6:$S$605,0)),"")))</f>
        <v/>
      </c>
      <c r="H22" s="58" t="str">
        <f>IF($B22="","",IF(COUNTIF(Stammdaten!$AD$10:$AD$30,H$8)&gt;0,"Feiertag",IFERROR(INDEX(Buchungen!$U$6:$U$605,MATCH($B22&amp;"|"&amp;H$8&amp;"|1",Buchungen!$S$6:$S$605,0)),"")&amp;IFERROR(" / "&amp;INDEX(Buchungen!$U$6:$U$605,MATCH($B22&amp;"|"&amp;H$8&amp;"|2",Buchungen!$S$6:$S$605,0)),"")))</f>
        <v>B-04</v>
      </c>
      <c r="I22" s="58" t="str">
        <f>IF($B22="","",IF(COUNTIF(Stammdaten!$AD$10:$AD$30,I$8)&gt;0,"Feiertag",IFERROR(INDEX(Buchungen!$U$6:$U$605,MATCH($B22&amp;"|"&amp;I$8&amp;"|1",Buchungen!$S$6:$S$605,0)),"")&amp;IFERROR(" / "&amp;INDEX(Buchungen!$U$6:$U$605,MATCH($B22&amp;"|"&amp;I$8&amp;"|2",Buchungen!$S$6:$S$605,0)),"")))</f>
        <v>B-02</v>
      </c>
      <c r="J22" s="58" t="str">
        <f>IF($B22="","",IF(COUNTIF(Stammdaten!$AD$10:$AD$30,J$8)&gt;0,"Feiertag",IFERROR(INDEX(Buchungen!$U$6:$U$605,MATCH($B22&amp;"|"&amp;J$8&amp;"|1",Buchungen!$S$6:$S$605,0)),"")&amp;IFERROR(" / "&amp;INDEX(Buchungen!$U$6:$U$605,MATCH($B22&amp;"|"&amp;J$8&amp;"|2",Buchungen!$S$6:$S$605,0)),"")))</f>
        <v/>
      </c>
      <c r="K22" s="16"/>
      <c r="L22" s="58" t="str">
        <f>IF($B22="","",IF(COUNTIF(Stammdaten!$AD$10:$AD$30,L$8)&gt;0,"Feiertag",IFERROR(INDEX(Buchungen!$U$6:$U$605,MATCH($B22&amp;"|"&amp;L$8&amp;"|1",Buchungen!$S$6:$S$605,0)),"")&amp;IFERROR(" / "&amp;INDEX(Buchungen!$U$6:$U$605,MATCH($B22&amp;"|"&amp;L$8&amp;"|2",Buchungen!$S$6:$S$605,0)),"")))</f>
        <v/>
      </c>
      <c r="M22" s="58" t="str">
        <f>IF($B22="","",IF(COUNTIF(Stammdaten!$AD$10:$AD$30,M$8)&gt;0,"Feiertag",IFERROR(INDEX(Buchungen!$U$6:$U$605,MATCH($B22&amp;"|"&amp;M$8&amp;"|1",Buchungen!$S$6:$S$605,0)),"")&amp;IFERROR(" / "&amp;INDEX(Buchungen!$U$6:$U$605,MATCH($B22&amp;"|"&amp;M$8&amp;"|2",Buchungen!$S$6:$S$605,0)),"")))</f>
        <v/>
      </c>
      <c r="N22" s="58" t="str">
        <f>IF($B22="","",IF(COUNTIF(Stammdaten!$AD$10:$AD$30,N$8)&gt;0,"Feiertag",IFERROR(INDEX(Buchungen!$U$6:$U$605,MATCH($B22&amp;"|"&amp;N$8&amp;"|1",Buchungen!$S$6:$S$605,0)),"")&amp;IFERROR(" / "&amp;INDEX(Buchungen!$U$6:$U$605,MATCH($B22&amp;"|"&amp;N$8&amp;"|2",Buchungen!$S$6:$S$605,0)),"")))</f>
        <v>B-02 ?</v>
      </c>
      <c r="O22" s="58" t="str">
        <f>IF($B22="","",IF(COUNTIF(Stammdaten!$AD$10:$AD$30,O$8)&gt;0,"Feiertag",IFERROR(INDEX(Buchungen!$U$6:$U$605,MATCH($B22&amp;"|"&amp;O$8&amp;"|1",Buchungen!$S$6:$S$605,0)),"")&amp;IFERROR(" / "&amp;INDEX(Buchungen!$U$6:$U$605,MATCH($B22&amp;"|"&amp;O$8&amp;"|2",Buchungen!$S$6:$S$605,0)),"")))</f>
        <v>B-01</v>
      </c>
      <c r="P22" s="58" t="str">
        <f>IF($B22="","",IF(COUNTIF(Stammdaten!$AD$10:$AD$30,P$8)&gt;0,"Feiertag",IFERROR(INDEX(Buchungen!$U$6:$U$605,MATCH($B22&amp;"|"&amp;P$8&amp;"|1",Buchungen!$S$6:$S$605,0)),"")&amp;IFERROR(" / "&amp;INDEX(Buchungen!$U$6:$U$605,MATCH($B22&amp;"|"&amp;P$8&amp;"|2",Buchungen!$S$6:$S$605,0)),"")))</f>
        <v>B-02</v>
      </c>
      <c r="R22" s="50">
        <f t="shared" si="0"/>
        <v>6</v>
      </c>
      <c r="S22" s="50">
        <f t="shared" si="1"/>
        <v>6</v>
      </c>
      <c r="T22" s="59">
        <f t="shared" si="2"/>
        <v>0</v>
      </c>
    </row>
    <row r="23" spans="2:20" ht="18.75" customHeight="1" x14ac:dyDescent="0.25">
      <c r="B23" s="56" t="str">
        <f>IF(Stammdaten!$N23="","",Stammdaten!$N23)</f>
        <v>Leon Fuchs</v>
      </c>
      <c r="C23" s="41" t="str">
        <f>IF($B23="","",Stammdaten!$P23)</f>
        <v>Finanzen</v>
      </c>
      <c r="D23" s="57">
        <f>IF($B23="","",Stammdaten!$Q23)</f>
        <v>2</v>
      </c>
      <c r="E23" s="42" t="str">
        <f>IF($B23="","",Stammdaten!$R23)</f>
        <v>Teamzone Süd</v>
      </c>
      <c r="F23" s="58" t="str">
        <f>IF($B23="","",IF(COUNTIF(Stammdaten!$AD$10:$AD$30,F$8)&gt;0,"Feiertag",IFERROR(INDEX(Buchungen!$U$6:$U$605,MATCH($B23&amp;"|"&amp;F$8&amp;"|1",Buchungen!$S$6:$S$605,0)),"")&amp;IFERROR(" / "&amp;INDEX(Buchungen!$U$6:$U$605,MATCH($B23&amp;"|"&amp;F$8&amp;"|2",Buchungen!$S$6:$S$605,0)),"")))</f>
        <v>B-05</v>
      </c>
      <c r="G23" s="58" t="str">
        <f>IF($B23="","",IF(COUNTIF(Stammdaten!$AD$10:$AD$30,G$8)&gt;0,"Feiertag",IFERROR(INDEX(Buchungen!$U$6:$U$605,MATCH($B23&amp;"|"&amp;G$8&amp;"|1",Buchungen!$S$6:$S$605,0)),"")&amp;IFERROR(" / "&amp;INDEX(Buchungen!$U$6:$U$605,MATCH($B23&amp;"|"&amp;G$8&amp;"|2",Buchungen!$S$6:$S$605,0)),"")))</f>
        <v/>
      </c>
      <c r="H23" s="58" t="str">
        <f>IF($B23="","",IF(COUNTIF(Stammdaten!$AD$10:$AD$30,H$8)&gt;0,"Feiertag",IFERROR(INDEX(Buchungen!$U$6:$U$605,MATCH($B23&amp;"|"&amp;H$8&amp;"|1",Buchungen!$S$6:$S$605,0)),"")&amp;IFERROR(" / "&amp;INDEX(Buchungen!$U$6:$U$605,MATCH($B23&amp;"|"&amp;H$8&amp;"|2",Buchungen!$S$6:$S$605,0)),"")))</f>
        <v/>
      </c>
      <c r="I23" s="58" t="str">
        <f>IF($B23="","",IF(COUNTIF(Stammdaten!$AD$10:$AD$30,I$8)&gt;0,"Feiertag",IFERROR(INDEX(Buchungen!$U$6:$U$605,MATCH($B23&amp;"|"&amp;I$8&amp;"|1",Buchungen!$S$6:$S$605,0)),"")&amp;IFERROR(" / "&amp;INDEX(Buchungen!$U$6:$U$605,MATCH($B23&amp;"|"&amp;I$8&amp;"|2",Buchungen!$S$6:$S$605,0)),"")))</f>
        <v/>
      </c>
      <c r="J23" s="58" t="str">
        <f>IF($B23="","",IF(COUNTIF(Stammdaten!$AD$10:$AD$30,J$8)&gt;0,"Feiertag",IFERROR(INDEX(Buchungen!$U$6:$U$605,MATCH($B23&amp;"|"&amp;J$8&amp;"|1",Buchungen!$S$6:$S$605,0)),"")&amp;IFERROR(" / "&amp;INDEX(Buchungen!$U$6:$U$605,MATCH($B23&amp;"|"&amp;J$8&amp;"|2",Buchungen!$S$6:$S$605,0)),"")))</f>
        <v>B-02</v>
      </c>
      <c r="K23" s="16"/>
      <c r="L23" s="58" t="str">
        <f>IF($B23="","",IF(COUNTIF(Stammdaten!$AD$10:$AD$30,L$8)&gt;0,"Feiertag",IFERROR(INDEX(Buchungen!$U$6:$U$605,MATCH($B23&amp;"|"&amp;L$8&amp;"|1",Buchungen!$S$6:$S$605,0)),"")&amp;IFERROR(" / "&amp;INDEX(Buchungen!$U$6:$U$605,MATCH($B23&amp;"|"&amp;L$8&amp;"|2",Buchungen!$S$6:$S$605,0)),"")))</f>
        <v/>
      </c>
      <c r="M23" s="58" t="str">
        <f>IF($B23="","",IF(COUNTIF(Stammdaten!$AD$10:$AD$30,M$8)&gt;0,"Feiertag",IFERROR(INDEX(Buchungen!$U$6:$U$605,MATCH($B23&amp;"|"&amp;M$8&amp;"|1",Buchungen!$S$6:$S$605,0)),"")&amp;IFERROR(" / "&amp;INDEX(Buchungen!$U$6:$U$605,MATCH($B23&amp;"|"&amp;M$8&amp;"|2",Buchungen!$S$6:$S$605,0)),"")))</f>
        <v/>
      </c>
      <c r="N23" s="58" t="str">
        <f>IF($B23="","",IF(COUNTIF(Stammdaten!$AD$10:$AD$30,N$8)&gt;0,"Feiertag",IFERROR(INDEX(Buchungen!$U$6:$U$605,MATCH($B23&amp;"|"&amp;N$8&amp;"|1",Buchungen!$S$6:$S$605,0)),"")&amp;IFERROR(" / "&amp;INDEX(Buchungen!$U$6:$U$605,MATCH($B23&amp;"|"&amp;N$8&amp;"|2",Buchungen!$S$6:$S$605,0)),"")))</f>
        <v/>
      </c>
      <c r="O23" s="58" t="str">
        <f>IF($B23="","",IF(COUNTIF(Stammdaten!$AD$10:$AD$30,O$8)&gt;0,"Feiertag",IFERROR(INDEX(Buchungen!$U$6:$U$605,MATCH($B23&amp;"|"&amp;O$8&amp;"|1",Buchungen!$S$6:$S$605,0)),"")&amp;IFERROR(" / "&amp;INDEX(Buchungen!$U$6:$U$605,MATCH($B23&amp;"|"&amp;O$8&amp;"|2",Buchungen!$S$6:$S$605,0)),"")))</f>
        <v>B-09</v>
      </c>
      <c r="P23" s="58" t="str">
        <f>IF($B23="","",IF(COUNTIF(Stammdaten!$AD$10:$AD$30,P$8)&gt;0,"Feiertag",IFERROR(INDEX(Buchungen!$U$6:$U$605,MATCH($B23&amp;"|"&amp;P$8&amp;"|1",Buchungen!$S$6:$S$605,0)),"")&amp;IFERROR(" / "&amp;INDEX(Buchungen!$U$6:$U$605,MATCH($B23&amp;"|"&amp;P$8&amp;"|2",Buchungen!$S$6:$S$605,0)),"")))</f>
        <v>B-03</v>
      </c>
      <c r="R23" s="50">
        <f t="shared" si="0"/>
        <v>4</v>
      </c>
      <c r="S23" s="50">
        <f t="shared" si="1"/>
        <v>4</v>
      </c>
      <c r="T23" s="59">
        <f t="shared" si="2"/>
        <v>0</v>
      </c>
    </row>
    <row r="24" spans="2:20" ht="18.75" customHeight="1" x14ac:dyDescent="0.25">
      <c r="B24" s="56" t="str">
        <f>IF(Stammdaten!$N24="","",Stammdaten!$N24)</f>
        <v>Julia Herrmann</v>
      </c>
      <c r="C24" s="41" t="str">
        <f>IF($B24="","",Stammdaten!$P24)</f>
        <v>Finanzen</v>
      </c>
      <c r="D24" s="57">
        <f>IF($B24="","",Stammdaten!$Q24)</f>
        <v>3</v>
      </c>
      <c r="E24" s="42" t="str">
        <f>IF($B24="","",Stammdaten!$R24)</f>
        <v>Teamzone Süd</v>
      </c>
      <c r="F24" s="58" t="str">
        <f>IF($B24="","",IF(COUNTIF(Stammdaten!$AD$10:$AD$30,F$8)&gt;0,"Feiertag",IFERROR(INDEX(Buchungen!$U$6:$U$605,MATCH($B24&amp;"|"&amp;F$8&amp;"|1",Buchungen!$S$6:$S$605,0)),"")&amp;IFERROR(" / "&amp;INDEX(Buchungen!$U$6:$U$605,MATCH($B24&amp;"|"&amp;F$8&amp;"|2",Buchungen!$S$6:$S$605,0)),"")))</f>
        <v/>
      </c>
      <c r="G24" s="58" t="str">
        <f>IF($B24="","",IF(COUNTIF(Stammdaten!$AD$10:$AD$30,G$8)&gt;0,"Feiertag",IFERROR(INDEX(Buchungen!$U$6:$U$605,MATCH($B24&amp;"|"&amp;G$8&amp;"|1",Buchungen!$S$6:$S$605,0)),"")&amp;IFERROR(" / "&amp;INDEX(Buchungen!$U$6:$U$605,MATCH($B24&amp;"|"&amp;G$8&amp;"|2",Buchungen!$S$6:$S$605,0)),"")))</f>
        <v>B-06</v>
      </c>
      <c r="H24" s="58" t="str">
        <f>IF($B24="","",IF(COUNTIF(Stammdaten!$AD$10:$AD$30,H$8)&gt;0,"Feiertag",IFERROR(INDEX(Buchungen!$U$6:$U$605,MATCH($B24&amp;"|"&amp;H$8&amp;"|1",Buchungen!$S$6:$S$605,0)),"")&amp;IFERROR(" / "&amp;INDEX(Buchungen!$U$6:$U$605,MATCH($B24&amp;"|"&amp;H$8&amp;"|2",Buchungen!$S$6:$S$605,0)),"")))</f>
        <v>B-08</v>
      </c>
      <c r="I24" s="58" t="str">
        <f>IF($B24="","",IF(COUNTIF(Stammdaten!$AD$10:$AD$30,I$8)&gt;0,"Feiertag",IFERROR(INDEX(Buchungen!$U$6:$U$605,MATCH($B24&amp;"|"&amp;I$8&amp;"|1",Buchungen!$S$6:$S$605,0)),"")&amp;IFERROR(" / "&amp;INDEX(Buchungen!$U$6:$U$605,MATCH($B24&amp;"|"&amp;I$8&amp;"|2",Buchungen!$S$6:$S$605,0)),"")))</f>
        <v>B-01</v>
      </c>
      <c r="J24" s="58" t="str">
        <f>IF($B24="","",IF(COUNTIF(Stammdaten!$AD$10:$AD$30,J$8)&gt;0,"Feiertag",IFERROR(INDEX(Buchungen!$U$6:$U$605,MATCH($B24&amp;"|"&amp;J$8&amp;"|1",Buchungen!$S$6:$S$605,0)),"")&amp;IFERROR(" / "&amp;INDEX(Buchungen!$U$6:$U$605,MATCH($B24&amp;"|"&amp;J$8&amp;"|2",Buchungen!$S$6:$S$605,0)),"")))</f>
        <v/>
      </c>
      <c r="K24" s="16"/>
      <c r="L24" s="58" t="str">
        <f>IF($B24="","",IF(COUNTIF(Stammdaten!$AD$10:$AD$30,L$8)&gt;0,"Feiertag",IFERROR(INDEX(Buchungen!$U$6:$U$605,MATCH($B24&amp;"|"&amp;L$8&amp;"|1",Buchungen!$S$6:$S$605,0)),"")&amp;IFERROR(" / "&amp;INDEX(Buchungen!$U$6:$U$605,MATCH($B24&amp;"|"&amp;L$8&amp;"|2",Buchungen!$S$6:$S$605,0)),"")))</f>
        <v>B-01</v>
      </c>
      <c r="M24" s="58" t="str">
        <f>IF($B24="","",IF(COUNTIF(Stammdaten!$AD$10:$AD$30,M$8)&gt;0,"Feiertag",IFERROR(INDEX(Buchungen!$U$6:$U$605,MATCH($B24&amp;"|"&amp;M$8&amp;"|1",Buchungen!$S$6:$S$605,0)),"")&amp;IFERROR(" / "&amp;INDEX(Buchungen!$U$6:$U$605,MATCH($B24&amp;"|"&amp;M$8&amp;"|2",Buchungen!$S$6:$S$605,0)),"")))</f>
        <v>B-08</v>
      </c>
      <c r="N24" s="58" t="str">
        <f>IF($B24="","",IF(COUNTIF(Stammdaten!$AD$10:$AD$30,N$8)&gt;0,"Feiertag",IFERROR(INDEX(Buchungen!$U$6:$U$605,MATCH($B24&amp;"|"&amp;N$8&amp;"|1",Buchungen!$S$6:$S$605,0)),"")&amp;IFERROR(" / "&amp;INDEX(Buchungen!$U$6:$U$605,MATCH($B24&amp;"|"&amp;N$8&amp;"|2",Buchungen!$S$6:$S$605,0)),"")))</f>
        <v/>
      </c>
      <c r="O24" s="58" t="str">
        <f>IF($B24="","",IF(COUNTIF(Stammdaten!$AD$10:$AD$30,O$8)&gt;0,"Feiertag",IFERROR(INDEX(Buchungen!$U$6:$U$605,MATCH($B24&amp;"|"&amp;O$8&amp;"|1",Buchungen!$S$6:$S$605,0)),"")&amp;IFERROR(" / "&amp;INDEX(Buchungen!$U$6:$U$605,MATCH($B24&amp;"|"&amp;O$8&amp;"|2",Buchungen!$S$6:$S$605,0)),"")))</f>
        <v>B-04</v>
      </c>
      <c r="P24" s="58" t="str">
        <f>IF($B24="","",IF(COUNTIF(Stammdaten!$AD$10:$AD$30,P$8)&gt;0,"Feiertag",IFERROR(INDEX(Buchungen!$U$6:$U$605,MATCH($B24&amp;"|"&amp;P$8&amp;"|1",Buchungen!$S$6:$S$605,0)),"")&amp;IFERROR(" / "&amp;INDEX(Buchungen!$U$6:$U$605,MATCH($B24&amp;"|"&amp;P$8&amp;"|2",Buchungen!$S$6:$S$605,0)),"")))</f>
        <v/>
      </c>
      <c r="R24" s="50">
        <f t="shared" si="0"/>
        <v>6</v>
      </c>
      <c r="S24" s="50">
        <f t="shared" si="1"/>
        <v>6</v>
      </c>
      <c r="T24" s="59">
        <f t="shared" si="2"/>
        <v>0</v>
      </c>
    </row>
    <row r="25" spans="2:20" ht="18.75" customHeight="1" x14ac:dyDescent="0.25">
      <c r="B25" s="56" t="str">
        <f>IF(Stammdaten!$N25="","",Stammdaten!$N25)</f>
        <v>Erik Neumann</v>
      </c>
      <c r="C25" s="41" t="str">
        <f>IF($B25="","",Stammdaten!$P25)</f>
        <v>Finanzen</v>
      </c>
      <c r="D25" s="57">
        <f>IF($B25="","",Stammdaten!$Q25)</f>
        <v>2</v>
      </c>
      <c r="E25" s="42" t="str">
        <f>IF($B25="","",Stammdaten!$R25)</f>
        <v>Teamzone Süd</v>
      </c>
      <c r="F25" s="58" t="str">
        <f>IF($B25="","",IF(COUNTIF(Stammdaten!$AD$10:$AD$30,F$8)&gt;0,"Feiertag",IFERROR(INDEX(Buchungen!$U$6:$U$605,MATCH($B25&amp;"|"&amp;F$8&amp;"|1",Buchungen!$S$6:$S$605,0)),"")&amp;IFERROR(" / "&amp;INDEX(Buchungen!$U$6:$U$605,MATCH($B25&amp;"|"&amp;F$8&amp;"|2",Buchungen!$S$6:$S$605,0)),"")))</f>
        <v/>
      </c>
      <c r="G25" s="58" t="str">
        <f>IF($B25="","",IF(COUNTIF(Stammdaten!$AD$10:$AD$30,G$8)&gt;0,"Feiertag",IFERROR(INDEX(Buchungen!$U$6:$U$605,MATCH($B25&amp;"|"&amp;G$8&amp;"|1",Buchungen!$S$6:$S$605,0)),"")&amp;IFERROR(" / "&amp;INDEX(Buchungen!$U$6:$U$605,MATCH($B25&amp;"|"&amp;G$8&amp;"|2",Buchungen!$S$6:$S$605,0)),"")))</f>
        <v>B-05</v>
      </c>
      <c r="H25" s="58" t="str">
        <f>IF($B25="","",IF(COUNTIF(Stammdaten!$AD$10:$AD$30,H$8)&gt;0,"Feiertag",IFERROR(INDEX(Buchungen!$U$6:$U$605,MATCH($B25&amp;"|"&amp;H$8&amp;"|1",Buchungen!$S$6:$S$605,0)),"")&amp;IFERROR(" / "&amp;INDEX(Buchungen!$U$6:$U$605,MATCH($B25&amp;"|"&amp;H$8&amp;"|2",Buchungen!$S$6:$S$605,0)),"")))</f>
        <v/>
      </c>
      <c r="I25" s="58" t="str">
        <f>IF($B25="","",IF(COUNTIF(Stammdaten!$AD$10:$AD$30,I$8)&gt;0,"Feiertag",IFERROR(INDEX(Buchungen!$U$6:$U$605,MATCH($B25&amp;"|"&amp;I$8&amp;"|1",Buchungen!$S$6:$S$605,0)),"")&amp;IFERROR(" / "&amp;INDEX(Buchungen!$U$6:$U$605,MATCH($B25&amp;"|"&amp;I$8&amp;"|2",Buchungen!$S$6:$S$605,0)),"")))</f>
        <v>B-08</v>
      </c>
      <c r="J25" s="58" t="str">
        <f>IF($B25="","",IF(COUNTIF(Stammdaten!$AD$10:$AD$30,J$8)&gt;0,"Feiertag",IFERROR(INDEX(Buchungen!$U$6:$U$605,MATCH($B25&amp;"|"&amp;J$8&amp;"|1",Buchungen!$S$6:$S$605,0)),"")&amp;IFERROR(" / "&amp;INDEX(Buchungen!$U$6:$U$605,MATCH($B25&amp;"|"&amp;J$8&amp;"|2",Buchungen!$S$6:$S$605,0)),"")))</f>
        <v/>
      </c>
      <c r="K25" s="16"/>
      <c r="L25" s="58" t="str">
        <f>IF($B25="","",IF(COUNTIF(Stammdaten!$AD$10:$AD$30,L$8)&gt;0,"Feiertag",IFERROR(INDEX(Buchungen!$U$6:$U$605,MATCH($B25&amp;"|"&amp;L$8&amp;"|1",Buchungen!$S$6:$S$605,0)),"")&amp;IFERROR(" / "&amp;INDEX(Buchungen!$U$6:$U$605,MATCH($B25&amp;"|"&amp;L$8&amp;"|2",Buchungen!$S$6:$S$605,0)),"")))</f>
        <v/>
      </c>
      <c r="M25" s="58" t="str">
        <f>IF($B25="","",IF(COUNTIF(Stammdaten!$AD$10:$AD$30,M$8)&gt;0,"Feiertag",IFERROR(INDEX(Buchungen!$U$6:$U$605,MATCH($B25&amp;"|"&amp;M$8&amp;"|1",Buchungen!$S$6:$S$605,0)),"")&amp;IFERROR(" / "&amp;INDEX(Buchungen!$U$6:$U$605,MATCH($B25&amp;"|"&amp;M$8&amp;"|2",Buchungen!$S$6:$S$605,0)),"")))</f>
        <v/>
      </c>
      <c r="N25" s="58" t="str">
        <f>IF($B25="","",IF(COUNTIF(Stammdaten!$AD$10:$AD$30,N$8)&gt;0,"Feiertag",IFERROR(INDEX(Buchungen!$U$6:$U$605,MATCH($B25&amp;"|"&amp;N$8&amp;"|1",Buchungen!$S$6:$S$605,0)),"")&amp;IFERROR(" / "&amp;INDEX(Buchungen!$U$6:$U$605,MATCH($B25&amp;"|"&amp;N$8&amp;"|2",Buchungen!$S$6:$S$605,0)),"")))</f>
        <v/>
      </c>
      <c r="O25" s="58" t="str">
        <f>IF($B25="","",IF(COUNTIF(Stammdaten!$AD$10:$AD$30,O$8)&gt;0,"Feiertag",IFERROR(INDEX(Buchungen!$U$6:$U$605,MATCH($B25&amp;"|"&amp;O$8&amp;"|1",Buchungen!$S$6:$S$605,0)),"")&amp;IFERROR(" / "&amp;INDEX(Buchungen!$U$6:$U$605,MATCH($B25&amp;"|"&amp;O$8&amp;"|2",Buchungen!$S$6:$S$605,0)),"")))</f>
        <v>B-06</v>
      </c>
      <c r="P25" s="58" t="str">
        <f>IF($B25="","",IF(COUNTIF(Stammdaten!$AD$10:$AD$30,P$8)&gt;0,"Feiertag",IFERROR(INDEX(Buchungen!$U$6:$U$605,MATCH($B25&amp;"|"&amp;P$8&amp;"|1",Buchungen!$S$6:$S$605,0)),"")&amp;IFERROR(" / "&amp;INDEX(Buchungen!$U$6:$U$605,MATCH($B25&amp;"|"&amp;P$8&amp;"|2",Buchungen!$S$6:$S$605,0)),"")))</f>
        <v>B-01</v>
      </c>
      <c r="R25" s="50">
        <f t="shared" si="0"/>
        <v>4</v>
      </c>
      <c r="S25" s="50">
        <f t="shared" si="1"/>
        <v>4</v>
      </c>
      <c r="T25" s="59">
        <f t="shared" si="2"/>
        <v>0</v>
      </c>
    </row>
    <row r="26" spans="2:20" ht="18.75" customHeight="1" x14ac:dyDescent="0.25">
      <c r="B26" s="56" t="str">
        <f>IF(Stammdaten!$N26="","",Stammdaten!$N26)</f>
        <v>Sarah Böhm</v>
      </c>
      <c r="C26" s="41" t="str">
        <f>IF($B26="","",Stammdaten!$P26)</f>
        <v>Finanzen</v>
      </c>
      <c r="D26" s="57">
        <f>IF($B26="","",Stammdaten!$Q26)</f>
        <v>3</v>
      </c>
      <c r="E26" s="42" t="str">
        <f>IF($B26="","",Stammdaten!$R26)</f>
        <v>Teamzone Süd</v>
      </c>
      <c r="F26" s="58" t="str">
        <f>IF($B26="","",IF(COUNTIF(Stammdaten!$AD$10:$AD$30,F$8)&gt;0,"Feiertag",IFERROR(INDEX(Buchungen!$U$6:$U$605,MATCH($B26&amp;"|"&amp;F$8&amp;"|1",Buchungen!$S$6:$S$605,0)),"")&amp;IFERROR(" / "&amp;INDEX(Buchungen!$U$6:$U$605,MATCH($B26&amp;"|"&amp;F$8&amp;"|2",Buchungen!$S$6:$S$605,0)),"")))</f>
        <v>B-03</v>
      </c>
      <c r="G26" s="58" t="str">
        <f>IF($B26="","",IF(COUNTIF(Stammdaten!$AD$10:$AD$30,G$8)&gt;0,"Feiertag",IFERROR(INDEX(Buchungen!$U$6:$U$605,MATCH($B26&amp;"|"&amp;G$8&amp;"|1",Buchungen!$S$6:$S$605,0)),"")&amp;IFERROR(" / "&amp;INDEX(Buchungen!$U$6:$U$605,MATCH($B26&amp;"|"&amp;G$8&amp;"|2",Buchungen!$S$6:$S$605,0)),"")))</f>
        <v/>
      </c>
      <c r="H26" s="58" t="str">
        <f>IF($B26="","",IF(COUNTIF(Stammdaten!$AD$10:$AD$30,H$8)&gt;0,"Feiertag",IFERROR(INDEX(Buchungen!$U$6:$U$605,MATCH($B26&amp;"|"&amp;H$8&amp;"|1",Buchungen!$S$6:$S$605,0)),"")&amp;IFERROR(" / "&amp;INDEX(Buchungen!$U$6:$U$605,MATCH($B26&amp;"|"&amp;H$8&amp;"|2",Buchungen!$S$6:$S$605,0)),"")))</f>
        <v>B-01</v>
      </c>
      <c r="I26" s="58" t="str">
        <f>IF($B26="","",IF(COUNTIF(Stammdaten!$AD$10:$AD$30,I$8)&gt;0,"Feiertag",IFERROR(INDEX(Buchungen!$U$6:$U$605,MATCH($B26&amp;"|"&amp;I$8&amp;"|1",Buchungen!$S$6:$S$605,0)),"")&amp;IFERROR(" / "&amp;INDEX(Buchungen!$U$6:$U$605,MATCH($B26&amp;"|"&amp;I$8&amp;"|2",Buchungen!$S$6:$S$605,0)),"")))</f>
        <v/>
      </c>
      <c r="J26" s="58" t="str">
        <f>IF($B26="","",IF(COUNTIF(Stammdaten!$AD$10:$AD$30,J$8)&gt;0,"Feiertag",IFERROR(INDEX(Buchungen!$U$6:$U$605,MATCH($B26&amp;"|"&amp;J$8&amp;"|1",Buchungen!$S$6:$S$605,0)),"")&amp;IFERROR(" / "&amp;INDEX(Buchungen!$U$6:$U$605,MATCH($B26&amp;"|"&amp;J$8&amp;"|2",Buchungen!$S$6:$S$605,0)),"")))</f>
        <v>B-04</v>
      </c>
      <c r="K26" s="16"/>
      <c r="L26" s="58" t="str">
        <f>IF($B26="","",IF(COUNTIF(Stammdaten!$AD$10:$AD$30,L$8)&gt;0,"Feiertag",IFERROR(INDEX(Buchungen!$U$6:$U$605,MATCH($B26&amp;"|"&amp;L$8&amp;"|1",Buchungen!$S$6:$S$605,0)),"")&amp;IFERROR(" / "&amp;INDEX(Buchungen!$U$6:$U$605,MATCH($B26&amp;"|"&amp;L$8&amp;"|2",Buchungen!$S$6:$S$605,0)),"")))</f>
        <v>B-02 ?</v>
      </c>
      <c r="M26" s="58" t="str">
        <f>IF($B26="","",IF(COUNTIF(Stammdaten!$AD$10:$AD$30,M$8)&gt;0,"Feiertag",IFERROR(INDEX(Buchungen!$U$6:$U$605,MATCH($B26&amp;"|"&amp;M$8&amp;"|1",Buchungen!$S$6:$S$605,0)),"")&amp;IFERROR(" / "&amp;INDEX(Buchungen!$U$6:$U$605,MATCH($B26&amp;"|"&amp;M$8&amp;"|2",Buchungen!$S$6:$S$605,0)),"")))</f>
        <v/>
      </c>
      <c r="N26" s="58" t="str">
        <f>IF($B26="","",IF(COUNTIF(Stammdaten!$AD$10:$AD$30,N$8)&gt;0,"Feiertag",IFERROR(INDEX(Buchungen!$U$6:$U$605,MATCH($B26&amp;"|"&amp;N$8&amp;"|1",Buchungen!$S$6:$S$605,0)),"")&amp;IFERROR(" / "&amp;INDEX(Buchungen!$U$6:$U$605,MATCH($B26&amp;"|"&amp;N$8&amp;"|2",Buchungen!$S$6:$S$605,0)),"")))</f>
        <v>B-01</v>
      </c>
      <c r="O26" s="58" t="str">
        <f>IF($B26="","",IF(COUNTIF(Stammdaten!$AD$10:$AD$30,O$8)&gt;0,"Feiertag",IFERROR(INDEX(Buchungen!$U$6:$U$605,MATCH($B26&amp;"|"&amp;O$8&amp;"|1",Buchungen!$S$6:$S$605,0)),"")&amp;IFERROR(" / "&amp;INDEX(Buchungen!$U$6:$U$605,MATCH($B26&amp;"|"&amp;O$8&amp;"|2",Buchungen!$S$6:$S$605,0)),"")))</f>
        <v>B-03 ?</v>
      </c>
      <c r="P26" s="58" t="str">
        <f>IF($B26="","",IF(COUNTIF(Stammdaten!$AD$10:$AD$30,P$8)&gt;0,"Feiertag",IFERROR(INDEX(Buchungen!$U$6:$U$605,MATCH($B26&amp;"|"&amp;P$8&amp;"|1",Buchungen!$S$6:$S$605,0)),"")&amp;IFERROR(" / "&amp;INDEX(Buchungen!$U$6:$U$605,MATCH($B26&amp;"|"&amp;P$8&amp;"|2",Buchungen!$S$6:$S$605,0)),"")))</f>
        <v/>
      </c>
      <c r="R26" s="50">
        <f t="shared" si="0"/>
        <v>6</v>
      </c>
      <c r="S26" s="50">
        <f t="shared" si="1"/>
        <v>6</v>
      </c>
      <c r="T26" s="59">
        <f t="shared" si="2"/>
        <v>0</v>
      </c>
    </row>
    <row r="27" spans="2:20" ht="18.75" customHeight="1" x14ac:dyDescent="0.25">
      <c r="B27" s="56" t="str">
        <f>IF(Stammdaten!$N27="","",Stammdaten!$N27)</f>
        <v>Niklas Wolf</v>
      </c>
      <c r="C27" s="41" t="str">
        <f>IF($B27="","",Stammdaten!$P27)</f>
        <v>Personal</v>
      </c>
      <c r="D27" s="57">
        <f>IF($B27="","",Stammdaten!$Q27)</f>
        <v>3</v>
      </c>
      <c r="E27" s="42" t="str">
        <f>IF($B27="","",Stammdaten!$R27)</f>
        <v>Teamzone Süd</v>
      </c>
      <c r="F27" s="58" t="str">
        <f>IF($B27="","",IF(COUNTIF(Stammdaten!$AD$10:$AD$30,F$8)&gt;0,"Feiertag",IFERROR(INDEX(Buchungen!$U$6:$U$605,MATCH($B27&amp;"|"&amp;F$8&amp;"|1",Buchungen!$S$6:$S$605,0)),"")&amp;IFERROR(" / "&amp;INDEX(Buchungen!$U$6:$U$605,MATCH($B27&amp;"|"&amp;F$8&amp;"|2",Buchungen!$S$6:$S$605,0)),"")))</f>
        <v/>
      </c>
      <c r="G27" s="58" t="str">
        <f>IF($B27="","",IF(COUNTIF(Stammdaten!$AD$10:$AD$30,G$8)&gt;0,"Feiertag",IFERROR(INDEX(Buchungen!$U$6:$U$605,MATCH($B27&amp;"|"&amp;G$8&amp;"|1",Buchungen!$S$6:$S$605,0)),"")&amp;IFERROR(" / "&amp;INDEX(Buchungen!$U$6:$U$605,MATCH($B27&amp;"|"&amp;G$8&amp;"|2",Buchungen!$S$6:$S$605,0)),"")))</f>
        <v>B-03</v>
      </c>
      <c r="H27" s="58" t="str">
        <f>IF($B27="","",IF(COUNTIF(Stammdaten!$AD$10:$AD$30,H$8)&gt;0,"Feiertag",IFERROR(INDEX(Buchungen!$U$6:$U$605,MATCH($B27&amp;"|"&amp;H$8&amp;"|1",Buchungen!$S$6:$S$605,0)),"")&amp;IFERROR(" / "&amp;INDEX(Buchungen!$U$6:$U$605,MATCH($B27&amp;"|"&amp;H$8&amp;"|2",Buchungen!$S$6:$S$605,0)),"")))</f>
        <v>B-02</v>
      </c>
      <c r="I27" s="58" t="str">
        <f>IF($B27="","",IF(COUNTIF(Stammdaten!$AD$10:$AD$30,I$8)&gt;0,"Feiertag",IFERROR(INDEX(Buchungen!$U$6:$U$605,MATCH($B27&amp;"|"&amp;I$8&amp;"|1",Buchungen!$S$6:$S$605,0)),"")&amp;IFERROR(" / "&amp;INDEX(Buchungen!$U$6:$U$605,MATCH($B27&amp;"|"&amp;I$8&amp;"|2",Buchungen!$S$6:$S$605,0)),"")))</f>
        <v>B-05</v>
      </c>
      <c r="J27" s="58" t="str">
        <f>IF($B27="","",IF(COUNTIF(Stammdaten!$AD$10:$AD$30,J$8)&gt;0,"Feiertag",IFERROR(INDEX(Buchungen!$U$6:$U$605,MATCH($B27&amp;"|"&amp;J$8&amp;"|1",Buchungen!$S$6:$S$605,0)),"")&amp;IFERROR(" / "&amp;INDEX(Buchungen!$U$6:$U$605,MATCH($B27&amp;"|"&amp;J$8&amp;"|2",Buchungen!$S$6:$S$605,0)),"")))</f>
        <v/>
      </c>
      <c r="K27" s="16"/>
      <c r="L27" s="58" t="str">
        <f>IF($B27="","",IF(COUNTIF(Stammdaten!$AD$10:$AD$30,L$8)&gt;0,"Feiertag",IFERROR(INDEX(Buchungen!$U$6:$U$605,MATCH($B27&amp;"|"&amp;L$8&amp;"|1",Buchungen!$S$6:$S$605,0)),"")&amp;IFERROR(" / "&amp;INDEX(Buchungen!$U$6:$U$605,MATCH($B27&amp;"|"&amp;L$8&amp;"|2",Buchungen!$S$6:$S$605,0)),"")))</f>
        <v>B-05</v>
      </c>
      <c r="M27" s="58" t="str">
        <f>IF($B27="","",IF(COUNTIF(Stammdaten!$AD$10:$AD$30,M$8)&gt;0,"Feiertag",IFERROR(INDEX(Buchungen!$U$6:$U$605,MATCH($B27&amp;"|"&amp;M$8&amp;"|1",Buchungen!$S$6:$S$605,0)),"")&amp;IFERROR(" / "&amp;INDEX(Buchungen!$U$6:$U$605,MATCH($B27&amp;"|"&amp;M$8&amp;"|2",Buchungen!$S$6:$S$605,0)),"")))</f>
        <v/>
      </c>
      <c r="N27" s="58" t="str">
        <f>IF($B27="","",IF(COUNTIF(Stammdaten!$AD$10:$AD$30,N$8)&gt;0,"Feiertag",IFERROR(INDEX(Buchungen!$U$6:$U$605,MATCH($B27&amp;"|"&amp;N$8&amp;"|1",Buchungen!$S$6:$S$605,0)),"")&amp;IFERROR(" / "&amp;INDEX(Buchungen!$U$6:$U$605,MATCH($B27&amp;"|"&amp;N$8&amp;"|2",Buchungen!$S$6:$S$605,0)),"")))</f>
        <v/>
      </c>
      <c r="O27" s="58" t="str">
        <f>IF($B27="","",IF(COUNTIF(Stammdaten!$AD$10:$AD$30,O$8)&gt;0,"Feiertag",IFERROR(INDEX(Buchungen!$U$6:$U$605,MATCH($B27&amp;"|"&amp;O$8&amp;"|1",Buchungen!$S$6:$S$605,0)),"")&amp;IFERROR(" / "&amp;INDEX(Buchungen!$U$6:$U$605,MATCH($B27&amp;"|"&amp;O$8&amp;"|2",Buchungen!$S$6:$S$605,0)),"")))</f>
        <v>B-05 ?</v>
      </c>
      <c r="P27" s="58" t="str">
        <f>IF($B27="","",IF(COUNTIF(Stammdaten!$AD$10:$AD$30,P$8)&gt;0,"Feiertag",IFERROR(INDEX(Buchungen!$U$6:$U$605,MATCH($B27&amp;"|"&amp;P$8&amp;"|1",Buchungen!$S$6:$S$605,0)),"")&amp;IFERROR(" / "&amp;INDEX(Buchungen!$U$6:$U$605,MATCH($B27&amp;"|"&amp;P$8&amp;"|2",Buchungen!$S$6:$S$605,0)),"")))</f>
        <v>B-05 ?</v>
      </c>
      <c r="R27" s="50">
        <f t="shared" si="0"/>
        <v>6</v>
      </c>
      <c r="S27" s="50">
        <f t="shared" si="1"/>
        <v>6</v>
      </c>
      <c r="T27" s="59">
        <f t="shared" si="2"/>
        <v>0</v>
      </c>
    </row>
    <row r="28" spans="2:20" ht="18.75" customHeight="1" x14ac:dyDescent="0.25">
      <c r="B28" s="56" t="str">
        <f>IF(Stammdaten!$N28="","",Stammdaten!$N28)</f>
        <v>Elif Yilmaz</v>
      </c>
      <c r="C28" s="41" t="str">
        <f>IF($B28="","",Stammdaten!$P28)</f>
        <v>Personal</v>
      </c>
      <c r="D28" s="57">
        <f>IF($B28="","",Stammdaten!$Q28)</f>
        <v>2</v>
      </c>
      <c r="E28" s="42" t="str">
        <f>IF($B28="","",Stammdaten!$R28)</f>
        <v>Teamzone Süd</v>
      </c>
      <c r="F28" s="58" t="str">
        <f>IF($B28="","",IF(COUNTIF(Stammdaten!$AD$10:$AD$30,F$8)&gt;0,"Feiertag",IFERROR(INDEX(Buchungen!$U$6:$U$605,MATCH($B28&amp;"|"&amp;F$8&amp;"|1",Buchungen!$S$6:$S$605,0)),"")&amp;IFERROR(" / "&amp;INDEX(Buchungen!$U$6:$U$605,MATCH($B28&amp;"|"&amp;F$8&amp;"|2",Buchungen!$S$6:$S$605,0)),"")))</f>
        <v/>
      </c>
      <c r="G28" s="58" t="str">
        <f>IF($B28="","",IF(COUNTIF(Stammdaten!$AD$10:$AD$30,G$8)&gt;0,"Feiertag",IFERROR(INDEX(Buchungen!$U$6:$U$605,MATCH($B28&amp;"|"&amp;G$8&amp;"|1",Buchungen!$S$6:$S$605,0)),"")&amp;IFERROR(" / "&amp;INDEX(Buchungen!$U$6:$U$605,MATCH($B28&amp;"|"&amp;G$8&amp;"|2",Buchungen!$S$6:$S$605,0)),"")))</f>
        <v>B-02</v>
      </c>
      <c r="H28" s="58" t="str">
        <f>IF($B28="","",IF(COUNTIF(Stammdaten!$AD$10:$AD$30,H$8)&gt;0,"Feiertag",IFERROR(INDEX(Buchungen!$U$6:$U$605,MATCH($B28&amp;"|"&amp;H$8&amp;"|1",Buchungen!$S$6:$S$605,0)),"")&amp;IFERROR(" / "&amp;INDEX(Buchungen!$U$6:$U$605,MATCH($B28&amp;"|"&amp;H$8&amp;"|2",Buchungen!$S$6:$S$605,0)),"")))</f>
        <v/>
      </c>
      <c r="I28" s="58" t="str">
        <f>IF($B28="","",IF(COUNTIF(Stammdaten!$AD$10:$AD$30,I$8)&gt;0,"Feiertag",IFERROR(INDEX(Buchungen!$U$6:$U$605,MATCH($B28&amp;"|"&amp;I$8&amp;"|1",Buchungen!$S$6:$S$605,0)),"")&amp;IFERROR(" / "&amp;INDEX(Buchungen!$U$6:$U$605,MATCH($B28&amp;"|"&amp;I$8&amp;"|2",Buchungen!$S$6:$S$605,0)),"")))</f>
        <v>B-03</v>
      </c>
      <c r="J28" s="58" t="str">
        <f>IF($B28="","",IF(COUNTIF(Stammdaten!$AD$10:$AD$30,J$8)&gt;0,"Feiertag",IFERROR(INDEX(Buchungen!$U$6:$U$605,MATCH($B28&amp;"|"&amp;J$8&amp;"|1",Buchungen!$S$6:$S$605,0)),"")&amp;IFERROR(" / "&amp;INDEX(Buchungen!$U$6:$U$605,MATCH($B28&amp;"|"&amp;J$8&amp;"|2",Buchungen!$S$6:$S$605,0)),"")))</f>
        <v>B-12 (NM)</v>
      </c>
      <c r="K28" s="16"/>
      <c r="L28" s="58" t="str">
        <f>IF($B28="","",IF(COUNTIF(Stammdaten!$AD$10:$AD$30,L$8)&gt;0,"Feiertag",IFERROR(INDEX(Buchungen!$U$6:$U$605,MATCH($B28&amp;"|"&amp;L$8&amp;"|1",Buchungen!$S$6:$S$605,0)),"")&amp;IFERROR(" / "&amp;INDEX(Buchungen!$U$6:$U$605,MATCH($B28&amp;"|"&amp;L$8&amp;"|2",Buchungen!$S$6:$S$605,0)),"")))</f>
        <v/>
      </c>
      <c r="M28" s="58" t="str">
        <f>IF($B28="","",IF(COUNTIF(Stammdaten!$AD$10:$AD$30,M$8)&gt;0,"Feiertag",IFERROR(INDEX(Buchungen!$U$6:$U$605,MATCH($B28&amp;"|"&amp;M$8&amp;"|1",Buchungen!$S$6:$S$605,0)),"")&amp;IFERROR(" / "&amp;INDEX(Buchungen!$U$6:$U$605,MATCH($B28&amp;"|"&amp;M$8&amp;"|2",Buchungen!$S$6:$S$605,0)),"")))</f>
        <v>B-05</v>
      </c>
      <c r="N28" s="58" t="str">
        <f>IF($B28="","",IF(COUNTIF(Stammdaten!$AD$10:$AD$30,N$8)&gt;0,"Feiertag",IFERROR(INDEX(Buchungen!$U$6:$U$605,MATCH($B28&amp;"|"&amp;N$8&amp;"|1",Buchungen!$S$6:$S$605,0)),"")&amp;IFERROR(" / "&amp;INDEX(Buchungen!$U$6:$U$605,MATCH($B28&amp;"|"&amp;N$8&amp;"|2",Buchungen!$S$6:$S$605,0)),"")))</f>
        <v/>
      </c>
      <c r="O28" s="58" t="str">
        <f>IF($B28="","",IF(COUNTIF(Stammdaten!$AD$10:$AD$30,O$8)&gt;0,"Feiertag",IFERROR(INDEX(Buchungen!$U$6:$U$605,MATCH($B28&amp;"|"&amp;O$8&amp;"|1",Buchungen!$S$6:$S$605,0)),"")&amp;IFERROR(" / "&amp;INDEX(Buchungen!$U$6:$U$605,MATCH($B28&amp;"|"&amp;O$8&amp;"|2",Buchungen!$S$6:$S$605,0)),"")))</f>
        <v>B-08</v>
      </c>
      <c r="P28" s="58" t="str">
        <f>IF($B28="","",IF(COUNTIF(Stammdaten!$AD$10:$AD$30,P$8)&gt;0,"Feiertag",IFERROR(INDEX(Buchungen!$U$6:$U$605,MATCH($B28&amp;"|"&amp;P$8&amp;"|1",Buchungen!$S$6:$S$605,0)),"")&amp;IFERROR(" / "&amp;INDEX(Buchungen!$U$6:$U$605,MATCH($B28&amp;"|"&amp;P$8&amp;"|2",Buchungen!$S$6:$S$605,0)),"")))</f>
        <v/>
      </c>
      <c r="R28" s="50">
        <f t="shared" si="0"/>
        <v>5</v>
      </c>
      <c r="S28" s="50">
        <f t="shared" si="1"/>
        <v>4</v>
      </c>
      <c r="T28" s="59">
        <f t="shared" si="2"/>
        <v>1</v>
      </c>
    </row>
    <row r="29" spans="2:20" ht="18.75" customHeight="1" x14ac:dyDescent="0.25">
      <c r="B29" s="56" t="str">
        <f>IF(Stammdaten!$N29="","",Stammdaten!$N29)</f>
        <v>Moritz Keller</v>
      </c>
      <c r="C29" s="41" t="str">
        <f>IF($B29="","",Stammdaten!$P29)</f>
        <v>Personal</v>
      </c>
      <c r="D29" s="57">
        <f>IF($B29="","",Stammdaten!$Q29)</f>
        <v>3</v>
      </c>
      <c r="E29" s="42" t="str">
        <f>IF($B29="","",Stammdaten!$R29)</f>
        <v>Teamzone Süd</v>
      </c>
      <c r="F29" s="58" t="str">
        <f>IF($B29="","",IF(COUNTIF(Stammdaten!$AD$10:$AD$30,F$8)&gt;0,"Feiertag",IFERROR(INDEX(Buchungen!$U$6:$U$605,MATCH($B29&amp;"|"&amp;F$8&amp;"|1",Buchungen!$S$6:$S$605,0)),"")&amp;IFERROR(" / "&amp;INDEX(Buchungen!$U$6:$U$605,MATCH($B29&amp;"|"&amp;F$8&amp;"|2",Buchungen!$S$6:$S$605,0)),"")))</f>
        <v>B-06</v>
      </c>
      <c r="G29" s="58" t="str">
        <f>IF($B29="","",IF(COUNTIF(Stammdaten!$AD$10:$AD$30,G$8)&gt;0,"Feiertag",IFERROR(INDEX(Buchungen!$U$6:$U$605,MATCH($B29&amp;"|"&amp;G$8&amp;"|1",Buchungen!$S$6:$S$605,0)),"")&amp;IFERROR(" / "&amp;INDEX(Buchungen!$U$6:$U$605,MATCH($B29&amp;"|"&amp;G$8&amp;"|2",Buchungen!$S$6:$S$605,0)),"")))</f>
        <v>B-01</v>
      </c>
      <c r="H29" s="58" t="str">
        <f>IF($B29="","",IF(COUNTIF(Stammdaten!$AD$10:$AD$30,H$8)&gt;0,"Feiertag",IFERROR(INDEX(Buchungen!$U$6:$U$605,MATCH($B29&amp;"|"&amp;H$8&amp;"|1",Buchungen!$S$6:$S$605,0)),"")&amp;IFERROR(" / "&amp;INDEX(Buchungen!$U$6:$U$605,MATCH($B29&amp;"|"&amp;H$8&amp;"|2",Buchungen!$S$6:$S$605,0)),"")))</f>
        <v/>
      </c>
      <c r="I29" s="58" t="str">
        <f>IF($B29="","",IF(COUNTIF(Stammdaten!$AD$10:$AD$30,I$8)&gt;0,"Feiertag",IFERROR(INDEX(Buchungen!$U$6:$U$605,MATCH($B29&amp;"|"&amp;I$8&amp;"|1",Buchungen!$S$6:$S$605,0)),"")&amp;IFERROR(" / "&amp;INDEX(Buchungen!$U$6:$U$605,MATCH($B29&amp;"|"&amp;I$8&amp;"|2",Buchungen!$S$6:$S$605,0)),"")))</f>
        <v>B-06</v>
      </c>
      <c r="J29" s="58" t="str">
        <f>IF($B29="","",IF(COUNTIF(Stammdaten!$AD$10:$AD$30,J$8)&gt;0,"Feiertag",IFERROR(INDEX(Buchungen!$U$6:$U$605,MATCH($B29&amp;"|"&amp;J$8&amp;"|1",Buchungen!$S$6:$S$605,0)),"")&amp;IFERROR(" / "&amp;INDEX(Buchungen!$U$6:$U$605,MATCH($B29&amp;"|"&amp;J$8&amp;"|2",Buchungen!$S$6:$S$605,0)),"")))</f>
        <v/>
      </c>
      <c r="K29" s="16"/>
      <c r="L29" s="58" t="str">
        <f>IF($B29="","",IF(COUNTIF(Stammdaten!$AD$10:$AD$30,L$8)&gt;0,"Feiertag",IFERROR(INDEX(Buchungen!$U$6:$U$605,MATCH($B29&amp;"|"&amp;L$8&amp;"|1",Buchungen!$S$6:$S$605,0)),"")&amp;IFERROR(" / "&amp;INDEX(Buchungen!$U$6:$U$605,MATCH($B29&amp;"|"&amp;L$8&amp;"|2",Buchungen!$S$6:$S$605,0)),"")))</f>
        <v>B-06</v>
      </c>
      <c r="M29" s="58" t="str">
        <f>IF($B29="","",IF(COUNTIF(Stammdaten!$AD$10:$AD$30,M$8)&gt;0,"Feiertag",IFERROR(INDEX(Buchungen!$U$6:$U$605,MATCH($B29&amp;"|"&amp;M$8&amp;"|1",Buchungen!$S$6:$S$605,0)),"")&amp;IFERROR(" / "&amp;INDEX(Buchungen!$U$6:$U$605,MATCH($B29&amp;"|"&amp;M$8&amp;"|2",Buchungen!$S$6:$S$605,0)),"")))</f>
        <v>B-04</v>
      </c>
      <c r="N29" s="58" t="str">
        <f>IF($B29="","",IF(COUNTIF(Stammdaten!$AD$10:$AD$30,N$8)&gt;0,"Feiertag",IFERROR(INDEX(Buchungen!$U$6:$U$605,MATCH($B29&amp;"|"&amp;N$8&amp;"|1",Buchungen!$S$6:$S$605,0)),"")&amp;IFERROR(" / "&amp;INDEX(Buchungen!$U$6:$U$605,MATCH($B29&amp;"|"&amp;N$8&amp;"|2",Buchungen!$S$6:$S$605,0)),"")))</f>
        <v>B-07 ?</v>
      </c>
      <c r="O29" s="58" t="str">
        <f>IF($B29="","",IF(COUNTIF(Stammdaten!$AD$10:$AD$30,O$8)&gt;0,"Feiertag",IFERROR(INDEX(Buchungen!$U$6:$U$605,MATCH($B29&amp;"|"&amp;O$8&amp;"|1",Buchungen!$S$6:$S$605,0)),"")&amp;IFERROR(" / "&amp;INDEX(Buchungen!$U$6:$U$605,MATCH($B29&amp;"|"&amp;O$8&amp;"|2",Buchungen!$S$6:$S$605,0)),"")))</f>
        <v>A-03</v>
      </c>
      <c r="P29" s="58" t="str">
        <f>IF($B29="","",IF(COUNTIF(Stammdaten!$AD$10:$AD$30,P$8)&gt;0,"Feiertag",IFERROR(INDEX(Buchungen!$U$6:$U$605,MATCH($B29&amp;"|"&amp;P$8&amp;"|1",Buchungen!$S$6:$S$605,0)),"")&amp;IFERROR(" / "&amp;INDEX(Buchungen!$U$6:$U$605,MATCH($B29&amp;"|"&amp;P$8&amp;"|2",Buchungen!$S$6:$S$605,0)),"")))</f>
        <v/>
      </c>
      <c r="R29" s="50">
        <f t="shared" si="0"/>
        <v>7</v>
      </c>
      <c r="S29" s="50">
        <f t="shared" si="1"/>
        <v>6</v>
      </c>
      <c r="T29" s="59">
        <f t="shared" si="2"/>
        <v>1</v>
      </c>
    </row>
    <row r="30" spans="2:20" ht="18.75" customHeight="1" x14ac:dyDescent="0.25">
      <c r="B30" s="56" t="str">
        <f>IF(Stammdaten!$N30="","",Stammdaten!$N30)</f>
        <v>Anna Lorenz</v>
      </c>
      <c r="C30" s="41" t="str">
        <f>IF($B30="","",Stammdaten!$P30)</f>
        <v>Personal</v>
      </c>
      <c r="D30" s="57">
        <f>IF($B30="","",Stammdaten!$Q30)</f>
        <v>2</v>
      </c>
      <c r="E30" s="42" t="str">
        <f>IF($B30="","",Stammdaten!$R30)</f>
        <v>Teamzone Süd</v>
      </c>
      <c r="F30" s="58" t="str">
        <f>IF($B30="","",IF(COUNTIF(Stammdaten!$AD$10:$AD$30,F$8)&gt;0,"Feiertag",IFERROR(INDEX(Buchungen!$U$6:$U$605,MATCH($B30&amp;"|"&amp;F$8&amp;"|1",Buchungen!$S$6:$S$605,0)),"")&amp;IFERROR(" / "&amp;INDEX(Buchungen!$U$6:$U$605,MATCH($B30&amp;"|"&amp;F$8&amp;"|2",Buchungen!$S$6:$S$605,0)),"")))</f>
        <v/>
      </c>
      <c r="G30" s="58" t="str">
        <f>IF($B30="","",IF(COUNTIF(Stammdaten!$AD$10:$AD$30,G$8)&gt;0,"Feiertag",IFERROR(INDEX(Buchungen!$U$6:$U$605,MATCH($B30&amp;"|"&amp;G$8&amp;"|1",Buchungen!$S$6:$S$605,0)),"")&amp;IFERROR(" / "&amp;INDEX(Buchungen!$U$6:$U$605,MATCH($B30&amp;"|"&amp;G$8&amp;"|2",Buchungen!$S$6:$S$605,0)),"")))</f>
        <v/>
      </c>
      <c r="H30" s="58" t="str">
        <f>IF($B30="","",IF(COUNTIF(Stammdaten!$AD$10:$AD$30,H$8)&gt;0,"Feiertag",IFERROR(INDEX(Buchungen!$U$6:$U$605,MATCH($B30&amp;"|"&amp;H$8&amp;"|1",Buchungen!$S$6:$S$605,0)),"")&amp;IFERROR(" / "&amp;INDEX(Buchungen!$U$6:$U$605,MATCH($B30&amp;"|"&amp;H$8&amp;"|2",Buchungen!$S$6:$S$605,0)),"")))</f>
        <v>B-05</v>
      </c>
      <c r="I30" s="58" t="str">
        <f>IF($B30="","",IF(COUNTIF(Stammdaten!$AD$10:$AD$30,I$8)&gt;0,"Feiertag",IFERROR(INDEX(Buchungen!$U$6:$U$605,MATCH($B30&amp;"|"&amp;I$8&amp;"|1",Buchungen!$S$6:$S$605,0)),"")&amp;IFERROR(" / "&amp;INDEX(Buchungen!$U$6:$U$605,MATCH($B30&amp;"|"&amp;I$8&amp;"|2",Buchungen!$S$6:$S$605,0)),"")))</f>
        <v/>
      </c>
      <c r="J30" s="58" t="str">
        <f>IF($B30="","",IF(COUNTIF(Stammdaten!$AD$10:$AD$30,J$8)&gt;0,"Feiertag",IFERROR(INDEX(Buchungen!$U$6:$U$605,MATCH($B30&amp;"|"&amp;J$8&amp;"|1",Buchungen!$S$6:$S$605,0)),"")&amp;IFERROR(" / "&amp;INDEX(Buchungen!$U$6:$U$605,MATCH($B30&amp;"|"&amp;J$8&amp;"|2",Buchungen!$S$6:$S$605,0)),"")))</f>
        <v/>
      </c>
      <c r="K30" s="16"/>
      <c r="L30" s="58" t="str">
        <f>IF($B30="","",IF(COUNTIF(Stammdaten!$AD$10:$AD$30,L$8)&gt;0,"Feiertag",IFERROR(INDEX(Buchungen!$U$6:$U$605,MATCH($B30&amp;"|"&amp;L$8&amp;"|1",Buchungen!$S$6:$S$605,0)),"")&amp;IFERROR(" / "&amp;INDEX(Buchungen!$U$6:$U$605,MATCH($B30&amp;"|"&amp;L$8&amp;"|2",Buchungen!$S$6:$S$605,0)),"")))</f>
        <v/>
      </c>
      <c r="M30" s="58" t="str">
        <f>IF($B30="","",IF(COUNTIF(Stammdaten!$AD$10:$AD$30,M$8)&gt;0,"Feiertag",IFERROR(INDEX(Buchungen!$U$6:$U$605,MATCH($B30&amp;"|"&amp;M$8&amp;"|1",Buchungen!$S$6:$S$605,0)),"")&amp;IFERROR(" / "&amp;INDEX(Buchungen!$U$6:$U$605,MATCH($B30&amp;"|"&amp;M$8&amp;"|2",Buchungen!$S$6:$S$605,0)),"")))</f>
        <v>B-06 ?</v>
      </c>
      <c r="N30" s="58" t="str">
        <f>IF($B30="","",IF(COUNTIF(Stammdaten!$AD$10:$AD$30,N$8)&gt;0,"Feiertag",IFERROR(INDEX(Buchungen!$U$6:$U$605,MATCH($B30&amp;"|"&amp;N$8&amp;"|1",Buchungen!$S$6:$S$605,0)),"")&amp;IFERROR(" / "&amp;INDEX(Buchungen!$U$6:$U$605,MATCH($B30&amp;"|"&amp;N$8&amp;"|2",Buchungen!$S$6:$S$605,0)),"")))</f>
        <v/>
      </c>
      <c r="O30" s="58" t="str">
        <f>IF($B30="","",IF(COUNTIF(Stammdaten!$AD$10:$AD$30,O$8)&gt;0,"Feiertag",IFERROR(INDEX(Buchungen!$U$6:$U$605,MATCH($B30&amp;"|"&amp;O$8&amp;"|1",Buchungen!$S$6:$S$605,0)),"")&amp;IFERROR(" / "&amp;INDEX(Buchungen!$U$6:$U$605,MATCH($B30&amp;"|"&amp;O$8&amp;"|2",Buchungen!$S$6:$S$605,0)),"")))</f>
        <v>B-02</v>
      </c>
      <c r="P30" s="58" t="str">
        <f>IF($B30="","",IF(COUNTIF(Stammdaten!$AD$10:$AD$30,P$8)&gt;0,"Feiertag",IFERROR(INDEX(Buchungen!$U$6:$U$605,MATCH($B30&amp;"|"&amp;P$8&amp;"|1",Buchungen!$S$6:$S$605,0)),"")&amp;IFERROR(" / "&amp;INDEX(Buchungen!$U$6:$U$605,MATCH($B30&amp;"|"&amp;P$8&amp;"|2",Buchungen!$S$6:$S$605,0)),"")))</f>
        <v/>
      </c>
      <c r="R30" s="50">
        <f t="shared" si="0"/>
        <v>3</v>
      </c>
      <c r="S30" s="50">
        <f t="shared" si="1"/>
        <v>4</v>
      </c>
      <c r="T30" s="59">
        <f t="shared" si="2"/>
        <v>-1</v>
      </c>
    </row>
    <row r="31" spans="2:20" ht="18.75" customHeight="1" x14ac:dyDescent="0.25">
      <c r="B31" s="56" t="str">
        <f>IF(Stammdaten!$N31="","",Stammdaten!$N31)</f>
        <v>Simon Graf</v>
      </c>
      <c r="C31" s="41" t="str">
        <f>IF($B31="","",Stammdaten!$P31)</f>
        <v>IT</v>
      </c>
      <c r="D31" s="57">
        <f>IF($B31="","",Stammdaten!$Q31)</f>
        <v>2</v>
      </c>
      <c r="E31" s="42" t="str">
        <f>IF($B31="","",Stammdaten!$R31)</f>
        <v>Projektfläche</v>
      </c>
      <c r="F31" s="58" t="str">
        <f>IF($B31="","",IF(COUNTIF(Stammdaten!$AD$10:$AD$30,F$8)&gt;0,"Feiertag",IFERROR(INDEX(Buchungen!$U$6:$U$605,MATCH($B31&amp;"|"&amp;F$8&amp;"|1",Buchungen!$S$6:$S$605,0)),"")&amp;IFERROR(" / "&amp;INDEX(Buchungen!$U$6:$U$605,MATCH($B31&amp;"|"&amp;F$8&amp;"|2",Buchungen!$S$6:$S$605,0)),"")))</f>
        <v>B-10</v>
      </c>
      <c r="G31" s="58" t="str">
        <f>IF($B31="","",IF(COUNTIF(Stammdaten!$AD$10:$AD$30,G$8)&gt;0,"Feiertag",IFERROR(INDEX(Buchungen!$U$6:$U$605,MATCH($B31&amp;"|"&amp;G$8&amp;"|1",Buchungen!$S$6:$S$605,0)),"")&amp;IFERROR(" / "&amp;INDEX(Buchungen!$U$6:$U$605,MATCH($B31&amp;"|"&amp;G$8&amp;"|2",Buchungen!$S$6:$S$605,0)),"")))</f>
        <v/>
      </c>
      <c r="H31" s="58" t="str">
        <f>IF($B31="","",IF(COUNTIF(Stammdaten!$AD$10:$AD$30,H$8)&gt;0,"Feiertag",IFERROR(INDEX(Buchungen!$U$6:$U$605,MATCH($B31&amp;"|"&amp;H$8&amp;"|1",Buchungen!$S$6:$S$605,0)),"")&amp;IFERROR(" / "&amp;INDEX(Buchungen!$U$6:$U$605,MATCH($B31&amp;"|"&amp;H$8&amp;"|2",Buchungen!$S$6:$S$605,0)),"")))</f>
        <v/>
      </c>
      <c r="I31" s="58" t="str">
        <f>IF($B31="","",IF(COUNTIF(Stammdaten!$AD$10:$AD$30,I$8)&gt;0,"Feiertag",IFERROR(INDEX(Buchungen!$U$6:$U$605,MATCH($B31&amp;"|"&amp;I$8&amp;"|1",Buchungen!$S$6:$S$605,0)),"")&amp;IFERROR(" / "&amp;INDEX(Buchungen!$U$6:$U$605,MATCH($B31&amp;"|"&amp;I$8&amp;"|2",Buchungen!$S$6:$S$605,0)),"")))</f>
        <v/>
      </c>
      <c r="J31" s="58" t="str">
        <f>IF($B31="","",IF(COUNTIF(Stammdaten!$AD$10:$AD$30,J$8)&gt;0,"Feiertag",IFERROR(INDEX(Buchungen!$U$6:$U$605,MATCH($B31&amp;"|"&amp;J$8&amp;"|1",Buchungen!$S$6:$S$605,0)),"")&amp;IFERROR(" / "&amp;INDEX(Buchungen!$U$6:$U$605,MATCH($B31&amp;"|"&amp;J$8&amp;"|2",Buchungen!$S$6:$S$605,0)),"")))</f>
        <v>B-12 (VM)</v>
      </c>
      <c r="K31" s="16"/>
      <c r="L31" s="58" t="str">
        <f>IF($B31="","",IF(COUNTIF(Stammdaten!$AD$10:$AD$30,L$8)&gt;0,"Feiertag",IFERROR(INDEX(Buchungen!$U$6:$U$605,MATCH($B31&amp;"|"&amp;L$8&amp;"|1",Buchungen!$S$6:$S$605,0)),"")&amp;IFERROR(" / "&amp;INDEX(Buchungen!$U$6:$U$605,MATCH($B31&amp;"|"&amp;L$8&amp;"|2",Buchungen!$S$6:$S$605,0)),"")))</f>
        <v>B-11</v>
      </c>
      <c r="M31" s="58" t="str">
        <f>IF($B31="","",IF(COUNTIF(Stammdaten!$AD$10:$AD$30,M$8)&gt;0,"Feiertag",IFERROR(INDEX(Buchungen!$U$6:$U$605,MATCH($B31&amp;"|"&amp;M$8&amp;"|1",Buchungen!$S$6:$S$605,0)),"")&amp;IFERROR(" / "&amp;INDEX(Buchungen!$U$6:$U$605,MATCH($B31&amp;"|"&amp;M$8&amp;"|2",Buchungen!$S$6:$S$605,0)),"")))</f>
        <v>A-09</v>
      </c>
      <c r="N31" s="58" t="str">
        <f>IF($B31="","",IF(COUNTIF(Stammdaten!$AD$10:$AD$30,N$8)&gt;0,"Feiertag",IFERROR(INDEX(Buchungen!$U$6:$U$605,MATCH($B31&amp;"|"&amp;N$8&amp;"|1",Buchungen!$S$6:$S$605,0)),"")&amp;IFERROR(" / "&amp;INDEX(Buchungen!$U$6:$U$605,MATCH($B31&amp;"|"&amp;N$8&amp;"|2",Buchungen!$S$6:$S$605,0)),"")))</f>
        <v/>
      </c>
      <c r="O31" s="58" t="str">
        <f>IF($B31="","",IF(COUNTIF(Stammdaten!$AD$10:$AD$30,O$8)&gt;0,"Feiertag",IFERROR(INDEX(Buchungen!$U$6:$U$605,MATCH($B31&amp;"|"&amp;O$8&amp;"|1",Buchungen!$S$6:$S$605,0)),"")&amp;IFERROR(" / "&amp;INDEX(Buchungen!$U$6:$U$605,MATCH($B31&amp;"|"&amp;O$8&amp;"|2",Buchungen!$S$6:$S$605,0)),"")))</f>
        <v/>
      </c>
      <c r="P31" s="58" t="str">
        <f>IF($B31="","",IF(COUNTIF(Stammdaten!$AD$10:$AD$30,P$8)&gt;0,"Feiertag",IFERROR(INDEX(Buchungen!$U$6:$U$605,MATCH($B31&amp;"|"&amp;P$8&amp;"|1",Buchungen!$S$6:$S$605,0)),"")&amp;IFERROR(" / "&amp;INDEX(Buchungen!$U$6:$U$605,MATCH($B31&amp;"|"&amp;P$8&amp;"|2",Buchungen!$S$6:$S$605,0)),"")))</f>
        <v/>
      </c>
      <c r="R31" s="50">
        <f t="shared" si="0"/>
        <v>4</v>
      </c>
      <c r="S31" s="50">
        <f t="shared" si="1"/>
        <v>4</v>
      </c>
      <c r="T31" s="59">
        <f t="shared" si="2"/>
        <v>0</v>
      </c>
    </row>
    <row r="32" spans="2:20" ht="18.75" customHeight="1" x14ac:dyDescent="0.25">
      <c r="B32" s="56" t="str">
        <f>IF(Stammdaten!$N32="","",Stammdaten!$N32)</f>
        <v>Katharina Busch</v>
      </c>
      <c r="C32" s="41" t="str">
        <f>IF($B32="","",Stammdaten!$P32)</f>
        <v>IT</v>
      </c>
      <c r="D32" s="57">
        <f>IF($B32="","",Stammdaten!$Q32)</f>
        <v>3</v>
      </c>
      <c r="E32" s="42" t="str">
        <f>IF($B32="","",Stammdaten!$R32)</f>
        <v>Projektfläche</v>
      </c>
      <c r="F32" s="58" t="str">
        <f>IF($B32="","",IF(COUNTIF(Stammdaten!$AD$10:$AD$30,F$8)&gt;0,"Feiertag",IFERROR(INDEX(Buchungen!$U$6:$U$605,MATCH($B32&amp;"|"&amp;F$8&amp;"|1",Buchungen!$S$6:$S$605,0)),"")&amp;IFERROR(" / "&amp;INDEX(Buchungen!$U$6:$U$605,MATCH($B32&amp;"|"&amp;F$8&amp;"|2",Buchungen!$S$6:$S$605,0)),"")))</f>
        <v/>
      </c>
      <c r="G32" s="58" t="str">
        <f>IF($B32="","",IF(COUNTIF(Stammdaten!$AD$10:$AD$30,G$8)&gt;0,"Feiertag",IFERROR(INDEX(Buchungen!$U$6:$U$605,MATCH($B32&amp;"|"&amp;G$8&amp;"|1",Buchungen!$S$6:$S$605,0)),"")&amp;IFERROR(" / "&amp;INDEX(Buchungen!$U$6:$U$605,MATCH($B32&amp;"|"&amp;G$8&amp;"|2",Buchungen!$S$6:$S$605,0)),"")))</f>
        <v>B-10</v>
      </c>
      <c r="H32" s="58" t="str">
        <f>IF($B32="","",IF(COUNTIF(Stammdaten!$AD$10:$AD$30,H$8)&gt;0,"Feiertag",IFERROR(INDEX(Buchungen!$U$6:$U$605,MATCH($B32&amp;"|"&amp;H$8&amp;"|1",Buchungen!$S$6:$S$605,0)),"")&amp;IFERROR(" / "&amp;INDEX(Buchungen!$U$6:$U$605,MATCH($B32&amp;"|"&amp;H$8&amp;"|2",Buchungen!$S$6:$S$605,0)),"")))</f>
        <v>B-12</v>
      </c>
      <c r="I32" s="58" t="str">
        <f>IF($B32="","",IF(COUNTIF(Stammdaten!$AD$10:$AD$30,I$8)&gt;0,"Feiertag",IFERROR(INDEX(Buchungen!$U$6:$U$605,MATCH($B32&amp;"|"&amp;I$8&amp;"|1",Buchungen!$S$6:$S$605,0)),"")&amp;IFERROR(" / "&amp;INDEX(Buchungen!$U$6:$U$605,MATCH($B32&amp;"|"&amp;I$8&amp;"|2",Buchungen!$S$6:$S$605,0)),"")))</f>
        <v/>
      </c>
      <c r="J32" s="58" t="str">
        <f>IF($B32="","",IF(COUNTIF(Stammdaten!$AD$10:$AD$30,J$8)&gt;0,"Feiertag",IFERROR(INDEX(Buchungen!$U$6:$U$605,MATCH($B32&amp;"|"&amp;J$8&amp;"|1",Buchungen!$S$6:$S$605,0)),"")&amp;IFERROR(" / "&amp;INDEX(Buchungen!$U$6:$U$605,MATCH($B32&amp;"|"&amp;J$8&amp;"|2",Buchungen!$S$6:$S$605,0)),"")))</f>
        <v>A-12</v>
      </c>
      <c r="K32" s="16"/>
      <c r="L32" s="58" t="str">
        <f>IF($B32="","",IF(COUNTIF(Stammdaten!$AD$10:$AD$30,L$8)&gt;0,"Feiertag",IFERROR(INDEX(Buchungen!$U$6:$U$605,MATCH($B32&amp;"|"&amp;L$8&amp;"|1",Buchungen!$S$6:$S$605,0)),"")&amp;IFERROR(" / "&amp;INDEX(Buchungen!$U$6:$U$605,MATCH($B32&amp;"|"&amp;L$8&amp;"|2",Buchungen!$S$6:$S$605,0)),"")))</f>
        <v/>
      </c>
      <c r="M32" s="58" t="str">
        <f>IF($B32="","",IF(COUNTIF(Stammdaten!$AD$10:$AD$30,M$8)&gt;0,"Feiertag",IFERROR(INDEX(Buchungen!$U$6:$U$605,MATCH($B32&amp;"|"&amp;M$8&amp;"|1",Buchungen!$S$6:$S$605,0)),"")&amp;IFERROR(" / "&amp;INDEX(Buchungen!$U$6:$U$605,MATCH($B32&amp;"|"&amp;M$8&amp;"|2",Buchungen!$S$6:$S$605,0)),"")))</f>
        <v>B-10</v>
      </c>
      <c r="N32" s="58" t="str">
        <f>IF($B32="","",IF(COUNTIF(Stammdaten!$AD$10:$AD$30,N$8)&gt;0,"Feiertag",IFERROR(INDEX(Buchungen!$U$6:$U$605,MATCH($B32&amp;"|"&amp;N$8&amp;"|1",Buchungen!$S$6:$S$605,0)),"")&amp;IFERROR(" / "&amp;INDEX(Buchungen!$U$6:$U$605,MATCH($B32&amp;"|"&amp;N$8&amp;"|2",Buchungen!$S$6:$S$605,0)),"")))</f>
        <v/>
      </c>
      <c r="O32" s="58" t="str">
        <f>IF($B32="","",IF(COUNTIF(Stammdaten!$AD$10:$AD$30,O$8)&gt;0,"Feiertag",IFERROR(INDEX(Buchungen!$U$6:$U$605,MATCH($B32&amp;"|"&amp;O$8&amp;"|1",Buchungen!$S$6:$S$605,0)),"")&amp;IFERROR(" / "&amp;INDEX(Buchungen!$U$6:$U$605,MATCH($B32&amp;"|"&amp;O$8&amp;"|2",Buchungen!$S$6:$S$605,0)),"")))</f>
        <v>B-10 ?</v>
      </c>
      <c r="P32" s="58" t="str">
        <f>IF($B32="","",IF(COUNTIF(Stammdaten!$AD$10:$AD$30,P$8)&gt;0,"Feiertag",IFERROR(INDEX(Buchungen!$U$6:$U$605,MATCH($B32&amp;"|"&amp;P$8&amp;"|1",Buchungen!$S$6:$S$605,0)),"")&amp;IFERROR(" / "&amp;INDEX(Buchungen!$U$6:$U$605,MATCH($B32&amp;"|"&amp;P$8&amp;"|2",Buchungen!$S$6:$S$605,0)),"")))</f>
        <v>B-12</v>
      </c>
      <c r="R32" s="50">
        <f t="shared" si="0"/>
        <v>6</v>
      </c>
      <c r="S32" s="50">
        <f t="shared" si="1"/>
        <v>6</v>
      </c>
      <c r="T32" s="59">
        <f t="shared" si="2"/>
        <v>0</v>
      </c>
    </row>
    <row r="33" spans="2:20" ht="18.75" customHeight="1" x14ac:dyDescent="0.25">
      <c r="B33" s="56" t="str">
        <f>IF(Stammdaten!$N33="","",Stammdaten!$N33)</f>
        <v>Lukas Pohl</v>
      </c>
      <c r="C33" s="41" t="str">
        <f>IF($B33="","",Stammdaten!$P33)</f>
        <v>IT</v>
      </c>
      <c r="D33" s="57">
        <f>IF($B33="","",Stammdaten!$Q33)</f>
        <v>1</v>
      </c>
      <c r="E33" s="42" t="str">
        <f>IF($B33="","",Stammdaten!$R33)</f>
        <v>Projektfläche</v>
      </c>
      <c r="F33" s="58" t="str">
        <f>IF($B33="","",IF(COUNTIF(Stammdaten!$AD$10:$AD$30,F$8)&gt;0,"Feiertag",IFERROR(INDEX(Buchungen!$U$6:$U$605,MATCH($B33&amp;"|"&amp;F$8&amp;"|1",Buchungen!$S$6:$S$605,0)),"")&amp;IFERROR(" / "&amp;INDEX(Buchungen!$U$6:$U$605,MATCH($B33&amp;"|"&amp;F$8&amp;"|2",Buchungen!$S$6:$S$605,0)),"")))</f>
        <v/>
      </c>
      <c r="G33" s="58" t="str">
        <f>IF($B33="","",IF(COUNTIF(Stammdaten!$AD$10:$AD$30,G$8)&gt;0,"Feiertag",IFERROR(INDEX(Buchungen!$U$6:$U$605,MATCH($B33&amp;"|"&amp;G$8&amp;"|1",Buchungen!$S$6:$S$605,0)),"")&amp;IFERROR(" / "&amp;INDEX(Buchungen!$U$6:$U$605,MATCH($B33&amp;"|"&amp;G$8&amp;"|2",Buchungen!$S$6:$S$605,0)),"")))</f>
        <v/>
      </c>
      <c r="H33" s="58" t="str">
        <f>IF($B33="","",IF(COUNTIF(Stammdaten!$AD$10:$AD$30,H$8)&gt;0,"Feiertag",IFERROR(INDEX(Buchungen!$U$6:$U$605,MATCH($B33&amp;"|"&amp;H$8&amp;"|1",Buchungen!$S$6:$S$605,0)),"")&amp;IFERROR(" / "&amp;INDEX(Buchungen!$U$6:$U$605,MATCH($B33&amp;"|"&amp;H$8&amp;"|2",Buchungen!$S$6:$S$605,0)),"")))</f>
        <v/>
      </c>
      <c r="I33" s="58" t="str">
        <f>IF($B33="","",IF(COUNTIF(Stammdaten!$AD$10:$AD$30,I$8)&gt;0,"Feiertag",IFERROR(INDEX(Buchungen!$U$6:$U$605,MATCH($B33&amp;"|"&amp;I$8&amp;"|1",Buchungen!$S$6:$S$605,0)),"")&amp;IFERROR(" / "&amp;INDEX(Buchungen!$U$6:$U$605,MATCH($B33&amp;"|"&amp;I$8&amp;"|2",Buchungen!$S$6:$S$605,0)),"")))</f>
        <v/>
      </c>
      <c r="J33" s="58" t="str">
        <f>IF($B33="","",IF(COUNTIF(Stammdaten!$AD$10:$AD$30,J$8)&gt;0,"Feiertag",IFERROR(INDEX(Buchungen!$U$6:$U$605,MATCH($B33&amp;"|"&amp;J$8&amp;"|1",Buchungen!$S$6:$S$605,0)),"")&amp;IFERROR(" / "&amp;INDEX(Buchungen!$U$6:$U$605,MATCH($B33&amp;"|"&amp;J$8&amp;"|2",Buchungen!$S$6:$S$605,0)),"")))</f>
        <v>B-10</v>
      </c>
      <c r="K33" s="16"/>
      <c r="L33" s="58" t="str">
        <f>IF($B33="","",IF(COUNTIF(Stammdaten!$AD$10:$AD$30,L$8)&gt;0,"Feiertag",IFERROR(INDEX(Buchungen!$U$6:$U$605,MATCH($B33&amp;"|"&amp;L$8&amp;"|1",Buchungen!$S$6:$S$605,0)),"")&amp;IFERROR(" / "&amp;INDEX(Buchungen!$U$6:$U$605,MATCH($B33&amp;"|"&amp;L$8&amp;"|2",Buchungen!$S$6:$S$605,0)),"")))</f>
        <v/>
      </c>
      <c r="M33" s="58" t="str">
        <f>IF($B33="","",IF(COUNTIF(Stammdaten!$AD$10:$AD$30,M$8)&gt;0,"Feiertag",IFERROR(INDEX(Buchungen!$U$6:$U$605,MATCH($B33&amp;"|"&amp;M$8&amp;"|1",Buchungen!$S$6:$S$605,0)),"")&amp;IFERROR(" / "&amp;INDEX(Buchungen!$U$6:$U$605,MATCH($B33&amp;"|"&amp;M$8&amp;"|2",Buchungen!$S$6:$S$605,0)),"")))</f>
        <v>B-09</v>
      </c>
      <c r="N33" s="58" t="str">
        <f>IF($B33="","",IF(COUNTIF(Stammdaten!$AD$10:$AD$30,N$8)&gt;0,"Feiertag",IFERROR(INDEX(Buchungen!$U$6:$U$605,MATCH($B33&amp;"|"&amp;N$8&amp;"|1",Buchungen!$S$6:$S$605,0)),"")&amp;IFERROR(" / "&amp;INDEX(Buchungen!$U$6:$U$605,MATCH($B33&amp;"|"&amp;N$8&amp;"|2",Buchungen!$S$6:$S$605,0)),"")))</f>
        <v/>
      </c>
      <c r="O33" s="58" t="str">
        <f>IF($B33="","",IF(COUNTIF(Stammdaten!$AD$10:$AD$30,O$8)&gt;0,"Feiertag",IFERROR(INDEX(Buchungen!$U$6:$U$605,MATCH($B33&amp;"|"&amp;O$8&amp;"|1",Buchungen!$S$6:$S$605,0)),"")&amp;IFERROR(" / "&amp;INDEX(Buchungen!$U$6:$U$605,MATCH($B33&amp;"|"&amp;O$8&amp;"|2",Buchungen!$S$6:$S$605,0)),"")))</f>
        <v/>
      </c>
      <c r="P33" s="58" t="str">
        <f>IF($B33="","",IF(COUNTIF(Stammdaten!$AD$10:$AD$30,P$8)&gt;0,"Feiertag",IFERROR(INDEX(Buchungen!$U$6:$U$605,MATCH($B33&amp;"|"&amp;P$8&amp;"|1",Buchungen!$S$6:$S$605,0)),"")&amp;IFERROR(" / "&amp;INDEX(Buchungen!$U$6:$U$605,MATCH($B33&amp;"|"&amp;P$8&amp;"|2",Buchungen!$S$6:$S$605,0)),"")))</f>
        <v/>
      </c>
      <c r="R33" s="50">
        <f t="shared" si="0"/>
        <v>2</v>
      </c>
      <c r="S33" s="50">
        <f t="shared" si="1"/>
        <v>2</v>
      </c>
      <c r="T33" s="59">
        <f t="shared" si="2"/>
        <v>0</v>
      </c>
    </row>
    <row r="34" spans="2:20" ht="18.75" customHeight="1" x14ac:dyDescent="0.25">
      <c r="B34" s="56" t="str">
        <f>IF(Stammdaten!$N34="","",Stammdaten!$N34)</f>
        <v>Mara Winter</v>
      </c>
      <c r="C34" s="41" t="str">
        <f>IF($B34="","",Stammdaten!$P34)</f>
        <v>IT</v>
      </c>
      <c r="D34" s="57">
        <f>IF($B34="","",Stammdaten!$Q34)</f>
        <v>3</v>
      </c>
      <c r="E34" s="42" t="str">
        <f>IF($B34="","",Stammdaten!$R34)</f>
        <v>Projektfläche</v>
      </c>
      <c r="F34" s="58" t="str">
        <f>IF($B34="","",IF(COUNTIF(Stammdaten!$AD$10:$AD$30,F$8)&gt;0,"Feiertag",IFERROR(INDEX(Buchungen!$U$6:$U$605,MATCH($B34&amp;"|"&amp;F$8&amp;"|1",Buchungen!$S$6:$S$605,0)),"")&amp;IFERROR(" / "&amp;INDEX(Buchungen!$U$6:$U$605,MATCH($B34&amp;"|"&amp;F$8&amp;"|2",Buchungen!$S$6:$S$605,0)),"")))</f>
        <v>B-11</v>
      </c>
      <c r="G34" s="58" t="str">
        <f>IF($B34="","",IF(COUNTIF(Stammdaten!$AD$10:$AD$30,G$8)&gt;0,"Feiertag",IFERROR(INDEX(Buchungen!$U$6:$U$605,MATCH($B34&amp;"|"&amp;G$8&amp;"|1",Buchungen!$S$6:$S$605,0)),"")&amp;IFERROR(" / "&amp;INDEX(Buchungen!$U$6:$U$605,MATCH($B34&amp;"|"&amp;G$8&amp;"|2",Buchungen!$S$6:$S$605,0)),"")))</f>
        <v>B-09</v>
      </c>
      <c r="H34" s="58" t="str">
        <f>IF($B34="","",IF(COUNTIF(Stammdaten!$AD$10:$AD$30,H$8)&gt;0,"Feiertag",IFERROR(INDEX(Buchungen!$U$6:$U$605,MATCH($B34&amp;"|"&amp;H$8&amp;"|1",Buchungen!$S$6:$S$605,0)),"")&amp;IFERROR(" / "&amp;INDEX(Buchungen!$U$6:$U$605,MATCH($B34&amp;"|"&amp;H$8&amp;"|2",Buchungen!$S$6:$S$605,0)),"")))</f>
        <v/>
      </c>
      <c r="I34" s="58" t="str">
        <f>IF($B34="","",IF(COUNTIF(Stammdaten!$AD$10:$AD$30,I$8)&gt;0,"Feiertag",IFERROR(INDEX(Buchungen!$U$6:$U$605,MATCH($B34&amp;"|"&amp;I$8&amp;"|1",Buchungen!$S$6:$S$605,0)),"")&amp;IFERROR(" / "&amp;INDEX(Buchungen!$U$6:$U$605,MATCH($B34&amp;"|"&amp;I$8&amp;"|2",Buchungen!$S$6:$S$605,0)),"")))</f>
        <v/>
      </c>
      <c r="J34" s="58" t="str">
        <f>IF($B34="","",IF(COUNTIF(Stammdaten!$AD$10:$AD$30,J$8)&gt;0,"Feiertag",IFERROR(INDEX(Buchungen!$U$6:$U$605,MATCH($B34&amp;"|"&amp;J$8&amp;"|1",Buchungen!$S$6:$S$605,0)),"")&amp;IFERROR(" / "&amp;INDEX(Buchungen!$U$6:$U$605,MATCH($B34&amp;"|"&amp;J$8&amp;"|2",Buchungen!$S$6:$S$605,0)),"")))</f>
        <v>B-11</v>
      </c>
      <c r="K34" s="16"/>
      <c r="L34" s="58" t="str">
        <f>IF($B34="","",IF(COUNTIF(Stammdaten!$AD$10:$AD$30,L$8)&gt;0,"Feiertag",IFERROR(INDEX(Buchungen!$U$6:$U$605,MATCH($B34&amp;"|"&amp;L$8&amp;"|1",Buchungen!$S$6:$S$605,0)),"")&amp;IFERROR(" / "&amp;INDEX(Buchungen!$U$6:$U$605,MATCH($B34&amp;"|"&amp;L$8&amp;"|2",Buchungen!$S$6:$S$605,0)),"")))</f>
        <v/>
      </c>
      <c r="M34" s="58" t="str">
        <f>IF($B34="","",IF(COUNTIF(Stammdaten!$AD$10:$AD$30,M$8)&gt;0,"Feiertag",IFERROR(INDEX(Buchungen!$U$6:$U$605,MATCH($B34&amp;"|"&amp;M$8&amp;"|1",Buchungen!$S$6:$S$605,0)),"")&amp;IFERROR(" / "&amp;INDEX(Buchungen!$U$6:$U$605,MATCH($B34&amp;"|"&amp;M$8&amp;"|2",Buchungen!$S$6:$S$605,0)),"")))</f>
        <v>B-12</v>
      </c>
      <c r="N34" s="58" t="str">
        <f>IF($B34="","",IF(COUNTIF(Stammdaten!$AD$10:$AD$30,N$8)&gt;0,"Feiertag",IFERROR(INDEX(Buchungen!$U$6:$U$605,MATCH($B34&amp;"|"&amp;N$8&amp;"|1",Buchungen!$S$6:$S$605,0)),"")&amp;IFERROR(" / "&amp;INDEX(Buchungen!$U$6:$U$605,MATCH($B34&amp;"|"&amp;N$8&amp;"|2",Buchungen!$S$6:$S$605,0)),"")))</f>
        <v>B-11</v>
      </c>
      <c r="O34" s="58" t="str">
        <f>IF($B34="","",IF(COUNTIF(Stammdaten!$AD$10:$AD$30,O$8)&gt;0,"Feiertag",IFERROR(INDEX(Buchungen!$U$6:$U$605,MATCH($B34&amp;"|"&amp;O$8&amp;"|1",Buchungen!$S$6:$S$605,0)),"")&amp;IFERROR(" / "&amp;INDEX(Buchungen!$U$6:$U$605,MATCH($B34&amp;"|"&amp;O$8&amp;"|2",Buchungen!$S$6:$S$605,0)),"")))</f>
        <v/>
      </c>
      <c r="P34" s="58" t="str">
        <f>IF($B34="","",IF(COUNTIF(Stammdaten!$AD$10:$AD$30,P$8)&gt;0,"Feiertag",IFERROR(INDEX(Buchungen!$U$6:$U$605,MATCH($B34&amp;"|"&amp;P$8&amp;"|1",Buchungen!$S$6:$S$605,0)),"")&amp;IFERROR(" / "&amp;INDEX(Buchungen!$U$6:$U$605,MATCH($B34&amp;"|"&amp;P$8&amp;"|2",Buchungen!$S$6:$S$605,0)),"")))</f>
        <v>A-12</v>
      </c>
      <c r="R34" s="50">
        <f t="shared" si="0"/>
        <v>6</v>
      </c>
      <c r="S34" s="50">
        <f t="shared" si="1"/>
        <v>6</v>
      </c>
      <c r="T34" s="59">
        <f t="shared" si="2"/>
        <v>0</v>
      </c>
    </row>
    <row r="35" spans="2:20" ht="18.75" customHeight="1" x14ac:dyDescent="0.25">
      <c r="B35" s="56" t="str">
        <f>IF(Stammdaten!$N35="","",Stammdaten!$N35)</f>
        <v>Daniel Ritter</v>
      </c>
      <c r="C35" s="41" t="str">
        <f>IF($B35="","",Stammdaten!$P35)</f>
        <v>IT</v>
      </c>
      <c r="D35" s="57">
        <f>IF($B35="","",Stammdaten!$Q35)</f>
        <v>2</v>
      </c>
      <c r="E35" s="42" t="str">
        <f>IF($B35="","",Stammdaten!$R35)</f>
        <v>Projektfläche</v>
      </c>
      <c r="F35" s="58" t="str">
        <f>IF($B35="","",IF(COUNTIF(Stammdaten!$AD$10:$AD$30,F$8)&gt;0,"Feiertag",IFERROR(INDEX(Buchungen!$U$6:$U$605,MATCH($B35&amp;"|"&amp;F$8&amp;"|1",Buchungen!$S$6:$S$605,0)),"")&amp;IFERROR(" / "&amp;INDEX(Buchungen!$U$6:$U$605,MATCH($B35&amp;"|"&amp;F$8&amp;"|2",Buchungen!$S$6:$S$605,0)),"")))</f>
        <v/>
      </c>
      <c r="G35" s="58" t="str">
        <f>IF($B35="","",IF(COUNTIF(Stammdaten!$AD$10:$AD$30,G$8)&gt;0,"Feiertag",IFERROR(INDEX(Buchungen!$U$6:$U$605,MATCH($B35&amp;"|"&amp;G$8&amp;"|1",Buchungen!$S$6:$S$605,0)),"")&amp;IFERROR(" / "&amp;INDEX(Buchungen!$U$6:$U$605,MATCH($B35&amp;"|"&amp;G$8&amp;"|2",Buchungen!$S$6:$S$605,0)),"")))</f>
        <v/>
      </c>
      <c r="H35" s="58" t="str">
        <f>IF($B35="","",IF(COUNTIF(Stammdaten!$AD$10:$AD$30,H$8)&gt;0,"Feiertag",IFERROR(INDEX(Buchungen!$U$6:$U$605,MATCH($B35&amp;"|"&amp;H$8&amp;"|1",Buchungen!$S$6:$S$605,0)),"")&amp;IFERROR(" / "&amp;INDEX(Buchungen!$U$6:$U$605,MATCH($B35&amp;"|"&amp;H$8&amp;"|2",Buchungen!$S$6:$S$605,0)),"")))</f>
        <v>B-09</v>
      </c>
      <c r="I35" s="58" t="str">
        <f>IF($B35="","",IF(COUNTIF(Stammdaten!$AD$10:$AD$30,I$8)&gt;0,"Feiertag",IFERROR(INDEX(Buchungen!$U$6:$U$605,MATCH($B35&amp;"|"&amp;I$8&amp;"|1",Buchungen!$S$6:$S$605,0)),"")&amp;IFERROR(" / "&amp;INDEX(Buchungen!$U$6:$U$605,MATCH($B35&amp;"|"&amp;I$8&amp;"|2",Buchungen!$S$6:$S$605,0)),"")))</f>
        <v>B-09</v>
      </c>
      <c r="J35" s="58" t="str">
        <f>IF($B35="","",IF(COUNTIF(Stammdaten!$AD$10:$AD$30,J$8)&gt;0,"Feiertag",IFERROR(INDEX(Buchungen!$U$6:$U$605,MATCH($B35&amp;"|"&amp;J$8&amp;"|1",Buchungen!$S$6:$S$605,0)),"")&amp;IFERROR(" / "&amp;INDEX(Buchungen!$U$6:$U$605,MATCH($B35&amp;"|"&amp;J$8&amp;"|2",Buchungen!$S$6:$S$605,0)),"")))</f>
        <v/>
      </c>
      <c r="K35" s="16"/>
      <c r="L35" s="58" t="str">
        <f>IF($B35="","",IF(COUNTIF(Stammdaten!$AD$10:$AD$30,L$8)&gt;0,"Feiertag",IFERROR(INDEX(Buchungen!$U$6:$U$605,MATCH($B35&amp;"|"&amp;L$8&amp;"|1",Buchungen!$S$6:$S$605,0)),"")&amp;IFERROR(" / "&amp;INDEX(Buchungen!$U$6:$U$605,MATCH($B35&amp;"|"&amp;L$8&amp;"|2",Buchungen!$S$6:$S$605,0)),"")))</f>
        <v/>
      </c>
      <c r="M35" s="58" t="str">
        <f>IF($B35="","",IF(COUNTIF(Stammdaten!$AD$10:$AD$30,M$8)&gt;0,"Feiertag",IFERROR(INDEX(Buchungen!$U$6:$U$605,MATCH($B35&amp;"|"&amp;M$8&amp;"|1",Buchungen!$S$6:$S$605,0)),"")&amp;IFERROR(" / "&amp;INDEX(Buchungen!$U$6:$U$605,MATCH($B35&amp;"|"&amp;M$8&amp;"|2",Buchungen!$S$6:$S$605,0)),"")))</f>
        <v/>
      </c>
      <c r="N35" s="58" t="str">
        <f>IF($B35="","",IF(COUNTIF(Stammdaten!$AD$10:$AD$30,N$8)&gt;0,"Feiertag",IFERROR(INDEX(Buchungen!$U$6:$U$605,MATCH($B35&amp;"|"&amp;N$8&amp;"|1",Buchungen!$S$6:$S$605,0)),"")&amp;IFERROR(" / "&amp;INDEX(Buchungen!$U$6:$U$605,MATCH($B35&amp;"|"&amp;N$8&amp;"|2",Buchungen!$S$6:$S$605,0)),"")))</f>
        <v>B-09</v>
      </c>
      <c r="O35" s="58" t="str">
        <f>IF($B35="","",IF(COUNTIF(Stammdaten!$AD$10:$AD$30,O$8)&gt;0,"Feiertag",IFERROR(INDEX(Buchungen!$U$6:$U$605,MATCH($B35&amp;"|"&amp;O$8&amp;"|1",Buchungen!$S$6:$S$605,0)),"")&amp;IFERROR(" / "&amp;INDEX(Buchungen!$U$6:$U$605,MATCH($B35&amp;"|"&amp;O$8&amp;"|2",Buchungen!$S$6:$S$605,0)),"")))</f>
        <v>B-12 (NM)</v>
      </c>
      <c r="P35" s="58" t="str">
        <f>IF($B35="","",IF(COUNTIF(Stammdaten!$AD$10:$AD$30,P$8)&gt;0,"Feiertag",IFERROR(INDEX(Buchungen!$U$6:$U$605,MATCH($B35&amp;"|"&amp;P$8&amp;"|1",Buchungen!$S$6:$S$605,0)),"")&amp;IFERROR(" / "&amp;INDEX(Buchungen!$U$6:$U$605,MATCH($B35&amp;"|"&amp;P$8&amp;"|2",Buchungen!$S$6:$S$605,0)),"")))</f>
        <v>B-10</v>
      </c>
      <c r="R35" s="50">
        <f t="shared" si="0"/>
        <v>5</v>
      </c>
      <c r="S35" s="50">
        <f t="shared" si="1"/>
        <v>4</v>
      </c>
      <c r="T35" s="59">
        <f t="shared" si="2"/>
        <v>1</v>
      </c>
    </row>
    <row r="36" spans="2:20" ht="18.75" customHeight="1" x14ac:dyDescent="0.25">
      <c r="B36" s="56" t="str">
        <f>IF(Stammdaten!$N36="","",Stammdaten!$N36)</f>
        <v>Laura Sommer</v>
      </c>
      <c r="C36" s="41" t="str">
        <f>IF($B36="","",Stammdaten!$P36)</f>
        <v>IT</v>
      </c>
      <c r="D36" s="57">
        <f>IF($B36="","",Stammdaten!$Q36)</f>
        <v>2</v>
      </c>
      <c r="E36" s="42" t="str">
        <f>IF($B36="","",Stammdaten!$R36)</f>
        <v>Projektfläche</v>
      </c>
      <c r="F36" s="58" t="str">
        <f>IF($B36="","",IF(COUNTIF(Stammdaten!$AD$10:$AD$30,F$8)&gt;0,"Feiertag",IFERROR(INDEX(Buchungen!$U$6:$U$605,MATCH($B36&amp;"|"&amp;F$8&amp;"|1",Buchungen!$S$6:$S$605,0)),"")&amp;IFERROR(" / "&amp;INDEX(Buchungen!$U$6:$U$605,MATCH($B36&amp;"|"&amp;F$8&amp;"|2",Buchungen!$S$6:$S$605,0)),"")))</f>
        <v/>
      </c>
      <c r="G36" s="58" t="str">
        <f>IF($B36="","",IF(COUNTIF(Stammdaten!$AD$10:$AD$30,G$8)&gt;0,"Feiertag",IFERROR(INDEX(Buchungen!$U$6:$U$605,MATCH($B36&amp;"|"&amp;G$8&amp;"|1",Buchungen!$S$6:$S$605,0)),"")&amp;IFERROR(" / "&amp;INDEX(Buchungen!$U$6:$U$605,MATCH($B36&amp;"|"&amp;G$8&amp;"|2",Buchungen!$S$6:$S$605,0)),"")))</f>
        <v/>
      </c>
      <c r="H36" s="58" t="str">
        <f>IF($B36="","",IF(COUNTIF(Stammdaten!$AD$10:$AD$30,H$8)&gt;0,"Feiertag",IFERROR(INDEX(Buchungen!$U$6:$U$605,MATCH($B36&amp;"|"&amp;H$8&amp;"|1",Buchungen!$S$6:$S$605,0)),"")&amp;IFERROR(" / "&amp;INDEX(Buchungen!$U$6:$U$605,MATCH($B36&amp;"|"&amp;H$8&amp;"|2",Buchungen!$S$6:$S$605,0)),"")))</f>
        <v>A-11</v>
      </c>
      <c r="I36" s="58" t="str">
        <f>IF($B36="","",IF(COUNTIF(Stammdaten!$AD$10:$AD$30,I$8)&gt;0,"Feiertag",IFERROR(INDEX(Buchungen!$U$6:$U$605,MATCH($B36&amp;"|"&amp;I$8&amp;"|1",Buchungen!$S$6:$S$605,0)),"")&amp;IFERROR(" / "&amp;INDEX(Buchungen!$U$6:$U$605,MATCH($B36&amp;"|"&amp;I$8&amp;"|2",Buchungen!$S$6:$S$605,0)),"")))</f>
        <v/>
      </c>
      <c r="J36" s="58" t="str">
        <f>IF($B36="","",IF(COUNTIF(Stammdaten!$AD$10:$AD$30,J$8)&gt;0,"Feiertag",IFERROR(INDEX(Buchungen!$U$6:$U$605,MATCH($B36&amp;"|"&amp;J$8&amp;"|1",Buchungen!$S$6:$S$605,0)),"")&amp;IFERROR(" / "&amp;INDEX(Buchungen!$U$6:$U$605,MATCH($B36&amp;"|"&amp;J$8&amp;"|2",Buchungen!$S$6:$S$605,0)),"")))</f>
        <v>A-10</v>
      </c>
      <c r="K36" s="16"/>
      <c r="L36" s="58" t="str">
        <f>IF($B36="","",IF(COUNTIF(Stammdaten!$AD$10:$AD$30,L$8)&gt;0,"Feiertag",IFERROR(INDEX(Buchungen!$U$6:$U$605,MATCH($B36&amp;"|"&amp;L$8&amp;"|1",Buchungen!$S$6:$S$605,0)),"")&amp;IFERROR(" / "&amp;INDEX(Buchungen!$U$6:$U$605,MATCH($B36&amp;"|"&amp;L$8&amp;"|2",Buchungen!$S$6:$S$605,0)),"")))</f>
        <v>B-09</v>
      </c>
      <c r="M36" s="58" t="str">
        <f>IF($B36="","",IF(COUNTIF(Stammdaten!$AD$10:$AD$30,M$8)&gt;0,"Feiertag",IFERROR(INDEX(Buchungen!$U$6:$U$605,MATCH($B36&amp;"|"&amp;M$8&amp;"|1",Buchungen!$S$6:$S$605,0)),"")&amp;IFERROR(" / "&amp;INDEX(Buchungen!$U$6:$U$605,MATCH($B36&amp;"|"&amp;M$8&amp;"|2",Buchungen!$S$6:$S$605,0)),"")))</f>
        <v/>
      </c>
      <c r="N36" s="58" t="str">
        <f>IF($B36="","",IF(COUNTIF(Stammdaten!$AD$10:$AD$30,N$8)&gt;0,"Feiertag",IFERROR(INDEX(Buchungen!$U$6:$U$605,MATCH($B36&amp;"|"&amp;N$8&amp;"|1",Buchungen!$S$6:$S$605,0)),"")&amp;IFERROR(" / "&amp;INDEX(Buchungen!$U$6:$U$605,MATCH($B36&amp;"|"&amp;N$8&amp;"|2",Buchungen!$S$6:$S$605,0)),"")))</f>
        <v/>
      </c>
      <c r="O36" s="58" t="str">
        <f>IF($B36="","",IF(COUNTIF(Stammdaten!$AD$10:$AD$30,O$8)&gt;0,"Feiertag",IFERROR(INDEX(Buchungen!$U$6:$U$605,MATCH($B36&amp;"|"&amp;O$8&amp;"|1",Buchungen!$S$6:$S$605,0)),"")&amp;IFERROR(" / "&amp;INDEX(Buchungen!$U$6:$U$605,MATCH($B36&amp;"|"&amp;O$8&amp;"|2",Buchungen!$S$6:$S$605,0)),"")))</f>
        <v/>
      </c>
      <c r="P36" s="58" t="str">
        <f>IF($B36="","",IF(COUNTIF(Stammdaten!$AD$10:$AD$30,P$8)&gt;0,"Feiertag",IFERROR(INDEX(Buchungen!$U$6:$U$605,MATCH($B36&amp;"|"&amp;P$8&amp;"|1",Buchungen!$S$6:$S$605,0)),"")&amp;IFERROR(" / "&amp;INDEX(Buchungen!$U$6:$U$605,MATCH($B36&amp;"|"&amp;P$8&amp;"|2",Buchungen!$S$6:$S$605,0)),"")))</f>
        <v>B-11</v>
      </c>
      <c r="R36" s="50">
        <f t="shared" si="0"/>
        <v>4</v>
      </c>
      <c r="S36" s="50">
        <f t="shared" si="1"/>
        <v>4</v>
      </c>
      <c r="T36" s="59">
        <f t="shared" si="2"/>
        <v>0</v>
      </c>
    </row>
    <row r="37" spans="2:20" ht="18.75" customHeight="1" x14ac:dyDescent="0.25">
      <c r="B37" s="56" t="str">
        <f>IF(Stammdaten!$N37="","",Stammdaten!$N37)</f>
        <v>Kevin Brandl</v>
      </c>
      <c r="C37" s="41" t="str">
        <f>IF($B37="","",Stammdaten!$P37)</f>
        <v>Projektmanagement</v>
      </c>
      <c r="D37" s="57">
        <f>IF($B37="","",Stammdaten!$Q37)</f>
        <v>3</v>
      </c>
      <c r="E37" s="42" t="str">
        <f>IF($B37="","",Stammdaten!$R37)</f>
        <v>Projektfläche</v>
      </c>
      <c r="F37" s="58" t="str">
        <f>IF($B37="","",IF(COUNTIF(Stammdaten!$AD$10:$AD$30,F$8)&gt;0,"Feiertag",IFERROR(INDEX(Buchungen!$U$6:$U$605,MATCH($B37&amp;"|"&amp;F$8&amp;"|1",Buchungen!$S$6:$S$605,0)),"")&amp;IFERROR(" / "&amp;INDEX(Buchungen!$U$6:$U$605,MATCH($B37&amp;"|"&amp;F$8&amp;"|2",Buchungen!$S$6:$S$605,0)),"")))</f>
        <v>B-12</v>
      </c>
      <c r="G37" s="58" t="str">
        <f>IF($B37="","",IF(COUNTIF(Stammdaten!$AD$10:$AD$30,G$8)&gt;0,"Feiertag",IFERROR(INDEX(Buchungen!$U$6:$U$605,MATCH($B37&amp;"|"&amp;G$8&amp;"|1",Buchungen!$S$6:$S$605,0)),"")&amp;IFERROR(" / "&amp;INDEX(Buchungen!$U$6:$U$605,MATCH($B37&amp;"|"&amp;G$8&amp;"|2",Buchungen!$S$6:$S$605,0)),"")))</f>
        <v/>
      </c>
      <c r="H37" s="58" t="str">
        <f>IF($B37="","",IF(COUNTIF(Stammdaten!$AD$10:$AD$30,H$8)&gt;0,"Feiertag",IFERROR(INDEX(Buchungen!$U$6:$U$605,MATCH($B37&amp;"|"&amp;H$8&amp;"|1",Buchungen!$S$6:$S$605,0)),"")&amp;IFERROR(" / "&amp;INDEX(Buchungen!$U$6:$U$605,MATCH($B37&amp;"|"&amp;H$8&amp;"|2",Buchungen!$S$6:$S$605,0)),"")))</f>
        <v>B-10</v>
      </c>
      <c r="I37" s="58" t="str">
        <f>IF($B37="","",IF(COUNTIF(Stammdaten!$AD$10:$AD$30,I$8)&gt;0,"Feiertag",IFERROR(INDEX(Buchungen!$U$6:$U$605,MATCH($B37&amp;"|"&amp;I$8&amp;"|1",Buchungen!$S$6:$S$605,0)),"")&amp;IFERROR(" / "&amp;INDEX(Buchungen!$U$6:$U$605,MATCH($B37&amp;"|"&amp;I$8&amp;"|2",Buchungen!$S$6:$S$605,0)),"")))</f>
        <v/>
      </c>
      <c r="J37" s="58" t="str">
        <f>IF($B37="","",IF(COUNTIF(Stammdaten!$AD$10:$AD$30,J$8)&gt;0,"Feiertag",IFERROR(INDEX(Buchungen!$U$6:$U$605,MATCH($B37&amp;"|"&amp;J$8&amp;"|1",Buchungen!$S$6:$S$605,0)),"")&amp;IFERROR(" / "&amp;INDEX(Buchungen!$U$6:$U$605,MATCH($B37&amp;"|"&amp;J$8&amp;"|2",Buchungen!$S$6:$S$605,0)),"")))</f>
        <v>B-09</v>
      </c>
      <c r="K37" s="16"/>
      <c r="L37" s="58" t="str">
        <f>IF($B37="","",IF(COUNTIF(Stammdaten!$AD$10:$AD$30,L$8)&gt;0,"Feiertag",IFERROR(INDEX(Buchungen!$U$6:$U$605,MATCH($B37&amp;"|"&amp;L$8&amp;"|1",Buchungen!$S$6:$S$605,0)),"")&amp;IFERROR(" / "&amp;INDEX(Buchungen!$U$6:$U$605,MATCH($B37&amp;"|"&amp;L$8&amp;"|2",Buchungen!$S$6:$S$605,0)),"")))</f>
        <v>B-12</v>
      </c>
      <c r="M37" s="58" t="str">
        <f>IF($B37="","",IF(COUNTIF(Stammdaten!$AD$10:$AD$30,M$8)&gt;0,"Feiertag",IFERROR(INDEX(Buchungen!$U$6:$U$605,MATCH($B37&amp;"|"&amp;M$8&amp;"|1",Buchungen!$S$6:$S$605,0)),"")&amp;IFERROR(" / "&amp;INDEX(Buchungen!$U$6:$U$605,MATCH($B37&amp;"|"&amp;M$8&amp;"|2",Buchungen!$S$6:$S$605,0)),"")))</f>
        <v>A-12 ?</v>
      </c>
      <c r="N37" s="58" t="str">
        <f>IF($B37="","",IF(COUNTIF(Stammdaten!$AD$10:$AD$30,N$8)&gt;0,"Feiertag",IFERROR(INDEX(Buchungen!$U$6:$U$605,MATCH($B37&amp;"|"&amp;N$8&amp;"|1",Buchungen!$S$6:$S$605,0)),"")&amp;IFERROR(" / "&amp;INDEX(Buchungen!$U$6:$U$605,MATCH($B37&amp;"|"&amp;N$8&amp;"|2",Buchungen!$S$6:$S$605,0)),"")))</f>
        <v/>
      </c>
      <c r="O37" s="58" t="str">
        <f>IF($B37="","",IF(COUNTIF(Stammdaten!$AD$10:$AD$30,O$8)&gt;0,"Feiertag",IFERROR(INDEX(Buchungen!$U$6:$U$605,MATCH($B37&amp;"|"&amp;O$8&amp;"|1",Buchungen!$S$6:$S$605,0)),"")&amp;IFERROR(" / "&amp;INDEX(Buchungen!$U$6:$U$605,MATCH($B37&amp;"|"&amp;O$8&amp;"|2",Buchungen!$S$6:$S$605,0)),"")))</f>
        <v/>
      </c>
      <c r="P37" s="58" t="str">
        <f>IF($B37="","",IF(COUNTIF(Stammdaten!$AD$10:$AD$30,P$8)&gt;0,"Feiertag",IFERROR(INDEX(Buchungen!$U$6:$U$605,MATCH($B37&amp;"|"&amp;P$8&amp;"|1",Buchungen!$S$6:$S$605,0)),"")&amp;IFERROR(" / "&amp;INDEX(Buchungen!$U$6:$U$605,MATCH($B37&amp;"|"&amp;P$8&amp;"|2",Buchungen!$S$6:$S$605,0)),"")))</f>
        <v>A-10 ?</v>
      </c>
      <c r="R37" s="50">
        <f t="shared" si="0"/>
        <v>6</v>
      </c>
      <c r="S37" s="50">
        <f t="shared" si="1"/>
        <v>6</v>
      </c>
      <c r="T37" s="59">
        <f t="shared" si="2"/>
        <v>0</v>
      </c>
    </row>
    <row r="38" spans="2:20" ht="18.75" customHeight="1" x14ac:dyDescent="0.25">
      <c r="B38" s="56" t="str">
        <f>IF(Stammdaten!$N38="","",Stammdaten!$N38)</f>
        <v>Theresa Jung</v>
      </c>
      <c r="C38" s="41" t="str">
        <f>IF($B38="","",Stammdaten!$P38)</f>
        <v>Projektmanagement</v>
      </c>
      <c r="D38" s="57">
        <f>IF($B38="","",Stammdaten!$Q38)</f>
        <v>4</v>
      </c>
      <c r="E38" s="42" t="str">
        <f>IF($B38="","",Stammdaten!$R38)</f>
        <v>Fokuszone</v>
      </c>
      <c r="F38" s="58" t="str">
        <f>IF($B38="","",IF(COUNTIF(Stammdaten!$AD$10:$AD$30,F$8)&gt;0,"Feiertag",IFERROR(INDEX(Buchungen!$U$6:$U$605,MATCH($B38&amp;"|"&amp;F$8&amp;"|1",Buchungen!$S$6:$S$605,0)),"")&amp;IFERROR(" / "&amp;INDEX(Buchungen!$U$6:$U$605,MATCH($B38&amp;"|"&amp;F$8&amp;"|2",Buchungen!$S$6:$S$605,0)),"")))</f>
        <v>A-11</v>
      </c>
      <c r="G38" s="58" t="str">
        <f>IF($B38="","",IF(COUNTIF(Stammdaten!$AD$10:$AD$30,G$8)&gt;0,"Feiertag",IFERROR(INDEX(Buchungen!$U$6:$U$605,MATCH($B38&amp;"|"&amp;G$8&amp;"|1",Buchungen!$S$6:$S$605,0)),"")&amp;IFERROR(" / "&amp;INDEX(Buchungen!$U$6:$U$605,MATCH($B38&amp;"|"&amp;G$8&amp;"|2",Buchungen!$S$6:$S$605,0)),"")))</f>
        <v>A-11</v>
      </c>
      <c r="H38" s="58" t="str">
        <f>IF($B38="","",IF(COUNTIF(Stammdaten!$AD$10:$AD$30,H$8)&gt;0,"Feiertag",IFERROR(INDEX(Buchungen!$U$6:$U$605,MATCH($B38&amp;"|"&amp;H$8&amp;"|1",Buchungen!$S$6:$S$605,0)),"")&amp;IFERROR(" / "&amp;INDEX(Buchungen!$U$6:$U$605,MATCH($B38&amp;"|"&amp;H$8&amp;"|2",Buchungen!$S$6:$S$605,0)),"")))</f>
        <v/>
      </c>
      <c r="I38" s="58" t="str">
        <f>IF($B38="","",IF(COUNTIF(Stammdaten!$AD$10:$AD$30,I$8)&gt;0,"Feiertag",IFERROR(INDEX(Buchungen!$U$6:$U$605,MATCH($B38&amp;"|"&amp;I$8&amp;"|1",Buchungen!$S$6:$S$605,0)),"")&amp;IFERROR(" / "&amp;INDEX(Buchungen!$U$6:$U$605,MATCH($B38&amp;"|"&amp;I$8&amp;"|2",Buchungen!$S$6:$S$605,0)),"")))</f>
        <v>A-09</v>
      </c>
      <c r="J38" s="58" t="str">
        <f>IF($B38="","",IF(COUNTIF(Stammdaten!$AD$10:$AD$30,J$8)&gt;0,"Feiertag",IFERROR(INDEX(Buchungen!$U$6:$U$605,MATCH($B38&amp;"|"&amp;J$8&amp;"|1",Buchungen!$S$6:$S$605,0)),"")&amp;IFERROR(" / "&amp;INDEX(Buchungen!$U$6:$U$605,MATCH($B38&amp;"|"&amp;J$8&amp;"|2",Buchungen!$S$6:$S$605,0)),"")))</f>
        <v>A-11</v>
      </c>
      <c r="K38" s="16"/>
      <c r="L38" s="58" t="str">
        <f>IF($B38="","",IF(COUNTIF(Stammdaten!$AD$10:$AD$30,L$8)&gt;0,"Feiertag",IFERROR(INDEX(Buchungen!$U$6:$U$605,MATCH($B38&amp;"|"&amp;L$8&amp;"|1",Buchungen!$S$6:$S$605,0)),"")&amp;IFERROR(" / "&amp;INDEX(Buchungen!$U$6:$U$605,MATCH($B38&amp;"|"&amp;L$8&amp;"|2",Buchungen!$S$6:$S$605,0)),"")))</f>
        <v>A-11</v>
      </c>
      <c r="M38" s="58" t="str">
        <f>IF($B38="","",IF(COUNTIF(Stammdaten!$AD$10:$AD$30,M$8)&gt;0,"Feiertag",IFERROR(INDEX(Buchungen!$U$6:$U$605,MATCH($B38&amp;"|"&amp;M$8&amp;"|1",Buchungen!$S$6:$S$605,0)),"")&amp;IFERROR(" / "&amp;INDEX(Buchungen!$U$6:$U$605,MATCH($B38&amp;"|"&amp;M$8&amp;"|2",Buchungen!$S$6:$S$605,0)),"")))</f>
        <v>A-11</v>
      </c>
      <c r="N38" s="58" t="str">
        <f>IF($B38="","",IF(COUNTIF(Stammdaten!$AD$10:$AD$30,N$8)&gt;0,"Feiertag",IFERROR(INDEX(Buchungen!$U$6:$U$605,MATCH($B38&amp;"|"&amp;N$8&amp;"|1",Buchungen!$S$6:$S$605,0)),"")&amp;IFERROR(" / "&amp;INDEX(Buchungen!$U$6:$U$605,MATCH($B38&amp;"|"&amp;N$8&amp;"|2",Buchungen!$S$6:$S$605,0)),"")))</f>
        <v>A-11</v>
      </c>
      <c r="O38" s="58" t="str">
        <f>IF($B38="","",IF(COUNTIF(Stammdaten!$AD$10:$AD$30,O$8)&gt;0,"Feiertag",IFERROR(INDEX(Buchungen!$U$6:$U$605,MATCH($B38&amp;"|"&amp;O$8&amp;"|1",Buchungen!$S$6:$S$605,0)),"")&amp;IFERROR(" / "&amp;INDEX(Buchungen!$U$6:$U$605,MATCH($B38&amp;"|"&amp;O$8&amp;"|2",Buchungen!$S$6:$S$605,0)),"")))</f>
        <v>A-11</v>
      </c>
      <c r="P38" s="58" t="str">
        <f>IF($B38="","",IF(COUNTIF(Stammdaten!$AD$10:$AD$30,P$8)&gt;0,"Feiertag",IFERROR(INDEX(Buchungen!$U$6:$U$605,MATCH($B38&amp;"|"&amp;P$8&amp;"|1",Buchungen!$S$6:$S$605,0)),"")&amp;IFERROR(" / "&amp;INDEX(Buchungen!$U$6:$U$605,MATCH($B38&amp;"|"&amp;P$8&amp;"|2",Buchungen!$S$6:$S$605,0)),"")))</f>
        <v/>
      </c>
      <c r="R38" s="50">
        <f t="shared" si="0"/>
        <v>8</v>
      </c>
      <c r="S38" s="50">
        <f t="shared" si="1"/>
        <v>8</v>
      </c>
      <c r="T38" s="59">
        <f t="shared" si="2"/>
        <v>0</v>
      </c>
    </row>
    <row r="39" spans="2:20" ht="18.75" customHeight="1" x14ac:dyDescent="0.25">
      <c r="B39" s="56" t="str">
        <f>IF(Stammdaten!$N39="","",Stammdaten!$N39)</f>
        <v>Fabian Ott</v>
      </c>
      <c r="C39" s="41" t="str">
        <f>IF($B39="","",Stammdaten!$P39)</f>
        <v>Projektmanagement</v>
      </c>
      <c r="D39" s="57">
        <f>IF($B39="","",Stammdaten!$Q39)</f>
        <v>2</v>
      </c>
      <c r="E39" s="42" t="str">
        <f>IF($B39="","",Stammdaten!$R39)</f>
        <v>Projektfläche</v>
      </c>
      <c r="F39" s="58" t="str">
        <f>IF($B39="","",IF(COUNTIF(Stammdaten!$AD$10:$AD$30,F$8)&gt;0,"Feiertag",IFERROR(INDEX(Buchungen!$U$6:$U$605,MATCH($B39&amp;"|"&amp;F$8&amp;"|1",Buchungen!$S$6:$S$605,0)),"")&amp;IFERROR(" / "&amp;INDEX(Buchungen!$U$6:$U$605,MATCH($B39&amp;"|"&amp;F$8&amp;"|2",Buchungen!$S$6:$S$605,0)),"")))</f>
        <v>B-09</v>
      </c>
      <c r="G39" s="58" t="str">
        <f>IF($B39="","",IF(COUNTIF(Stammdaten!$AD$10:$AD$30,G$8)&gt;0,"Feiertag",IFERROR(INDEX(Buchungen!$U$6:$U$605,MATCH($B39&amp;"|"&amp;G$8&amp;"|1",Buchungen!$S$6:$S$605,0)),"")&amp;IFERROR(" / "&amp;INDEX(Buchungen!$U$6:$U$605,MATCH($B39&amp;"|"&amp;G$8&amp;"|2",Buchungen!$S$6:$S$605,0)),"")))</f>
        <v>B-11</v>
      </c>
      <c r="H39" s="58" t="str">
        <f>IF($B39="","",IF(COUNTIF(Stammdaten!$AD$10:$AD$30,H$8)&gt;0,"Feiertag",IFERROR(INDEX(Buchungen!$U$6:$U$605,MATCH($B39&amp;"|"&amp;H$8&amp;"|1",Buchungen!$S$6:$S$605,0)),"")&amp;IFERROR(" / "&amp;INDEX(Buchungen!$U$6:$U$605,MATCH($B39&amp;"|"&amp;H$8&amp;"|2",Buchungen!$S$6:$S$605,0)),"")))</f>
        <v/>
      </c>
      <c r="I39" s="58" t="str">
        <f>IF($B39="","",IF(COUNTIF(Stammdaten!$AD$10:$AD$30,I$8)&gt;0,"Feiertag",IFERROR(INDEX(Buchungen!$U$6:$U$605,MATCH($B39&amp;"|"&amp;I$8&amp;"|1",Buchungen!$S$6:$S$605,0)),"")&amp;IFERROR(" / "&amp;INDEX(Buchungen!$U$6:$U$605,MATCH($B39&amp;"|"&amp;I$8&amp;"|2",Buchungen!$S$6:$S$605,0)),"")))</f>
        <v/>
      </c>
      <c r="J39" s="58" t="str">
        <f>IF($B39="","",IF(COUNTIF(Stammdaten!$AD$10:$AD$30,J$8)&gt;0,"Feiertag",IFERROR(INDEX(Buchungen!$U$6:$U$605,MATCH($B39&amp;"|"&amp;J$8&amp;"|1",Buchungen!$S$6:$S$605,0)),"")&amp;IFERROR(" / "&amp;INDEX(Buchungen!$U$6:$U$605,MATCH($B39&amp;"|"&amp;J$8&amp;"|2",Buchungen!$S$6:$S$605,0)),"")))</f>
        <v/>
      </c>
      <c r="K39" s="16"/>
      <c r="L39" s="58" t="str">
        <f>IF($B39="","",IF(COUNTIF(Stammdaten!$AD$10:$AD$30,L$8)&gt;0,"Feiertag",IFERROR(INDEX(Buchungen!$U$6:$U$605,MATCH($B39&amp;"|"&amp;L$8&amp;"|1",Buchungen!$S$6:$S$605,0)),"")&amp;IFERROR(" / "&amp;INDEX(Buchungen!$U$6:$U$605,MATCH($B39&amp;"|"&amp;L$8&amp;"|2",Buchungen!$S$6:$S$605,0)),"")))</f>
        <v/>
      </c>
      <c r="M39" s="58" t="str">
        <f>IF($B39="","",IF(COUNTIF(Stammdaten!$AD$10:$AD$30,M$8)&gt;0,"Feiertag",IFERROR(INDEX(Buchungen!$U$6:$U$605,MATCH($B39&amp;"|"&amp;M$8&amp;"|1",Buchungen!$S$6:$S$605,0)),"")&amp;IFERROR(" / "&amp;INDEX(Buchungen!$U$6:$U$605,MATCH($B39&amp;"|"&amp;M$8&amp;"|2",Buchungen!$S$6:$S$605,0)),"")))</f>
        <v>B-11 ?</v>
      </c>
      <c r="N39" s="58" t="str">
        <f>IF($B39="","",IF(COUNTIF(Stammdaten!$AD$10:$AD$30,N$8)&gt;0,"Feiertag",IFERROR(INDEX(Buchungen!$U$6:$U$605,MATCH($B39&amp;"|"&amp;N$8&amp;"|1",Buchungen!$S$6:$S$605,0)),"")&amp;IFERROR(" / "&amp;INDEX(Buchungen!$U$6:$U$605,MATCH($B39&amp;"|"&amp;N$8&amp;"|2",Buchungen!$S$6:$S$605,0)),"")))</f>
        <v>B-12</v>
      </c>
      <c r="O39" s="58" t="str">
        <f>IF($B39="","",IF(COUNTIF(Stammdaten!$AD$10:$AD$30,O$8)&gt;0,"Feiertag",IFERROR(INDEX(Buchungen!$U$6:$U$605,MATCH($B39&amp;"|"&amp;O$8&amp;"|1",Buchungen!$S$6:$S$605,0)),"")&amp;IFERROR(" / "&amp;INDEX(Buchungen!$U$6:$U$605,MATCH($B39&amp;"|"&amp;O$8&amp;"|2",Buchungen!$S$6:$S$605,0)),"")))</f>
        <v/>
      </c>
      <c r="P39" s="58" t="str">
        <f>IF($B39="","",IF(COUNTIF(Stammdaten!$AD$10:$AD$30,P$8)&gt;0,"Feiertag",IFERROR(INDEX(Buchungen!$U$6:$U$605,MATCH($B39&amp;"|"&amp;P$8&amp;"|1",Buchungen!$S$6:$S$605,0)),"")&amp;IFERROR(" / "&amp;INDEX(Buchungen!$U$6:$U$605,MATCH($B39&amp;"|"&amp;P$8&amp;"|2",Buchungen!$S$6:$S$605,0)),"")))</f>
        <v/>
      </c>
      <c r="R39" s="50">
        <f t="shared" si="0"/>
        <v>4</v>
      </c>
      <c r="S39" s="50">
        <f t="shared" si="1"/>
        <v>4</v>
      </c>
      <c r="T39" s="59">
        <f t="shared" si="2"/>
        <v>0</v>
      </c>
    </row>
    <row r="40" spans="2:20" ht="18.75" customHeight="1" x14ac:dyDescent="0.25">
      <c r="B40" s="56" t="str">
        <f>IF(Stammdaten!$N40="","",Stammdaten!$N40)</f>
        <v>Isabel Marx</v>
      </c>
      <c r="C40" s="41" t="str">
        <f>IF($B40="","",Stammdaten!$P40)</f>
        <v>Projektmanagement</v>
      </c>
      <c r="D40" s="57">
        <f>IF($B40="","",Stammdaten!$Q40)</f>
        <v>3</v>
      </c>
      <c r="E40" s="42" t="str">
        <f>IF($B40="","",Stammdaten!$R40)</f>
        <v>Fokuszone</v>
      </c>
      <c r="F40" s="58" t="str">
        <f>IF($B40="","",IF(COUNTIF(Stammdaten!$AD$10:$AD$30,F$8)&gt;0,"Feiertag",IFERROR(INDEX(Buchungen!$U$6:$U$605,MATCH($B40&amp;"|"&amp;F$8&amp;"|1",Buchungen!$S$6:$S$605,0)),"")&amp;IFERROR(" / "&amp;INDEX(Buchungen!$U$6:$U$605,MATCH($B40&amp;"|"&amp;F$8&amp;"|2",Buchungen!$S$6:$S$605,0)),"")))</f>
        <v/>
      </c>
      <c r="G40" s="58" t="str">
        <f>IF($B40="","",IF(COUNTIF(Stammdaten!$AD$10:$AD$30,G$8)&gt;0,"Feiertag",IFERROR(INDEX(Buchungen!$U$6:$U$605,MATCH($B40&amp;"|"&amp;G$8&amp;"|1",Buchungen!$S$6:$S$605,0)),"")&amp;IFERROR(" / "&amp;INDEX(Buchungen!$U$6:$U$605,MATCH($B40&amp;"|"&amp;G$8&amp;"|2",Buchungen!$S$6:$S$605,0)),"")))</f>
        <v>A-09</v>
      </c>
      <c r="H40" s="58" t="str">
        <f>IF($B40="","",IF(COUNTIF(Stammdaten!$AD$10:$AD$30,H$8)&gt;0,"Feiertag",IFERROR(INDEX(Buchungen!$U$6:$U$605,MATCH($B40&amp;"|"&amp;H$8&amp;"|1",Buchungen!$S$6:$S$605,0)),"")&amp;IFERROR(" / "&amp;INDEX(Buchungen!$U$6:$U$605,MATCH($B40&amp;"|"&amp;H$8&amp;"|2",Buchungen!$S$6:$S$605,0)),"")))</f>
        <v>A-10</v>
      </c>
      <c r="I40" s="58" t="str">
        <f>IF($B40="","",IF(COUNTIF(Stammdaten!$AD$10:$AD$30,I$8)&gt;0,"Feiertag",IFERROR(INDEX(Buchungen!$U$6:$U$605,MATCH($B40&amp;"|"&amp;I$8&amp;"|1",Buchungen!$S$6:$S$605,0)),"")&amp;IFERROR(" / "&amp;INDEX(Buchungen!$U$6:$U$605,MATCH($B40&amp;"|"&amp;I$8&amp;"|2",Buchungen!$S$6:$S$605,0)),"")))</f>
        <v>A-11</v>
      </c>
      <c r="J40" s="58" t="str">
        <f>IF($B40="","",IF(COUNTIF(Stammdaten!$AD$10:$AD$30,J$8)&gt;0,"Feiertag",IFERROR(INDEX(Buchungen!$U$6:$U$605,MATCH($B40&amp;"|"&amp;J$8&amp;"|1",Buchungen!$S$6:$S$605,0)),"")&amp;IFERROR(" / "&amp;INDEX(Buchungen!$U$6:$U$605,MATCH($B40&amp;"|"&amp;J$8&amp;"|2",Buchungen!$S$6:$S$605,0)),"")))</f>
        <v/>
      </c>
      <c r="K40" s="16"/>
      <c r="L40" s="58" t="str">
        <f>IF($B40="","",IF(COUNTIF(Stammdaten!$AD$10:$AD$30,L$8)&gt;0,"Feiertag",IFERROR(INDEX(Buchungen!$U$6:$U$605,MATCH($B40&amp;"|"&amp;L$8&amp;"|1",Buchungen!$S$6:$S$605,0)),"")&amp;IFERROR(" / "&amp;INDEX(Buchungen!$U$6:$U$605,MATCH($B40&amp;"|"&amp;L$8&amp;"|2",Buchungen!$S$6:$S$605,0)),"")))</f>
        <v>A-10</v>
      </c>
      <c r="M40" s="58" t="str">
        <f>IF($B40="","",IF(COUNTIF(Stammdaten!$AD$10:$AD$30,M$8)&gt;0,"Feiertag",IFERROR(INDEX(Buchungen!$U$6:$U$605,MATCH($B40&amp;"|"&amp;M$8&amp;"|1",Buchungen!$S$6:$S$605,0)),"")&amp;IFERROR(" / "&amp;INDEX(Buchungen!$U$6:$U$605,MATCH($B40&amp;"|"&amp;M$8&amp;"|2",Buchungen!$S$6:$S$605,0)),"")))</f>
        <v>A-10</v>
      </c>
      <c r="N40" s="58" t="str">
        <f>IF($B40="","",IF(COUNTIF(Stammdaten!$AD$10:$AD$30,N$8)&gt;0,"Feiertag",IFERROR(INDEX(Buchungen!$U$6:$U$605,MATCH($B40&amp;"|"&amp;N$8&amp;"|1",Buchungen!$S$6:$S$605,0)),"")&amp;IFERROR(" / "&amp;INDEX(Buchungen!$U$6:$U$605,MATCH($B40&amp;"|"&amp;N$8&amp;"|2",Buchungen!$S$6:$S$605,0)),"")))</f>
        <v/>
      </c>
      <c r="O40" s="58" t="str">
        <f>IF($B40="","",IF(COUNTIF(Stammdaten!$AD$10:$AD$30,O$8)&gt;0,"Feiertag",IFERROR(INDEX(Buchungen!$U$6:$U$605,MATCH($B40&amp;"|"&amp;O$8&amp;"|1",Buchungen!$S$6:$S$605,0)),"")&amp;IFERROR(" / "&amp;INDEX(Buchungen!$U$6:$U$605,MATCH($B40&amp;"|"&amp;O$8&amp;"|2",Buchungen!$S$6:$S$605,0)),"")))</f>
        <v>A-10</v>
      </c>
      <c r="P40" s="58" t="str">
        <f>IF($B40="","",IF(COUNTIF(Stammdaten!$AD$10:$AD$30,P$8)&gt;0,"Feiertag",IFERROR(INDEX(Buchungen!$U$6:$U$605,MATCH($B40&amp;"|"&amp;P$8&amp;"|1",Buchungen!$S$6:$S$605,0)),"")&amp;IFERROR(" / "&amp;INDEX(Buchungen!$U$6:$U$605,MATCH($B40&amp;"|"&amp;P$8&amp;"|2",Buchungen!$S$6:$S$605,0)),"")))</f>
        <v/>
      </c>
      <c r="R40" s="50">
        <f t="shared" si="0"/>
        <v>6</v>
      </c>
      <c r="S40" s="50">
        <f t="shared" si="1"/>
        <v>6</v>
      </c>
      <c r="T40" s="59">
        <f t="shared" si="2"/>
        <v>0</v>
      </c>
    </row>
    <row r="41" spans="2:20" ht="18.75" customHeight="1" x14ac:dyDescent="0.25">
      <c r="B41" s="56" t="str">
        <f>IF(Stammdaten!$N41="","",Stammdaten!$N41)</f>
        <v>Philipp Haas</v>
      </c>
      <c r="C41" s="41" t="str">
        <f>IF($B41="","",Stammdaten!$P41)</f>
        <v>Projektmanagement</v>
      </c>
      <c r="D41" s="57">
        <f>IF($B41="","",Stammdaten!$Q41)</f>
        <v>2</v>
      </c>
      <c r="E41" s="42" t="str">
        <f>IF($B41="","",Stammdaten!$R41)</f>
        <v>Projektfläche</v>
      </c>
      <c r="F41" s="58" t="str">
        <f>IF($B41="","",IF(COUNTIF(Stammdaten!$AD$10:$AD$30,F$8)&gt;0,"Feiertag",IFERROR(INDEX(Buchungen!$U$6:$U$605,MATCH($B41&amp;"|"&amp;F$8&amp;"|1",Buchungen!$S$6:$S$605,0)),"")&amp;IFERROR(" / "&amp;INDEX(Buchungen!$U$6:$U$605,MATCH($B41&amp;"|"&amp;F$8&amp;"|2",Buchungen!$S$6:$S$605,0)),"")))</f>
        <v>A-10</v>
      </c>
      <c r="G41" s="58" t="str">
        <f>IF($B41="","",IF(COUNTIF(Stammdaten!$AD$10:$AD$30,G$8)&gt;0,"Feiertag",IFERROR(INDEX(Buchungen!$U$6:$U$605,MATCH($B41&amp;"|"&amp;G$8&amp;"|1",Buchungen!$S$6:$S$605,0)),"")&amp;IFERROR(" / "&amp;INDEX(Buchungen!$U$6:$U$605,MATCH($B41&amp;"|"&amp;G$8&amp;"|2",Buchungen!$S$6:$S$605,0)),"")))</f>
        <v>A-07 (NM)</v>
      </c>
      <c r="H41" s="58" t="str">
        <f>IF($B41="","",IF(COUNTIF(Stammdaten!$AD$10:$AD$30,H$8)&gt;0,"Feiertag",IFERROR(INDEX(Buchungen!$U$6:$U$605,MATCH($B41&amp;"|"&amp;H$8&amp;"|1",Buchungen!$S$6:$S$605,0)),"")&amp;IFERROR(" / "&amp;INDEX(Buchungen!$U$6:$U$605,MATCH($B41&amp;"|"&amp;H$8&amp;"|2",Buchungen!$S$6:$S$605,0)),"")))</f>
        <v/>
      </c>
      <c r="I41" s="58" t="str">
        <f>IF($B41="","",IF(COUNTIF(Stammdaten!$AD$10:$AD$30,I$8)&gt;0,"Feiertag",IFERROR(INDEX(Buchungen!$U$6:$U$605,MATCH($B41&amp;"|"&amp;I$8&amp;"|1",Buchungen!$S$6:$S$605,0)),"")&amp;IFERROR(" / "&amp;INDEX(Buchungen!$U$6:$U$605,MATCH($B41&amp;"|"&amp;I$8&amp;"|2",Buchungen!$S$6:$S$605,0)),"")))</f>
        <v>B-12</v>
      </c>
      <c r="J41" s="58" t="str">
        <f>IF($B41="","",IF(COUNTIF(Stammdaten!$AD$10:$AD$30,J$8)&gt;0,"Feiertag",IFERROR(INDEX(Buchungen!$U$6:$U$605,MATCH($B41&amp;"|"&amp;J$8&amp;"|1",Buchungen!$S$6:$S$605,0)),"")&amp;IFERROR(" / "&amp;INDEX(Buchungen!$U$6:$U$605,MATCH($B41&amp;"|"&amp;J$8&amp;"|2",Buchungen!$S$6:$S$605,0)),"")))</f>
        <v/>
      </c>
      <c r="K41" s="16"/>
      <c r="L41" s="58" t="str">
        <f>IF($B41="","",IF(COUNTIF(Stammdaten!$AD$10:$AD$30,L$8)&gt;0,"Feiertag",IFERROR(INDEX(Buchungen!$U$6:$U$605,MATCH($B41&amp;"|"&amp;L$8&amp;"|1",Buchungen!$S$6:$S$605,0)),"")&amp;IFERROR(" / "&amp;INDEX(Buchungen!$U$6:$U$605,MATCH($B41&amp;"|"&amp;L$8&amp;"|2",Buchungen!$S$6:$S$605,0)),"")))</f>
        <v>B-10</v>
      </c>
      <c r="M41" s="58" t="str">
        <f>IF($B41="","",IF(COUNTIF(Stammdaten!$AD$10:$AD$30,M$8)&gt;0,"Feiertag",IFERROR(INDEX(Buchungen!$U$6:$U$605,MATCH($B41&amp;"|"&amp;M$8&amp;"|1",Buchungen!$S$6:$S$605,0)),"")&amp;IFERROR(" / "&amp;INDEX(Buchungen!$U$6:$U$605,MATCH($B41&amp;"|"&amp;M$8&amp;"|2",Buchungen!$S$6:$S$605,0)),"")))</f>
        <v/>
      </c>
      <c r="N41" s="58" t="str">
        <f>IF($B41="","",IF(COUNTIF(Stammdaten!$AD$10:$AD$30,N$8)&gt;0,"Feiertag",IFERROR(INDEX(Buchungen!$U$6:$U$605,MATCH($B41&amp;"|"&amp;N$8&amp;"|1",Buchungen!$S$6:$S$605,0)),"")&amp;IFERROR(" / "&amp;INDEX(Buchungen!$U$6:$U$605,MATCH($B41&amp;"|"&amp;N$8&amp;"|2",Buchungen!$S$6:$S$605,0)),"")))</f>
        <v/>
      </c>
      <c r="O41" s="58" t="str">
        <f>IF($B41="","",IF(COUNTIF(Stammdaten!$AD$10:$AD$30,O$8)&gt;0,"Feiertag",IFERROR(INDEX(Buchungen!$U$6:$U$605,MATCH($B41&amp;"|"&amp;O$8&amp;"|1",Buchungen!$S$6:$S$605,0)),"")&amp;IFERROR(" / "&amp;INDEX(Buchungen!$U$6:$U$605,MATCH($B41&amp;"|"&amp;O$8&amp;"|2",Buchungen!$S$6:$S$605,0)),"")))</f>
        <v>B-11</v>
      </c>
      <c r="P41" s="58" t="str">
        <f>IF($B41="","",IF(COUNTIF(Stammdaten!$AD$10:$AD$30,P$8)&gt;0,"Feiertag",IFERROR(INDEX(Buchungen!$U$6:$U$605,MATCH($B41&amp;"|"&amp;P$8&amp;"|1",Buchungen!$S$6:$S$605,0)),"")&amp;IFERROR(" / "&amp;INDEX(Buchungen!$U$6:$U$605,MATCH($B41&amp;"|"&amp;P$8&amp;"|2",Buchungen!$S$6:$S$605,0)),"")))</f>
        <v/>
      </c>
      <c r="R41" s="50">
        <f t="shared" si="0"/>
        <v>5</v>
      </c>
      <c r="S41" s="50">
        <f t="shared" si="1"/>
        <v>4</v>
      </c>
      <c r="T41" s="59">
        <f t="shared" si="2"/>
        <v>1</v>
      </c>
    </row>
    <row r="42" spans="2:20" ht="18.75" customHeight="1" x14ac:dyDescent="0.25">
      <c r="B42" s="56" t="str">
        <f>IF(Stammdaten!$N42="","",Stammdaten!$N42)</f>
        <v>Vanessa Kraft</v>
      </c>
      <c r="C42" s="41" t="str">
        <f>IF($B42="","",Stammdaten!$P42)</f>
        <v>Projektmanagement</v>
      </c>
      <c r="D42" s="57">
        <f>IF($B42="","",Stammdaten!$Q42)</f>
        <v>3</v>
      </c>
      <c r="E42" s="42" t="str">
        <f>IF($B42="","",Stammdaten!$R42)</f>
        <v>Projektfläche</v>
      </c>
      <c r="F42" s="58" t="str">
        <f>IF($B42="","",IF(COUNTIF(Stammdaten!$AD$10:$AD$30,F$8)&gt;0,"Feiertag",IFERROR(INDEX(Buchungen!$U$6:$U$605,MATCH($B42&amp;"|"&amp;F$8&amp;"|1",Buchungen!$S$6:$S$605,0)),"")&amp;IFERROR(" / "&amp;INDEX(Buchungen!$U$6:$U$605,MATCH($B42&amp;"|"&amp;F$8&amp;"|2",Buchungen!$S$6:$S$605,0)),"")))</f>
        <v/>
      </c>
      <c r="G42" s="58" t="str">
        <f>IF($B42="","",IF(COUNTIF(Stammdaten!$AD$10:$AD$30,G$8)&gt;0,"Feiertag",IFERROR(INDEX(Buchungen!$U$6:$U$605,MATCH($B42&amp;"|"&amp;G$8&amp;"|1",Buchungen!$S$6:$S$605,0)),"")&amp;IFERROR(" / "&amp;INDEX(Buchungen!$U$6:$U$605,MATCH($B42&amp;"|"&amp;G$8&amp;"|2",Buchungen!$S$6:$S$605,0)),"")))</f>
        <v>B-12</v>
      </c>
      <c r="H42" s="58" t="str">
        <f>IF($B42="","",IF(COUNTIF(Stammdaten!$AD$10:$AD$30,H$8)&gt;0,"Feiertag",IFERROR(INDEX(Buchungen!$U$6:$U$605,MATCH($B42&amp;"|"&amp;H$8&amp;"|1",Buchungen!$S$6:$S$605,0)),"")&amp;IFERROR(" / "&amp;INDEX(Buchungen!$U$6:$U$605,MATCH($B42&amp;"|"&amp;H$8&amp;"|2",Buchungen!$S$6:$S$605,0)),"")))</f>
        <v>B-11</v>
      </c>
      <c r="I42" s="58" t="str">
        <f>IF($B42="","",IF(COUNTIF(Stammdaten!$AD$10:$AD$30,I$8)&gt;0,"Feiertag",IFERROR(INDEX(Buchungen!$U$6:$U$605,MATCH($B42&amp;"|"&amp;I$8&amp;"|1",Buchungen!$S$6:$S$605,0)),"")&amp;IFERROR(" / "&amp;INDEX(Buchungen!$U$6:$U$605,MATCH($B42&amp;"|"&amp;I$8&amp;"|2",Buchungen!$S$6:$S$605,0)),"")))</f>
        <v>B-10</v>
      </c>
      <c r="J42" s="58" t="str">
        <f>IF($B42="","",IF(COUNTIF(Stammdaten!$AD$10:$AD$30,J$8)&gt;0,"Feiertag",IFERROR(INDEX(Buchungen!$U$6:$U$605,MATCH($B42&amp;"|"&amp;J$8&amp;"|1",Buchungen!$S$6:$S$605,0)),"")&amp;IFERROR(" / "&amp;INDEX(Buchungen!$U$6:$U$605,MATCH($B42&amp;"|"&amp;J$8&amp;"|2",Buchungen!$S$6:$S$605,0)),"")))</f>
        <v/>
      </c>
      <c r="K42" s="16"/>
      <c r="L42" s="58" t="str">
        <f>IF($B42="","",IF(COUNTIF(Stammdaten!$AD$10:$AD$30,L$8)&gt;0,"Feiertag",IFERROR(INDEX(Buchungen!$U$6:$U$605,MATCH($B42&amp;"|"&amp;L$8&amp;"|1",Buchungen!$S$6:$S$605,0)),"")&amp;IFERROR(" / "&amp;INDEX(Buchungen!$U$6:$U$605,MATCH($B42&amp;"|"&amp;L$8&amp;"|2",Buchungen!$S$6:$S$605,0)),"")))</f>
        <v/>
      </c>
      <c r="M42" s="58" t="str">
        <f>IF($B42="","",IF(COUNTIF(Stammdaten!$AD$10:$AD$30,M$8)&gt;0,"Feiertag",IFERROR(INDEX(Buchungen!$U$6:$U$605,MATCH($B42&amp;"|"&amp;M$8&amp;"|1",Buchungen!$S$6:$S$605,0)),"")&amp;IFERROR(" / "&amp;INDEX(Buchungen!$U$6:$U$605,MATCH($B42&amp;"|"&amp;M$8&amp;"|2",Buchungen!$S$6:$S$605,0)),"")))</f>
        <v/>
      </c>
      <c r="N42" s="58" t="str">
        <f>IF($B42="","",IF(COUNTIF(Stammdaten!$AD$10:$AD$30,N$8)&gt;0,"Feiertag",IFERROR(INDEX(Buchungen!$U$6:$U$605,MATCH($B42&amp;"|"&amp;N$8&amp;"|1",Buchungen!$S$6:$S$605,0)),"")&amp;IFERROR(" / "&amp;INDEX(Buchungen!$U$6:$U$605,MATCH($B42&amp;"|"&amp;N$8&amp;"|2",Buchungen!$S$6:$S$605,0)),"")))</f>
        <v>B-10</v>
      </c>
      <c r="O42" s="58" t="str">
        <f>IF($B42="","",IF(COUNTIF(Stammdaten!$AD$10:$AD$30,O$8)&gt;0,"Feiertag",IFERROR(INDEX(Buchungen!$U$6:$U$605,MATCH($B42&amp;"|"&amp;O$8&amp;"|1",Buchungen!$S$6:$S$605,0)),"")&amp;IFERROR(" / "&amp;INDEX(Buchungen!$U$6:$U$605,MATCH($B42&amp;"|"&amp;O$8&amp;"|2",Buchungen!$S$6:$S$605,0)),"")))</f>
        <v>B-12 (VM)</v>
      </c>
      <c r="P42" s="58" t="str">
        <f>IF($B42="","",IF(COUNTIF(Stammdaten!$AD$10:$AD$30,P$8)&gt;0,"Feiertag",IFERROR(INDEX(Buchungen!$U$6:$U$605,MATCH($B42&amp;"|"&amp;P$8&amp;"|1",Buchungen!$S$6:$S$605,0)),"")&amp;IFERROR(" / "&amp;INDEX(Buchungen!$U$6:$U$605,MATCH($B42&amp;"|"&amp;P$8&amp;"|2",Buchungen!$S$6:$S$605,0)),"")))</f>
        <v>B-09 ?</v>
      </c>
      <c r="R42" s="50">
        <f t="shared" ref="R42:R69" si="3">IF($B42="","",COUNTIF(F42:J42,"?*")+COUNTIF(L42:P42,"?*")-COUNTIF(F42:J42,"Feiertag")-COUNTIF(L42:P42,"Feiertag"))</f>
        <v>6</v>
      </c>
      <c r="S42" s="50">
        <f t="shared" ref="S42:S69" si="4">IF($B42="","",D42*2)</f>
        <v>6</v>
      </c>
      <c r="T42" s="59">
        <f t="shared" ref="T42:T73" si="5">IF($B42="","",R42-S42)</f>
        <v>0</v>
      </c>
    </row>
    <row r="43" spans="2:20" ht="18.75" customHeight="1" x14ac:dyDescent="0.25">
      <c r="B43" s="56" t="str">
        <f>IF(Stammdaten!$N43="","",Stammdaten!$N43)</f>
        <v>Jan Peters</v>
      </c>
      <c r="C43" s="41" t="str">
        <f>IF($B43="","",Stammdaten!$P43)</f>
        <v>Projektmanagement</v>
      </c>
      <c r="D43" s="57">
        <f>IF($B43="","",Stammdaten!$Q43)</f>
        <v>2</v>
      </c>
      <c r="E43" s="42" t="str">
        <f>IF($B43="","",Stammdaten!$R43)</f>
        <v>Fokuszone</v>
      </c>
      <c r="F43" s="58" t="str">
        <f>IF($B43="","",IF(COUNTIF(Stammdaten!$AD$10:$AD$30,F$8)&gt;0,"Feiertag",IFERROR(INDEX(Buchungen!$U$6:$U$605,MATCH($B43&amp;"|"&amp;F$8&amp;"|1",Buchungen!$S$6:$S$605,0)),"")&amp;IFERROR(" / "&amp;INDEX(Buchungen!$U$6:$U$605,MATCH($B43&amp;"|"&amp;F$8&amp;"|2",Buchungen!$S$6:$S$605,0)),"")))</f>
        <v/>
      </c>
      <c r="G43" s="58" t="str">
        <f>IF($B43="","",IF(COUNTIF(Stammdaten!$AD$10:$AD$30,G$8)&gt;0,"Feiertag",IFERROR(INDEX(Buchungen!$U$6:$U$605,MATCH($B43&amp;"|"&amp;G$8&amp;"|1",Buchungen!$S$6:$S$605,0)),"")&amp;IFERROR(" / "&amp;INDEX(Buchungen!$U$6:$U$605,MATCH($B43&amp;"|"&amp;G$8&amp;"|2",Buchungen!$S$6:$S$605,0)),"")))</f>
        <v/>
      </c>
      <c r="H43" s="58" t="str">
        <f>IF($B43="","",IF(COUNTIF(Stammdaten!$AD$10:$AD$30,H$8)&gt;0,"Feiertag",IFERROR(INDEX(Buchungen!$U$6:$U$605,MATCH($B43&amp;"|"&amp;H$8&amp;"|1",Buchungen!$S$6:$S$605,0)),"")&amp;IFERROR(" / "&amp;INDEX(Buchungen!$U$6:$U$605,MATCH($B43&amp;"|"&amp;H$8&amp;"|2",Buchungen!$S$6:$S$605,0)),"")))</f>
        <v/>
      </c>
      <c r="I43" s="58" t="str">
        <f>IF($B43="","",IF(COUNTIF(Stammdaten!$AD$10:$AD$30,I$8)&gt;0,"Feiertag",IFERROR(INDEX(Buchungen!$U$6:$U$605,MATCH($B43&amp;"|"&amp;I$8&amp;"|1",Buchungen!$S$6:$S$605,0)),"")&amp;IFERROR(" / "&amp;INDEX(Buchungen!$U$6:$U$605,MATCH($B43&amp;"|"&amp;I$8&amp;"|2",Buchungen!$S$6:$S$605,0)),"")))</f>
        <v>A-12</v>
      </c>
      <c r="J43" s="58" t="str">
        <f>IF($B43="","",IF(COUNTIF(Stammdaten!$AD$10:$AD$30,J$8)&gt;0,"Feiertag",IFERROR(INDEX(Buchungen!$U$6:$U$605,MATCH($B43&amp;"|"&amp;J$8&amp;"|1",Buchungen!$S$6:$S$605,0)),"")&amp;IFERROR(" / "&amp;INDEX(Buchungen!$U$6:$U$605,MATCH($B43&amp;"|"&amp;J$8&amp;"|2",Buchungen!$S$6:$S$605,0)),"")))</f>
        <v>A-09</v>
      </c>
      <c r="K43" s="16"/>
      <c r="L43" s="58" t="str">
        <f>IF($B43="","",IF(COUNTIF(Stammdaten!$AD$10:$AD$30,L$8)&gt;0,"Feiertag",IFERROR(INDEX(Buchungen!$U$6:$U$605,MATCH($B43&amp;"|"&amp;L$8&amp;"|1",Buchungen!$S$6:$S$605,0)),"")&amp;IFERROR(" / "&amp;INDEX(Buchungen!$U$6:$U$605,MATCH($B43&amp;"|"&amp;L$8&amp;"|2",Buchungen!$S$6:$S$605,0)),"")))</f>
        <v/>
      </c>
      <c r="M43" s="58" t="str">
        <f>IF($B43="","",IF(COUNTIF(Stammdaten!$AD$10:$AD$30,M$8)&gt;0,"Feiertag",IFERROR(INDEX(Buchungen!$U$6:$U$605,MATCH($B43&amp;"|"&amp;M$8&amp;"|1",Buchungen!$S$6:$S$605,0)),"")&amp;IFERROR(" / "&amp;INDEX(Buchungen!$U$6:$U$605,MATCH($B43&amp;"|"&amp;M$8&amp;"|2",Buchungen!$S$6:$S$605,0)),"")))</f>
        <v/>
      </c>
      <c r="N43" s="58" t="str">
        <f>IF($B43="","",IF(COUNTIF(Stammdaten!$AD$10:$AD$30,N$8)&gt;0,"Feiertag",IFERROR(INDEX(Buchungen!$U$6:$U$605,MATCH($B43&amp;"|"&amp;N$8&amp;"|1",Buchungen!$S$6:$S$605,0)),"")&amp;IFERROR(" / "&amp;INDEX(Buchungen!$U$6:$U$605,MATCH($B43&amp;"|"&amp;N$8&amp;"|2",Buchungen!$S$6:$S$605,0)),"")))</f>
        <v>A-09</v>
      </c>
      <c r="O43" s="58" t="str">
        <f>IF($B43="","",IF(COUNTIF(Stammdaten!$AD$10:$AD$30,O$8)&gt;0,"Feiertag",IFERROR(INDEX(Buchungen!$U$6:$U$605,MATCH($B43&amp;"|"&amp;O$8&amp;"|1",Buchungen!$S$6:$S$605,0)),"")&amp;IFERROR(" / "&amp;INDEX(Buchungen!$U$6:$U$605,MATCH($B43&amp;"|"&amp;O$8&amp;"|2",Buchungen!$S$6:$S$605,0)),"")))</f>
        <v>A-12</v>
      </c>
      <c r="P43" s="58" t="str">
        <f>IF($B43="","",IF(COUNTIF(Stammdaten!$AD$10:$AD$30,P$8)&gt;0,"Feiertag",IFERROR(INDEX(Buchungen!$U$6:$U$605,MATCH($B43&amp;"|"&amp;P$8&amp;"|1",Buchungen!$S$6:$S$605,0)),"")&amp;IFERROR(" / "&amp;INDEX(Buchungen!$U$6:$U$605,MATCH($B43&amp;"|"&amp;P$8&amp;"|2",Buchungen!$S$6:$S$605,0)),"")))</f>
        <v/>
      </c>
      <c r="R43" s="50">
        <f t="shared" si="3"/>
        <v>4</v>
      </c>
      <c r="S43" s="50">
        <f t="shared" si="4"/>
        <v>4</v>
      </c>
      <c r="T43" s="59">
        <f t="shared" si="5"/>
        <v>0</v>
      </c>
    </row>
    <row r="44" spans="2:20" ht="18.75" customHeight="1" x14ac:dyDescent="0.25">
      <c r="B44" s="56" t="str">
        <f>IF(Stammdaten!$N44="","",Stammdaten!$N44)</f>
        <v/>
      </c>
      <c r="C44" s="41" t="str">
        <f>IF($B44="","",Stammdaten!$P44)</f>
        <v/>
      </c>
      <c r="D44" s="57" t="str">
        <f>IF($B44="","",Stammdaten!$Q44)</f>
        <v/>
      </c>
      <c r="E44" s="42" t="str">
        <f>IF($B44="","",Stammdaten!$R44)</f>
        <v/>
      </c>
      <c r="F44" s="58" t="str">
        <f>IF($B44="","",IF(COUNTIF(Stammdaten!$AD$10:$AD$30,F$8)&gt;0,"Feiertag",IFERROR(INDEX(Buchungen!$U$6:$U$605,MATCH($B44&amp;"|"&amp;F$8&amp;"|1",Buchungen!$S$6:$S$605,0)),"")&amp;IFERROR(" / "&amp;INDEX(Buchungen!$U$6:$U$605,MATCH($B44&amp;"|"&amp;F$8&amp;"|2",Buchungen!$S$6:$S$605,0)),"")))</f>
        <v/>
      </c>
      <c r="G44" s="58" t="str">
        <f>IF($B44="","",IF(COUNTIF(Stammdaten!$AD$10:$AD$30,G$8)&gt;0,"Feiertag",IFERROR(INDEX(Buchungen!$U$6:$U$605,MATCH($B44&amp;"|"&amp;G$8&amp;"|1",Buchungen!$S$6:$S$605,0)),"")&amp;IFERROR(" / "&amp;INDEX(Buchungen!$U$6:$U$605,MATCH($B44&amp;"|"&amp;G$8&amp;"|2",Buchungen!$S$6:$S$605,0)),"")))</f>
        <v/>
      </c>
      <c r="H44" s="58" t="str">
        <f>IF($B44="","",IF(COUNTIF(Stammdaten!$AD$10:$AD$30,H$8)&gt;0,"Feiertag",IFERROR(INDEX(Buchungen!$U$6:$U$605,MATCH($B44&amp;"|"&amp;H$8&amp;"|1",Buchungen!$S$6:$S$605,0)),"")&amp;IFERROR(" / "&amp;INDEX(Buchungen!$U$6:$U$605,MATCH($B44&amp;"|"&amp;H$8&amp;"|2",Buchungen!$S$6:$S$605,0)),"")))</f>
        <v/>
      </c>
      <c r="I44" s="58" t="str">
        <f>IF($B44="","",IF(COUNTIF(Stammdaten!$AD$10:$AD$30,I$8)&gt;0,"Feiertag",IFERROR(INDEX(Buchungen!$U$6:$U$605,MATCH($B44&amp;"|"&amp;I$8&amp;"|1",Buchungen!$S$6:$S$605,0)),"")&amp;IFERROR(" / "&amp;INDEX(Buchungen!$U$6:$U$605,MATCH($B44&amp;"|"&amp;I$8&amp;"|2",Buchungen!$S$6:$S$605,0)),"")))</f>
        <v/>
      </c>
      <c r="J44" s="58" t="str">
        <f>IF($B44="","",IF(COUNTIF(Stammdaten!$AD$10:$AD$30,J$8)&gt;0,"Feiertag",IFERROR(INDEX(Buchungen!$U$6:$U$605,MATCH($B44&amp;"|"&amp;J$8&amp;"|1",Buchungen!$S$6:$S$605,0)),"")&amp;IFERROR(" / "&amp;INDEX(Buchungen!$U$6:$U$605,MATCH($B44&amp;"|"&amp;J$8&amp;"|2",Buchungen!$S$6:$S$605,0)),"")))</f>
        <v/>
      </c>
      <c r="K44" s="16"/>
      <c r="L44" s="58" t="str">
        <f>IF($B44="","",IF(COUNTIF(Stammdaten!$AD$10:$AD$30,L$8)&gt;0,"Feiertag",IFERROR(INDEX(Buchungen!$U$6:$U$605,MATCH($B44&amp;"|"&amp;L$8&amp;"|1",Buchungen!$S$6:$S$605,0)),"")&amp;IFERROR(" / "&amp;INDEX(Buchungen!$U$6:$U$605,MATCH($B44&amp;"|"&amp;L$8&amp;"|2",Buchungen!$S$6:$S$605,0)),"")))</f>
        <v/>
      </c>
      <c r="M44" s="58" t="str">
        <f>IF($B44="","",IF(COUNTIF(Stammdaten!$AD$10:$AD$30,M$8)&gt;0,"Feiertag",IFERROR(INDEX(Buchungen!$U$6:$U$605,MATCH($B44&amp;"|"&amp;M$8&amp;"|1",Buchungen!$S$6:$S$605,0)),"")&amp;IFERROR(" / "&amp;INDEX(Buchungen!$U$6:$U$605,MATCH($B44&amp;"|"&amp;M$8&amp;"|2",Buchungen!$S$6:$S$605,0)),"")))</f>
        <v/>
      </c>
      <c r="N44" s="58" t="str">
        <f>IF($B44="","",IF(COUNTIF(Stammdaten!$AD$10:$AD$30,N$8)&gt;0,"Feiertag",IFERROR(INDEX(Buchungen!$U$6:$U$605,MATCH($B44&amp;"|"&amp;N$8&amp;"|1",Buchungen!$S$6:$S$605,0)),"")&amp;IFERROR(" / "&amp;INDEX(Buchungen!$U$6:$U$605,MATCH($B44&amp;"|"&amp;N$8&amp;"|2",Buchungen!$S$6:$S$605,0)),"")))</f>
        <v/>
      </c>
      <c r="O44" s="58" t="str">
        <f>IF($B44="","",IF(COUNTIF(Stammdaten!$AD$10:$AD$30,O$8)&gt;0,"Feiertag",IFERROR(INDEX(Buchungen!$U$6:$U$605,MATCH($B44&amp;"|"&amp;O$8&amp;"|1",Buchungen!$S$6:$S$605,0)),"")&amp;IFERROR(" / "&amp;INDEX(Buchungen!$U$6:$U$605,MATCH($B44&amp;"|"&amp;O$8&amp;"|2",Buchungen!$S$6:$S$605,0)),"")))</f>
        <v/>
      </c>
      <c r="P44" s="58" t="str">
        <f>IF($B44="","",IF(COUNTIF(Stammdaten!$AD$10:$AD$30,P$8)&gt;0,"Feiertag",IFERROR(INDEX(Buchungen!$U$6:$U$605,MATCH($B44&amp;"|"&amp;P$8&amp;"|1",Buchungen!$S$6:$S$605,0)),"")&amp;IFERROR(" / "&amp;INDEX(Buchungen!$U$6:$U$605,MATCH($B44&amp;"|"&amp;P$8&amp;"|2",Buchungen!$S$6:$S$605,0)),"")))</f>
        <v/>
      </c>
      <c r="R44" s="50" t="str">
        <f t="shared" si="3"/>
        <v/>
      </c>
      <c r="S44" s="50" t="str">
        <f t="shared" si="4"/>
        <v/>
      </c>
      <c r="T44" s="59" t="str">
        <f t="shared" si="5"/>
        <v/>
      </c>
    </row>
    <row r="45" spans="2:20" ht="18.75" customHeight="1" x14ac:dyDescent="0.25">
      <c r="B45" s="56" t="str">
        <f>IF(Stammdaten!$N45="","",Stammdaten!$N45)</f>
        <v/>
      </c>
      <c r="C45" s="41" t="str">
        <f>IF($B45="","",Stammdaten!$P45)</f>
        <v/>
      </c>
      <c r="D45" s="57" t="str">
        <f>IF($B45="","",Stammdaten!$Q45)</f>
        <v/>
      </c>
      <c r="E45" s="42" t="str">
        <f>IF($B45="","",Stammdaten!$R45)</f>
        <v/>
      </c>
      <c r="F45" s="58" t="str">
        <f>IF($B45="","",IF(COUNTIF(Stammdaten!$AD$10:$AD$30,F$8)&gt;0,"Feiertag",IFERROR(INDEX(Buchungen!$U$6:$U$605,MATCH($B45&amp;"|"&amp;F$8&amp;"|1",Buchungen!$S$6:$S$605,0)),"")&amp;IFERROR(" / "&amp;INDEX(Buchungen!$U$6:$U$605,MATCH($B45&amp;"|"&amp;F$8&amp;"|2",Buchungen!$S$6:$S$605,0)),"")))</f>
        <v/>
      </c>
      <c r="G45" s="58" t="str">
        <f>IF($B45="","",IF(COUNTIF(Stammdaten!$AD$10:$AD$30,G$8)&gt;0,"Feiertag",IFERROR(INDEX(Buchungen!$U$6:$U$605,MATCH($B45&amp;"|"&amp;G$8&amp;"|1",Buchungen!$S$6:$S$605,0)),"")&amp;IFERROR(" / "&amp;INDEX(Buchungen!$U$6:$U$605,MATCH($B45&amp;"|"&amp;G$8&amp;"|2",Buchungen!$S$6:$S$605,0)),"")))</f>
        <v/>
      </c>
      <c r="H45" s="58" t="str">
        <f>IF($B45="","",IF(COUNTIF(Stammdaten!$AD$10:$AD$30,H$8)&gt;0,"Feiertag",IFERROR(INDEX(Buchungen!$U$6:$U$605,MATCH($B45&amp;"|"&amp;H$8&amp;"|1",Buchungen!$S$6:$S$605,0)),"")&amp;IFERROR(" / "&amp;INDEX(Buchungen!$U$6:$U$605,MATCH($B45&amp;"|"&amp;H$8&amp;"|2",Buchungen!$S$6:$S$605,0)),"")))</f>
        <v/>
      </c>
      <c r="I45" s="58" t="str">
        <f>IF($B45="","",IF(COUNTIF(Stammdaten!$AD$10:$AD$30,I$8)&gt;0,"Feiertag",IFERROR(INDEX(Buchungen!$U$6:$U$605,MATCH($B45&amp;"|"&amp;I$8&amp;"|1",Buchungen!$S$6:$S$605,0)),"")&amp;IFERROR(" / "&amp;INDEX(Buchungen!$U$6:$U$605,MATCH($B45&amp;"|"&amp;I$8&amp;"|2",Buchungen!$S$6:$S$605,0)),"")))</f>
        <v/>
      </c>
      <c r="J45" s="58" t="str">
        <f>IF($B45="","",IF(COUNTIF(Stammdaten!$AD$10:$AD$30,J$8)&gt;0,"Feiertag",IFERROR(INDEX(Buchungen!$U$6:$U$605,MATCH($B45&amp;"|"&amp;J$8&amp;"|1",Buchungen!$S$6:$S$605,0)),"")&amp;IFERROR(" / "&amp;INDEX(Buchungen!$U$6:$U$605,MATCH($B45&amp;"|"&amp;J$8&amp;"|2",Buchungen!$S$6:$S$605,0)),"")))</f>
        <v/>
      </c>
      <c r="K45" s="16"/>
      <c r="L45" s="58" t="str">
        <f>IF($B45="","",IF(COUNTIF(Stammdaten!$AD$10:$AD$30,L$8)&gt;0,"Feiertag",IFERROR(INDEX(Buchungen!$U$6:$U$605,MATCH($B45&amp;"|"&amp;L$8&amp;"|1",Buchungen!$S$6:$S$605,0)),"")&amp;IFERROR(" / "&amp;INDEX(Buchungen!$U$6:$U$605,MATCH($B45&amp;"|"&amp;L$8&amp;"|2",Buchungen!$S$6:$S$605,0)),"")))</f>
        <v/>
      </c>
      <c r="M45" s="58" t="str">
        <f>IF($B45="","",IF(COUNTIF(Stammdaten!$AD$10:$AD$30,M$8)&gt;0,"Feiertag",IFERROR(INDEX(Buchungen!$U$6:$U$605,MATCH($B45&amp;"|"&amp;M$8&amp;"|1",Buchungen!$S$6:$S$605,0)),"")&amp;IFERROR(" / "&amp;INDEX(Buchungen!$U$6:$U$605,MATCH($B45&amp;"|"&amp;M$8&amp;"|2",Buchungen!$S$6:$S$605,0)),"")))</f>
        <v/>
      </c>
      <c r="N45" s="58" t="str">
        <f>IF($B45="","",IF(COUNTIF(Stammdaten!$AD$10:$AD$30,N$8)&gt;0,"Feiertag",IFERROR(INDEX(Buchungen!$U$6:$U$605,MATCH($B45&amp;"|"&amp;N$8&amp;"|1",Buchungen!$S$6:$S$605,0)),"")&amp;IFERROR(" / "&amp;INDEX(Buchungen!$U$6:$U$605,MATCH($B45&amp;"|"&amp;N$8&amp;"|2",Buchungen!$S$6:$S$605,0)),"")))</f>
        <v/>
      </c>
      <c r="O45" s="58" t="str">
        <f>IF($B45="","",IF(COUNTIF(Stammdaten!$AD$10:$AD$30,O$8)&gt;0,"Feiertag",IFERROR(INDEX(Buchungen!$U$6:$U$605,MATCH($B45&amp;"|"&amp;O$8&amp;"|1",Buchungen!$S$6:$S$605,0)),"")&amp;IFERROR(" / "&amp;INDEX(Buchungen!$U$6:$U$605,MATCH($B45&amp;"|"&amp;O$8&amp;"|2",Buchungen!$S$6:$S$605,0)),"")))</f>
        <v/>
      </c>
      <c r="P45" s="58" t="str">
        <f>IF($B45="","",IF(COUNTIF(Stammdaten!$AD$10:$AD$30,P$8)&gt;0,"Feiertag",IFERROR(INDEX(Buchungen!$U$6:$U$605,MATCH($B45&amp;"|"&amp;P$8&amp;"|1",Buchungen!$S$6:$S$605,0)),"")&amp;IFERROR(" / "&amp;INDEX(Buchungen!$U$6:$U$605,MATCH($B45&amp;"|"&amp;P$8&amp;"|2",Buchungen!$S$6:$S$605,0)),"")))</f>
        <v/>
      </c>
      <c r="R45" s="50" t="str">
        <f t="shared" si="3"/>
        <v/>
      </c>
      <c r="S45" s="50" t="str">
        <f t="shared" si="4"/>
        <v/>
      </c>
      <c r="T45" s="59" t="str">
        <f t="shared" si="5"/>
        <v/>
      </c>
    </row>
    <row r="46" spans="2:20" ht="18.75" customHeight="1" x14ac:dyDescent="0.25">
      <c r="B46" s="56" t="str">
        <f>IF(Stammdaten!$N46="","",Stammdaten!$N46)</f>
        <v/>
      </c>
      <c r="C46" s="41" t="str">
        <f>IF($B46="","",Stammdaten!$P46)</f>
        <v/>
      </c>
      <c r="D46" s="57" t="str">
        <f>IF($B46="","",Stammdaten!$Q46)</f>
        <v/>
      </c>
      <c r="E46" s="42" t="str">
        <f>IF($B46="","",Stammdaten!$R46)</f>
        <v/>
      </c>
      <c r="F46" s="58" t="str">
        <f>IF($B46="","",IF(COUNTIF(Stammdaten!$AD$10:$AD$30,F$8)&gt;0,"Feiertag",IFERROR(INDEX(Buchungen!$U$6:$U$605,MATCH($B46&amp;"|"&amp;F$8&amp;"|1",Buchungen!$S$6:$S$605,0)),"")&amp;IFERROR(" / "&amp;INDEX(Buchungen!$U$6:$U$605,MATCH($B46&amp;"|"&amp;F$8&amp;"|2",Buchungen!$S$6:$S$605,0)),"")))</f>
        <v/>
      </c>
      <c r="G46" s="58" t="str">
        <f>IF($B46="","",IF(COUNTIF(Stammdaten!$AD$10:$AD$30,G$8)&gt;0,"Feiertag",IFERROR(INDEX(Buchungen!$U$6:$U$605,MATCH($B46&amp;"|"&amp;G$8&amp;"|1",Buchungen!$S$6:$S$605,0)),"")&amp;IFERROR(" / "&amp;INDEX(Buchungen!$U$6:$U$605,MATCH($B46&amp;"|"&amp;G$8&amp;"|2",Buchungen!$S$6:$S$605,0)),"")))</f>
        <v/>
      </c>
      <c r="H46" s="58" t="str">
        <f>IF($B46="","",IF(COUNTIF(Stammdaten!$AD$10:$AD$30,H$8)&gt;0,"Feiertag",IFERROR(INDEX(Buchungen!$U$6:$U$605,MATCH($B46&amp;"|"&amp;H$8&amp;"|1",Buchungen!$S$6:$S$605,0)),"")&amp;IFERROR(" / "&amp;INDEX(Buchungen!$U$6:$U$605,MATCH($B46&amp;"|"&amp;H$8&amp;"|2",Buchungen!$S$6:$S$605,0)),"")))</f>
        <v/>
      </c>
      <c r="I46" s="58" t="str">
        <f>IF($B46="","",IF(COUNTIF(Stammdaten!$AD$10:$AD$30,I$8)&gt;0,"Feiertag",IFERROR(INDEX(Buchungen!$U$6:$U$605,MATCH($B46&amp;"|"&amp;I$8&amp;"|1",Buchungen!$S$6:$S$605,0)),"")&amp;IFERROR(" / "&amp;INDEX(Buchungen!$U$6:$U$605,MATCH($B46&amp;"|"&amp;I$8&amp;"|2",Buchungen!$S$6:$S$605,0)),"")))</f>
        <v/>
      </c>
      <c r="J46" s="58" t="str">
        <f>IF($B46="","",IF(COUNTIF(Stammdaten!$AD$10:$AD$30,J$8)&gt;0,"Feiertag",IFERROR(INDEX(Buchungen!$U$6:$U$605,MATCH($B46&amp;"|"&amp;J$8&amp;"|1",Buchungen!$S$6:$S$605,0)),"")&amp;IFERROR(" / "&amp;INDEX(Buchungen!$U$6:$U$605,MATCH($B46&amp;"|"&amp;J$8&amp;"|2",Buchungen!$S$6:$S$605,0)),"")))</f>
        <v/>
      </c>
      <c r="K46" s="16"/>
      <c r="L46" s="58" t="str">
        <f>IF($B46="","",IF(COUNTIF(Stammdaten!$AD$10:$AD$30,L$8)&gt;0,"Feiertag",IFERROR(INDEX(Buchungen!$U$6:$U$605,MATCH($B46&amp;"|"&amp;L$8&amp;"|1",Buchungen!$S$6:$S$605,0)),"")&amp;IFERROR(" / "&amp;INDEX(Buchungen!$U$6:$U$605,MATCH($B46&amp;"|"&amp;L$8&amp;"|2",Buchungen!$S$6:$S$605,0)),"")))</f>
        <v/>
      </c>
      <c r="M46" s="58" t="str">
        <f>IF($B46="","",IF(COUNTIF(Stammdaten!$AD$10:$AD$30,M$8)&gt;0,"Feiertag",IFERROR(INDEX(Buchungen!$U$6:$U$605,MATCH($B46&amp;"|"&amp;M$8&amp;"|1",Buchungen!$S$6:$S$605,0)),"")&amp;IFERROR(" / "&amp;INDEX(Buchungen!$U$6:$U$605,MATCH($B46&amp;"|"&amp;M$8&amp;"|2",Buchungen!$S$6:$S$605,0)),"")))</f>
        <v/>
      </c>
      <c r="N46" s="58" t="str">
        <f>IF($B46="","",IF(COUNTIF(Stammdaten!$AD$10:$AD$30,N$8)&gt;0,"Feiertag",IFERROR(INDEX(Buchungen!$U$6:$U$605,MATCH($B46&amp;"|"&amp;N$8&amp;"|1",Buchungen!$S$6:$S$605,0)),"")&amp;IFERROR(" / "&amp;INDEX(Buchungen!$U$6:$U$605,MATCH($B46&amp;"|"&amp;N$8&amp;"|2",Buchungen!$S$6:$S$605,0)),"")))</f>
        <v/>
      </c>
      <c r="O46" s="58" t="str">
        <f>IF($B46="","",IF(COUNTIF(Stammdaten!$AD$10:$AD$30,O$8)&gt;0,"Feiertag",IFERROR(INDEX(Buchungen!$U$6:$U$605,MATCH($B46&amp;"|"&amp;O$8&amp;"|1",Buchungen!$S$6:$S$605,0)),"")&amp;IFERROR(" / "&amp;INDEX(Buchungen!$U$6:$U$605,MATCH($B46&amp;"|"&amp;O$8&amp;"|2",Buchungen!$S$6:$S$605,0)),"")))</f>
        <v/>
      </c>
      <c r="P46" s="58" t="str">
        <f>IF($B46="","",IF(COUNTIF(Stammdaten!$AD$10:$AD$30,P$8)&gt;0,"Feiertag",IFERROR(INDEX(Buchungen!$U$6:$U$605,MATCH($B46&amp;"|"&amp;P$8&amp;"|1",Buchungen!$S$6:$S$605,0)),"")&amp;IFERROR(" / "&amp;INDEX(Buchungen!$U$6:$U$605,MATCH($B46&amp;"|"&amp;P$8&amp;"|2",Buchungen!$S$6:$S$605,0)),"")))</f>
        <v/>
      </c>
      <c r="R46" s="50" t="str">
        <f t="shared" si="3"/>
        <v/>
      </c>
      <c r="S46" s="50" t="str">
        <f t="shared" si="4"/>
        <v/>
      </c>
      <c r="T46" s="59" t="str">
        <f t="shared" si="5"/>
        <v/>
      </c>
    </row>
    <row r="47" spans="2:20" ht="18.75" customHeight="1" x14ac:dyDescent="0.25">
      <c r="B47" s="56" t="str">
        <f>IF(Stammdaten!$N47="","",Stammdaten!$N47)</f>
        <v/>
      </c>
      <c r="C47" s="41" t="str">
        <f>IF($B47="","",Stammdaten!$P47)</f>
        <v/>
      </c>
      <c r="D47" s="57" t="str">
        <f>IF($B47="","",Stammdaten!$Q47)</f>
        <v/>
      </c>
      <c r="E47" s="42" t="str">
        <f>IF($B47="","",Stammdaten!$R47)</f>
        <v/>
      </c>
      <c r="F47" s="58" t="str">
        <f>IF($B47="","",IF(COUNTIF(Stammdaten!$AD$10:$AD$30,F$8)&gt;0,"Feiertag",IFERROR(INDEX(Buchungen!$U$6:$U$605,MATCH($B47&amp;"|"&amp;F$8&amp;"|1",Buchungen!$S$6:$S$605,0)),"")&amp;IFERROR(" / "&amp;INDEX(Buchungen!$U$6:$U$605,MATCH($B47&amp;"|"&amp;F$8&amp;"|2",Buchungen!$S$6:$S$605,0)),"")))</f>
        <v/>
      </c>
      <c r="G47" s="58" t="str">
        <f>IF($B47="","",IF(COUNTIF(Stammdaten!$AD$10:$AD$30,G$8)&gt;0,"Feiertag",IFERROR(INDEX(Buchungen!$U$6:$U$605,MATCH($B47&amp;"|"&amp;G$8&amp;"|1",Buchungen!$S$6:$S$605,0)),"")&amp;IFERROR(" / "&amp;INDEX(Buchungen!$U$6:$U$605,MATCH($B47&amp;"|"&amp;G$8&amp;"|2",Buchungen!$S$6:$S$605,0)),"")))</f>
        <v/>
      </c>
      <c r="H47" s="58" t="str">
        <f>IF($B47="","",IF(COUNTIF(Stammdaten!$AD$10:$AD$30,H$8)&gt;0,"Feiertag",IFERROR(INDEX(Buchungen!$U$6:$U$605,MATCH($B47&amp;"|"&amp;H$8&amp;"|1",Buchungen!$S$6:$S$605,0)),"")&amp;IFERROR(" / "&amp;INDEX(Buchungen!$U$6:$U$605,MATCH($B47&amp;"|"&amp;H$8&amp;"|2",Buchungen!$S$6:$S$605,0)),"")))</f>
        <v/>
      </c>
      <c r="I47" s="58" t="str">
        <f>IF($B47="","",IF(COUNTIF(Stammdaten!$AD$10:$AD$30,I$8)&gt;0,"Feiertag",IFERROR(INDEX(Buchungen!$U$6:$U$605,MATCH($B47&amp;"|"&amp;I$8&amp;"|1",Buchungen!$S$6:$S$605,0)),"")&amp;IFERROR(" / "&amp;INDEX(Buchungen!$U$6:$U$605,MATCH($B47&amp;"|"&amp;I$8&amp;"|2",Buchungen!$S$6:$S$605,0)),"")))</f>
        <v/>
      </c>
      <c r="J47" s="58" t="str">
        <f>IF($B47="","",IF(COUNTIF(Stammdaten!$AD$10:$AD$30,J$8)&gt;0,"Feiertag",IFERROR(INDEX(Buchungen!$U$6:$U$605,MATCH($B47&amp;"|"&amp;J$8&amp;"|1",Buchungen!$S$6:$S$605,0)),"")&amp;IFERROR(" / "&amp;INDEX(Buchungen!$U$6:$U$605,MATCH($B47&amp;"|"&amp;J$8&amp;"|2",Buchungen!$S$6:$S$605,0)),"")))</f>
        <v/>
      </c>
      <c r="K47" s="16"/>
      <c r="L47" s="58" t="str">
        <f>IF($B47="","",IF(COUNTIF(Stammdaten!$AD$10:$AD$30,L$8)&gt;0,"Feiertag",IFERROR(INDEX(Buchungen!$U$6:$U$605,MATCH($B47&amp;"|"&amp;L$8&amp;"|1",Buchungen!$S$6:$S$605,0)),"")&amp;IFERROR(" / "&amp;INDEX(Buchungen!$U$6:$U$605,MATCH($B47&amp;"|"&amp;L$8&amp;"|2",Buchungen!$S$6:$S$605,0)),"")))</f>
        <v/>
      </c>
      <c r="M47" s="58" t="str">
        <f>IF($B47="","",IF(COUNTIF(Stammdaten!$AD$10:$AD$30,M$8)&gt;0,"Feiertag",IFERROR(INDEX(Buchungen!$U$6:$U$605,MATCH($B47&amp;"|"&amp;M$8&amp;"|1",Buchungen!$S$6:$S$605,0)),"")&amp;IFERROR(" / "&amp;INDEX(Buchungen!$U$6:$U$605,MATCH($B47&amp;"|"&amp;M$8&amp;"|2",Buchungen!$S$6:$S$605,0)),"")))</f>
        <v/>
      </c>
      <c r="N47" s="58" t="str">
        <f>IF($B47="","",IF(COUNTIF(Stammdaten!$AD$10:$AD$30,N$8)&gt;0,"Feiertag",IFERROR(INDEX(Buchungen!$U$6:$U$605,MATCH($B47&amp;"|"&amp;N$8&amp;"|1",Buchungen!$S$6:$S$605,0)),"")&amp;IFERROR(" / "&amp;INDEX(Buchungen!$U$6:$U$605,MATCH($B47&amp;"|"&amp;N$8&amp;"|2",Buchungen!$S$6:$S$605,0)),"")))</f>
        <v/>
      </c>
      <c r="O47" s="58" t="str">
        <f>IF($B47="","",IF(COUNTIF(Stammdaten!$AD$10:$AD$30,O$8)&gt;0,"Feiertag",IFERROR(INDEX(Buchungen!$U$6:$U$605,MATCH($B47&amp;"|"&amp;O$8&amp;"|1",Buchungen!$S$6:$S$605,0)),"")&amp;IFERROR(" / "&amp;INDEX(Buchungen!$U$6:$U$605,MATCH($B47&amp;"|"&amp;O$8&amp;"|2",Buchungen!$S$6:$S$605,0)),"")))</f>
        <v/>
      </c>
      <c r="P47" s="58" t="str">
        <f>IF($B47="","",IF(COUNTIF(Stammdaten!$AD$10:$AD$30,P$8)&gt;0,"Feiertag",IFERROR(INDEX(Buchungen!$U$6:$U$605,MATCH($B47&amp;"|"&amp;P$8&amp;"|1",Buchungen!$S$6:$S$605,0)),"")&amp;IFERROR(" / "&amp;INDEX(Buchungen!$U$6:$U$605,MATCH($B47&amp;"|"&amp;P$8&amp;"|2",Buchungen!$S$6:$S$605,0)),"")))</f>
        <v/>
      </c>
      <c r="R47" s="50" t="str">
        <f t="shared" si="3"/>
        <v/>
      </c>
      <c r="S47" s="50" t="str">
        <f t="shared" si="4"/>
        <v/>
      </c>
      <c r="T47" s="59" t="str">
        <f t="shared" si="5"/>
        <v/>
      </c>
    </row>
    <row r="48" spans="2:20" ht="18.75" customHeight="1" x14ac:dyDescent="0.25">
      <c r="B48" s="56" t="str">
        <f>IF(Stammdaten!$N48="","",Stammdaten!$N48)</f>
        <v/>
      </c>
      <c r="C48" s="41" t="str">
        <f>IF($B48="","",Stammdaten!$P48)</f>
        <v/>
      </c>
      <c r="D48" s="57" t="str">
        <f>IF($B48="","",Stammdaten!$Q48)</f>
        <v/>
      </c>
      <c r="E48" s="42" t="str">
        <f>IF($B48="","",Stammdaten!$R48)</f>
        <v/>
      </c>
      <c r="F48" s="58" t="str">
        <f>IF($B48="","",IF(COUNTIF(Stammdaten!$AD$10:$AD$30,F$8)&gt;0,"Feiertag",IFERROR(INDEX(Buchungen!$U$6:$U$605,MATCH($B48&amp;"|"&amp;F$8&amp;"|1",Buchungen!$S$6:$S$605,0)),"")&amp;IFERROR(" / "&amp;INDEX(Buchungen!$U$6:$U$605,MATCH($B48&amp;"|"&amp;F$8&amp;"|2",Buchungen!$S$6:$S$605,0)),"")))</f>
        <v/>
      </c>
      <c r="G48" s="58" t="str">
        <f>IF($B48="","",IF(COUNTIF(Stammdaten!$AD$10:$AD$30,G$8)&gt;0,"Feiertag",IFERROR(INDEX(Buchungen!$U$6:$U$605,MATCH($B48&amp;"|"&amp;G$8&amp;"|1",Buchungen!$S$6:$S$605,0)),"")&amp;IFERROR(" / "&amp;INDEX(Buchungen!$U$6:$U$605,MATCH($B48&amp;"|"&amp;G$8&amp;"|2",Buchungen!$S$6:$S$605,0)),"")))</f>
        <v/>
      </c>
      <c r="H48" s="58" t="str">
        <f>IF($B48="","",IF(COUNTIF(Stammdaten!$AD$10:$AD$30,H$8)&gt;0,"Feiertag",IFERROR(INDEX(Buchungen!$U$6:$U$605,MATCH($B48&amp;"|"&amp;H$8&amp;"|1",Buchungen!$S$6:$S$605,0)),"")&amp;IFERROR(" / "&amp;INDEX(Buchungen!$U$6:$U$605,MATCH($B48&amp;"|"&amp;H$8&amp;"|2",Buchungen!$S$6:$S$605,0)),"")))</f>
        <v/>
      </c>
      <c r="I48" s="58" t="str">
        <f>IF($B48="","",IF(COUNTIF(Stammdaten!$AD$10:$AD$30,I$8)&gt;0,"Feiertag",IFERROR(INDEX(Buchungen!$U$6:$U$605,MATCH($B48&amp;"|"&amp;I$8&amp;"|1",Buchungen!$S$6:$S$605,0)),"")&amp;IFERROR(" / "&amp;INDEX(Buchungen!$U$6:$U$605,MATCH($B48&amp;"|"&amp;I$8&amp;"|2",Buchungen!$S$6:$S$605,0)),"")))</f>
        <v/>
      </c>
      <c r="J48" s="58" t="str">
        <f>IF($B48="","",IF(COUNTIF(Stammdaten!$AD$10:$AD$30,J$8)&gt;0,"Feiertag",IFERROR(INDEX(Buchungen!$U$6:$U$605,MATCH($B48&amp;"|"&amp;J$8&amp;"|1",Buchungen!$S$6:$S$605,0)),"")&amp;IFERROR(" / "&amp;INDEX(Buchungen!$U$6:$U$605,MATCH($B48&amp;"|"&amp;J$8&amp;"|2",Buchungen!$S$6:$S$605,0)),"")))</f>
        <v/>
      </c>
      <c r="K48" s="16"/>
      <c r="L48" s="58" t="str">
        <f>IF($B48="","",IF(COUNTIF(Stammdaten!$AD$10:$AD$30,L$8)&gt;0,"Feiertag",IFERROR(INDEX(Buchungen!$U$6:$U$605,MATCH($B48&amp;"|"&amp;L$8&amp;"|1",Buchungen!$S$6:$S$605,0)),"")&amp;IFERROR(" / "&amp;INDEX(Buchungen!$U$6:$U$605,MATCH($B48&amp;"|"&amp;L$8&amp;"|2",Buchungen!$S$6:$S$605,0)),"")))</f>
        <v/>
      </c>
      <c r="M48" s="58" t="str">
        <f>IF($B48="","",IF(COUNTIF(Stammdaten!$AD$10:$AD$30,M$8)&gt;0,"Feiertag",IFERROR(INDEX(Buchungen!$U$6:$U$605,MATCH($B48&amp;"|"&amp;M$8&amp;"|1",Buchungen!$S$6:$S$605,0)),"")&amp;IFERROR(" / "&amp;INDEX(Buchungen!$U$6:$U$605,MATCH($B48&amp;"|"&amp;M$8&amp;"|2",Buchungen!$S$6:$S$605,0)),"")))</f>
        <v/>
      </c>
      <c r="N48" s="58" t="str">
        <f>IF($B48="","",IF(COUNTIF(Stammdaten!$AD$10:$AD$30,N$8)&gt;0,"Feiertag",IFERROR(INDEX(Buchungen!$U$6:$U$605,MATCH($B48&amp;"|"&amp;N$8&amp;"|1",Buchungen!$S$6:$S$605,0)),"")&amp;IFERROR(" / "&amp;INDEX(Buchungen!$U$6:$U$605,MATCH($B48&amp;"|"&amp;N$8&amp;"|2",Buchungen!$S$6:$S$605,0)),"")))</f>
        <v/>
      </c>
      <c r="O48" s="58" t="str">
        <f>IF($B48="","",IF(COUNTIF(Stammdaten!$AD$10:$AD$30,O$8)&gt;0,"Feiertag",IFERROR(INDEX(Buchungen!$U$6:$U$605,MATCH($B48&amp;"|"&amp;O$8&amp;"|1",Buchungen!$S$6:$S$605,0)),"")&amp;IFERROR(" / "&amp;INDEX(Buchungen!$U$6:$U$605,MATCH($B48&amp;"|"&amp;O$8&amp;"|2",Buchungen!$S$6:$S$605,0)),"")))</f>
        <v/>
      </c>
      <c r="P48" s="58" t="str">
        <f>IF($B48="","",IF(COUNTIF(Stammdaten!$AD$10:$AD$30,P$8)&gt;0,"Feiertag",IFERROR(INDEX(Buchungen!$U$6:$U$605,MATCH($B48&amp;"|"&amp;P$8&amp;"|1",Buchungen!$S$6:$S$605,0)),"")&amp;IFERROR(" / "&amp;INDEX(Buchungen!$U$6:$U$605,MATCH($B48&amp;"|"&amp;P$8&amp;"|2",Buchungen!$S$6:$S$605,0)),"")))</f>
        <v/>
      </c>
      <c r="R48" s="50" t="str">
        <f t="shared" si="3"/>
        <v/>
      </c>
      <c r="S48" s="50" t="str">
        <f t="shared" si="4"/>
        <v/>
      </c>
      <c r="T48" s="59" t="str">
        <f t="shared" si="5"/>
        <v/>
      </c>
    </row>
    <row r="49" spans="2:20" ht="18.75" customHeight="1" x14ac:dyDescent="0.25">
      <c r="B49" s="56" t="str">
        <f>IF(Stammdaten!$N49="","",Stammdaten!$N49)</f>
        <v/>
      </c>
      <c r="C49" s="41" t="str">
        <f>IF($B49="","",Stammdaten!$P49)</f>
        <v/>
      </c>
      <c r="D49" s="57" t="str">
        <f>IF($B49="","",Stammdaten!$Q49)</f>
        <v/>
      </c>
      <c r="E49" s="42" t="str">
        <f>IF($B49="","",Stammdaten!$R49)</f>
        <v/>
      </c>
      <c r="F49" s="58" t="str">
        <f>IF($B49="","",IF(COUNTIF(Stammdaten!$AD$10:$AD$30,F$8)&gt;0,"Feiertag",IFERROR(INDEX(Buchungen!$U$6:$U$605,MATCH($B49&amp;"|"&amp;F$8&amp;"|1",Buchungen!$S$6:$S$605,0)),"")&amp;IFERROR(" / "&amp;INDEX(Buchungen!$U$6:$U$605,MATCH($B49&amp;"|"&amp;F$8&amp;"|2",Buchungen!$S$6:$S$605,0)),"")))</f>
        <v/>
      </c>
      <c r="G49" s="58" t="str">
        <f>IF($B49="","",IF(COUNTIF(Stammdaten!$AD$10:$AD$30,G$8)&gt;0,"Feiertag",IFERROR(INDEX(Buchungen!$U$6:$U$605,MATCH($B49&amp;"|"&amp;G$8&amp;"|1",Buchungen!$S$6:$S$605,0)),"")&amp;IFERROR(" / "&amp;INDEX(Buchungen!$U$6:$U$605,MATCH($B49&amp;"|"&amp;G$8&amp;"|2",Buchungen!$S$6:$S$605,0)),"")))</f>
        <v/>
      </c>
      <c r="H49" s="58" t="str">
        <f>IF($B49="","",IF(COUNTIF(Stammdaten!$AD$10:$AD$30,H$8)&gt;0,"Feiertag",IFERROR(INDEX(Buchungen!$U$6:$U$605,MATCH($B49&amp;"|"&amp;H$8&amp;"|1",Buchungen!$S$6:$S$605,0)),"")&amp;IFERROR(" / "&amp;INDEX(Buchungen!$U$6:$U$605,MATCH($B49&amp;"|"&amp;H$8&amp;"|2",Buchungen!$S$6:$S$605,0)),"")))</f>
        <v/>
      </c>
      <c r="I49" s="58" t="str">
        <f>IF($B49="","",IF(COUNTIF(Stammdaten!$AD$10:$AD$30,I$8)&gt;0,"Feiertag",IFERROR(INDEX(Buchungen!$U$6:$U$605,MATCH($B49&amp;"|"&amp;I$8&amp;"|1",Buchungen!$S$6:$S$605,0)),"")&amp;IFERROR(" / "&amp;INDEX(Buchungen!$U$6:$U$605,MATCH($B49&amp;"|"&amp;I$8&amp;"|2",Buchungen!$S$6:$S$605,0)),"")))</f>
        <v/>
      </c>
      <c r="J49" s="58" t="str">
        <f>IF($B49="","",IF(COUNTIF(Stammdaten!$AD$10:$AD$30,J$8)&gt;0,"Feiertag",IFERROR(INDEX(Buchungen!$U$6:$U$605,MATCH($B49&amp;"|"&amp;J$8&amp;"|1",Buchungen!$S$6:$S$605,0)),"")&amp;IFERROR(" / "&amp;INDEX(Buchungen!$U$6:$U$605,MATCH($B49&amp;"|"&amp;J$8&amp;"|2",Buchungen!$S$6:$S$605,0)),"")))</f>
        <v/>
      </c>
      <c r="K49" s="16"/>
      <c r="L49" s="58" t="str">
        <f>IF($B49="","",IF(COUNTIF(Stammdaten!$AD$10:$AD$30,L$8)&gt;0,"Feiertag",IFERROR(INDEX(Buchungen!$U$6:$U$605,MATCH($B49&amp;"|"&amp;L$8&amp;"|1",Buchungen!$S$6:$S$605,0)),"")&amp;IFERROR(" / "&amp;INDEX(Buchungen!$U$6:$U$605,MATCH($B49&amp;"|"&amp;L$8&amp;"|2",Buchungen!$S$6:$S$605,0)),"")))</f>
        <v/>
      </c>
      <c r="M49" s="58" t="str">
        <f>IF($B49="","",IF(COUNTIF(Stammdaten!$AD$10:$AD$30,M$8)&gt;0,"Feiertag",IFERROR(INDEX(Buchungen!$U$6:$U$605,MATCH($B49&amp;"|"&amp;M$8&amp;"|1",Buchungen!$S$6:$S$605,0)),"")&amp;IFERROR(" / "&amp;INDEX(Buchungen!$U$6:$U$605,MATCH($B49&amp;"|"&amp;M$8&amp;"|2",Buchungen!$S$6:$S$605,0)),"")))</f>
        <v/>
      </c>
      <c r="N49" s="58" t="str">
        <f>IF($B49="","",IF(COUNTIF(Stammdaten!$AD$10:$AD$30,N$8)&gt;0,"Feiertag",IFERROR(INDEX(Buchungen!$U$6:$U$605,MATCH($B49&amp;"|"&amp;N$8&amp;"|1",Buchungen!$S$6:$S$605,0)),"")&amp;IFERROR(" / "&amp;INDEX(Buchungen!$U$6:$U$605,MATCH($B49&amp;"|"&amp;N$8&amp;"|2",Buchungen!$S$6:$S$605,0)),"")))</f>
        <v/>
      </c>
      <c r="O49" s="58" t="str">
        <f>IF($B49="","",IF(COUNTIF(Stammdaten!$AD$10:$AD$30,O$8)&gt;0,"Feiertag",IFERROR(INDEX(Buchungen!$U$6:$U$605,MATCH($B49&amp;"|"&amp;O$8&amp;"|1",Buchungen!$S$6:$S$605,0)),"")&amp;IFERROR(" / "&amp;INDEX(Buchungen!$U$6:$U$605,MATCH($B49&amp;"|"&amp;O$8&amp;"|2",Buchungen!$S$6:$S$605,0)),"")))</f>
        <v/>
      </c>
      <c r="P49" s="58" t="str">
        <f>IF($B49="","",IF(COUNTIF(Stammdaten!$AD$10:$AD$30,P$8)&gt;0,"Feiertag",IFERROR(INDEX(Buchungen!$U$6:$U$605,MATCH($B49&amp;"|"&amp;P$8&amp;"|1",Buchungen!$S$6:$S$605,0)),"")&amp;IFERROR(" / "&amp;INDEX(Buchungen!$U$6:$U$605,MATCH($B49&amp;"|"&amp;P$8&amp;"|2",Buchungen!$S$6:$S$605,0)),"")))</f>
        <v/>
      </c>
      <c r="R49" s="50" t="str">
        <f t="shared" si="3"/>
        <v/>
      </c>
      <c r="S49" s="50" t="str">
        <f t="shared" si="4"/>
        <v/>
      </c>
      <c r="T49" s="59" t="str">
        <f t="shared" si="5"/>
        <v/>
      </c>
    </row>
    <row r="50" spans="2:20" ht="18.75" customHeight="1" x14ac:dyDescent="0.25">
      <c r="B50" s="56" t="str">
        <f>IF(Stammdaten!$N50="","",Stammdaten!$N50)</f>
        <v/>
      </c>
      <c r="C50" s="41" t="str">
        <f>IF($B50="","",Stammdaten!$P50)</f>
        <v/>
      </c>
      <c r="D50" s="57" t="str">
        <f>IF($B50="","",Stammdaten!$Q50)</f>
        <v/>
      </c>
      <c r="E50" s="42" t="str">
        <f>IF($B50="","",Stammdaten!$R50)</f>
        <v/>
      </c>
      <c r="F50" s="58" t="str">
        <f>IF($B50="","",IF(COUNTIF(Stammdaten!$AD$10:$AD$30,F$8)&gt;0,"Feiertag",IFERROR(INDEX(Buchungen!$U$6:$U$605,MATCH($B50&amp;"|"&amp;F$8&amp;"|1",Buchungen!$S$6:$S$605,0)),"")&amp;IFERROR(" / "&amp;INDEX(Buchungen!$U$6:$U$605,MATCH($B50&amp;"|"&amp;F$8&amp;"|2",Buchungen!$S$6:$S$605,0)),"")))</f>
        <v/>
      </c>
      <c r="G50" s="58" t="str">
        <f>IF($B50="","",IF(COUNTIF(Stammdaten!$AD$10:$AD$30,G$8)&gt;0,"Feiertag",IFERROR(INDEX(Buchungen!$U$6:$U$605,MATCH($B50&amp;"|"&amp;G$8&amp;"|1",Buchungen!$S$6:$S$605,0)),"")&amp;IFERROR(" / "&amp;INDEX(Buchungen!$U$6:$U$605,MATCH($B50&amp;"|"&amp;G$8&amp;"|2",Buchungen!$S$6:$S$605,0)),"")))</f>
        <v/>
      </c>
      <c r="H50" s="58" t="str">
        <f>IF($B50="","",IF(COUNTIF(Stammdaten!$AD$10:$AD$30,H$8)&gt;0,"Feiertag",IFERROR(INDEX(Buchungen!$U$6:$U$605,MATCH($B50&amp;"|"&amp;H$8&amp;"|1",Buchungen!$S$6:$S$605,0)),"")&amp;IFERROR(" / "&amp;INDEX(Buchungen!$U$6:$U$605,MATCH($B50&amp;"|"&amp;H$8&amp;"|2",Buchungen!$S$6:$S$605,0)),"")))</f>
        <v/>
      </c>
      <c r="I50" s="58" t="str">
        <f>IF($B50="","",IF(COUNTIF(Stammdaten!$AD$10:$AD$30,I$8)&gt;0,"Feiertag",IFERROR(INDEX(Buchungen!$U$6:$U$605,MATCH($B50&amp;"|"&amp;I$8&amp;"|1",Buchungen!$S$6:$S$605,0)),"")&amp;IFERROR(" / "&amp;INDEX(Buchungen!$U$6:$U$605,MATCH($B50&amp;"|"&amp;I$8&amp;"|2",Buchungen!$S$6:$S$605,0)),"")))</f>
        <v/>
      </c>
      <c r="J50" s="58" t="str">
        <f>IF($B50="","",IF(COUNTIF(Stammdaten!$AD$10:$AD$30,J$8)&gt;0,"Feiertag",IFERROR(INDEX(Buchungen!$U$6:$U$605,MATCH($B50&amp;"|"&amp;J$8&amp;"|1",Buchungen!$S$6:$S$605,0)),"")&amp;IFERROR(" / "&amp;INDEX(Buchungen!$U$6:$U$605,MATCH($B50&amp;"|"&amp;J$8&amp;"|2",Buchungen!$S$6:$S$605,0)),"")))</f>
        <v/>
      </c>
      <c r="K50" s="16"/>
      <c r="L50" s="58" t="str">
        <f>IF($B50="","",IF(COUNTIF(Stammdaten!$AD$10:$AD$30,L$8)&gt;0,"Feiertag",IFERROR(INDEX(Buchungen!$U$6:$U$605,MATCH($B50&amp;"|"&amp;L$8&amp;"|1",Buchungen!$S$6:$S$605,0)),"")&amp;IFERROR(" / "&amp;INDEX(Buchungen!$U$6:$U$605,MATCH($B50&amp;"|"&amp;L$8&amp;"|2",Buchungen!$S$6:$S$605,0)),"")))</f>
        <v/>
      </c>
      <c r="M50" s="58" t="str">
        <f>IF($B50="","",IF(COUNTIF(Stammdaten!$AD$10:$AD$30,M$8)&gt;0,"Feiertag",IFERROR(INDEX(Buchungen!$U$6:$U$605,MATCH($B50&amp;"|"&amp;M$8&amp;"|1",Buchungen!$S$6:$S$605,0)),"")&amp;IFERROR(" / "&amp;INDEX(Buchungen!$U$6:$U$605,MATCH($B50&amp;"|"&amp;M$8&amp;"|2",Buchungen!$S$6:$S$605,0)),"")))</f>
        <v/>
      </c>
      <c r="N50" s="58" t="str">
        <f>IF($B50="","",IF(COUNTIF(Stammdaten!$AD$10:$AD$30,N$8)&gt;0,"Feiertag",IFERROR(INDEX(Buchungen!$U$6:$U$605,MATCH($B50&amp;"|"&amp;N$8&amp;"|1",Buchungen!$S$6:$S$605,0)),"")&amp;IFERROR(" / "&amp;INDEX(Buchungen!$U$6:$U$605,MATCH($B50&amp;"|"&amp;N$8&amp;"|2",Buchungen!$S$6:$S$605,0)),"")))</f>
        <v/>
      </c>
      <c r="O50" s="58" t="str">
        <f>IF($B50="","",IF(COUNTIF(Stammdaten!$AD$10:$AD$30,O$8)&gt;0,"Feiertag",IFERROR(INDEX(Buchungen!$U$6:$U$605,MATCH($B50&amp;"|"&amp;O$8&amp;"|1",Buchungen!$S$6:$S$605,0)),"")&amp;IFERROR(" / "&amp;INDEX(Buchungen!$U$6:$U$605,MATCH($B50&amp;"|"&amp;O$8&amp;"|2",Buchungen!$S$6:$S$605,0)),"")))</f>
        <v/>
      </c>
      <c r="P50" s="58" t="str">
        <f>IF($B50="","",IF(COUNTIF(Stammdaten!$AD$10:$AD$30,P$8)&gt;0,"Feiertag",IFERROR(INDEX(Buchungen!$U$6:$U$605,MATCH($B50&amp;"|"&amp;P$8&amp;"|1",Buchungen!$S$6:$S$605,0)),"")&amp;IFERROR(" / "&amp;INDEX(Buchungen!$U$6:$U$605,MATCH($B50&amp;"|"&amp;P$8&amp;"|2",Buchungen!$S$6:$S$605,0)),"")))</f>
        <v/>
      </c>
      <c r="R50" s="50" t="str">
        <f t="shared" si="3"/>
        <v/>
      </c>
      <c r="S50" s="50" t="str">
        <f t="shared" si="4"/>
        <v/>
      </c>
      <c r="T50" s="59" t="str">
        <f t="shared" si="5"/>
        <v/>
      </c>
    </row>
    <row r="51" spans="2:20" ht="18.75" customHeight="1" x14ac:dyDescent="0.25">
      <c r="B51" s="56" t="str">
        <f>IF(Stammdaten!$N51="","",Stammdaten!$N51)</f>
        <v/>
      </c>
      <c r="C51" s="41" t="str">
        <f>IF($B51="","",Stammdaten!$P51)</f>
        <v/>
      </c>
      <c r="D51" s="57" t="str">
        <f>IF($B51="","",Stammdaten!$Q51)</f>
        <v/>
      </c>
      <c r="E51" s="42" t="str">
        <f>IF($B51="","",Stammdaten!$R51)</f>
        <v/>
      </c>
      <c r="F51" s="58" t="str">
        <f>IF($B51="","",IF(COUNTIF(Stammdaten!$AD$10:$AD$30,F$8)&gt;0,"Feiertag",IFERROR(INDEX(Buchungen!$U$6:$U$605,MATCH($B51&amp;"|"&amp;F$8&amp;"|1",Buchungen!$S$6:$S$605,0)),"")&amp;IFERROR(" / "&amp;INDEX(Buchungen!$U$6:$U$605,MATCH($B51&amp;"|"&amp;F$8&amp;"|2",Buchungen!$S$6:$S$605,0)),"")))</f>
        <v/>
      </c>
      <c r="G51" s="58" t="str">
        <f>IF($B51="","",IF(COUNTIF(Stammdaten!$AD$10:$AD$30,G$8)&gt;0,"Feiertag",IFERROR(INDEX(Buchungen!$U$6:$U$605,MATCH($B51&amp;"|"&amp;G$8&amp;"|1",Buchungen!$S$6:$S$605,0)),"")&amp;IFERROR(" / "&amp;INDEX(Buchungen!$U$6:$U$605,MATCH($B51&amp;"|"&amp;G$8&amp;"|2",Buchungen!$S$6:$S$605,0)),"")))</f>
        <v/>
      </c>
      <c r="H51" s="58" t="str">
        <f>IF($B51="","",IF(COUNTIF(Stammdaten!$AD$10:$AD$30,H$8)&gt;0,"Feiertag",IFERROR(INDEX(Buchungen!$U$6:$U$605,MATCH($B51&amp;"|"&amp;H$8&amp;"|1",Buchungen!$S$6:$S$605,0)),"")&amp;IFERROR(" / "&amp;INDEX(Buchungen!$U$6:$U$605,MATCH($B51&amp;"|"&amp;H$8&amp;"|2",Buchungen!$S$6:$S$605,0)),"")))</f>
        <v/>
      </c>
      <c r="I51" s="58" t="str">
        <f>IF($B51="","",IF(COUNTIF(Stammdaten!$AD$10:$AD$30,I$8)&gt;0,"Feiertag",IFERROR(INDEX(Buchungen!$U$6:$U$605,MATCH($B51&amp;"|"&amp;I$8&amp;"|1",Buchungen!$S$6:$S$605,0)),"")&amp;IFERROR(" / "&amp;INDEX(Buchungen!$U$6:$U$605,MATCH($B51&amp;"|"&amp;I$8&amp;"|2",Buchungen!$S$6:$S$605,0)),"")))</f>
        <v/>
      </c>
      <c r="J51" s="58" t="str">
        <f>IF($B51="","",IF(COUNTIF(Stammdaten!$AD$10:$AD$30,J$8)&gt;0,"Feiertag",IFERROR(INDEX(Buchungen!$U$6:$U$605,MATCH($B51&amp;"|"&amp;J$8&amp;"|1",Buchungen!$S$6:$S$605,0)),"")&amp;IFERROR(" / "&amp;INDEX(Buchungen!$U$6:$U$605,MATCH($B51&amp;"|"&amp;J$8&amp;"|2",Buchungen!$S$6:$S$605,0)),"")))</f>
        <v/>
      </c>
      <c r="K51" s="16"/>
      <c r="L51" s="58" t="str">
        <f>IF($B51="","",IF(COUNTIF(Stammdaten!$AD$10:$AD$30,L$8)&gt;0,"Feiertag",IFERROR(INDEX(Buchungen!$U$6:$U$605,MATCH($B51&amp;"|"&amp;L$8&amp;"|1",Buchungen!$S$6:$S$605,0)),"")&amp;IFERROR(" / "&amp;INDEX(Buchungen!$U$6:$U$605,MATCH($B51&amp;"|"&amp;L$8&amp;"|2",Buchungen!$S$6:$S$605,0)),"")))</f>
        <v/>
      </c>
      <c r="M51" s="58" t="str">
        <f>IF($B51="","",IF(COUNTIF(Stammdaten!$AD$10:$AD$30,M$8)&gt;0,"Feiertag",IFERROR(INDEX(Buchungen!$U$6:$U$605,MATCH($B51&amp;"|"&amp;M$8&amp;"|1",Buchungen!$S$6:$S$605,0)),"")&amp;IFERROR(" / "&amp;INDEX(Buchungen!$U$6:$U$605,MATCH($B51&amp;"|"&amp;M$8&amp;"|2",Buchungen!$S$6:$S$605,0)),"")))</f>
        <v/>
      </c>
      <c r="N51" s="58" t="str">
        <f>IF($B51="","",IF(COUNTIF(Stammdaten!$AD$10:$AD$30,N$8)&gt;0,"Feiertag",IFERROR(INDEX(Buchungen!$U$6:$U$605,MATCH($B51&amp;"|"&amp;N$8&amp;"|1",Buchungen!$S$6:$S$605,0)),"")&amp;IFERROR(" / "&amp;INDEX(Buchungen!$U$6:$U$605,MATCH($B51&amp;"|"&amp;N$8&amp;"|2",Buchungen!$S$6:$S$605,0)),"")))</f>
        <v/>
      </c>
      <c r="O51" s="58" t="str">
        <f>IF($B51="","",IF(COUNTIF(Stammdaten!$AD$10:$AD$30,O$8)&gt;0,"Feiertag",IFERROR(INDEX(Buchungen!$U$6:$U$605,MATCH($B51&amp;"|"&amp;O$8&amp;"|1",Buchungen!$S$6:$S$605,0)),"")&amp;IFERROR(" / "&amp;INDEX(Buchungen!$U$6:$U$605,MATCH($B51&amp;"|"&amp;O$8&amp;"|2",Buchungen!$S$6:$S$605,0)),"")))</f>
        <v/>
      </c>
      <c r="P51" s="58" t="str">
        <f>IF($B51="","",IF(COUNTIF(Stammdaten!$AD$10:$AD$30,P$8)&gt;0,"Feiertag",IFERROR(INDEX(Buchungen!$U$6:$U$605,MATCH($B51&amp;"|"&amp;P$8&amp;"|1",Buchungen!$S$6:$S$605,0)),"")&amp;IFERROR(" / "&amp;INDEX(Buchungen!$U$6:$U$605,MATCH($B51&amp;"|"&amp;P$8&amp;"|2",Buchungen!$S$6:$S$605,0)),"")))</f>
        <v/>
      </c>
      <c r="R51" s="50" t="str">
        <f t="shared" si="3"/>
        <v/>
      </c>
      <c r="S51" s="50" t="str">
        <f t="shared" si="4"/>
        <v/>
      </c>
      <c r="T51" s="59" t="str">
        <f t="shared" si="5"/>
        <v/>
      </c>
    </row>
    <row r="52" spans="2:20" ht="18.75" customHeight="1" x14ac:dyDescent="0.25">
      <c r="B52" s="56" t="str">
        <f>IF(Stammdaten!$N52="","",Stammdaten!$N52)</f>
        <v/>
      </c>
      <c r="C52" s="41" t="str">
        <f>IF($B52="","",Stammdaten!$P52)</f>
        <v/>
      </c>
      <c r="D52" s="57" t="str">
        <f>IF($B52="","",Stammdaten!$Q52)</f>
        <v/>
      </c>
      <c r="E52" s="42" t="str">
        <f>IF($B52="","",Stammdaten!$R52)</f>
        <v/>
      </c>
      <c r="F52" s="58" t="str">
        <f>IF($B52="","",IF(COUNTIF(Stammdaten!$AD$10:$AD$30,F$8)&gt;0,"Feiertag",IFERROR(INDEX(Buchungen!$U$6:$U$605,MATCH($B52&amp;"|"&amp;F$8&amp;"|1",Buchungen!$S$6:$S$605,0)),"")&amp;IFERROR(" / "&amp;INDEX(Buchungen!$U$6:$U$605,MATCH($B52&amp;"|"&amp;F$8&amp;"|2",Buchungen!$S$6:$S$605,0)),"")))</f>
        <v/>
      </c>
      <c r="G52" s="58" t="str">
        <f>IF($B52="","",IF(COUNTIF(Stammdaten!$AD$10:$AD$30,G$8)&gt;0,"Feiertag",IFERROR(INDEX(Buchungen!$U$6:$U$605,MATCH($B52&amp;"|"&amp;G$8&amp;"|1",Buchungen!$S$6:$S$605,0)),"")&amp;IFERROR(" / "&amp;INDEX(Buchungen!$U$6:$U$605,MATCH($B52&amp;"|"&amp;G$8&amp;"|2",Buchungen!$S$6:$S$605,0)),"")))</f>
        <v/>
      </c>
      <c r="H52" s="58" t="str">
        <f>IF($B52="","",IF(COUNTIF(Stammdaten!$AD$10:$AD$30,H$8)&gt;0,"Feiertag",IFERROR(INDEX(Buchungen!$U$6:$U$605,MATCH($B52&amp;"|"&amp;H$8&amp;"|1",Buchungen!$S$6:$S$605,0)),"")&amp;IFERROR(" / "&amp;INDEX(Buchungen!$U$6:$U$605,MATCH($B52&amp;"|"&amp;H$8&amp;"|2",Buchungen!$S$6:$S$605,0)),"")))</f>
        <v/>
      </c>
      <c r="I52" s="58" t="str">
        <f>IF($B52="","",IF(COUNTIF(Stammdaten!$AD$10:$AD$30,I$8)&gt;0,"Feiertag",IFERROR(INDEX(Buchungen!$U$6:$U$605,MATCH($B52&amp;"|"&amp;I$8&amp;"|1",Buchungen!$S$6:$S$605,0)),"")&amp;IFERROR(" / "&amp;INDEX(Buchungen!$U$6:$U$605,MATCH($B52&amp;"|"&amp;I$8&amp;"|2",Buchungen!$S$6:$S$605,0)),"")))</f>
        <v/>
      </c>
      <c r="J52" s="58" t="str">
        <f>IF($B52="","",IF(COUNTIF(Stammdaten!$AD$10:$AD$30,J$8)&gt;0,"Feiertag",IFERROR(INDEX(Buchungen!$U$6:$U$605,MATCH($B52&amp;"|"&amp;J$8&amp;"|1",Buchungen!$S$6:$S$605,0)),"")&amp;IFERROR(" / "&amp;INDEX(Buchungen!$U$6:$U$605,MATCH($B52&amp;"|"&amp;J$8&amp;"|2",Buchungen!$S$6:$S$605,0)),"")))</f>
        <v/>
      </c>
      <c r="K52" s="16"/>
      <c r="L52" s="58" t="str">
        <f>IF($B52="","",IF(COUNTIF(Stammdaten!$AD$10:$AD$30,L$8)&gt;0,"Feiertag",IFERROR(INDEX(Buchungen!$U$6:$U$605,MATCH($B52&amp;"|"&amp;L$8&amp;"|1",Buchungen!$S$6:$S$605,0)),"")&amp;IFERROR(" / "&amp;INDEX(Buchungen!$U$6:$U$605,MATCH($B52&amp;"|"&amp;L$8&amp;"|2",Buchungen!$S$6:$S$605,0)),"")))</f>
        <v/>
      </c>
      <c r="M52" s="58" t="str">
        <f>IF($B52="","",IF(COUNTIF(Stammdaten!$AD$10:$AD$30,M$8)&gt;0,"Feiertag",IFERROR(INDEX(Buchungen!$U$6:$U$605,MATCH($B52&amp;"|"&amp;M$8&amp;"|1",Buchungen!$S$6:$S$605,0)),"")&amp;IFERROR(" / "&amp;INDEX(Buchungen!$U$6:$U$605,MATCH($B52&amp;"|"&amp;M$8&amp;"|2",Buchungen!$S$6:$S$605,0)),"")))</f>
        <v/>
      </c>
      <c r="N52" s="58" t="str">
        <f>IF($B52="","",IF(COUNTIF(Stammdaten!$AD$10:$AD$30,N$8)&gt;0,"Feiertag",IFERROR(INDEX(Buchungen!$U$6:$U$605,MATCH($B52&amp;"|"&amp;N$8&amp;"|1",Buchungen!$S$6:$S$605,0)),"")&amp;IFERROR(" / "&amp;INDEX(Buchungen!$U$6:$U$605,MATCH($B52&amp;"|"&amp;N$8&amp;"|2",Buchungen!$S$6:$S$605,0)),"")))</f>
        <v/>
      </c>
      <c r="O52" s="58" t="str">
        <f>IF($B52="","",IF(COUNTIF(Stammdaten!$AD$10:$AD$30,O$8)&gt;0,"Feiertag",IFERROR(INDEX(Buchungen!$U$6:$U$605,MATCH($B52&amp;"|"&amp;O$8&amp;"|1",Buchungen!$S$6:$S$605,0)),"")&amp;IFERROR(" / "&amp;INDEX(Buchungen!$U$6:$U$605,MATCH($B52&amp;"|"&amp;O$8&amp;"|2",Buchungen!$S$6:$S$605,0)),"")))</f>
        <v/>
      </c>
      <c r="P52" s="58" t="str">
        <f>IF($B52="","",IF(COUNTIF(Stammdaten!$AD$10:$AD$30,P$8)&gt;0,"Feiertag",IFERROR(INDEX(Buchungen!$U$6:$U$605,MATCH($B52&amp;"|"&amp;P$8&amp;"|1",Buchungen!$S$6:$S$605,0)),"")&amp;IFERROR(" / "&amp;INDEX(Buchungen!$U$6:$U$605,MATCH($B52&amp;"|"&amp;P$8&amp;"|2",Buchungen!$S$6:$S$605,0)),"")))</f>
        <v/>
      </c>
      <c r="R52" s="50" t="str">
        <f t="shared" si="3"/>
        <v/>
      </c>
      <c r="S52" s="50" t="str">
        <f t="shared" si="4"/>
        <v/>
      </c>
      <c r="T52" s="59" t="str">
        <f t="shared" si="5"/>
        <v/>
      </c>
    </row>
    <row r="53" spans="2:20" ht="18.75" customHeight="1" x14ac:dyDescent="0.25">
      <c r="B53" s="56" t="str">
        <f>IF(Stammdaten!$N53="","",Stammdaten!$N53)</f>
        <v/>
      </c>
      <c r="C53" s="41" t="str">
        <f>IF($B53="","",Stammdaten!$P53)</f>
        <v/>
      </c>
      <c r="D53" s="57" t="str">
        <f>IF($B53="","",Stammdaten!$Q53)</f>
        <v/>
      </c>
      <c r="E53" s="42" t="str">
        <f>IF($B53="","",Stammdaten!$R53)</f>
        <v/>
      </c>
      <c r="F53" s="58" t="str">
        <f>IF($B53="","",IF(COUNTIF(Stammdaten!$AD$10:$AD$30,F$8)&gt;0,"Feiertag",IFERROR(INDEX(Buchungen!$U$6:$U$605,MATCH($B53&amp;"|"&amp;F$8&amp;"|1",Buchungen!$S$6:$S$605,0)),"")&amp;IFERROR(" / "&amp;INDEX(Buchungen!$U$6:$U$605,MATCH($B53&amp;"|"&amp;F$8&amp;"|2",Buchungen!$S$6:$S$605,0)),"")))</f>
        <v/>
      </c>
      <c r="G53" s="58" t="str">
        <f>IF($B53="","",IF(COUNTIF(Stammdaten!$AD$10:$AD$30,G$8)&gt;0,"Feiertag",IFERROR(INDEX(Buchungen!$U$6:$U$605,MATCH($B53&amp;"|"&amp;G$8&amp;"|1",Buchungen!$S$6:$S$605,0)),"")&amp;IFERROR(" / "&amp;INDEX(Buchungen!$U$6:$U$605,MATCH($B53&amp;"|"&amp;G$8&amp;"|2",Buchungen!$S$6:$S$605,0)),"")))</f>
        <v/>
      </c>
      <c r="H53" s="58" t="str">
        <f>IF($B53="","",IF(COUNTIF(Stammdaten!$AD$10:$AD$30,H$8)&gt;0,"Feiertag",IFERROR(INDEX(Buchungen!$U$6:$U$605,MATCH($B53&amp;"|"&amp;H$8&amp;"|1",Buchungen!$S$6:$S$605,0)),"")&amp;IFERROR(" / "&amp;INDEX(Buchungen!$U$6:$U$605,MATCH($B53&amp;"|"&amp;H$8&amp;"|2",Buchungen!$S$6:$S$605,0)),"")))</f>
        <v/>
      </c>
      <c r="I53" s="58" t="str">
        <f>IF($B53="","",IF(COUNTIF(Stammdaten!$AD$10:$AD$30,I$8)&gt;0,"Feiertag",IFERROR(INDEX(Buchungen!$U$6:$U$605,MATCH($B53&amp;"|"&amp;I$8&amp;"|1",Buchungen!$S$6:$S$605,0)),"")&amp;IFERROR(" / "&amp;INDEX(Buchungen!$U$6:$U$605,MATCH($B53&amp;"|"&amp;I$8&amp;"|2",Buchungen!$S$6:$S$605,0)),"")))</f>
        <v/>
      </c>
      <c r="J53" s="58" t="str">
        <f>IF($B53="","",IF(COUNTIF(Stammdaten!$AD$10:$AD$30,J$8)&gt;0,"Feiertag",IFERROR(INDEX(Buchungen!$U$6:$U$605,MATCH($B53&amp;"|"&amp;J$8&amp;"|1",Buchungen!$S$6:$S$605,0)),"")&amp;IFERROR(" / "&amp;INDEX(Buchungen!$U$6:$U$605,MATCH($B53&amp;"|"&amp;J$8&amp;"|2",Buchungen!$S$6:$S$605,0)),"")))</f>
        <v/>
      </c>
      <c r="K53" s="16"/>
      <c r="L53" s="58" t="str">
        <f>IF($B53="","",IF(COUNTIF(Stammdaten!$AD$10:$AD$30,L$8)&gt;0,"Feiertag",IFERROR(INDEX(Buchungen!$U$6:$U$605,MATCH($B53&amp;"|"&amp;L$8&amp;"|1",Buchungen!$S$6:$S$605,0)),"")&amp;IFERROR(" / "&amp;INDEX(Buchungen!$U$6:$U$605,MATCH($B53&amp;"|"&amp;L$8&amp;"|2",Buchungen!$S$6:$S$605,0)),"")))</f>
        <v/>
      </c>
      <c r="M53" s="58" t="str">
        <f>IF($B53="","",IF(COUNTIF(Stammdaten!$AD$10:$AD$30,M$8)&gt;0,"Feiertag",IFERROR(INDEX(Buchungen!$U$6:$U$605,MATCH($B53&amp;"|"&amp;M$8&amp;"|1",Buchungen!$S$6:$S$605,0)),"")&amp;IFERROR(" / "&amp;INDEX(Buchungen!$U$6:$U$605,MATCH($B53&amp;"|"&amp;M$8&amp;"|2",Buchungen!$S$6:$S$605,0)),"")))</f>
        <v/>
      </c>
      <c r="N53" s="58" t="str">
        <f>IF($B53="","",IF(COUNTIF(Stammdaten!$AD$10:$AD$30,N$8)&gt;0,"Feiertag",IFERROR(INDEX(Buchungen!$U$6:$U$605,MATCH($B53&amp;"|"&amp;N$8&amp;"|1",Buchungen!$S$6:$S$605,0)),"")&amp;IFERROR(" / "&amp;INDEX(Buchungen!$U$6:$U$605,MATCH($B53&amp;"|"&amp;N$8&amp;"|2",Buchungen!$S$6:$S$605,0)),"")))</f>
        <v/>
      </c>
      <c r="O53" s="58" t="str">
        <f>IF($B53="","",IF(COUNTIF(Stammdaten!$AD$10:$AD$30,O$8)&gt;0,"Feiertag",IFERROR(INDEX(Buchungen!$U$6:$U$605,MATCH($B53&amp;"|"&amp;O$8&amp;"|1",Buchungen!$S$6:$S$605,0)),"")&amp;IFERROR(" / "&amp;INDEX(Buchungen!$U$6:$U$605,MATCH($B53&amp;"|"&amp;O$8&amp;"|2",Buchungen!$S$6:$S$605,0)),"")))</f>
        <v/>
      </c>
      <c r="P53" s="58" t="str">
        <f>IF($B53="","",IF(COUNTIF(Stammdaten!$AD$10:$AD$30,P$8)&gt;0,"Feiertag",IFERROR(INDEX(Buchungen!$U$6:$U$605,MATCH($B53&amp;"|"&amp;P$8&amp;"|1",Buchungen!$S$6:$S$605,0)),"")&amp;IFERROR(" / "&amp;INDEX(Buchungen!$U$6:$U$605,MATCH($B53&amp;"|"&amp;P$8&amp;"|2",Buchungen!$S$6:$S$605,0)),"")))</f>
        <v/>
      </c>
      <c r="R53" s="50" t="str">
        <f t="shared" si="3"/>
        <v/>
      </c>
      <c r="S53" s="50" t="str">
        <f t="shared" si="4"/>
        <v/>
      </c>
      <c r="T53" s="59" t="str">
        <f t="shared" si="5"/>
        <v/>
      </c>
    </row>
    <row r="54" spans="2:20" ht="18.75" customHeight="1" x14ac:dyDescent="0.25">
      <c r="B54" s="56" t="str">
        <f>IF(Stammdaten!$N54="","",Stammdaten!$N54)</f>
        <v/>
      </c>
      <c r="C54" s="41" t="str">
        <f>IF($B54="","",Stammdaten!$P54)</f>
        <v/>
      </c>
      <c r="D54" s="57" t="str">
        <f>IF($B54="","",Stammdaten!$Q54)</f>
        <v/>
      </c>
      <c r="E54" s="42" t="str">
        <f>IF($B54="","",Stammdaten!$R54)</f>
        <v/>
      </c>
      <c r="F54" s="58" t="str">
        <f>IF($B54="","",IF(COUNTIF(Stammdaten!$AD$10:$AD$30,F$8)&gt;0,"Feiertag",IFERROR(INDEX(Buchungen!$U$6:$U$605,MATCH($B54&amp;"|"&amp;F$8&amp;"|1",Buchungen!$S$6:$S$605,0)),"")&amp;IFERROR(" / "&amp;INDEX(Buchungen!$U$6:$U$605,MATCH($B54&amp;"|"&amp;F$8&amp;"|2",Buchungen!$S$6:$S$605,0)),"")))</f>
        <v/>
      </c>
      <c r="G54" s="58" t="str">
        <f>IF($B54="","",IF(COUNTIF(Stammdaten!$AD$10:$AD$30,G$8)&gt;0,"Feiertag",IFERROR(INDEX(Buchungen!$U$6:$U$605,MATCH($B54&amp;"|"&amp;G$8&amp;"|1",Buchungen!$S$6:$S$605,0)),"")&amp;IFERROR(" / "&amp;INDEX(Buchungen!$U$6:$U$605,MATCH($B54&amp;"|"&amp;G$8&amp;"|2",Buchungen!$S$6:$S$605,0)),"")))</f>
        <v/>
      </c>
      <c r="H54" s="58" t="str">
        <f>IF($B54="","",IF(COUNTIF(Stammdaten!$AD$10:$AD$30,H$8)&gt;0,"Feiertag",IFERROR(INDEX(Buchungen!$U$6:$U$605,MATCH($B54&amp;"|"&amp;H$8&amp;"|1",Buchungen!$S$6:$S$605,0)),"")&amp;IFERROR(" / "&amp;INDEX(Buchungen!$U$6:$U$605,MATCH($B54&amp;"|"&amp;H$8&amp;"|2",Buchungen!$S$6:$S$605,0)),"")))</f>
        <v/>
      </c>
      <c r="I54" s="58" t="str">
        <f>IF($B54="","",IF(COUNTIF(Stammdaten!$AD$10:$AD$30,I$8)&gt;0,"Feiertag",IFERROR(INDEX(Buchungen!$U$6:$U$605,MATCH($B54&amp;"|"&amp;I$8&amp;"|1",Buchungen!$S$6:$S$605,0)),"")&amp;IFERROR(" / "&amp;INDEX(Buchungen!$U$6:$U$605,MATCH($B54&amp;"|"&amp;I$8&amp;"|2",Buchungen!$S$6:$S$605,0)),"")))</f>
        <v/>
      </c>
      <c r="J54" s="58" t="str">
        <f>IF($B54="","",IF(COUNTIF(Stammdaten!$AD$10:$AD$30,J$8)&gt;0,"Feiertag",IFERROR(INDEX(Buchungen!$U$6:$U$605,MATCH($B54&amp;"|"&amp;J$8&amp;"|1",Buchungen!$S$6:$S$605,0)),"")&amp;IFERROR(" / "&amp;INDEX(Buchungen!$U$6:$U$605,MATCH($B54&amp;"|"&amp;J$8&amp;"|2",Buchungen!$S$6:$S$605,0)),"")))</f>
        <v/>
      </c>
      <c r="K54" s="16"/>
      <c r="L54" s="58" t="str">
        <f>IF($B54="","",IF(COUNTIF(Stammdaten!$AD$10:$AD$30,L$8)&gt;0,"Feiertag",IFERROR(INDEX(Buchungen!$U$6:$U$605,MATCH($B54&amp;"|"&amp;L$8&amp;"|1",Buchungen!$S$6:$S$605,0)),"")&amp;IFERROR(" / "&amp;INDEX(Buchungen!$U$6:$U$605,MATCH($B54&amp;"|"&amp;L$8&amp;"|2",Buchungen!$S$6:$S$605,0)),"")))</f>
        <v/>
      </c>
      <c r="M54" s="58" t="str">
        <f>IF($B54="","",IF(COUNTIF(Stammdaten!$AD$10:$AD$30,M$8)&gt;0,"Feiertag",IFERROR(INDEX(Buchungen!$U$6:$U$605,MATCH($B54&amp;"|"&amp;M$8&amp;"|1",Buchungen!$S$6:$S$605,0)),"")&amp;IFERROR(" / "&amp;INDEX(Buchungen!$U$6:$U$605,MATCH($B54&amp;"|"&amp;M$8&amp;"|2",Buchungen!$S$6:$S$605,0)),"")))</f>
        <v/>
      </c>
      <c r="N54" s="58" t="str">
        <f>IF($B54="","",IF(COUNTIF(Stammdaten!$AD$10:$AD$30,N$8)&gt;0,"Feiertag",IFERROR(INDEX(Buchungen!$U$6:$U$605,MATCH($B54&amp;"|"&amp;N$8&amp;"|1",Buchungen!$S$6:$S$605,0)),"")&amp;IFERROR(" / "&amp;INDEX(Buchungen!$U$6:$U$605,MATCH($B54&amp;"|"&amp;N$8&amp;"|2",Buchungen!$S$6:$S$605,0)),"")))</f>
        <v/>
      </c>
      <c r="O54" s="58" t="str">
        <f>IF($B54="","",IF(COUNTIF(Stammdaten!$AD$10:$AD$30,O$8)&gt;0,"Feiertag",IFERROR(INDEX(Buchungen!$U$6:$U$605,MATCH($B54&amp;"|"&amp;O$8&amp;"|1",Buchungen!$S$6:$S$605,0)),"")&amp;IFERROR(" / "&amp;INDEX(Buchungen!$U$6:$U$605,MATCH($B54&amp;"|"&amp;O$8&amp;"|2",Buchungen!$S$6:$S$605,0)),"")))</f>
        <v/>
      </c>
      <c r="P54" s="58" t="str">
        <f>IF($B54="","",IF(COUNTIF(Stammdaten!$AD$10:$AD$30,P$8)&gt;0,"Feiertag",IFERROR(INDEX(Buchungen!$U$6:$U$605,MATCH($B54&amp;"|"&amp;P$8&amp;"|1",Buchungen!$S$6:$S$605,0)),"")&amp;IFERROR(" / "&amp;INDEX(Buchungen!$U$6:$U$605,MATCH($B54&amp;"|"&amp;P$8&amp;"|2",Buchungen!$S$6:$S$605,0)),"")))</f>
        <v/>
      </c>
      <c r="R54" s="50" t="str">
        <f t="shared" si="3"/>
        <v/>
      </c>
      <c r="S54" s="50" t="str">
        <f t="shared" si="4"/>
        <v/>
      </c>
      <c r="T54" s="59" t="str">
        <f t="shared" si="5"/>
        <v/>
      </c>
    </row>
    <row r="55" spans="2:20" ht="18.75" customHeight="1" x14ac:dyDescent="0.25">
      <c r="B55" s="56" t="str">
        <f>IF(Stammdaten!$N55="","",Stammdaten!$N55)</f>
        <v/>
      </c>
      <c r="C55" s="41" t="str">
        <f>IF($B55="","",Stammdaten!$P55)</f>
        <v/>
      </c>
      <c r="D55" s="57" t="str">
        <f>IF($B55="","",Stammdaten!$Q55)</f>
        <v/>
      </c>
      <c r="E55" s="42" t="str">
        <f>IF($B55="","",Stammdaten!$R55)</f>
        <v/>
      </c>
      <c r="F55" s="58" t="str">
        <f>IF($B55="","",IF(COUNTIF(Stammdaten!$AD$10:$AD$30,F$8)&gt;0,"Feiertag",IFERROR(INDEX(Buchungen!$U$6:$U$605,MATCH($B55&amp;"|"&amp;F$8&amp;"|1",Buchungen!$S$6:$S$605,0)),"")&amp;IFERROR(" / "&amp;INDEX(Buchungen!$U$6:$U$605,MATCH($B55&amp;"|"&amp;F$8&amp;"|2",Buchungen!$S$6:$S$605,0)),"")))</f>
        <v/>
      </c>
      <c r="G55" s="58" t="str">
        <f>IF($B55="","",IF(COUNTIF(Stammdaten!$AD$10:$AD$30,G$8)&gt;0,"Feiertag",IFERROR(INDEX(Buchungen!$U$6:$U$605,MATCH($B55&amp;"|"&amp;G$8&amp;"|1",Buchungen!$S$6:$S$605,0)),"")&amp;IFERROR(" / "&amp;INDEX(Buchungen!$U$6:$U$605,MATCH($B55&amp;"|"&amp;G$8&amp;"|2",Buchungen!$S$6:$S$605,0)),"")))</f>
        <v/>
      </c>
      <c r="H55" s="58" t="str">
        <f>IF($B55="","",IF(COUNTIF(Stammdaten!$AD$10:$AD$30,H$8)&gt;0,"Feiertag",IFERROR(INDEX(Buchungen!$U$6:$U$605,MATCH($B55&amp;"|"&amp;H$8&amp;"|1",Buchungen!$S$6:$S$605,0)),"")&amp;IFERROR(" / "&amp;INDEX(Buchungen!$U$6:$U$605,MATCH($B55&amp;"|"&amp;H$8&amp;"|2",Buchungen!$S$6:$S$605,0)),"")))</f>
        <v/>
      </c>
      <c r="I55" s="58" t="str">
        <f>IF($B55="","",IF(COUNTIF(Stammdaten!$AD$10:$AD$30,I$8)&gt;0,"Feiertag",IFERROR(INDEX(Buchungen!$U$6:$U$605,MATCH($B55&amp;"|"&amp;I$8&amp;"|1",Buchungen!$S$6:$S$605,0)),"")&amp;IFERROR(" / "&amp;INDEX(Buchungen!$U$6:$U$605,MATCH($B55&amp;"|"&amp;I$8&amp;"|2",Buchungen!$S$6:$S$605,0)),"")))</f>
        <v/>
      </c>
      <c r="J55" s="58" t="str">
        <f>IF($B55="","",IF(COUNTIF(Stammdaten!$AD$10:$AD$30,J$8)&gt;0,"Feiertag",IFERROR(INDEX(Buchungen!$U$6:$U$605,MATCH($B55&amp;"|"&amp;J$8&amp;"|1",Buchungen!$S$6:$S$605,0)),"")&amp;IFERROR(" / "&amp;INDEX(Buchungen!$U$6:$U$605,MATCH($B55&amp;"|"&amp;J$8&amp;"|2",Buchungen!$S$6:$S$605,0)),"")))</f>
        <v/>
      </c>
      <c r="K55" s="16"/>
      <c r="L55" s="58" t="str">
        <f>IF($B55="","",IF(COUNTIF(Stammdaten!$AD$10:$AD$30,L$8)&gt;0,"Feiertag",IFERROR(INDEX(Buchungen!$U$6:$U$605,MATCH($B55&amp;"|"&amp;L$8&amp;"|1",Buchungen!$S$6:$S$605,0)),"")&amp;IFERROR(" / "&amp;INDEX(Buchungen!$U$6:$U$605,MATCH($B55&amp;"|"&amp;L$8&amp;"|2",Buchungen!$S$6:$S$605,0)),"")))</f>
        <v/>
      </c>
      <c r="M55" s="58" t="str">
        <f>IF($B55="","",IF(COUNTIF(Stammdaten!$AD$10:$AD$30,M$8)&gt;0,"Feiertag",IFERROR(INDEX(Buchungen!$U$6:$U$605,MATCH($B55&amp;"|"&amp;M$8&amp;"|1",Buchungen!$S$6:$S$605,0)),"")&amp;IFERROR(" / "&amp;INDEX(Buchungen!$U$6:$U$605,MATCH($B55&amp;"|"&amp;M$8&amp;"|2",Buchungen!$S$6:$S$605,0)),"")))</f>
        <v/>
      </c>
      <c r="N55" s="58" t="str">
        <f>IF($B55="","",IF(COUNTIF(Stammdaten!$AD$10:$AD$30,N$8)&gt;0,"Feiertag",IFERROR(INDEX(Buchungen!$U$6:$U$605,MATCH($B55&amp;"|"&amp;N$8&amp;"|1",Buchungen!$S$6:$S$605,0)),"")&amp;IFERROR(" / "&amp;INDEX(Buchungen!$U$6:$U$605,MATCH($B55&amp;"|"&amp;N$8&amp;"|2",Buchungen!$S$6:$S$605,0)),"")))</f>
        <v/>
      </c>
      <c r="O55" s="58" t="str">
        <f>IF($B55="","",IF(COUNTIF(Stammdaten!$AD$10:$AD$30,O$8)&gt;0,"Feiertag",IFERROR(INDEX(Buchungen!$U$6:$U$605,MATCH($B55&amp;"|"&amp;O$8&amp;"|1",Buchungen!$S$6:$S$605,0)),"")&amp;IFERROR(" / "&amp;INDEX(Buchungen!$U$6:$U$605,MATCH($B55&amp;"|"&amp;O$8&amp;"|2",Buchungen!$S$6:$S$605,0)),"")))</f>
        <v/>
      </c>
      <c r="P55" s="58" t="str">
        <f>IF($B55="","",IF(COUNTIF(Stammdaten!$AD$10:$AD$30,P$8)&gt;0,"Feiertag",IFERROR(INDEX(Buchungen!$U$6:$U$605,MATCH($B55&amp;"|"&amp;P$8&amp;"|1",Buchungen!$S$6:$S$605,0)),"")&amp;IFERROR(" / "&amp;INDEX(Buchungen!$U$6:$U$605,MATCH($B55&amp;"|"&amp;P$8&amp;"|2",Buchungen!$S$6:$S$605,0)),"")))</f>
        <v/>
      </c>
      <c r="R55" s="50" t="str">
        <f t="shared" si="3"/>
        <v/>
      </c>
      <c r="S55" s="50" t="str">
        <f t="shared" si="4"/>
        <v/>
      </c>
      <c r="T55" s="59" t="str">
        <f t="shared" si="5"/>
        <v/>
      </c>
    </row>
    <row r="56" spans="2:20" ht="18.75" customHeight="1" x14ac:dyDescent="0.25">
      <c r="B56" s="56" t="str">
        <f>IF(Stammdaten!$N56="","",Stammdaten!$N56)</f>
        <v/>
      </c>
      <c r="C56" s="41" t="str">
        <f>IF($B56="","",Stammdaten!$P56)</f>
        <v/>
      </c>
      <c r="D56" s="57" t="str">
        <f>IF($B56="","",Stammdaten!$Q56)</f>
        <v/>
      </c>
      <c r="E56" s="42" t="str">
        <f>IF($B56="","",Stammdaten!$R56)</f>
        <v/>
      </c>
      <c r="F56" s="58" t="str">
        <f>IF($B56="","",IF(COUNTIF(Stammdaten!$AD$10:$AD$30,F$8)&gt;0,"Feiertag",IFERROR(INDEX(Buchungen!$U$6:$U$605,MATCH($B56&amp;"|"&amp;F$8&amp;"|1",Buchungen!$S$6:$S$605,0)),"")&amp;IFERROR(" / "&amp;INDEX(Buchungen!$U$6:$U$605,MATCH($B56&amp;"|"&amp;F$8&amp;"|2",Buchungen!$S$6:$S$605,0)),"")))</f>
        <v/>
      </c>
      <c r="G56" s="58" t="str">
        <f>IF($B56="","",IF(COUNTIF(Stammdaten!$AD$10:$AD$30,G$8)&gt;0,"Feiertag",IFERROR(INDEX(Buchungen!$U$6:$U$605,MATCH($B56&amp;"|"&amp;G$8&amp;"|1",Buchungen!$S$6:$S$605,0)),"")&amp;IFERROR(" / "&amp;INDEX(Buchungen!$U$6:$U$605,MATCH($B56&amp;"|"&amp;G$8&amp;"|2",Buchungen!$S$6:$S$605,0)),"")))</f>
        <v/>
      </c>
      <c r="H56" s="58" t="str">
        <f>IF($B56="","",IF(COUNTIF(Stammdaten!$AD$10:$AD$30,H$8)&gt;0,"Feiertag",IFERROR(INDEX(Buchungen!$U$6:$U$605,MATCH($B56&amp;"|"&amp;H$8&amp;"|1",Buchungen!$S$6:$S$605,0)),"")&amp;IFERROR(" / "&amp;INDEX(Buchungen!$U$6:$U$605,MATCH($B56&amp;"|"&amp;H$8&amp;"|2",Buchungen!$S$6:$S$605,0)),"")))</f>
        <v/>
      </c>
      <c r="I56" s="58" t="str">
        <f>IF($B56="","",IF(COUNTIF(Stammdaten!$AD$10:$AD$30,I$8)&gt;0,"Feiertag",IFERROR(INDEX(Buchungen!$U$6:$U$605,MATCH($B56&amp;"|"&amp;I$8&amp;"|1",Buchungen!$S$6:$S$605,0)),"")&amp;IFERROR(" / "&amp;INDEX(Buchungen!$U$6:$U$605,MATCH($B56&amp;"|"&amp;I$8&amp;"|2",Buchungen!$S$6:$S$605,0)),"")))</f>
        <v/>
      </c>
      <c r="J56" s="58" t="str">
        <f>IF($B56="","",IF(COUNTIF(Stammdaten!$AD$10:$AD$30,J$8)&gt;0,"Feiertag",IFERROR(INDEX(Buchungen!$U$6:$U$605,MATCH($B56&amp;"|"&amp;J$8&amp;"|1",Buchungen!$S$6:$S$605,0)),"")&amp;IFERROR(" / "&amp;INDEX(Buchungen!$U$6:$U$605,MATCH($B56&amp;"|"&amp;J$8&amp;"|2",Buchungen!$S$6:$S$605,0)),"")))</f>
        <v/>
      </c>
      <c r="K56" s="16"/>
      <c r="L56" s="58" t="str">
        <f>IF($B56="","",IF(COUNTIF(Stammdaten!$AD$10:$AD$30,L$8)&gt;0,"Feiertag",IFERROR(INDEX(Buchungen!$U$6:$U$605,MATCH($B56&amp;"|"&amp;L$8&amp;"|1",Buchungen!$S$6:$S$605,0)),"")&amp;IFERROR(" / "&amp;INDEX(Buchungen!$U$6:$U$605,MATCH($B56&amp;"|"&amp;L$8&amp;"|2",Buchungen!$S$6:$S$605,0)),"")))</f>
        <v/>
      </c>
      <c r="M56" s="58" t="str">
        <f>IF($B56="","",IF(COUNTIF(Stammdaten!$AD$10:$AD$30,M$8)&gt;0,"Feiertag",IFERROR(INDEX(Buchungen!$U$6:$U$605,MATCH($B56&amp;"|"&amp;M$8&amp;"|1",Buchungen!$S$6:$S$605,0)),"")&amp;IFERROR(" / "&amp;INDEX(Buchungen!$U$6:$U$605,MATCH($B56&amp;"|"&amp;M$8&amp;"|2",Buchungen!$S$6:$S$605,0)),"")))</f>
        <v/>
      </c>
      <c r="N56" s="58" t="str">
        <f>IF($B56="","",IF(COUNTIF(Stammdaten!$AD$10:$AD$30,N$8)&gt;0,"Feiertag",IFERROR(INDEX(Buchungen!$U$6:$U$605,MATCH($B56&amp;"|"&amp;N$8&amp;"|1",Buchungen!$S$6:$S$605,0)),"")&amp;IFERROR(" / "&amp;INDEX(Buchungen!$U$6:$U$605,MATCH($B56&amp;"|"&amp;N$8&amp;"|2",Buchungen!$S$6:$S$605,0)),"")))</f>
        <v/>
      </c>
      <c r="O56" s="58" t="str">
        <f>IF($B56="","",IF(COUNTIF(Stammdaten!$AD$10:$AD$30,O$8)&gt;0,"Feiertag",IFERROR(INDEX(Buchungen!$U$6:$U$605,MATCH($B56&amp;"|"&amp;O$8&amp;"|1",Buchungen!$S$6:$S$605,0)),"")&amp;IFERROR(" / "&amp;INDEX(Buchungen!$U$6:$U$605,MATCH($B56&amp;"|"&amp;O$8&amp;"|2",Buchungen!$S$6:$S$605,0)),"")))</f>
        <v/>
      </c>
      <c r="P56" s="58" t="str">
        <f>IF($B56="","",IF(COUNTIF(Stammdaten!$AD$10:$AD$30,P$8)&gt;0,"Feiertag",IFERROR(INDEX(Buchungen!$U$6:$U$605,MATCH($B56&amp;"|"&amp;P$8&amp;"|1",Buchungen!$S$6:$S$605,0)),"")&amp;IFERROR(" / "&amp;INDEX(Buchungen!$U$6:$U$605,MATCH($B56&amp;"|"&amp;P$8&amp;"|2",Buchungen!$S$6:$S$605,0)),"")))</f>
        <v/>
      </c>
      <c r="R56" s="50" t="str">
        <f t="shared" si="3"/>
        <v/>
      </c>
      <c r="S56" s="50" t="str">
        <f t="shared" si="4"/>
        <v/>
      </c>
      <c r="T56" s="59" t="str">
        <f t="shared" si="5"/>
        <v/>
      </c>
    </row>
    <row r="57" spans="2:20" ht="18.75" customHeight="1" x14ac:dyDescent="0.25">
      <c r="B57" s="56" t="str">
        <f>IF(Stammdaten!$N57="","",Stammdaten!$N57)</f>
        <v/>
      </c>
      <c r="C57" s="41" t="str">
        <f>IF($B57="","",Stammdaten!$P57)</f>
        <v/>
      </c>
      <c r="D57" s="57" t="str">
        <f>IF($B57="","",Stammdaten!$Q57)</f>
        <v/>
      </c>
      <c r="E57" s="42" t="str">
        <f>IF($B57="","",Stammdaten!$R57)</f>
        <v/>
      </c>
      <c r="F57" s="58" t="str">
        <f>IF($B57="","",IF(COUNTIF(Stammdaten!$AD$10:$AD$30,F$8)&gt;0,"Feiertag",IFERROR(INDEX(Buchungen!$U$6:$U$605,MATCH($B57&amp;"|"&amp;F$8&amp;"|1",Buchungen!$S$6:$S$605,0)),"")&amp;IFERROR(" / "&amp;INDEX(Buchungen!$U$6:$U$605,MATCH($B57&amp;"|"&amp;F$8&amp;"|2",Buchungen!$S$6:$S$605,0)),"")))</f>
        <v/>
      </c>
      <c r="G57" s="58" t="str">
        <f>IF($B57="","",IF(COUNTIF(Stammdaten!$AD$10:$AD$30,G$8)&gt;0,"Feiertag",IFERROR(INDEX(Buchungen!$U$6:$U$605,MATCH($B57&amp;"|"&amp;G$8&amp;"|1",Buchungen!$S$6:$S$605,0)),"")&amp;IFERROR(" / "&amp;INDEX(Buchungen!$U$6:$U$605,MATCH($B57&amp;"|"&amp;G$8&amp;"|2",Buchungen!$S$6:$S$605,0)),"")))</f>
        <v/>
      </c>
      <c r="H57" s="58" t="str">
        <f>IF($B57="","",IF(COUNTIF(Stammdaten!$AD$10:$AD$30,H$8)&gt;0,"Feiertag",IFERROR(INDEX(Buchungen!$U$6:$U$605,MATCH($B57&amp;"|"&amp;H$8&amp;"|1",Buchungen!$S$6:$S$605,0)),"")&amp;IFERROR(" / "&amp;INDEX(Buchungen!$U$6:$U$605,MATCH($B57&amp;"|"&amp;H$8&amp;"|2",Buchungen!$S$6:$S$605,0)),"")))</f>
        <v/>
      </c>
      <c r="I57" s="58" t="str">
        <f>IF($B57="","",IF(COUNTIF(Stammdaten!$AD$10:$AD$30,I$8)&gt;0,"Feiertag",IFERROR(INDEX(Buchungen!$U$6:$U$605,MATCH($B57&amp;"|"&amp;I$8&amp;"|1",Buchungen!$S$6:$S$605,0)),"")&amp;IFERROR(" / "&amp;INDEX(Buchungen!$U$6:$U$605,MATCH($B57&amp;"|"&amp;I$8&amp;"|2",Buchungen!$S$6:$S$605,0)),"")))</f>
        <v/>
      </c>
      <c r="J57" s="58" t="str">
        <f>IF($B57="","",IF(COUNTIF(Stammdaten!$AD$10:$AD$30,J$8)&gt;0,"Feiertag",IFERROR(INDEX(Buchungen!$U$6:$U$605,MATCH($B57&amp;"|"&amp;J$8&amp;"|1",Buchungen!$S$6:$S$605,0)),"")&amp;IFERROR(" / "&amp;INDEX(Buchungen!$U$6:$U$605,MATCH($B57&amp;"|"&amp;J$8&amp;"|2",Buchungen!$S$6:$S$605,0)),"")))</f>
        <v/>
      </c>
      <c r="K57" s="16"/>
      <c r="L57" s="58" t="str">
        <f>IF($B57="","",IF(COUNTIF(Stammdaten!$AD$10:$AD$30,L$8)&gt;0,"Feiertag",IFERROR(INDEX(Buchungen!$U$6:$U$605,MATCH($B57&amp;"|"&amp;L$8&amp;"|1",Buchungen!$S$6:$S$605,0)),"")&amp;IFERROR(" / "&amp;INDEX(Buchungen!$U$6:$U$605,MATCH($B57&amp;"|"&amp;L$8&amp;"|2",Buchungen!$S$6:$S$605,0)),"")))</f>
        <v/>
      </c>
      <c r="M57" s="58" t="str">
        <f>IF($B57="","",IF(COUNTIF(Stammdaten!$AD$10:$AD$30,M$8)&gt;0,"Feiertag",IFERROR(INDEX(Buchungen!$U$6:$U$605,MATCH($B57&amp;"|"&amp;M$8&amp;"|1",Buchungen!$S$6:$S$605,0)),"")&amp;IFERROR(" / "&amp;INDEX(Buchungen!$U$6:$U$605,MATCH($B57&amp;"|"&amp;M$8&amp;"|2",Buchungen!$S$6:$S$605,0)),"")))</f>
        <v/>
      </c>
      <c r="N57" s="58" t="str">
        <f>IF($B57="","",IF(COUNTIF(Stammdaten!$AD$10:$AD$30,N$8)&gt;0,"Feiertag",IFERROR(INDEX(Buchungen!$U$6:$U$605,MATCH($B57&amp;"|"&amp;N$8&amp;"|1",Buchungen!$S$6:$S$605,0)),"")&amp;IFERROR(" / "&amp;INDEX(Buchungen!$U$6:$U$605,MATCH($B57&amp;"|"&amp;N$8&amp;"|2",Buchungen!$S$6:$S$605,0)),"")))</f>
        <v/>
      </c>
      <c r="O57" s="58" t="str">
        <f>IF($B57="","",IF(COUNTIF(Stammdaten!$AD$10:$AD$30,O$8)&gt;0,"Feiertag",IFERROR(INDEX(Buchungen!$U$6:$U$605,MATCH($B57&amp;"|"&amp;O$8&amp;"|1",Buchungen!$S$6:$S$605,0)),"")&amp;IFERROR(" / "&amp;INDEX(Buchungen!$U$6:$U$605,MATCH($B57&amp;"|"&amp;O$8&amp;"|2",Buchungen!$S$6:$S$605,0)),"")))</f>
        <v/>
      </c>
      <c r="P57" s="58" t="str">
        <f>IF($B57="","",IF(COUNTIF(Stammdaten!$AD$10:$AD$30,P$8)&gt;0,"Feiertag",IFERROR(INDEX(Buchungen!$U$6:$U$605,MATCH($B57&amp;"|"&amp;P$8&amp;"|1",Buchungen!$S$6:$S$605,0)),"")&amp;IFERROR(" / "&amp;INDEX(Buchungen!$U$6:$U$605,MATCH($B57&amp;"|"&amp;P$8&amp;"|2",Buchungen!$S$6:$S$605,0)),"")))</f>
        <v/>
      </c>
      <c r="R57" s="50" t="str">
        <f t="shared" si="3"/>
        <v/>
      </c>
      <c r="S57" s="50" t="str">
        <f t="shared" si="4"/>
        <v/>
      </c>
      <c r="T57" s="59" t="str">
        <f t="shared" si="5"/>
        <v/>
      </c>
    </row>
    <row r="58" spans="2:20" ht="18.75" customHeight="1" x14ac:dyDescent="0.25">
      <c r="B58" s="56" t="str">
        <f>IF(Stammdaten!$N58="","",Stammdaten!$N58)</f>
        <v/>
      </c>
      <c r="C58" s="41" t="str">
        <f>IF($B58="","",Stammdaten!$P58)</f>
        <v/>
      </c>
      <c r="D58" s="57" t="str">
        <f>IF($B58="","",Stammdaten!$Q58)</f>
        <v/>
      </c>
      <c r="E58" s="42" t="str">
        <f>IF($B58="","",Stammdaten!$R58)</f>
        <v/>
      </c>
      <c r="F58" s="58" t="str">
        <f>IF($B58="","",IF(COUNTIF(Stammdaten!$AD$10:$AD$30,F$8)&gt;0,"Feiertag",IFERROR(INDEX(Buchungen!$U$6:$U$605,MATCH($B58&amp;"|"&amp;F$8&amp;"|1",Buchungen!$S$6:$S$605,0)),"")&amp;IFERROR(" / "&amp;INDEX(Buchungen!$U$6:$U$605,MATCH($B58&amp;"|"&amp;F$8&amp;"|2",Buchungen!$S$6:$S$605,0)),"")))</f>
        <v/>
      </c>
      <c r="G58" s="58" t="str">
        <f>IF($B58="","",IF(COUNTIF(Stammdaten!$AD$10:$AD$30,G$8)&gt;0,"Feiertag",IFERROR(INDEX(Buchungen!$U$6:$U$605,MATCH($B58&amp;"|"&amp;G$8&amp;"|1",Buchungen!$S$6:$S$605,0)),"")&amp;IFERROR(" / "&amp;INDEX(Buchungen!$U$6:$U$605,MATCH($B58&amp;"|"&amp;G$8&amp;"|2",Buchungen!$S$6:$S$605,0)),"")))</f>
        <v/>
      </c>
      <c r="H58" s="58" t="str">
        <f>IF($B58="","",IF(COUNTIF(Stammdaten!$AD$10:$AD$30,H$8)&gt;0,"Feiertag",IFERROR(INDEX(Buchungen!$U$6:$U$605,MATCH($B58&amp;"|"&amp;H$8&amp;"|1",Buchungen!$S$6:$S$605,0)),"")&amp;IFERROR(" / "&amp;INDEX(Buchungen!$U$6:$U$605,MATCH($B58&amp;"|"&amp;H$8&amp;"|2",Buchungen!$S$6:$S$605,0)),"")))</f>
        <v/>
      </c>
      <c r="I58" s="58" t="str">
        <f>IF($B58="","",IF(COUNTIF(Stammdaten!$AD$10:$AD$30,I$8)&gt;0,"Feiertag",IFERROR(INDEX(Buchungen!$U$6:$U$605,MATCH($B58&amp;"|"&amp;I$8&amp;"|1",Buchungen!$S$6:$S$605,0)),"")&amp;IFERROR(" / "&amp;INDEX(Buchungen!$U$6:$U$605,MATCH($B58&amp;"|"&amp;I$8&amp;"|2",Buchungen!$S$6:$S$605,0)),"")))</f>
        <v/>
      </c>
      <c r="J58" s="58" t="str">
        <f>IF($B58="","",IF(COUNTIF(Stammdaten!$AD$10:$AD$30,J$8)&gt;0,"Feiertag",IFERROR(INDEX(Buchungen!$U$6:$U$605,MATCH($B58&amp;"|"&amp;J$8&amp;"|1",Buchungen!$S$6:$S$605,0)),"")&amp;IFERROR(" / "&amp;INDEX(Buchungen!$U$6:$U$605,MATCH($B58&amp;"|"&amp;J$8&amp;"|2",Buchungen!$S$6:$S$605,0)),"")))</f>
        <v/>
      </c>
      <c r="K58" s="16"/>
      <c r="L58" s="58" t="str">
        <f>IF($B58="","",IF(COUNTIF(Stammdaten!$AD$10:$AD$30,L$8)&gt;0,"Feiertag",IFERROR(INDEX(Buchungen!$U$6:$U$605,MATCH($B58&amp;"|"&amp;L$8&amp;"|1",Buchungen!$S$6:$S$605,0)),"")&amp;IFERROR(" / "&amp;INDEX(Buchungen!$U$6:$U$605,MATCH($B58&amp;"|"&amp;L$8&amp;"|2",Buchungen!$S$6:$S$605,0)),"")))</f>
        <v/>
      </c>
      <c r="M58" s="58" t="str">
        <f>IF($B58="","",IF(COUNTIF(Stammdaten!$AD$10:$AD$30,M$8)&gt;0,"Feiertag",IFERROR(INDEX(Buchungen!$U$6:$U$605,MATCH($B58&amp;"|"&amp;M$8&amp;"|1",Buchungen!$S$6:$S$605,0)),"")&amp;IFERROR(" / "&amp;INDEX(Buchungen!$U$6:$U$605,MATCH($B58&amp;"|"&amp;M$8&amp;"|2",Buchungen!$S$6:$S$605,0)),"")))</f>
        <v/>
      </c>
      <c r="N58" s="58" t="str">
        <f>IF($B58="","",IF(COUNTIF(Stammdaten!$AD$10:$AD$30,N$8)&gt;0,"Feiertag",IFERROR(INDEX(Buchungen!$U$6:$U$605,MATCH($B58&amp;"|"&amp;N$8&amp;"|1",Buchungen!$S$6:$S$605,0)),"")&amp;IFERROR(" / "&amp;INDEX(Buchungen!$U$6:$U$605,MATCH($B58&amp;"|"&amp;N$8&amp;"|2",Buchungen!$S$6:$S$605,0)),"")))</f>
        <v/>
      </c>
      <c r="O58" s="58" t="str">
        <f>IF($B58="","",IF(COUNTIF(Stammdaten!$AD$10:$AD$30,O$8)&gt;0,"Feiertag",IFERROR(INDEX(Buchungen!$U$6:$U$605,MATCH($B58&amp;"|"&amp;O$8&amp;"|1",Buchungen!$S$6:$S$605,0)),"")&amp;IFERROR(" / "&amp;INDEX(Buchungen!$U$6:$U$605,MATCH($B58&amp;"|"&amp;O$8&amp;"|2",Buchungen!$S$6:$S$605,0)),"")))</f>
        <v/>
      </c>
      <c r="P58" s="58" t="str">
        <f>IF($B58="","",IF(COUNTIF(Stammdaten!$AD$10:$AD$30,P$8)&gt;0,"Feiertag",IFERROR(INDEX(Buchungen!$U$6:$U$605,MATCH($B58&amp;"|"&amp;P$8&amp;"|1",Buchungen!$S$6:$S$605,0)),"")&amp;IFERROR(" / "&amp;INDEX(Buchungen!$U$6:$U$605,MATCH($B58&amp;"|"&amp;P$8&amp;"|2",Buchungen!$S$6:$S$605,0)),"")))</f>
        <v/>
      </c>
      <c r="R58" s="50" t="str">
        <f t="shared" si="3"/>
        <v/>
      </c>
      <c r="S58" s="50" t="str">
        <f t="shared" si="4"/>
        <v/>
      </c>
      <c r="T58" s="59" t="str">
        <f t="shared" si="5"/>
        <v/>
      </c>
    </row>
    <row r="59" spans="2:20" ht="18.75" customHeight="1" x14ac:dyDescent="0.25">
      <c r="B59" s="56" t="str">
        <f>IF(Stammdaten!$N59="","",Stammdaten!$N59)</f>
        <v/>
      </c>
      <c r="C59" s="41" t="str">
        <f>IF($B59="","",Stammdaten!$P59)</f>
        <v/>
      </c>
      <c r="D59" s="57" t="str">
        <f>IF($B59="","",Stammdaten!$Q59)</f>
        <v/>
      </c>
      <c r="E59" s="42" t="str">
        <f>IF($B59="","",Stammdaten!$R59)</f>
        <v/>
      </c>
      <c r="F59" s="58" t="str">
        <f>IF($B59="","",IF(COUNTIF(Stammdaten!$AD$10:$AD$30,F$8)&gt;0,"Feiertag",IFERROR(INDEX(Buchungen!$U$6:$U$605,MATCH($B59&amp;"|"&amp;F$8&amp;"|1",Buchungen!$S$6:$S$605,0)),"")&amp;IFERROR(" / "&amp;INDEX(Buchungen!$U$6:$U$605,MATCH($B59&amp;"|"&amp;F$8&amp;"|2",Buchungen!$S$6:$S$605,0)),"")))</f>
        <v/>
      </c>
      <c r="G59" s="58" t="str">
        <f>IF($B59="","",IF(COUNTIF(Stammdaten!$AD$10:$AD$30,G$8)&gt;0,"Feiertag",IFERROR(INDEX(Buchungen!$U$6:$U$605,MATCH($B59&amp;"|"&amp;G$8&amp;"|1",Buchungen!$S$6:$S$605,0)),"")&amp;IFERROR(" / "&amp;INDEX(Buchungen!$U$6:$U$605,MATCH($B59&amp;"|"&amp;G$8&amp;"|2",Buchungen!$S$6:$S$605,0)),"")))</f>
        <v/>
      </c>
      <c r="H59" s="58" t="str">
        <f>IF($B59="","",IF(COUNTIF(Stammdaten!$AD$10:$AD$30,H$8)&gt;0,"Feiertag",IFERROR(INDEX(Buchungen!$U$6:$U$605,MATCH($B59&amp;"|"&amp;H$8&amp;"|1",Buchungen!$S$6:$S$605,0)),"")&amp;IFERROR(" / "&amp;INDEX(Buchungen!$U$6:$U$605,MATCH($B59&amp;"|"&amp;H$8&amp;"|2",Buchungen!$S$6:$S$605,0)),"")))</f>
        <v/>
      </c>
      <c r="I59" s="58" t="str">
        <f>IF($B59="","",IF(COUNTIF(Stammdaten!$AD$10:$AD$30,I$8)&gt;0,"Feiertag",IFERROR(INDEX(Buchungen!$U$6:$U$605,MATCH($B59&amp;"|"&amp;I$8&amp;"|1",Buchungen!$S$6:$S$605,0)),"")&amp;IFERROR(" / "&amp;INDEX(Buchungen!$U$6:$U$605,MATCH($B59&amp;"|"&amp;I$8&amp;"|2",Buchungen!$S$6:$S$605,0)),"")))</f>
        <v/>
      </c>
      <c r="J59" s="58" t="str">
        <f>IF($B59="","",IF(COUNTIF(Stammdaten!$AD$10:$AD$30,J$8)&gt;0,"Feiertag",IFERROR(INDEX(Buchungen!$U$6:$U$605,MATCH($B59&amp;"|"&amp;J$8&amp;"|1",Buchungen!$S$6:$S$605,0)),"")&amp;IFERROR(" / "&amp;INDEX(Buchungen!$U$6:$U$605,MATCH($B59&amp;"|"&amp;J$8&amp;"|2",Buchungen!$S$6:$S$605,0)),"")))</f>
        <v/>
      </c>
      <c r="K59" s="16"/>
      <c r="L59" s="58" t="str">
        <f>IF($B59="","",IF(COUNTIF(Stammdaten!$AD$10:$AD$30,L$8)&gt;0,"Feiertag",IFERROR(INDEX(Buchungen!$U$6:$U$605,MATCH($B59&amp;"|"&amp;L$8&amp;"|1",Buchungen!$S$6:$S$605,0)),"")&amp;IFERROR(" / "&amp;INDEX(Buchungen!$U$6:$U$605,MATCH($B59&amp;"|"&amp;L$8&amp;"|2",Buchungen!$S$6:$S$605,0)),"")))</f>
        <v/>
      </c>
      <c r="M59" s="58" t="str">
        <f>IF($B59="","",IF(COUNTIF(Stammdaten!$AD$10:$AD$30,M$8)&gt;0,"Feiertag",IFERROR(INDEX(Buchungen!$U$6:$U$605,MATCH($B59&amp;"|"&amp;M$8&amp;"|1",Buchungen!$S$6:$S$605,0)),"")&amp;IFERROR(" / "&amp;INDEX(Buchungen!$U$6:$U$605,MATCH($B59&amp;"|"&amp;M$8&amp;"|2",Buchungen!$S$6:$S$605,0)),"")))</f>
        <v/>
      </c>
      <c r="N59" s="58" t="str">
        <f>IF($B59="","",IF(COUNTIF(Stammdaten!$AD$10:$AD$30,N$8)&gt;0,"Feiertag",IFERROR(INDEX(Buchungen!$U$6:$U$605,MATCH($B59&amp;"|"&amp;N$8&amp;"|1",Buchungen!$S$6:$S$605,0)),"")&amp;IFERROR(" / "&amp;INDEX(Buchungen!$U$6:$U$605,MATCH($B59&amp;"|"&amp;N$8&amp;"|2",Buchungen!$S$6:$S$605,0)),"")))</f>
        <v/>
      </c>
      <c r="O59" s="58" t="str">
        <f>IF($B59="","",IF(COUNTIF(Stammdaten!$AD$10:$AD$30,O$8)&gt;0,"Feiertag",IFERROR(INDEX(Buchungen!$U$6:$U$605,MATCH($B59&amp;"|"&amp;O$8&amp;"|1",Buchungen!$S$6:$S$605,0)),"")&amp;IFERROR(" / "&amp;INDEX(Buchungen!$U$6:$U$605,MATCH($B59&amp;"|"&amp;O$8&amp;"|2",Buchungen!$S$6:$S$605,0)),"")))</f>
        <v/>
      </c>
      <c r="P59" s="58" t="str">
        <f>IF($B59="","",IF(COUNTIF(Stammdaten!$AD$10:$AD$30,P$8)&gt;0,"Feiertag",IFERROR(INDEX(Buchungen!$U$6:$U$605,MATCH($B59&amp;"|"&amp;P$8&amp;"|1",Buchungen!$S$6:$S$605,0)),"")&amp;IFERROR(" / "&amp;INDEX(Buchungen!$U$6:$U$605,MATCH($B59&amp;"|"&amp;P$8&amp;"|2",Buchungen!$S$6:$S$605,0)),"")))</f>
        <v/>
      </c>
      <c r="R59" s="50" t="str">
        <f t="shared" si="3"/>
        <v/>
      </c>
      <c r="S59" s="50" t="str">
        <f t="shared" si="4"/>
        <v/>
      </c>
      <c r="T59" s="59" t="str">
        <f t="shared" si="5"/>
        <v/>
      </c>
    </row>
    <row r="60" spans="2:20" ht="18.75" customHeight="1" x14ac:dyDescent="0.25">
      <c r="B60" s="56" t="str">
        <f>IF(Stammdaten!$N60="","",Stammdaten!$N60)</f>
        <v/>
      </c>
      <c r="C60" s="41" t="str">
        <f>IF($B60="","",Stammdaten!$P60)</f>
        <v/>
      </c>
      <c r="D60" s="57" t="str">
        <f>IF($B60="","",Stammdaten!$Q60)</f>
        <v/>
      </c>
      <c r="E60" s="42" t="str">
        <f>IF($B60="","",Stammdaten!$R60)</f>
        <v/>
      </c>
      <c r="F60" s="58" t="str">
        <f>IF($B60="","",IF(COUNTIF(Stammdaten!$AD$10:$AD$30,F$8)&gt;0,"Feiertag",IFERROR(INDEX(Buchungen!$U$6:$U$605,MATCH($B60&amp;"|"&amp;F$8&amp;"|1",Buchungen!$S$6:$S$605,0)),"")&amp;IFERROR(" / "&amp;INDEX(Buchungen!$U$6:$U$605,MATCH($B60&amp;"|"&amp;F$8&amp;"|2",Buchungen!$S$6:$S$605,0)),"")))</f>
        <v/>
      </c>
      <c r="G60" s="58" t="str">
        <f>IF($B60="","",IF(COUNTIF(Stammdaten!$AD$10:$AD$30,G$8)&gt;0,"Feiertag",IFERROR(INDEX(Buchungen!$U$6:$U$605,MATCH($B60&amp;"|"&amp;G$8&amp;"|1",Buchungen!$S$6:$S$605,0)),"")&amp;IFERROR(" / "&amp;INDEX(Buchungen!$U$6:$U$605,MATCH($B60&amp;"|"&amp;G$8&amp;"|2",Buchungen!$S$6:$S$605,0)),"")))</f>
        <v/>
      </c>
      <c r="H60" s="58" t="str">
        <f>IF($B60="","",IF(COUNTIF(Stammdaten!$AD$10:$AD$30,H$8)&gt;0,"Feiertag",IFERROR(INDEX(Buchungen!$U$6:$U$605,MATCH($B60&amp;"|"&amp;H$8&amp;"|1",Buchungen!$S$6:$S$605,0)),"")&amp;IFERROR(" / "&amp;INDEX(Buchungen!$U$6:$U$605,MATCH($B60&amp;"|"&amp;H$8&amp;"|2",Buchungen!$S$6:$S$605,0)),"")))</f>
        <v/>
      </c>
      <c r="I60" s="58" t="str">
        <f>IF($B60="","",IF(COUNTIF(Stammdaten!$AD$10:$AD$30,I$8)&gt;0,"Feiertag",IFERROR(INDEX(Buchungen!$U$6:$U$605,MATCH($B60&amp;"|"&amp;I$8&amp;"|1",Buchungen!$S$6:$S$605,0)),"")&amp;IFERROR(" / "&amp;INDEX(Buchungen!$U$6:$U$605,MATCH($B60&amp;"|"&amp;I$8&amp;"|2",Buchungen!$S$6:$S$605,0)),"")))</f>
        <v/>
      </c>
      <c r="J60" s="58" t="str">
        <f>IF($B60="","",IF(COUNTIF(Stammdaten!$AD$10:$AD$30,J$8)&gt;0,"Feiertag",IFERROR(INDEX(Buchungen!$U$6:$U$605,MATCH($B60&amp;"|"&amp;J$8&amp;"|1",Buchungen!$S$6:$S$605,0)),"")&amp;IFERROR(" / "&amp;INDEX(Buchungen!$U$6:$U$605,MATCH($B60&amp;"|"&amp;J$8&amp;"|2",Buchungen!$S$6:$S$605,0)),"")))</f>
        <v/>
      </c>
      <c r="K60" s="16"/>
      <c r="L60" s="58" t="str">
        <f>IF($B60="","",IF(COUNTIF(Stammdaten!$AD$10:$AD$30,L$8)&gt;0,"Feiertag",IFERROR(INDEX(Buchungen!$U$6:$U$605,MATCH($B60&amp;"|"&amp;L$8&amp;"|1",Buchungen!$S$6:$S$605,0)),"")&amp;IFERROR(" / "&amp;INDEX(Buchungen!$U$6:$U$605,MATCH($B60&amp;"|"&amp;L$8&amp;"|2",Buchungen!$S$6:$S$605,0)),"")))</f>
        <v/>
      </c>
      <c r="M60" s="58" t="str">
        <f>IF($B60="","",IF(COUNTIF(Stammdaten!$AD$10:$AD$30,M$8)&gt;0,"Feiertag",IFERROR(INDEX(Buchungen!$U$6:$U$605,MATCH($B60&amp;"|"&amp;M$8&amp;"|1",Buchungen!$S$6:$S$605,0)),"")&amp;IFERROR(" / "&amp;INDEX(Buchungen!$U$6:$U$605,MATCH($B60&amp;"|"&amp;M$8&amp;"|2",Buchungen!$S$6:$S$605,0)),"")))</f>
        <v/>
      </c>
      <c r="N60" s="58" t="str">
        <f>IF($B60="","",IF(COUNTIF(Stammdaten!$AD$10:$AD$30,N$8)&gt;0,"Feiertag",IFERROR(INDEX(Buchungen!$U$6:$U$605,MATCH($B60&amp;"|"&amp;N$8&amp;"|1",Buchungen!$S$6:$S$605,0)),"")&amp;IFERROR(" / "&amp;INDEX(Buchungen!$U$6:$U$605,MATCH($B60&amp;"|"&amp;N$8&amp;"|2",Buchungen!$S$6:$S$605,0)),"")))</f>
        <v/>
      </c>
      <c r="O60" s="58" t="str">
        <f>IF($B60="","",IF(COUNTIF(Stammdaten!$AD$10:$AD$30,O$8)&gt;0,"Feiertag",IFERROR(INDEX(Buchungen!$U$6:$U$605,MATCH($B60&amp;"|"&amp;O$8&amp;"|1",Buchungen!$S$6:$S$605,0)),"")&amp;IFERROR(" / "&amp;INDEX(Buchungen!$U$6:$U$605,MATCH($B60&amp;"|"&amp;O$8&amp;"|2",Buchungen!$S$6:$S$605,0)),"")))</f>
        <v/>
      </c>
      <c r="P60" s="58" t="str">
        <f>IF($B60="","",IF(COUNTIF(Stammdaten!$AD$10:$AD$30,P$8)&gt;0,"Feiertag",IFERROR(INDEX(Buchungen!$U$6:$U$605,MATCH($B60&amp;"|"&amp;P$8&amp;"|1",Buchungen!$S$6:$S$605,0)),"")&amp;IFERROR(" / "&amp;INDEX(Buchungen!$U$6:$U$605,MATCH($B60&amp;"|"&amp;P$8&amp;"|2",Buchungen!$S$6:$S$605,0)),"")))</f>
        <v/>
      </c>
      <c r="R60" s="50" t="str">
        <f t="shared" si="3"/>
        <v/>
      </c>
      <c r="S60" s="50" t="str">
        <f t="shared" si="4"/>
        <v/>
      </c>
      <c r="T60" s="59" t="str">
        <f t="shared" si="5"/>
        <v/>
      </c>
    </row>
    <row r="61" spans="2:20" ht="18.75" customHeight="1" x14ac:dyDescent="0.25">
      <c r="B61" s="56" t="str">
        <f>IF(Stammdaten!$N61="","",Stammdaten!$N61)</f>
        <v/>
      </c>
      <c r="C61" s="41" t="str">
        <f>IF($B61="","",Stammdaten!$P61)</f>
        <v/>
      </c>
      <c r="D61" s="57" t="str">
        <f>IF($B61="","",Stammdaten!$Q61)</f>
        <v/>
      </c>
      <c r="E61" s="42" t="str">
        <f>IF($B61="","",Stammdaten!$R61)</f>
        <v/>
      </c>
      <c r="F61" s="58" t="str">
        <f>IF($B61="","",IF(COUNTIF(Stammdaten!$AD$10:$AD$30,F$8)&gt;0,"Feiertag",IFERROR(INDEX(Buchungen!$U$6:$U$605,MATCH($B61&amp;"|"&amp;F$8&amp;"|1",Buchungen!$S$6:$S$605,0)),"")&amp;IFERROR(" / "&amp;INDEX(Buchungen!$U$6:$U$605,MATCH($B61&amp;"|"&amp;F$8&amp;"|2",Buchungen!$S$6:$S$605,0)),"")))</f>
        <v/>
      </c>
      <c r="G61" s="58" t="str">
        <f>IF($B61="","",IF(COUNTIF(Stammdaten!$AD$10:$AD$30,G$8)&gt;0,"Feiertag",IFERROR(INDEX(Buchungen!$U$6:$U$605,MATCH($B61&amp;"|"&amp;G$8&amp;"|1",Buchungen!$S$6:$S$605,0)),"")&amp;IFERROR(" / "&amp;INDEX(Buchungen!$U$6:$U$605,MATCH($B61&amp;"|"&amp;G$8&amp;"|2",Buchungen!$S$6:$S$605,0)),"")))</f>
        <v/>
      </c>
      <c r="H61" s="58" t="str">
        <f>IF($B61="","",IF(COUNTIF(Stammdaten!$AD$10:$AD$30,H$8)&gt;0,"Feiertag",IFERROR(INDEX(Buchungen!$U$6:$U$605,MATCH($B61&amp;"|"&amp;H$8&amp;"|1",Buchungen!$S$6:$S$605,0)),"")&amp;IFERROR(" / "&amp;INDEX(Buchungen!$U$6:$U$605,MATCH($B61&amp;"|"&amp;H$8&amp;"|2",Buchungen!$S$6:$S$605,0)),"")))</f>
        <v/>
      </c>
      <c r="I61" s="58" t="str">
        <f>IF($B61="","",IF(COUNTIF(Stammdaten!$AD$10:$AD$30,I$8)&gt;0,"Feiertag",IFERROR(INDEX(Buchungen!$U$6:$U$605,MATCH($B61&amp;"|"&amp;I$8&amp;"|1",Buchungen!$S$6:$S$605,0)),"")&amp;IFERROR(" / "&amp;INDEX(Buchungen!$U$6:$U$605,MATCH($B61&amp;"|"&amp;I$8&amp;"|2",Buchungen!$S$6:$S$605,0)),"")))</f>
        <v/>
      </c>
      <c r="J61" s="58" t="str">
        <f>IF($B61="","",IF(COUNTIF(Stammdaten!$AD$10:$AD$30,J$8)&gt;0,"Feiertag",IFERROR(INDEX(Buchungen!$U$6:$U$605,MATCH($B61&amp;"|"&amp;J$8&amp;"|1",Buchungen!$S$6:$S$605,0)),"")&amp;IFERROR(" / "&amp;INDEX(Buchungen!$U$6:$U$605,MATCH($B61&amp;"|"&amp;J$8&amp;"|2",Buchungen!$S$6:$S$605,0)),"")))</f>
        <v/>
      </c>
      <c r="K61" s="16"/>
      <c r="L61" s="58" t="str">
        <f>IF($B61="","",IF(COUNTIF(Stammdaten!$AD$10:$AD$30,L$8)&gt;0,"Feiertag",IFERROR(INDEX(Buchungen!$U$6:$U$605,MATCH($B61&amp;"|"&amp;L$8&amp;"|1",Buchungen!$S$6:$S$605,0)),"")&amp;IFERROR(" / "&amp;INDEX(Buchungen!$U$6:$U$605,MATCH($B61&amp;"|"&amp;L$8&amp;"|2",Buchungen!$S$6:$S$605,0)),"")))</f>
        <v/>
      </c>
      <c r="M61" s="58" t="str">
        <f>IF($B61="","",IF(COUNTIF(Stammdaten!$AD$10:$AD$30,M$8)&gt;0,"Feiertag",IFERROR(INDEX(Buchungen!$U$6:$U$605,MATCH($B61&amp;"|"&amp;M$8&amp;"|1",Buchungen!$S$6:$S$605,0)),"")&amp;IFERROR(" / "&amp;INDEX(Buchungen!$U$6:$U$605,MATCH($B61&amp;"|"&amp;M$8&amp;"|2",Buchungen!$S$6:$S$605,0)),"")))</f>
        <v/>
      </c>
      <c r="N61" s="58" t="str">
        <f>IF($B61="","",IF(COUNTIF(Stammdaten!$AD$10:$AD$30,N$8)&gt;0,"Feiertag",IFERROR(INDEX(Buchungen!$U$6:$U$605,MATCH($B61&amp;"|"&amp;N$8&amp;"|1",Buchungen!$S$6:$S$605,0)),"")&amp;IFERROR(" / "&amp;INDEX(Buchungen!$U$6:$U$605,MATCH($B61&amp;"|"&amp;N$8&amp;"|2",Buchungen!$S$6:$S$605,0)),"")))</f>
        <v/>
      </c>
      <c r="O61" s="58" t="str">
        <f>IF($B61="","",IF(COUNTIF(Stammdaten!$AD$10:$AD$30,O$8)&gt;0,"Feiertag",IFERROR(INDEX(Buchungen!$U$6:$U$605,MATCH($B61&amp;"|"&amp;O$8&amp;"|1",Buchungen!$S$6:$S$605,0)),"")&amp;IFERROR(" / "&amp;INDEX(Buchungen!$U$6:$U$605,MATCH($B61&amp;"|"&amp;O$8&amp;"|2",Buchungen!$S$6:$S$605,0)),"")))</f>
        <v/>
      </c>
      <c r="P61" s="58" t="str">
        <f>IF($B61="","",IF(COUNTIF(Stammdaten!$AD$10:$AD$30,P$8)&gt;0,"Feiertag",IFERROR(INDEX(Buchungen!$U$6:$U$605,MATCH($B61&amp;"|"&amp;P$8&amp;"|1",Buchungen!$S$6:$S$605,0)),"")&amp;IFERROR(" / "&amp;INDEX(Buchungen!$U$6:$U$605,MATCH($B61&amp;"|"&amp;P$8&amp;"|2",Buchungen!$S$6:$S$605,0)),"")))</f>
        <v/>
      </c>
      <c r="R61" s="50" t="str">
        <f t="shared" si="3"/>
        <v/>
      </c>
      <c r="S61" s="50" t="str">
        <f t="shared" si="4"/>
        <v/>
      </c>
      <c r="T61" s="59" t="str">
        <f t="shared" si="5"/>
        <v/>
      </c>
    </row>
    <row r="62" spans="2:20" ht="18.75" customHeight="1" x14ac:dyDescent="0.25">
      <c r="B62" s="56" t="str">
        <f>IF(Stammdaten!$N62="","",Stammdaten!$N62)</f>
        <v/>
      </c>
      <c r="C62" s="41" t="str">
        <f>IF($B62="","",Stammdaten!$P62)</f>
        <v/>
      </c>
      <c r="D62" s="57" t="str">
        <f>IF($B62="","",Stammdaten!$Q62)</f>
        <v/>
      </c>
      <c r="E62" s="42" t="str">
        <f>IF($B62="","",Stammdaten!$R62)</f>
        <v/>
      </c>
      <c r="F62" s="58" t="str">
        <f>IF($B62="","",IF(COUNTIF(Stammdaten!$AD$10:$AD$30,F$8)&gt;0,"Feiertag",IFERROR(INDEX(Buchungen!$U$6:$U$605,MATCH($B62&amp;"|"&amp;F$8&amp;"|1",Buchungen!$S$6:$S$605,0)),"")&amp;IFERROR(" / "&amp;INDEX(Buchungen!$U$6:$U$605,MATCH($B62&amp;"|"&amp;F$8&amp;"|2",Buchungen!$S$6:$S$605,0)),"")))</f>
        <v/>
      </c>
      <c r="G62" s="58" t="str">
        <f>IF($B62="","",IF(COUNTIF(Stammdaten!$AD$10:$AD$30,G$8)&gt;0,"Feiertag",IFERROR(INDEX(Buchungen!$U$6:$U$605,MATCH($B62&amp;"|"&amp;G$8&amp;"|1",Buchungen!$S$6:$S$605,0)),"")&amp;IFERROR(" / "&amp;INDEX(Buchungen!$U$6:$U$605,MATCH($B62&amp;"|"&amp;G$8&amp;"|2",Buchungen!$S$6:$S$605,0)),"")))</f>
        <v/>
      </c>
      <c r="H62" s="58" t="str">
        <f>IF($B62="","",IF(COUNTIF(Stammdaten!$AD$10:$AD$30,H$8)&gt;0,"Feiertag",IFERROR(INDEX(Buchungen!$U$6:$U$605,MATCH($B62&amp;"|"&amp;H$8&amp;"|1",Buchungen!$S$6:$S$605,0)),"")&amp;IFERROR(" / "&amp;INDEX(Buchungen!$U$6:$U$605,MATCH($B62&amp;"|"&amp;H$8&amp;"|2",Buchungen!$S$6:$S$605,0)),"")))</f>
        <v/>
      </c>
      <c r="I62" s="58" t="str">
        <f>IF($B62="","",IF(COUNTIF(Stammdaten!$AD$10:$AD$30,I$8)&gt;0,"Feiertag",IFERROR(INDEX(Buchungen!$U$6:$U$605,MATCH($B62&amp;"|"&amp;I$8&amp;"|1",Buchungen!$S$6:$S$605,0)),"")&amp;IFERROR(" / "&amp;INDEX(Buchungen!$U$6:$U$605,MATCH($B62&amp;"|"&amp;I$8&amp;"|2",Buchungen!$S$6:$S$605,0)),"")))</f>
        <v/>
      </c>
      <c r="J62" s="58" t="str">
        <f>IF($B62="","",IF(COUNTIF(Stammdaten!$AD$10:$AD$30,J$8)&gt;0,"Feiertag",IFERROR(INDEX(Buchungen!$U$6:$U$605,MATCH($B62&amp;"|"&amp;J$8&amp;"|1",Buchungen!$S$6:$S$605,0)),"")&amp;IFERROR(" / "&amp;INDEX(Buchungen!$U$6:$U$605,MATCH($B62&amp;"|"&amp;J$8&amp;"|2",Buchungen!$S$6:$S$605,0)),"")))</f>
        <v/>
      </c>
      <c r="K62" s="16"/>
      <c r="L62" s="58" t="str">
        <f>IF($B62="","",IF(COUNTIF(Stammdaten!$AD$10:$AD$30,L$8)&gt;0,"Feiertag",IFERROR(INDEX(Buchungen!$U$6:$U$605,MATCH($B62&amp;"|"&amp;L$8&amp;"|1",Buchungen!$S$6:$S$605,0)),"")&amp;IFERROR(" / "&amp;INDEX(Buchungen!$U$6:$U$605,MATCH($B62&amp;"|"&amp;L$8&amp;"|2",Buchungen!$S$6:$S$605,0)),"")))</f>
        <v/>
      </c>
      <c r="M62" s="58" t="str">
        <f>IF($B62="","",IF(COUNTIF(Stammdaten!$AD$10:$AD$30,M$8)&gt;0,"Feiertag",IFERROR(INDEX(Buchungen!$U$6:$U$605,MATCH($B62&amp;"|"&amp;M$8&amp;"|1",Buchungen!$S$6:$S$605,0)),"")&amp;IFERROR(" / "&amp;INDEX(Buchungen!$U$6:$U$605,MATCH($B62&amp;"|"&amp;M$8&amp;"|2",Buchungen!$S$6:$S$605,0)),"")))</f>
        <v/>
      </c>
      <c r="N62" s="58" t="str">
        <f>IF($B62="","",IF(COUNTIF(Stammdaten!$AD$10:$AD$30,N$8)&gt;0,"Feiertag",IFERROR(INDEX(Buchungen!$U$6:$U$605,MATCH($B62&amp;"|"&amp;N$8&amp;"|1",Buchungen!$S$6:$S$605,0)),"")&amp;IFERROR(" / "&amp;INDEX(Buchungen!$U$6:$U$605,MATCH($B62&amp;"|"&amp;N$8&amp;"|2",Buchungen!$S$6:$S$605,0)),"")))</f>
        <v/>
      </c>
      <c r="O62" s="58" t="str">
        <f>IF($B62="","",IF(COUNTIF(Stammdaten!$AD$10:$AD$30,O$8)&gt;0,"Feiertag",IFERROR(INDEX(Buchungen!$U$6:$U$605,MATCH($B62&amp;"|"&amp;O$8&amp;"|1",Buchungen!$S$6:$S$605,0)),"")&amp;IFERROR(" / "&amp;INDEX(Buchungen!$U$6:$U$605,MATCH($B62&amp;"|"&amp;O$8&amp;"|2",Buchungen!$S$6:$S$605,0)),"")))</f>
        <v/>
      </c>
      <c r="P62" s="58" t="str">
        <f>IF($B62="","",IF(COUNTIF(Stammdaten!$AD$10:$AD$30,P$8)&gt;0,"Feiertag",IFERROR(INDEX(Buchungen!$U$6:$U$605,MATCH($B62&amp;"|"&amp;P$8&amp;"|1",Buchungen!$S$6:$S$605,0)),"")&amp;IFERROR(" / "&amp;INDEX(Buchungen!$U$6:$U$605,MATCH($B62&amp;"|"&amp;P$8&amp;"|2",Buchungen!$S$6:$S$605,0)),"")))</f>
        <v/>
      </c>
      <c r="R62" s="50" t="str">
        <f t="shared" si="3"/>
        <v/>
      </c>
      <c r="S62" s="50" t="str">
        <f t="shared" si="4"/>
        <v/>
      </c>
      <c r="T62" s="59" t="str">
        <f t="shared" si="5"/>
        <v/>
      </c>
    </row>
    <row r="63" spans="2:20" ht="18.75" customHeight="1" x14ac:dyDescent="0.25">
      <c r="B63" s="56" t="str">
        <f>IF(Stammdaten!$N63="","",Stammdaten!$N63)</f>
        <v/>
      </c>
      <c r="C63" s="41" t="str">
        <f>IF($B63="","",Stammdaten!$P63)</f>
        <v/>
      </c>
      <c r="D63" s="57" t="str">
        <f>IF($B63="","",Stammdaten!$Q63)</f>
        <v/>
      </c>
      <c r="E63" s="42" t="str">
        <f>IF($B63="","",Stammdaten!$R63)</f>
        <v/>
      </c>
      <c r="F63" s="58" t="str">
        <f>IF($B63="","",IF(COUNTIF(Stammdaten!$AD$10:$AD$30,F$8)&gt;0,"Feiertag",IFERROR(INDEX(Buchungen!$U$6:$U$605,MATCH($B63&amp;"|"&amp;F$8&amp;"|1",Buchungen!$S$6:$S$605,0)),"")&amp;IFERROR(" / "&amp;INDEX(Buchungen!$U$6:$U$605,MATCH($B63&amp;"|"&amp;F$8&amp;"|2",Buchungen!$S$6:$S$605,0)),"")))</f>
        <v/>
      </c>
      <c r="G63" s="58" t="str">
        <f>IF($B63="","",IF(COUNTIF(Stammdaten!$AD$10:$AD$30,G$8)&gt;0,"Feiertag",IFERROR(INDEX(Buchungen!$U$6:$U$605,MATCH($B63&amp;"|"&amp;G$8&amp;"|1",Buchungen!$S$6:$S$605,0)),"")&amp;IFERROR(" / "&amp;INDEX(Buchungen!$U$6:$U$605,MATCH($B63&amp;"|"&amp;G$8&amp;"|2",Buchungen!$S$6:$S$605,0)),"")))</f>
        <v/>
      </c>
      <c r="H63" s="58" t="str">
        <f>IF($B63="","",IF(COUNTIF(Stammdaten!$AD$10:$AD$30,H$8)&gt;0,"Feiertag",IFERROR(INDEX(Buchungen!$U$6:$U$605,MATCH($B63&amp;"|"&amp;H$8&amp;"|1",Buchungen!$S$6:$S$605,0)),"")&amp;IFERROR(" / "&amp;INDEX(Buchungen!$U$6:$U$605,MATCH($B63&amp;"|"&amp;H$8&amp;"|2",Buchungen!$S$6:$S$605,0)),"")))</f>
        <v/>
      </c>
      <c r="I63" s="58" t="str">
        <f>IF($B63="","",IF(COUNTIF(Stammdaten!$AD$10:$AD$30,I$8)&gt;0,"Feiertag",IFERROR(INDEX(Buchungen!$U$6:$U$605,MATCH($B63&amp;"|"&amp;I$8&amp;"|1",Buchungen!$S$6:$S$605,0)),"")&amp;IFERROR(" / "&amp;INDEX(Buchungen!$U$6:$U$605,MATCH($B63&amp;"|"&amp;I$8&amp;"|2",Buchungen!$S$6:$S$605,0)),"")))</f>
        <v/>
      </c>
      <c r="J63" s="58" t="str">
        <f>IF($B63="","",IF(COUNTIF(Stammdaten!$AD$10:$AD$30,J$8)&gt;0,"Feiertag",IFERROR(INDEX(Buchungen!$U$6:$U$605,MATCH($B63&amp;"|"&amp;J$8&amp;"|1",Buchungen!$S$6:$S$605,0)),"")&amp;IFERROR(" / "&amp;INDEX(Buchungen!$U$6:$U$605,MATCH($B63&amp;"|"&amp;J$8&amp;"|2",Buchungen!$S$6:$S$605,0)),"")))</f>
        <v/>
      </c>
      <c r="K63" s="16"/>
      <c r="L63" s="58" t="str">
        <f>IF($B63="","",IF(COUNTIF(Stammdaten!$AD$10:$AD$30,L$8)&gt;0,"Feiertag",IFERROR(INDEX(Buchungen!$U$6:$U$605,MATCH($B63&amp;"|"&amp;L$8&amp;"|1",Buchungen!$S$6:$S$605,0)),"")&amp;IFERROR(" / "&amp;INDEX(Buchungen!$U$6:$U$605,MATCH($B63&amp;"|"&amp;L$8&amp;"|2",Buchungen!$S$6:$S$605,0)),"")))</f>
        <v/>
      </c>
      <c r="M63" s="58" t="str">
        <f>IF($B63="","",IF(COUNTIF(Stammdaten!$AD$10:$AD$30,M$8)&gt;0,"Feiertag",IFERROR(INDEX(Buchungen!$U$6:$U$605,MATCH($B63&amp;"|"&amp;M$8&amp;"|1",Buchungen!$S$6:$S$605,0)),"")&amp;IFERROR(" / "&amp;INDEX(Buchungen!$U$6:$U$605,MATCH($B63&amp;"|"&amp;M$8&amp;"|2",Buchungen!$S$6:$S$605,0)),"")))</f>
        <v/>
      </c>
      <c r="N63" s="58" t="str">
        <f>IF($B63="","",IF(COUNTIF(Stammdaten!$AD$10:$AD$30,N$8)&gt;0,"Feiertag",IFERROR(INDEX(Buchungen!$U$6:$U$605,MATCH($B63&amp;"|"&amp;N$8&amp;"|1",Buchungen!$S$6:$S$605,0)),"")&amp;IFERROR(" / "&amp;INDEX(Buchungen!$U$6:$U$605,MATCH($B63&amp;"|"&amp;N$8&amp;"|2",Buchungen!$S$6:$S$605,0)),"")))</f>
        <v/>
      </c>
      <c r="O63" s="58" t="str">
        <f>IF($B63="","",IF(COUNTIF(Stammdaten!$AD$10:$AD$30,O$8)&gt;0,"Feiertag",IFERROR(INDEX(Buchungen!$U$6:$U$605,MATCH($B63&amp;"|"&amp;O$8&amp;"|1",Buchungen!$S$6:$S$605,0)),"")&amp;IFERROR(" / "&amp;INDEX(Buchungen!$U$6:$U$605,MATCH($B63&amp;"|"&amp;O$8&amp;"|2",Buchungen!$S$6:$S$605,0)),"")))</f>
        <v/>
      </c>
      <c r="P63" s="58" t="str">
        <f>IF($B63="","",IF(COUNTIF(Stammdaten!$AD$10:$AD$30,P$8)&gt;0,"Feiertag",IFERROR(INDEX(Buchungen!$U$6:$U$605,MATCH($B63&amp;"|"&amp;P$8&amp;"|1",Buchungen!$S$6:$S$605,0)),"")&amp;IFERROR(" / "&amp;INDEX(Buchungen!$U$6:$U$605,MATCH($B63&amp;"|"&amp;P$8&amp;"|2",Buchungen!$S$6:$S$605,0)),"")))</f>
        <v/>
      </c>
      <c r="R63" s="50" t="str">
        <f t="shared" si="3"/>
        <v/>
      </c>
      <c r="S63" s="50" t="str">
        <f t="shared" si="4"/>
        <v/>
      </c>
      <c r="T63" s="59" t="str">
        <f t="shared" si="5"/>
        <v/>
      </c>
    </row>
    <row r="64" spans="2:20" ht="18.75" customHeight="1" x14ac:dyDescent="0.25">
      <c r="B64" s="56" t="str">
        <f>IF(Stammdaten!$N64="","",Stammdaten!$N64)</f>
        <v/>
      </c>
      <c r="C64" s="41" t="str">
        <f>IF($B64="","",Stammdaten!$P64)</f>
        <v/>
      </c>
      <c r="D64" s="57" t="str">
        <f>IF($B64="","",Stammdaten!$Q64)</f>
        <v/>
      </c>
      <c r="E64" s="42" t="str">
        <f>IF($B64="","",Stammdaten!$R64)</f>
        <v/>
      </c>
      <c r="F64" s="58" t="str">
        <f>IF($B64="","",IF(COUNTIF(Stammdaten!$AD$10:$AD$30,F$8)&gt;0,"Feiertag",IFERROR(INDEX(Buchungen!$U$6:$U$605,MATCH($B64&amp;"|"&amp;F$8&amp;"|1",Buchungen!$S$6:$S$605,0)),"")&amp;IFERROR(" / "&amp;INDEX(Buchungen!$U$6:$U$605,MATCH($B64&amp;"|"&amp;F$8&amp;"|2",Buchungen!$S$6:$S$605,0)),"")))</f>
        <v/>
      </c>
      <c r="G64" s="58" t="str">
        <f>IF($B64="","",IF(COUNTIF(Stammdaten!$AD$10:$AD$30,G$8)&gt;0,"Feiertag",IFERROR(INDEX(Buchungen!$U$6:$U$605,MATCH($B64&amp;"|"&amp;G$8&amp;"|1",Buchungen!$S$6:$S$605,0)),"")&amp;IFERROR(" / "&amp;INDEX(Buchungen!$U$6:$U$605,MATCH($B64&amp;"|"&amp;G$8&amp;"|2",Buchungen!$S$6:$S$605,0)),"")))</f>
        <v/>
      </c>
      <c r="H64" s="58" t="str">
        <f>IF($B64="","",IF(COUNTIF(Stammdaten!$AD$10:$AD$30,H$8)&gt;0,"Feiertag",IFERROR(INDEX(Buchungen!$U$6:$U$605,MATCH($B64&amp;"|"&amp;H$8&amp;"|1",Buchungen!$S$6:$S$605,0)),"")&amp;IFERROR(" / "&amp;INDEX(Buchungen!$U$6:$U$605,MATCH($B64&amp;"|"&amp;H$8&amp;"|2",Buchungen!$S$6:$S$605,0)),"")))</f>
        <v/>
      </c>
      <c r="I64" s="58" t="str">
        <f>IF($B64="","",IF(COUNTIF(Stammdaten!$AD$10:$AD$30,I$8)&gt;0,"Feiertag",IFERROR(INDEX(Buchungen!$U$6:$U$605,MATCH($B64&amp;"|"&amp;I$8&amp;"|1",Buchungen!$S$6:$S$605,0)),"")&amp;IFERROR(" / "&amp;INDEX(Buchungen!$U$6:$U$605,MATCH($B64&amp;"|"&amp;I$8&amp;"|2",Buchungen!$S$6:$S$605,0)),"")))</f>
        <v/>
      </c>
      <c r="J64" s="58" t="str">
        <f>IF($B64="","",IF(COUNTIF(Stammdaten!$AD$10:$AD$30,J$8)&gt;0,"Feiertag",IFERROR(INDEX(Buchungen!$U$6:$U$605,MATCH($B64&amp;"|"&amp;J$8&amp;"|1",Buchungen!$S$6:$S$605,0)),"")&amp;IFERROR(" / "&amp;INDEX(Buchungen!$U$6:$U$605,MATCH($B64&amp;"|"&amp;J$8&amp;"|2",Buchungen!$S$6:$S$605,0)),"")))</f>
        <v/>
      </c>
      <c r="K64" s="16"/>
      <c r="L64" s="58" t="str">
        <f>IF($B64="","",IF(COUNTIF(Stammdaten!$AD$10:$AD$30,L$8)&gt;0,"Feiertag",IFERROR(INDEX(Buchungen!$U$6:$U$605,MATCH($B64&amp;"|"&amp;L$8&amp;"|1",Buchungen!$S$6:$S$605,0)),"")&amp;IFERROR(" / "&amp;INDEX(Buchungen!$U$6:$U$605,MATCH($B64&amp;"|"&amp;L$8&amp;"|2",Buchungen!$S$6:$S$605,0)),"")))</f>
        <v/>
      </c>
      <c r="M64" s="58" t="str">
        <f>IF($B64="","",IF(COUNTIF(Stammdaten!$AD$10:$AD$30,M$8)&gt;0,"Feiertag",IFERROR(INDEX(Buchungen!$U$6:$U$605,MATCH($B64&amp;"|"&amp;M$8&amp;"|1",Buchungen!$S$6:$S$605,0)),"")&amp;IFERROR(" / "&amp;INDEX(Buchungen!$U$6:$U$605,MATCH($B64&amp;"|"&amp;M$8&amp;"|2",Buchungen!$S$6:$S$605,0)),"")))</f>
        <v/>
      </c>
      <c r="N64" s="58" t="str">
        <f>IF($B64="","",IF(COUNTIF(Stammdaten!$AD$10:$AD$30,N$8)&gt;0,"Feiertag",IFERROR(INDEX(Buchungen!$U$6:$U$605,MATCH($B64&amp;"|"&amp;N$8&amp;"|1",Buchungen!$S$6:$S$605,0)),"")&amp;IFERROR(" / "&amp;INDEX(Buchungen!$U$6:$U$605,MATCH($B64&amp;"|"&amp;N$8&amp;"|2",Buchungen!$S$6:$S$605,0)),"")))</f>
        <v/>
      </c>
      <c r="O64" s="58" t="str">
        <f>IF($B64="","",IF(COUNTIF(Stammdaten!$AD$10:$AD$30,O$8)&gt;0,"Feiertag",IFERROR(INDEX(Buchungen!$U$6:$U$605,MATCH($B64&amp;"|"&amp;O$8&amp;"|1",Buchungen!$S$6:$S$605,0)),"")&amp;IFERROR(" / "&amp;INDEX(Buchungen!$U$6:$U$605,MATCH($B64&amp;"|"&amp;O$8&amp;"|2",Buchungen!$S$6:$S$605,0)),"")))</f>
        <v/>
      </c>
      <c r="P64" s="58" t="str">
        <f>IF($B64="","",IF(COUNTIF(Stammdaten!$AD$10:$AD$30,P$8)&gt;0,"Feiertag",IFERROR(INDEX(Buchungen!$U$6:$U$605,MATCH($B64&amp;"|"&amp;P$8&amp;"|1",Buchungen!$S$6:$S$605,0)),"")&amp;IFERROR(" / "&amp;INDEX(Buchungen!$U$6:$U$605,MATCH($B64&amp;"|"&amp;P$8&amp;"|2",Buchungen!$S$6:$S$605,0)),"")))</f>
        <v/>
      </c>
      <c r="R64" s="50" t="str">
        <f t="shared" si="3"/>
        <v/>
      </c>
      <c r="S64" s="50" t="str">
        <f t="shared" si="4"/>
        <v/>
      </c>
      <c r="T64" s="59" t="str">
        <f t="shared" si="5"/>
        <v/>
      </c>
    </row>
    <row r="65" spans="2:20" ht="18.75" customHeight="1" x14ac:dyDescent="0.25">
      <c r="B65" s="56" t="str">
        <f>IF(Stammdaten!$N65="","",Stammdaten!$N65)</f>
        <v/>
      </c>
      <c r="C65" s="41" t="str">
        <f>IF($B65="","",Stammdaten!$P65)</f>
        <v/>
      </c>
      <c r="D65" s="57" t="str">
        <f>IF($B65="","",Stammdaten!$Q65)</f>
        <v/>
      </c>
      <c r="E65" s="42" t="str">
        <f>IF($B65="","",Stammdaten!$R65)</f>
        <v/>
      </c>
      <c r="F65" s="58" t="str">
        <f>IF($B65="","",IF(COUNTIF(Stammdaten!$AD$10:$AD$30,F$8)&gt;0,"Feiertag",IFERROR(INDEX(Buchungen!$U$6:$U$605,MATCH($B65&amp;"|"&amp;F$8&amp;"|1",Buchungen!$S$6:$S$605,0)),"")&amp;IFERROR(" / "&amp;INDEX(Buchungen!$U$6:$U$605,MATCH($B65&amp;"|"&amp;F$8&amp;"|2",Buchungen!$S$6:$S$605,0)),"")))</f>
        <v/>
      </c>
      <c r="G65" s="58" t="str">
        <f>IF($B65="","",IF(COUNTIF(Stammdaten!$AD$10:$AD$30,G$8)&gt;0,"Feiertag",IFERROR(INDEX(Buchungen!$U$6:$U$605,MATCH($B65&amp;"|"&amp;G$8&amp;"|1",Buchungen!$S$6:$S$605,0)),"")&amp;IFERROR(" / "&amp;INDEX(Buchungen!$U$6:$U$605,MATCH($B65&amp;"|"&amp;G$8&amp;"|2",Buchungen!$S$6:$S$605,0)),"")))</f>
        <v/>
      </c>
      <c r="H65" s="58" t="str">
        <f>IF($B65="","",IF(COUNTIF(Stammdaten!$AD$10:$AD$30,H$8)&gt;0,"Feiertag",IFERROR(INDEX(Buchungen!$U$6:$U$605,MATCH($B65&amp;"|"&amp;H$8&amp;"|1",Buchungen!$S$6:$S$605,0)),"")&amp;IFERROR(" / "&amp;INDEX(Buchungen!$U$6:$U$605,MATCH($B65&amp;"|"&amp;H$8&amp;"|2",Buchungen!$S$6:$S$605,0)),"")))</f>
        <v/>
      </c>
      <c r="I65" s="58" t="str">
        <f>IF($B65="","",IF(COUNTIF(Stammdaten!$AD$10:$AD$30,I$8)&gt;0,"Feiertag",IFERROR(INDEX(Buchungen!$U$6:$U$605,MATCH($B65&amp;"|"&amp;I$8&amp;"|1",Buchungen!$S$6:$S$605,0)),"")&amp;IFERROR(" / "&amp;INDEX(Buchungen!$U$6:$U$605,MATCH($B65&amp;"|"&amp;I$8&amp;"|2",Buchungen!$S$6:$S$605,0)),"")))</f>
        <v/>
      </c>
      <c r="J65" s="58" t="str">
        <f>IF($B65="","",IF(COUNTIF(Stammdaten!$AD$10:$AD$30,J$8)&gt;0,"Feiertag",IFERROR(INDEX(Buchungen!$U$6:$U$605,MATCH($B65&amp;"|"&amp;J$8&amp;"|1",Buchungen!$S$6:$S$605,0)),"")&amp;IFERROR(" / "&amp;INDEX(Buchungen!$U$6:$U$605,MATCH($B65&amp;"|"&amp;J$8&amp;"|2",Buchungen!$S$6:$S$605,0)),"")))</f>
        <v/>
      </c>
      <c r="K65" s="16"/>
      <c r="L65" s="58" t="str">
        <f>IF($B65="","",IF(COUNTIF(Stammdaten!$AD$10:$AD$30,L$8)&gt;0,"Feiertag",IFERROR(INDEX(Buchungen!$U$6:$U$605,MATCH($B65&amp;"|"&amp;L$8&amp;"|1",Buchungen!$S$6:$S$605,0)),"")&amp;IFERROR(" / "&amp;INDEX(Buchungen!$U$6:$U$605,MATCH($B65&amp;"|"&amp;L$8&amp;"|2",Buchungen!$S$6:$S$605,0)),"")))</f>
        <v/>
      </c>
      <c r="M65" s="58" t="str">
        <f>IF($B65="","",IF(COUNTIF(Stammdaten!$AD$10:$AD$30,M$8)&gt;0,"Feiertag",IFERROR(INDEX(Buchungen!$U$6:$U$605,MATCH($B65&amp;"|"&amp;M$8&amp;"|1",Buchungen!$S$6:$S$605,0)),"")&amp;IFERROR(" / "&amp;INDEX(Buchungen!$U$6:$U$605,MATCH($B65&amp;"|"&amp;M$8&amp;"|2",Buchungen!$S$6:$S$605,0)),"")))</f>
        <v/>
      </c>
      <c r="N65" s="58" t="str">
        <f>IF($B65="","",IF(COUNTIF(Stammdaten!$AD$10:$AD$30,N$8)&gt;0,"Feiertag",IFERROR(INDEX(Buchungen!$U$6:$U$605,MATCH($B65&amp;"|"&amp;N$8&amp;"|1",Buchungen!$S$6:$S$605,0)),"")&amp;IFERROR(" / "&amp;INDEX(Buchungen!$U$6:$U$605,MATCH($B65&amp;"|"&amp;N$8&amp;"|2",Buchungen!$S$6:$S$605,0)),"")))</f>
        <v/>
      </c>
      <c r="O65" s="58" t="str">
        <f>IF($B65="","",IF(COUNTIF(Stammdaten!$AD$10:$AD$30,O$8)&gt;0,"Feiertag",IFERROR(INDEX(Buchungen!$U$6:$U$605,MATCH($B65&amp;"|"&amp;O$8&amp;"|1",Buchungen!$S$6:$S$605,0)),"")&amp;IFERROR(" / "&amp;INDEX(Buchungen!$U$6:$U$605,MATCH($B65&amp;"|"&amp;O$8&amp;"|2",Buchungen!$S$6:$S$605,0)),"")))</f>
        <v/>
      </c>
      <c r="P65" s="58" t="str">
        <f>IF($B65="","",IF(COUNTIF(Stammdaten!$AD$10:$AD$30,P$8)&gt;0,"Feiertag",IFERROR(INDEX(Buchungen!$U$6:$U$605,MATCH($B65&amp;"|"&amp;P$8&amp;"|1",Buchungen!$S$6:$S$605,0)),"")&amp;IFERROR(" / "&amp;INDEX(Buchungen!$U$6:$U$605,MATCH($B65&amp;"|"&amp;P$8&amp;"|2",Buchungen!$S$6:$S$605,0)),"")))</f>
        <v/>
      </c>
      <c r="R65" s="50" t="str">
        <f t="shared" si="3"/>
        <v/>
      </c>
      <c r="S65" s="50" t="str">
        <f t="shared" si="4"/>
        <v/>
      </c>
      <c r="T65" s="59" t="str">
        <f t="shared" si="5"/>
        <v/>
      </c>
    </row>
    <row r="66" spans="2:20" ht="18.75" customHeight="1" x14ac:dyDescent="0.25">
      <c r="B66" s="56" t="str">
        <f>IF(Stammdaten!$N66="","",Stammdaten!$N66)</f>
        <v/>
      </c>
      <c r="C66" s="41" t="str">
        <f>IF($B66="","",Stammdaten!$P66)</f>
        <v/>
      </c>
      <c r="D66" s="57" t="str">
        <f>IF($B66="","",Stammdaten!$Q66)</f>
        <v/>
      </c>
      <c r="E66" s="42" t="str">
        <f>IF($B66="","",Stammdaten!$R66)</f>
        <v/>
      </c>
      <c r="F66" s="58" t="str">
        <f>IF($B66="","",IF(COUNTIF(Stammdaten!$AD$10:$AD$30,F$8)&gt;0,"Feiertag",IFERROR(INDEX(Buchungen!$U$6:$U$605,MATCH($B66&amp;"|"&amp;F$8&amp;"|1",Buchungen!$S$6:$S$605,0)),"")&amp;IFERROR(" / "&amp;INDEX(Buchungen!$U$6:$U$605,MATCH($B66&amp;"|"&amp;F$8&amp;"|2",Buchungen!$S$6:$S$605,0)),"")))</f>
        <v/>
      </c>
      <c r="G66" s="58" t="str">
        <f>IF($B66="","",IF(COUNTIF(Stammdaten!$AD$10:$AD$30,G$8)&gt;0,"Feiertag",IFERROR(INDEX(Buchungen!$U$6:$U$605,MATCH($B66&amp;"|"&amp;G$8&amp;"|1",Buchungen!$S$6:$S$605,0)),"")&amp;IFERROR(" / "&amp;INDEX(Buchungen!$U$6:$U$605,MATCH($B66&amp;"|"&amp;G$8&amp;"|2",Buchungen!$S$6:$S$605,0)),"")))</f>
        <v/>
      </c>
      <c r="H66" s="58" t="str">
        <f>IF($B66="","",IF(COUNTIF(Stammdaten!$AD$10:$AD$30,H$8)&gt;0,"Feiertag",IFERROR(INDEX(Buchungen!$U$6:$U$605,MATCH($B66&amp;"|"&amp;H$8&amp;"|1",Buchungen!$S$6:$S$605,0)),"")&amp;IFERROR(" / "&amp;INDEX(Buchungen!$U$6:$U$605,MATCH($B66&amp;"|"&amp;H$8&amp;"|2",Buchungen!$S$6:$S$605,0)),"")))</f>
        <v/>
      </c>
      <c r="I66" s="58" t="str">
        <f>IF($B66="","",IF(COUNTIF(Stammdaten!$AD$10:$AD$30,I$8)&gt;0,"Feiertag",IFERROR(INDEX(Buchungen!$U$6:$U$605,MATCH($B66&amp;"|"&amp;I$8&amp;"|1",Buchungen!$S$6:$S$605,0)),"")&amp;IFERROR(" / "&amp;INDEX(Buchungen!$U$6:$U$605,MATCH($B66&amp;"|"&amp;I$8&amp;"|2",Buchungen!$S$6:$S$605,0)),"")))</f>
        <v/>
      </c>
      <c r="J66" s="58" t="str">
        <f>IF($B66="","",IF(COUNTIF(Stammdaten!$AD$10:$AD$30,J$8)&gt;0,"Feiertag",IFERROR(INDEX(Buchungen!$U$6:$U$605,MATCH($B66&amp;"|"&amp;J$8&amp;"|1",Buchungen!$S$6:$S$605,0)),"")&amp;IFERROR(" / "&amp;INDEX(Buchungen!$U$6:$U$605,MATCH($B66&amp;"|"&amp;J$8&amp;"|2",Buchungen!$S$6:$S$605,0)),"")))</f>
        <v/>
      </c>
      <c r="K66" s="16"/>
      <c r="L66" s="58" t="str">
        <f>IF($B66="","",IF(COUNTIF(Stammdaten!$AD$10:$AD$30,L$8)&gt;0,"Feiertag",IFERROR(INDEX(Buchungen!$U$6:$U$605,MATCH($B66&amp;"|"&amp;L$8&amp;"|1",Buchungen!$S$6:$S$605,0)),"")&amp;IFERROR(" / "&amp;INDEX(Buchungen!$U$6:$U$605,MATCH($B66&amp;"|"&amp;L$8&amp;"|2",Buchungen!$S$6:$S$605,0)),"")))</f>
        <v/>
      </c>
      <c r="M66" s="58" t="str">
        <f>IF($B66="","",IF(COUNTIF(Stammdaten!$AD$10:$AD$30,M$8)&gt;0,"Feiertag",IFERROR(INDEX(Buchungen!$U$6:$U$605,MATCH($B66&amp;"|"&amp;M$8&amp;"|1",Buchungen!$S$6:$S$605,0)),"")&amp;IFERROR(" / "&amp;INDEX(Buchungen!$U$6:$U$605,MATCH($B66&amp;"|"&amp;M$8&amp;"|2",Buchungen!$S$6:$S$605,0)),"")))</f>
        <v/>
      </c>
      <c r="N66" s="58" t="str">
        <f>IF($B66="","",IF(COUNTIF(Stammdaten!$AD$10:$AD$30,N$8)&gt;0,"Feiertag",IFERROR(INDEX(Buchungen!$U$6:$U$605,MATCH($B66&amp;"|"&amp;N$8&amp;"|1",Buchungen!$S$6:$S$605,0)),"")&amp;IFERROR(" / "&amp;INDEX(Buchungen!$U$6:$U$605,MATCH($B66&amp;"|"&amp;N$8&amp;"|2",Buchungen!$S$6:$S$605,0)),"")))</f>
        <v/>
      </c>
      <c r="O66" s="58" t="str">
        <f>IF($B66="","",IF(COUNTIF(Stammdaten!$AD$10:$AD$30,O$8)&gt;0,"Feiertag",IFERROR(INDEX(Buchungen!$U$6:$U$605,MATCH($B66&amp;"|"&amp;O$8&amp;"|1",Buchungen!$S$6:$S$605,0)),"")&amp;IFERROR(" / "&amp;INDEX(Buchungen!$U$6:$U$605,MATCH($B66&amp;"|"&amp;O$8&amp;"|2",Buchungen!$S$6:$S$605,0)),"")))</f>
        <v/>
      </c>
      <c r="P66" s="58" t="str">
        <f>IF($B66="","",IF(COUNTIF(Stammdaten!$AD$10:$AD$30,P$8)&gt;0,"Feiertag",IFERROR(INDEX(Buchungen!$U$6:$U$605,MATCH($B66&amp;"|"&amp;P$8&amp;"|1",Buchungen!$S$6:$S$605,0)),"")&amp;IFERROR(" / "&amp;INDEX(Buchungen!$U$6:$U$605,MATCH($B66&amp;"|"&amp;P$8&amp;"|2",Buchungen!$S$6:$S$605,0)),"")))</f>
        <v/>
      </c>
      <c r="R66" s="50" t="str">
        <f t="shared" si="3"/>
        <v/>
      </c>
      <c r="S66" s="50" t="str">
        <f t="shared" si="4"/>
        <v/>
      </c>
      <c r="T66" s="59" t="str">
        <f t="shared" si="5"/>
        <v/>
      </c>
    </row>
    <row r="67" spans="2:20" ht="18.75" customHeight="1" x14ac:dyDescent="0.25">
      <c r="B67" s="56" t="str">
        <f>IF(Stammdaten!$N67="","",Stammdaten!$N67)</f>
        <v/>
      </c>
      <c r="C67" s="41" t="str">
        <f>IF($B67="","",Stammdaten!$P67)</f>
        <v/>
      </c>
      <c r="D67" s="57" t="str">
        <f>IF($B67="","",Stammdaten!$Q67)</f>
        <v/>
      </c>
      <c r="E67" s="42" t="str">
        <f>IF($B67="","",Stammdaten!$R67)</f>
        <v/>
      </c>
      <c r="F67" s="58" t="str">
        <f>IF($B67="","",IF(COUNTIF(Stammdaten!$AD$10:$AD$30,F$8)&gt;0,"Feiertag",IFERROR(INDEX(Buchungen!$U$6:$U$605,MATCH($B67&amp;"|"&amp;F$8&amp;"|1",Buchungen!$S$6:$S$605,0)),"")&amp;IFERROR(" / "&amp;INDEX(Buchungen!$U$6:$U$605,MATCH($B67&amp;"|"&amp;F$8&amp;"|2",Buchungen!$S$6:$S$605,0)),"")))</f>
        <v/>
      </c>
      <c r="G67" s="58" t="str">
        <f>IF($B67="","",IF(COUNTIF(Stammdaten!$AD$10:$AD$30,G$8)&gt;0,"Feiertag",IFERROR(INDEX(Buchungen!$U$6:$U$605,MATCH($B67&amp;"|"&amp;G$8&amp;"|1",Buchungen!$S$6:$S$605,0)),"")&amp;IFERROR(" / "&amp;INDEX(Buchungen!$U$6:$U$605,MATCH($B67&amp;"|"&amp;G$8&amp;"|2",Buchungen!$S$6:$S$605,0)),"")))</f>
        <v/>
      </c>
      <c r="H67" s="58" t="str">
        <f>IF($B67="","",IF(COUNTIF(Stammdaten!$AD$10:$AD$30,H$8)&gt;0,"Feiertag",IFERROR(INDEX(Buchungen!$U$6:$U$605,MATCH($B67&amp;"|"&amp;H$8&amp;"|1",Buchungen!$S$6:$S$605,0)),"")&amp;IFERROR(" / "&amp;INDEX(Buchungen!$U$6:$U$605,MATCH($B67&amp;"|"&amp;H$8&amp;"|2",Buchungen!$S$6:$S$605,0)),"")))</f>
        <v/>
      </c>
      <c r="I67" s="58" t="str">
        <f>IF($B67="","",IF(COUNTIF(Stammdaten!$AD$10:$AD$30,I$8)&gt;0,"Feiertag",IFERROR(INDEX(Buchungen!$U$6:$U$605,MATCH($B67&amp;"|"&amp;I$8&amp;"|1",Buchungen!$S$6:$S$605,0)),"")&amp;IFERROR(" / "&amp;INDEX(Buchungen!$U$6:$U$605,MATCH($B67&amp;"|"&amp;I$8&amp;"|2",Buchungen!$S$6:$S$605,0)),"")))</f>
        <v/>
      </c>
      <c r="J67" s="58" t="str">
        <f>IF($B67="","",IF(COUNTIF(Stammdaten!$AD$10:$AD$30,J$8)&gt;0,"Feiertag",IFERROR(INDEX(Buchungen!$U$6:$U$605,MATCH($B67&amp;"|"&amp;J$8&amp;"|1",Buchungen!$S$6:$S$605,0)),"")&amp;IFERROR(" / "&amp;INDEX(Buchungen!$U$6:$U$605,MATCH($B67&amp;"|"&amp;J$8&amp;"|2",Buchungen!$S$6:$S$605,0)),"")))</f>
        <v/>
      </c>
      <c r="K67" s="16"/>
      <c r="L67" s="58" t="str">
        <f>IF($B67="","",IF(COUNTIF(Stammdaten!$AD$10:$AD$30,L$8)&gt;0,"Feiertag",IFERROR(INDEX(Buchungen!$U$6:$U$605,MATCH($B67&amp;"|"&amp;L$8&amp;"|1",Buchungen!$S$6:$S$605,0)),"")&amp;IFERROR(" / "&amp;INDEX(Buchungen!$U$6:$U$605,MATCH($B67&amp;"|"&amp;L$8&amp;"|2",Buchungen!$S$6:$S$605,0)),"")))</f>
        <v/>
      </c>
      <c r="M67" s="58" t="str">
        <f>IF($B67="","",IF(COUNTIF(Stammdaten!$AD$10:$AD$30,M$8)&gt;0,"Feiertag",IFERROR(INDEX(Buchungen!$U$6:$U$605,MATCH($B67&amp;"|"&amp;M$8&amp;"|1",Buchungen!$S$6:$S$605,0)),"")&amp;IFERROR(" / "&amp;INDEX(Buchungen!$U$6:$U$605,MATCH($B67&amp;"|"&amp;M$8&amp;"|2",Buchungen!$S$6:$S$605,0)),"")))</f>
        <v/>
      </c>
      <c r="N67" s="58" t="str">
        <f>IF($B67="","",IF(COUNTIF(Stammdaten!$AD$10:$AD$30,N$8)&gt;0,"Feiertag",IFERROR(INDEX(Buchungen!$U$6:$U$605,MATCH($B67&amp;"|"&amp;N$8&amp;"|1",Buchungen!$S$6:$S$605,0)),"")&amp;IFERROR(" / "&amp;INDEX(Buchungen!$U$6:$U$605,MATCH($B67&amp;"|"&amp;N$8&amp;"|2",Buchungen!$S$6:$S$605,0)),"")))</f>
        <v/>
      </c>
      <c r="O67" s="58" t="str">
        <f>IF($B67="","",IF(COUNTIF(Stammdaten!$AD$10:$AD$30,O$8)&gt;0,"Feiertag",IFERROR(INDEX(Buchungen!$U$6:$U$605,MATCH($B67&amp;"|"&amp;O$8&amp;"|1",Buchungen!$S$6:$S$605,0)),"")&amp;IFERROR(" / "&amp;INDEX(Buchungen!$U$6:$U$605,MATCH($B67&amp;"|"&amp;O$8&amp;"|2",Buchungen!$S$6:$S$605,0)),"")))</f>
        <v/>
      </c>
      <c r="P67" s="58" t="str">
        <f>IF($B67="","",IF(COUNTIF(Stammdaten!$AD$10:$AD$30,P$8)&gt;0,"Feiertag",IFERROR(INDEX(Buchungen!$U$6:$U$605,MATCH($B67&amp;"|"&amp;P$8&amp;"|1",Buchungen!$S$6:$S$605,0)),"")&amp;IFERROR(" / "&amp;INDEX(Buchungen!$U$6:$U$605,MATCH($B67&amp;"|"&amp;P$8&amp;"|2",Buchungen!$S$6:$S$605,0)),"")))</f>
        <v/>
      </c>
      <c r="R67" s="50" t="str">
        <f t="shared" si="3"/>
        <v/>
      </c>
      <c r="S67" s="50" t="str">
        <f t="shared" si="4"/>
        <v/>
      </c>
      <c r="T67" s="59" t="str">
        <f t="shared" si="5"/>
        <v/>
      </c>
    </row>
    <row r="68" spans="2:20" ht="18.75" customHeight="1" x14ac:dyDescent="0.25">
      <c r="B68" s="56" t="str">
        <f>IF(Stammdaten!$N68="","",Stammdaten!$N68)</f>
        <v/>
      </c>
      <c r="C68" s="41" t="str">
        <f>IF($B68="","",Stammdaten!$P68)</f>
        <v/>
      </c>
      <c r="D68" s="57" t="str">
        <f>IF($B68="","",Stammdaten!$Q68)</f>
        <v/>
      </c>
      <c r="E68" s="42" t="str">
        <f>IF($B68="","",Stammdaten!$R68)</f>
        <v/>
      </c>
      <c r="F68" s="58" t="str">
        <f>IF($B68="","",IF(COUNTIF(Stammdaten!$AD$10:$AD$30,F$8)&gt;0,"Feiertag",IFERROR(INDEX(Buchungen!$U$6:$U$605,MATCH($B68&amp;"|"&amp;F$8&amp;"|1",Buchungen!$S$6:$S$605,0)),"")&amp;IFERROR(" / "&amp;INDEX(Buchungen!$U$6:$U$605,MATCH($B68&amp;"|"&amp;F$8&amp;"|2",Buchungen!$S$6:$S$605,0)),"")))</f>
        <v/>
      </c>
      <c r="G68" s="58" t="str">
        <f>IF($B68="","",IF(COUNTIF(Stammdaten!$AD$10:$AD$30,G$8)&gt;0,"Feiertag",IFERROR(INDEX(Buchungen!$U$6:$U$605,MATCH($B68&amp;"|"&amp;G$8&amp;"|1",Buchungen!$S$6:$S$605,0)),"")&amp;IFERROR(" / "&amp;INDEX(Buchungen!$U$6:$U$605,MATCH($B68&amp;"|"&amp;G$8&amp;"|2",Buchungen!$S$6:$S$605,0)),"")))</f>
        <v/>
      </c>
      <c r="H68" s="58" t="str">
        <f>IF($B68="","",IF(COUNTIF(Stammdaten!$AD$10:$AD$30,H$8)&gt;0,"Feiertag",IFERROR(INDEX(Buchungen!$U$6:$U$605,MATCH($B68&amp;"|"&amp;H$8&amp;"|1",Buchungen!$S$6:$S$605,0)),"")&amp;IFERROR(" / "&amp;INDEX(Buchungen!$U$6:$U$605,MATCH($B68&amp;"|"&amp;H$8&amp;"|2",Buchungen!$S$6:$S$605,0)),"")))</f>
        <v/>
      </c>
      <c r="I68" s="58" t="str">
        <f>IF($B68="","",IF(COUNTIF(Stammdaten!$AD$10:$AD$30,I$8)&gt;0,"Feiertag",IFERROR(INDEX(Buchungen!$U$6:$U$605,MATCH($B68&amp;"|"&amp;I$8&amp;"|1",Buchungen!$S$6:$S$605,0)),"")&amp;IFERROR(" / "&amp;INDEX(Buchungen!$U$6:$U$605,MATCH($B68&amp;"|"&amp;I$8&amp;"|2",Buchungen!$S$6:$S$605,0)),"")))</f>
        <v/>
      </c>
      <c r="J68" s="58" t="str">
        <f>IF($B68="","",IF(COUNTIF(Stammdaten!$AD$10:$AD$30,J$8)&gt;0,"Feiertag",IFERROR(INDEX(Buchungen!$U$6:$U$605,MATCH($B68&amp;"|"&amp;J$8&amp;"|1",Buchungen!$S$6:$S$605,0)),"")&amp;IFERROR(" / "&amp;INDEX(Buchungen!$U$6:$U$605,MATCH($B68&amp;"|"&amp;J$8&amp;"|2",Buchungen!$S$6:$S$605,0)),"")))</f>
        <v/>
      </c>
      <c r="K68" s="16"/>
      <c r="L68" s="58" t="str">
        <f>IF($B68="","",IF(COUNTIF(Stammdaten!$AD$10:$AD$30,L$8)&gt;0,"Feiertag",IFERROR(INDEX(Buchungen!$U$6:$U$605,MATCH($B68&amp;"|"&amp;L$8&amp;"|1",Buchungen!$S$6:$S$605,0)),"")&amp;IFERROR(" / "&amp;INDEX(Buchungen!$U$6:$U$605,MATCH($B68&amp;"|"&amp;L$8&amp;"|2",Buchungen!$S$6:$S$605,0)),"")))</f>
        <v/>
      </c>
      <c r="M68" s="58" t="str">
        <f>IF($B68="","",IF(COUNTIF(Stammdaten!$AD$10:$AD$30,M$8)&gt;0,"Feiertag",IFERROR(INDEX(Buchungen!$U$6:$U$605,MATCH($B68&amp;"|"&amp;M$8&amp;"|1",Buchungen!$S$6:$S$605,0)),"")&amp;IFERROR(" / "&amp;INDEX(Buchungen!$U$6:$U$605,MATCH($B68&amp;"|"&amp;M$8&amp;"|2",Buchungen!$S$6:$S$605,0)),"")))</f>
        <v/>
      </c>
      <c r="N68" s="58" t="str">
        <f>IF($B68="","",IF(COUNTIF(Stammdaten!$AD$10:$AD$30,N$8)&gt;0,"Feiertag",IFERROR(INDEX(Buchungen!$U$6:$U$605,MATCH($B68&amp;"|"&amp;N$8&amp;"|1",Buchungen!$S$6:$S$605,0)),"")&amp;IFERROR(" / "&amp;INDEX(Buchungen!$U$6:$U$605,MATCH($B68&amp;"|"&amp;N$8&amp;"|2",Buchungen!$S$6:$S$605,0)),"")))</f>
        <v/>
      </c>
      <c r="O68" s="58" t="str">
        <f>IF($B68="","",IF(COUNTIF(Stammdaten!$AD$10:$AD$30,O$8)&gt;0,"Feiertag",IFERROR(INDEX(Buchungen!$U$6:$U$605,MATCH($B68&amp;"|"&amp;O$8&amp;"|1",Buchungen!$S$6:$S$605,0)),"")&amp;IFERROR(" / "&amp;INDEX(Buchungen!$U$6:$U$605,MATCH($B68&amp;"|"&amp;O$8&amp;"|2",Buchungen!$S$6:$S$605,0)),"")))</f>
        <v/>
      </c>
      <c r="P68" s="58" t="str">
        <f>IF($B68="","",IF(COUNTIF(Stammdaten!$AD$10:$AD$30,P$8)&gt;0,"Feiertag",IFERROR(INDEX(Buchungen!$U$6:$U$605,MATCH($B68&amp;"|"&amp;P$8&amp;"|1",Buchungen!$S$6:$S$605,0)),"")&amp;IFERROR(" / "&amp;INDEX(Buchungen!$U$6:$U$605,MATCH($B68&amp;"|"&amp;P$8&amp;"|2",Buchungen!$S$6:$S$605,0)),"")))</f>
        <v/>
      </c>
      <c r="R68" s="50" t="str">
        <f t="shared" si="3"/>
        <v/>
      </c>
      <c r="S68" s="50" t="str">
        <f t="shared" si="4"/>
        <v/>
      </c>
      <c r="T68" s="59" t="str">
        <f t="shared" si="5"/>
        <v/>
      </c>
    </row>
    <row r="69" spans="2:20" ht="18.75" customHeight="1" x14ac:dyDescent="0.25">
      <c r="B69" s="56" t="str">
        <f>IF(Stammdaten!$N69="","",Stammdaten!$N69)</f>
        <v/>
      </c>
      <c r="C69" s="41" t="str">
        <f>IF($B69="","",Stammdaten!$P69)</f>
        <v/>
      </c>
      <c r="D69" s="57" t="str">
        <f>IF($B69="","",Stammdaten!$Q69)</f>
        <v/>
      </c>
      <c r="E69" s="42" t="str">
        <f>IF($B69="","",Stammdaten!$R69)</f>
        <v/>
      </c>
      <c r="F69" s="58" t="str">
        <f>IF($B69="","",IF(COUNTIF(Stammdaten!$AD$10:$AD$30,F$8)&gt;0,"Feiertag",IFERROR(INDEX(Buchungen!$U$6:$U$605,MATCH($B69&amp;"|"&amp;F$8&amp;"|1",Buchungen!$S$6:$S$605,0)),"")&amp;IFERROR(" / "&amp;INDEX(Buchungen!$U$6:$U$605,MATCH($B69&amp;"|"&amp;F$8&amp;"|2",Buchungen!$S$6:$S$605,0)),"")))</f>
        <v/>
      </c>
      <c r="G69" s="58" t="str">
        <f>IF($B69="","",IF(COUNTIF(Stammdaten!$AD$10:$AD$30,G$8)&gt;0,"Feiertag",IFERROR(INDEX(Buchungen!$U$6:$U$605,MATCH($B69&amp;"|"&amp;G$8&amp;"|1",Buchungen!$S$6:$S$605,0)),"")&amp;IFERROR(" / "&amp;INDEX(Buchungen!$U$6:$U$605,MATCH($B69&amp;"|"&amp;G$8&amp;"|2",Buchungen!$S$6:$S$605,0)),"")))</f>
        <v/>
      </c>
      <c r="H69" s="58" t="str">
        <f>IF($B69="","",IF(COUNTIF(Stammdaten!$AD$10:$AD$30,H$8)&gt;0,"Feiertag",IFERROR(INDEX(Buchungen!$U$6:$U$605,MATCH($B69&amp;"|"&amp;H$8&amp;"|1",Buchungen!$S$6:$S$605,0)),"")&amp;IFERROR(" / "&amp;INDEX(Buchungen!$U$6:$U$605,MATCH($B69&amp;"|"&amp;H$8&amp;"|2",Buchungen!$S$6:$S$605,0)),"")))</f>
        <v/>
      </c>
      <c r="I69" s="58" t="str">
        <f>IF($B69="","",IF(COUNTIF(Stammdaten!$AD$10:$AD$30,I$8)&gt;0,"Feiertag",IFERROR(INDEX(Buchungen!$U$6:$U$605,MATCH($B69&amp;"|"&amp;I$8&amp;"|1",Buchungen!$S$6:$S$605,0)),"")&amp;IFERROR(" / "&amp;INDEX(Buchungen!$U$6:$U$605,MATCH($B69&amp;"|"&amp;I$8&amp;"|2",Buchungen!$S$6:$S$605,0)),"")))</f>
        <v/>
      </c>
      <c r="J69" s="58" t="str">
        <f>IF($B69="","",IF(COUNTIF(Stammdaten!$AD$10:$AD$30,J$8)&gt;0,"Feiertag",IFERROR(INDEX(Buchungen!$U$6:$U$605,MATCH($B69&amp;"|"&amp;J$8&amp;"|1",Buchungen!$S$6:$S$605,0)),"")&amp;IFERROR(" / "&amp;INDEX(Buchungen!$U$6:$U$605,MATCH($B69&amp;"|"&amp;J$8&amp;"|2",Buchungen!$S$6:$S$605,0)),"")))</f>
        <v/>
      </c>
      <c r="K69" s="16"/>
      <c r="L69" s="58" t="str">
        <f>IF($B69="","",IF(COUNTIF(Stammdaten!$AD$10:$AD$30,L$8)&gt;0,"Feiertag",IFERROR(INDEX(Buchungen!$U$6:$U$605,MATCH($B69&amp;"|"&amp;L$8&amp;"|1",Buchungen!$S$6:$S$605,0)),"")&amp;IFERROR(" / "&amp;INDEX(Buchungen!$U$6:$U$605,MATCH($B69&amp;"|"&amp;L$8&amp;"|2",Buchungen!$S$6:$S$605,0)),"")))</f>
        <v/>
      </c>
      <c r="M69" s="58" t="str">
        <f>IF($B69="","",IF(COUNTIF(Stammdaten!$AD$10:$AD$30,M$8)&gt;0,"Feiertag",IFERROR(INDEX(Buchungen!$U$6:$U$605,MATCH($B69&amp;"|"&amp;M$8&amp;"|1",Buchungen!$S$6:$S$605,0)),"")&amp;IFERROR(" / "&amp;INDEX(Buchungen!$U$6:$U$605,MATCH($B69&amp;"|"&amp;M$8&amp;"|2",Buchungen!$S$6:$S$605,0)),"")))</f>
        <v/>
      </c>
      <c r="N69" s="58" t="str">
        <f>IF($B69="","",IF(COUNTIF(Stammdaten!$AD$10:$AD$30,N$8)&gt;0,"Feiertag",IFERROR(INDEX(Buchungen!$U$6:$U$605,MATCH($B69&amp;"|"&amp;N$8&amp;"|1",Buchungen!$S$6:$S$605,0)),"")&amp;IFERROR(" / "&amp;INDEX(Buchungen!$U$6:$U$605,MATCH($B69&amp;"|"&amp;N$8&amp;"|2",Buchungen!$S$6:$S$605,0)),"")))</f>
        <v/>
      </c>
      <c r="O69" s="58" t="str">
        <f>IF($B69="","",IF(COUNTIF(Stammdaten!$AD$10:$AD$30,O$8)&gt;0,"Feiertag",IFERROR(INDEX(Buchungen!$U$6:$U$605,MATCH($B69&amp;"|"&amp;O$8&amp;"|1",Buchungen!$S$6:$S$605,0)),"")&amp;IFERROR(" / "&amp;INDEX(Buchungen!$U$6:$U$605,MATCH($B69&amp;"|"&amp;O$8&amp;"|2",Buchungen!$S$6:$S$605,0)),"")))</f>
        <v/>
      </c>
      <c r="P69" s="58" t="str">
        <f>IF($B69="","",IF(COUNTIF(Stammdaten!$AD$10:$AD$30,P$8)&gt;0,"Feiertag",IFERROR(INDEX(Buchungen!$U$6:$U$605,MATCH($B69&amp;"|"&amp;P$8&amp;"|1",Buchungen!$S$6:$S$605,0)),"")&amp;IFERROR(" / "&amp;INDEX(Buchungen!$U$6:$U$605,MATCH($B69&amp;"|"&amp;P$8&amp;"|2",Buchungen!$S$6:$S$605,0)),"")))</f>
        <v/>
      </c>
      <c r="R69" s="50" t="str">
        <f t="shared" si="3"/>
        <v/>
      </c>
      <c r="S69" s="50" t="str">
        <f t="shared" si="4"/>
        <v/>
      </c>
      <c r="T69" s="59" t="str">
        <f t="shared" si="5"/>
        <v/>
      </c>
    </row>
    <row r="71" spans="2:20" ht="19.5" customHeight="1" x14ac:dyDescent="0.25">
      <c r="B71" s="93" t="s">
        <v>158</v>
      </c>
      <c r="C71" s="93"/>
      <c r="D71" s="93"/>
      <c r="E71" s="93"/>
      <c r="F71" s="60">
        <f>COUNTIF(F10:F69,"?*")-COUNTIF(F10:F69,"Feiertag")</f>
        <v>15</v>
      </c>
      <c r="G71" s="60">
        <f>COUNTIF(G10:G69,"?*")-COUNTIF(G10:G69,"Feiertag")</f>
        <v>18</v>
      </c>
      <c r="H71" s="60">
        <f>COUNTIF(H10:H69,"?*")-COUNTIF(H10:H69,"Feiertag")</f>
        <v>20</v>
      </c>
      <c r="I71" s="60">
        <f>COUNTIF(I10:I69,"?*")-COUNTIF(I10:I69,"Feiertag")</f>
        <v>17</v>
      </c>
      <c r="J71" s="60">
        <f>COUNTIF(J10:J69,"?*")-COUNTIF(J10:J69,"Feiertag")</f>
        <v>18</v>
      </c>
      <c r="K71" s="16"/>
      <c r="L71" s="60">
        <f>COUNTIF(L10:L69,"?*")-COUNTIF(L10:L69,"Feiertag")</f>
        <v>20</v>
      </c>
      <c r="M71" s="60">
        <f>COUNTIF(M10:M69,"?*")-COUNTIF(M10:M69,"Feiertag")</f>
        <v>17</v>
      </c>
      <c r="N71" s="60">
        <f>COUNTIF(N10:N69,"?*")-COUNTIF(N10:N69,"Feiertag")</f>
        <v>16</v>
      </c>
      <c r="O71" s="60">
        <f>COUNTIF(O10:O69,"?*")-COUNTIF(O10:O69,"Feiertag")</f>
        <v>22</v>
      </c>
      <c r="P71" s="60">
        <f>COUNTIF(P10:P69,"?*")-COUNTIF(P10:P69,"Feiertag")</f>
        <v>15</v>
      </c>
    </row>
    <row r="72" spans="2:20" ht="19.5" customHeight="1" x14ac:dyDescent="0.25">
      <c r="B72" s="92" t="s">
        <v>159</v>
      </c>
      <c r="C72" s="92"/>
      <c r="D72" s="92"/>
      <c r="E72" s="92"/>
      <c r="F72" s="44">
        <f>Belegungsplan!F53</f>
        <v>8</v>
      </c>
      <c r="G72" s="44">
        <f>Belegungsplan!G53</f>
        <v>6</v>
      </c>
      <c r="H72" s="44">
        <f>Belegungsplan!H53</f>
        <v>3</v>
      </c>
      <c r="I72" s="44">
        <f>Belegungsplan!I53</f>
        <v>7</v>
      </c>
      <c r="J72" s="44">
        <f>Belegungsplan!J53</f>
        <v>6</v>
      </c>
      <c r="K72" s="16"/>
      <c r="L72" s="44">
        <f>Belegungsplan!L53</f>
        <v>3</v>
      </c>
      <c r="M72" s="44">
        <f>Belegungsplan!M53</f>
        <v>7</v>
      </c>
      <c r="N72" s="44">
        <f>Belegungsplan!N53</f>
        <v>8</v>
      </c>
      <c r="O72" s="44">
        <f>Belegungsplan!O53</f>
        <v>2</v>
      </c>
      <c r="P72" s="44">
        <f>Belegungsplan!P53</f>
        <v>8</v>
      </c>
    </row>
  </sheetData>
  <autoFilter ref="B9:E69" xr:uid="{00000000-0009-0000-0000-000003000000}"/>
  <mergeCells count="5">
    <mergeCell ref="B5:D5"/>
    <mergeCell ref="F7:J7"/>
    <mergeCell ref="L7:P7"/>
    <mergeCell ref="B71:E71"/>
    <mergeCell ref="B72:E72"/>
  </mergeCells>
  <conditionalFormatting sqref="F8:J8">
    <cfRule type="expression" dxfId="16" priority="5">
      <formula>F$8=TODAY()</formula>
    </cfRule>
  </conditionalFormatting>
  <conditionalFormatting sqref="F10:J69">
    <cfRule type="expression" dxfId="15" priority="2">
      <formula>F10="Feiertag"</formula>
    </cfRule>
    <cfRule type="expression" dxfId="14" priority="3">
      <formula>ISNUMBER(FIND("?",F10))</formula>
    </cfRule>
    <cfRule type="expression" dxfId="13" priority="4">
      <formula>AND($B10&lt;&gt;"",F10&lt;&gt;"")</formula>
    </cfRule>
  </conditionalFormatting>
  <conditionalFormatting sqref="L8:P8">
    <cfRule type="expression" dxfId="12" priority="9">
      <formula>L$8=TODAY()</formula>
    </cfRule>
  </conditionalFormatting>
  <conditionalFormatting sqref="L10:P69">
    <cfRule type="expression" dxfId="11" priority="6">
      <formula>L10="Feiertag"</formula>
    </cfRule>
    <cfRule type="expression" dxfId="10" priority="7">
      <formula>ISNUMBER(FIND("?",L10))</formula>
    </cfRule>
    <cfRule type="expression" dxfId="9" priority="8">
      <formula>AND($B10&lt;&gt;"",L10&lt;&gt;"")</formula>
    </cfRule>
  </conditionalFormatting>
  <conditionalFormatting sqref="T10:T69">
    <cfRule type="expression" dxfId="8" priority="10">
      <formula>AND(ISNUMBER(T10),T10&lt;0)</formula>
    </cfRule>
    <cfRule type="expression" dxfId="7" priority="11">
      <formula>AND(ISNUMBER(T10),T10&gt;0)</formula>
    </cfRule>
  </conditionalFormatting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E3B43"/>
    <pageSetUpPr fitToPage="1"/>
  </sheetPr>
  <dimension ref="A1:O67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17" customWidth="1"/>
    <col min="3" max="6" width="12" customWidth="1"/>
    <col min="7" max="7" width="14" customWidth="1"/>
    <col min="8" max="14" width="12" customWidth="1"/>
  </cols>
  <sheetData>
    <row r="1" spans="1:15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.75" customHeight="1" x14ac:dyDescent="0.25">
      <c r="A2" s="16"/>
      <c r="B2" s="17" t="s">
        <v>160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8" t="s">
        <v>40</v>
      </c>
      <c r="O2" s="16"/>
    </row>
    <row r="3" spans="1:15" ht="19.5" customHeight="1" x14ac:dyDescent="0.25">
      <c r="A3" s="16"/>
      <c r="B3" s="19" t="str">
        <f>Stammdaten!$C$5&amp;"  ·  "&amp;Stammdaten!$C$6</f>
        <v>Beispielunternehmen GmbH  ·  Hauptsitz – Bürogebäude A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2" customHeight="1" x14ac:dyDescent="0.25"/>
    <row r="5" spans="1:15" ht="24" customHeight="1" x14ac:dyDescent="0.25">
      <c r="B5" s="61" t="s">
        <v>161</v>
      </c>
      <c r="C5" s="26">
        <v>46293</v>
      </c>
      <c r="D5" s="61" t="s">
        <v>162</v>
      </c>
      <c r="E5" s="26">
        <v>46318</v>
      </c>
      <c r="G5" s="95" t="s">
        <v>163</v>
      </c>
      <c r="H5" s="95"/>
      <c r="I5" s="62">
        <f>NETWORKDAYS(C5,E5,Stammdaten!$AD$10:$AD$30)</f>
        <v>20</v>
      </c>
      <c r="J5" s="27" t="s">
        <v>164</v>
      </c>
    </row>
    <row r="6" spans="1:15" ht="9.75" customHeight="1" x14ac:dyDescent="0.25"/>
    <row r="7" spans="1:15" ht="6" customHeight="1" x14ac:dyDescent="0.25"/>
    <row r="8" spans="1:15" ht="21.75" customHeight="1" x14ac:dyDescent="0.25">
      <c r="B8" s="96" t="s">
        <v>165</v>
      </c>
      <c r="C8" s="96"/>
      <c r="D8" s="96" t="s">
        <v>166</v>
      </c>
      <c r="E8" s="96"/>
      <c r="F8" s="96" t="s">
        <v>167</v>
      </c>
      <c r="G8" s="96"/>
      <c r="H8" s="96" t="s">
        <v>168</v>
      </c>
      <c r="I8" s="96"/>
      <c r="J8" s="96" t="s">
        <v>169</v>
      </c>
      <c r="K8" s="96"/>
      <c r="L8" s="96" t="s">
        <v>170</v>
      </c>
      <c r="M8" s="96"/>
    </row>
    <row r="9" spans="1:15" ht="21.75" customHeight="1" x14ac:dyDescent="0.25">
      <c r="B9" s="97">
        <f>COUNTIF(Stammdaten!$I$10:$I$49,"Aktiv")</f>
        <v>23</v>
      </c>
      <c r="C9" s="97"/>
      <c r="D9" s="97">
        <f>COUNTIF(Stammdaten!$N$10:$N$69,"?*")</f>
        <v>34</v>
      </c>
      <c r="E9" s="97"/>
      <c r="F9" s="98">
        <f>IFERROR(B9/D9,0)</f>
        <v>0.67647058823529416</v>
      </c>
      <c r="G9" s="98"/>
      <c r="H9" s="99">
        <f>G20</f>
        <v>0.7152173913043478</v>
      </c>
      <c r="I9" s="99"/>
      <c r="J9" s="97">
        <f ca="1">COUNTIFS(Buchungen!$I$6:$I$605,"Angefragt",Buchungen!$C$6:$C$605,"&gt;="&amp;TODAY())</f>
        <v>16</v>
      </c>
      <c r="K9" s="97"/>
      <c r="L9" s="97">
        <f>COUNTIF(Buchungen!$M$6:$M$605,"Doppelbuchung")+COUNTIF(Buchungen!$M$6:$M$605,"Person doppelt")+COUNTIF(Buchungen!$M$6:$M$605,"Platz gesperrt")+COUNTIF(Buchungen!$M$6:$M$605,"unvollständig")+COUNTIF(Buchungen!$M$6:$M$605,"Wochenende")+COUNTIF(Buchungen!$M$6:$M$605,"Feiertag")</f>
        <v>3</v>
      </c>
      <c r="M9" s="97"/>
    </row>
    <row r="10" spans="1:15" ht="21.75" customHeight="1" x14ac:dyDescent="0.25">
      <c r="B10" s="97"/>
      <c r="C10" s="97"/>
      <c r="D10" s="97"/>
      <c r="E10" s="97"/>
      <c r="F10" s="98"/>
      <c r="G10" s="98"/>
      <c r="H10" s="99"/>
      <c r="I10" s="99"/>
      <c r="J10" s="97"/>
      <c r="K10" s="97"/>
      <c r="L10" s="97"/>
      <c r="M10" s="97"/>
    </row>
    <row r="11" spans="1:15" ht="18" customHeight="1" x14ac:dyDescent="0.25">
      <c r="B11" s="100" t="str">
        <f>"von "&amp;COUNTIF(Stammdaten!$B$10:$B$49,"?*")&amp;" Plätzen gesamt"</f>
        <v>von 24 Plätzen gesamt</v>
      </c>
      <c r="C11" s="100"/>
      <c r="D11" s="100" t="str">
        <f>"im Desk-Sharing-Modell"</f>
        <v>im Desk-Sharing-Modell</v>
      </c>
      <c r="E11" s="100"/>
      <c r="F11" s="100" t="str">
        <f>"≈ "&amp;FIXED(IFERROR(D9/B9,0),1)&amp;" Personen je Platz"</f>
        <v>≈ 1,5 Personen je Platz</v>
      </c>
      <c r="G11" s="100"/>
      <c r="H11" s="100" t="str">
        <f>"bestätigte Buchungen im Zeitraum"</f>
        <v>bestätigte Buchungen im Zeitraum</v>
      </c>
      <c r="I11" s="100"/>
      <c r="J11" s="100" t="str">
        <f>"ab heute – zur Freigabe"</f>
        <v>ab heute – zur Freigabe</v>
      </c>
      <c r="K11" s="100"/>
      <c r="L11" s="100" t="str">
        <f>"in „Buchungen“ Spalte Prüfung"</f>
        <v>in „Buchungen“ Spalte Prüfung</v>
      </c>
      <c r="M11" s="100"/>
    </row>
    <row r="13" spans="1:15" ht="21.75" customHeight="1" x14ac:dyDescent="0.25">
      <c r="B13" s="20" t="s">
        <v>171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5" ht="30" customHeight="1" x14ac:dyDescent="0.25">
      <c r="B14" s="38" t="s">
        <v>172</v>
      </c>
      <c r="C14" s="38" t="s">
        <v>173</v>
      </c>
      <c r="D14" s="38" t="s">
        <v>174</v>
      </c>
      <c r="E14" s="38" t="s">
        <v>175</v>
      </c>
      <c r="F14" s="38" t="s">
        <v>176</v>
      </c>
      <c r="G14" s="38" t="s">
        <v>54</v>
      </c>
    </row>
    <row r="15" spans="1:15" ht="18.75" customHeight="1" x14ac:dyDescent="0.25">
      <c r="B15" s="56" t="s">
        <v>177</v>
      </c>
      <c r="C15" s="63">
        <f>MAX(0,INT((WEEKDAY($C$5-2)+$E$5-$C$5)/7)-SUMPRODUCT((Stammdaten!$AD$10:$AD$30&gt;=$C$5)*(Stammdaten!$AD$10:$AD$30&lt;=$E$5)*(WEEKDAY(Stammdaten!$AD$10:$AD$30,2)=1)))</f>
        <v>4</v>
      </c>
      <c r="D15" s="63">
        <f>C15*$B$9</f>
        <v>92</v>
      </c>
      <c r="E15" s="64">
        <f>SUMIFS(Buchungen!$O$6:$O$605,Buchungen!$D$6:$D$605,"Mo",Buchungen!$C$6:$C$605,"&gt;="&amp;$C$5,Buchungen!$C$6:$C$605,"&lt;="&amp;$E$5)</f>
        <v>66</v>
      </c>
      <c r="F15" s="64">
        <f t="shared" ref="F15:F20" si="0">IFERROR(E15/C15,0)</f>
        <v>16.5</v>
      </c>
      <c r="G15" s="65">
        <f t="shared" ref="G15:G20" si="1">IFERROR(E15/D15,0)</f>
        <v>0.71739130434782605</v>
      </c>
    </row>
    <row r="16" spans="1:15" ht="18.75" customHeight="1" x14ac:dyDescent="0.25">
      <c r="B16" s="56" t="s">
        <v>178</v>
      </c>
      <c r="C16" s="63">
        <f>MAX(0,INT((WEEKDAY($C$5-3)+$E$5-$C$5)/7)-SUMPRODUCT((Stammdaten!$AD$10:$AD$30&gt;=$C$5)*(Stammdaten!$AD$10:$AD$30&lt;=$E$5)*(WEEKDAY(Stammdaten!$AD$10:$AD$30,2)=2)))</f>
        <v>4</v>
      </c>
      <c r="D16" s="63">
        <f>C16*$B$9</f>
        <v>92</v>
      </c>
      <c r="E16" s="64">
        <f>SUMIFS(Buchungen!$O$6:$O$605,Buchungen!$D$6:$D$605,"Di",Buchungen!$C$6:$C$605,"&gt;="&amp;$C$5,Buchungen!$C$6:$C$605,"&lt;="&amp;$E$5)</f>
        <v>72</v>
      </c>
      <c r="F16" s="64">
        <f t="shared" si="0"/>
        <v>18</v>
      </c>
      <c r="G16" s="65">
        <f t="shared" si="1"/>
        <v>0.78260869565217395</v>
      </c>
    </row>
    <row r="17" spans="2:14" ht="18.75" customHeight="1" x14ac:dyDescent="0.25">
      <c r="B17" s="56" t="s">
        <v>179</v>
      </c>
      <c r="C17" s="63">
        <f>MAX(0,INT((WEEKDAY($C$5-4)+$E$5-$C$5)/7)-SUMPRODUCT((Stammdaten!$AD$10:$AD$30&gt;=$C$5)*(Stammdaten!$AD$10:$AD$30&lt;=$E$5)*(WEEKDAY(Stammdaten!$AD$10:$AD$30,2)=3)))</f>
        <v>4</v>
      </c>
      <c r="D17" s="63">
        <f>C17*$B$9</f>
        <v>92</v>
      </c>
      <c r="E17" s="64">
        <f>SUMIFS(Buchungen!$O$6:$O$605,Buchungen!$D$6:$D$605,"Mi",Buchungen!$C$6:$C$605,"&gt;="&amp;$C$5,Buchungen!$C$6:$C$605,"&lt;="&amp;$E$5)</f>
        <v>72</v>
      </c>
      <c r="F17" s="64">
        <f t="shared" si="0"/>
        <v>18</v>
      </c>
      <c r="G17" s="65">
        <f t="shared" si="1"/>
        <v>0.78260869565217395</v>
      </c>
    </row>
    <row r="18" spans="2:14" ht="18.75" customHeight="1" x14ac:dyDescent="0.25">
      <c r="B18" s="56" t="s">
        <v>180</v>
      </c>
      <c r="C18" s="63">
        <f>MAX(0,INT((WEEKDAY($C$5-5)+$E$5-$C$5)/7)-SUMPRODUCT((Stammdaten!$AD$10:$AD$30&gt;=$C$5)*(Stammdaten!$AD$10:$AD$30&lt;=$E$5)*(WEEKDAY(Stammdaten!$AD$10:$AD$30,2)=4)))</f>
        <v>4</v>
      </c>
      <c r="D18" s="63">
        <f>C18*$B$9</f>
        <v>92</v>
      </c>
      <c r="E18" s="64">
        <f>SUMIFS(Buchungen!$O$6:$O$605,Buchungen!$D$6:$D$605,"Do",Buchungen!$C$6:$C$605,"&gt;="&amp;$C$5,Buchungen!$C$6:$C$605,"&lt;="&amp;$E$5)</f>
        <v>67</v>
      </c>
      <c r="F18" s="64">
        <f t="shared" si="0"/>
        <v>16.75</v>
      </c>
      <c r="G18" s="65">
        <f t="shared" si="1"/>
        <v>0.72826086956521741</v>
      </c>
    </row>
    <row r="19" spans="2:14" ht="18.75" customHeight="1" x14ac:dyDescent="0.25">
      <c r="B19" s="56" t="s">
        <v>181</v>
      </c>
      <c r="C19" s="63">
        <f>MAX(0,INT((WEEKDAY($C$5-6)+$E$5-$C$5)/7)-SUMPRODUCT((Stammdaten!$AD$10:$AD$30&gt;=$C$5)*(Stammdaten!$AD$10:$AD$30&lt;=$E$5)*(WEEKDAY(Stammdaten!$AD$10:$AD$30,2)=5)))</f>
        <v>4</v>
      </c>
      <c r="D19" s="63">
        <f>C19*$B$9</f>
        <v>92</v>
      </c>
      <c r="E19" s="64">
        <f>SUMIFS(Buchungen!$O$6:$O$605,Buchungen!$D$6:$D$605,"Fr",Buchungen!$C$6:$C$605,"&gt;="&amp;$C$5,Buchungen!$C$6:$C$605,"&lt;="&amp;$E$5)</f>
        <v>52</v>
      </c>
      <c r="F19" s="64">
        <f t="shared" si="0"/>
        <v>13</v>
      </c>
      <c r="G19" s="65">
        <f t="shared" si="1"/>
        <v>0.56521739130434778</v>
      </c>
    </row>
    <row r="20" spans="2:14" ht="19.5" customHeight="1" x14ac:dyDescent="0.25">
      <c r="B20" s="66" t="s">
        <v>182</v>
      </c>
      <c r="C20" s="67">
        <f>SUM(C15:C19)</f>
        <v>20</v>
      </c>
      <c r="D20" s="67">
        <f>SUM(D15:D19)</f>
        <v>460</v>
      </c>
      <c r="E20" s="68">
        <f>SUM(E15:E19)</f>
        <v>329</v>
      </c>
      <c r="F20" s="68">
        <f t="shared" si="0"/>
        <v>16.45</v>
      </c>
      <c r="G20" s="69">
        <f t="shared" si="1"/>
        <v>0.7152173913043478</v>
      </c>
    </row>
    <row r="21" spans="2:14" ht="19.5" customHeight="1" x14ac:dyDescent="0.25">
      <c r="B21" s="101" t="s">
        <v>183</v>
      </c>
      <c r="C21" s="101"/>
      <c r="D21" s="70" t="str">
        <f>IFERROR(INDEX(B15:B19,MATCH(MAX(G15:G19),G15:G19,0)),"–")</f>
        <v>Dienstag</v>
      </c>
      <c r="E21" s="71">
        <f>MAX(G15:G19)</f>
        <v>0.78260869565217395</v>
      </c>
    </row>
    <row r="24" spans="2:14" ht="21.75" customHeight="1" x14ac:dyDescent="0.25">
      <c r="B24" s="20" t="s">
        <v>184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4" ht="30" customHeight="1" x14ac:dyDescent="0.25">
      <c r="B25" s="38" t="s">
        <v>49</v>
      </c>
      <c r="C25" s="38" t="s">
        <v>185</v>
      </c>
      <c r="D25" s="38" t="s">
        <v>174</v>
      </c>
      <c r="E25" s="38" t="s">
        <v>175</v>
      </c>
      <c r="F25" s="38" t="s">
        <v>176</v>
      </c>
      <c r="G25" s="38" t="s">
        <v>54</v>
      </c>
    </row>
    <row r="26" spans="2:14" ht="18.75" customHeight="1" x14ac:dyDescent="0.25">
      <c r="B26" s="56" t="str">
        <f>IF(Stammdaten!$W$10="","",Stammdaten!$W$10)</f>
        <v>Teamzone Nord</v>
      </c>
      <c r="C26" s="63">
        <f>IF(B26="","",COUNTIFS(Stammdaten!$D$10:$D$49,B26,Stammdaten!$I$10:$I$49,"Aktiv"))</f>
        <v>8</v>
      </c>
      <c r="D26" s="63">
        <f t="shared" ref="D26:D31" si="2">IF(B26="","",C26*$I$5)</f>
        <v>160</v>
      </c>
      <c r="E26" s="64">
        <f>IF(B26="","",SUMIFS(Buchungen!$O$6:$O$605,Buchungen!$L$6:$L$605,B26,Buchungen!$C$6:$C$605,"&gt;="&amp;$C$5,Buchungen!$C$6:$C$605,"&lt;="&amp;$E$5))</f>
        <v>120</v>
      </c>
      <c r="F26" s="64">
        <f t="shared" ref="F26:F31" si="3">IF(B26="","",IFERROR(E26/$I$5,0))</f>
        <v>6</v>
      </c>
      <c r="G26" s="65">
        <f t="shared" ref="G26:G31" si="4">IF(B26="","",IFERROR(E26/D26,0))</f>
        <v>0.75</v>
      </c>
    </row>
    <row r="27" spans="2:14" ht="18.75" customHeight="1" x14ac:dyDescent="0.25">
      <c r="B27" s="56" t="str">
        <f>IF(Stammdaten!$W$11="","",Stammdaten!$W$11)</f>
        <v>Fokuszone</v>
      </c>
      <c r="C27" s="63">
        <f>IF(B27="","",COUNTIFS(Stammdaten!$D$10:$D$49,B27,Stammdaten!$I$10:$I$49,"Aktiv"))</f>
        <v>4</v>
      </c>
      <c r="D27" s="63">
        <f t="shared" si="2"/>
        <v>80</v>
      </c>
      <c r="E27" s="64">
        <f>IF(B27="","",SUMIFS(Buchungen!$O$6:$O$605,Buchungen!$L$6:$L$605,B27,Buchungen!$C$6:$C$605,"&gt;="&amp;$C$5,Buchungen!$C$6:$C$605,"&lt;="&amp;$E$5))</f>
        <v>51</v>
      </c>
      <c r="F27" s="64">
        <f t="shared" si="3"/>
        <v>2.5499999999999998</v>
      </c>
      <c r="G27" s="65">
        <f t="shared" si="4"/>
        <v>0.63749999999999996</v>
      </c>
    </row>
    <row r="28" spans="2:14" ht="18.75" customHeight="1" x14ac:dyDescent="0.25">
      <c r="B28" s="56" t="str">
        <f>IF(Stammdaten!$W$12="","",Stammdaten!$W$12)</f>
        <v>Teamzone Süd</v>
      </c>
      <c r="C28" s="63">
        <f>IF(B28="","",COUNTIFS(Stammdaten!$D$10:$D$49,B28,Stammdaten!$I$10:$I$49,"Aktiv"))</f>
        <v>7</v>
      </c>
      <c r="D28" s="63">
        <f t="shared" si="2"/>
        <v>140</v>
      </c>
      <c r="E28" s="64">
        <f>IF(B28="","",SUMIFS(Buchungen!$O$6:$O$605,Buchungen!$L$6:$L$605,B28,Buchungen!$C$6:$C$605,"&gt;="&amp;$C$5,Buchungen!$C$6:$C$605,"&lt;="&amp;$E$5))</f>
        <v>83</v>
      </c>
      <c r="F28" s="64">
        <f t="shared" si="3"/>
        <v>4.1500000000000004</v>
      </c>
      <c r="G28" s="65">
        <f t="shared" si="4"/>
        <v>0.59285714285714286</v>
      </c>
    </row>
    <row r="29" spans="2:14" ht="18.75" customHeight="1" x14ac:dyDescent="0.25">
      <c r="B29" s="56" t="str">
        <f>IF(Stammdaten!$W$13="","",Stammdaten!$W$13)</f>
        <v>Projektfläche</v>
      </c>
      <c r="C29" s="63">
        <f>IF(B29="","",COUNTIFS(Stammdaten!$D$10:$D$49,B29,Stammdaten!$I$10:$I$49,"Aktiv"))</f>
        <v>4</v>
      </c>
      <c r="D29" s="63">
        <f t="shared" si="2"/>
        <v>80</v>
      </c>
      <c r="E29" s="64">
        <f>IF(B29="","",SUMIFS(Buchungen!$O$6:$O$605,Buchungen!$L$6:$L$605,B29,Buchungen!$C$6:$C$605,"&gt;="&amp;$C$5,Buchungen!$C$6:$C$605,"&lt;="&amp;$E$5))</f>
        <v>75</v>
      </c>
      <c r="F29" s="64">
        <f t="shared" si="3"/>
        <v>3.75</v>
      </c>
      <c r="G29" s="65">
        <f t="shared" si="4"/>
        <v>0.9375</v>
      </c>
    </row>
    <row r="30" spans="2:14" ht="18.75" customHeight="1" x14ac:dyDescent="0.25">
      <c r="B30" s="56" t="str">
        <f>IF(Stammdaten!$W$14="","",Stammdaten!$W$14)</f>
        <v/>
      </c>
      <c r="C30" s="63" t="str">
        <f>IF(B30="","",COUNTIFS(Stammdaten!$D$10:$D$49,B30,Stammdaten!$I$10:$I$49,"Aktiv"))</f>
        <v/>
      </c>
      <c r="D30" s="63" t="str">
        <f t="shared" si="2"/>
        <v/>
      </c>
      <c r="E30" s="64" t="str">
        <f>IF(B30="","",SUMIFS(Buchungen!$O$6:$O$605,Buchungen!$L$6:$L$605,B30,Buchungen!$C$6:$C$605,"&gt;="&amp;$C$5,Buchungen!$C$6:$C$605,"&lt;="&amp;$E$5))</f>
        <v/>
      </c>
      <c r="F30" s="64" t="str">
        <f t="shared" si="3"/>
        <v/>
      </c>
      <c r="G30" s="65" t="str">
        <f t="shared" si="4"/>
        <v/>
      </c>
    </row>
    <row r="31" spans="2:14" ht="18.75" customHeight="1" x14ac:dyDescent="0.25">
      <c r="B31" s="56" t="str">
        <f>IF(Stammdaten!$W$15="","",Stammdaten!$W$15)</f>
        <v/>
      </c>
      <c r="C31" s="63" t="str">
        <f>IF(B31="","",COUNTIFS(Stammdaten!$D$10:$D$49,B31,Stammdaten!$I$10:$I$49,"Aktiv"))</f>
        <v/>
      </c>
      <c r="D31" s="63" t="str">
        <f t="shared" si="2"/>
        <v/>
      </c>
      <c r="E31" s="64" t="str">
        <f>IF(B31="","",SUMIFS(Buchungen!$O$6:$O$605,Buchungen!$L$6:$L$605,B31,Buchungen!$C$6:$C$605,"&gt;="&amp;$C$5,Buchungen!$C$6:$C$605,"&lt;="&amp;$E$5))</f>
        <v/>
      </c>
      <c r="F31" s="64" t="str">
        <f t="shared" si="3"/>
        <v/>
      </c>
      <c r="G31" s="65" t="str">
        <f t="shared" si="4"/>
        <v/>
      </c>
    </row>
    <row r="34" spans="2:14" ht="21.75" customHeight="1" x14ac:dyDescent="0.25">
      <c r="B34" s="20" t="s">
        <v>186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2:14" ht="30" customHeight="1" x14ac:dyDescent="0.25">
      <c r="B35" s="38" t="s">
        <v>65</v>
      </c>
      <c r="C35" s="38" t="s">
        <v>187</v>
      </c>
      <c r="D35" s="38" t="s">
        <v>188</v>
      </c>
      <c r="E35" s="38" t="s">
        <v>189</v>
      </c>
      <c r="F35" s="38" t="s">
        <v>190</v>
      </c>
      <c r="G35" s="38" t="s">
        <v>191</v>
      </c>
      <c r="H35" s="38" t="s">
        <v>192</v>
      </c>
    </row>
    <row r="36" spans="2:14" ht="18.75" customHeight="1" x14ac:dyDescent="0.25">
      <c r="B36" s="56" t="str">
        <f>IF(Stammdaten!$V$10="","",Stammdaten!$V$10)</f>
        <v>Vertrieb</v>
      </c>
      <c r="C36" s="63">
        <f>IF(B36="","",COUNTIF(Stammdaten!$P$10:$P$69,B36))</f>
        <v>7</v>
      </c>
      <c r="D36" s="63">
        <f>IF(B36="","",SUMIF(Stammdaten!$P$10:$P$69,B36,Stammdaten!$Q$10:$Q$69))</f>
        <v>18</v>
      </c>
      <c r="E36" s="64">
        <f>IF(B36="","",SUMIFS(Buchungen!$O$6:$O$605,Buchungen!$K$6:$K$605,B36,Buchungen!$C$6:$C$605,"&gt;="&amp;$C$5,Buchungen!$C$6:$C$605,"&lt;="&amp;$E$5))</f>
        <v>68.5</v>
      </c>
      <c r="F36" s="64">
        <f t="shared" ref="F36:F43" si="5">IF(B36="","",IFERROR(E36/C36/($I$5/5),0))</f>
        <v>2.4464285714285716</v>
      </c>
      <c r="G36" s="64">
        <f t="shared" ref="G36:G43" si="6">IF(B36="","",IFERROR(D36/C36,0))</f>
        <v>2.5714285714285716</v>
      </c>
      <c r="H36" s="65">
        <f t="shared" ref="H36:H43" si="7">IF(B36="","",IFERROR(F36/G36,0))</f>
        <v>0.95138888888888884</v>
      </c>
      <c r="J36" s="72" t="s">
        <v>193</v>
      </c>
    </row>
    <row r="37" spans="2:14" ht="18.75" customHeight="1" x14ac:dyDescent="0.25">
      <c r="B37" s="56" t="str">
        <f>IF(Stammdaten!$V$11="","",Stammdaten!$V$11)</f>
        <v>Marketing</v>
      </c>
      <c r="C37" s="63">
        <f>IF(B37="","",COUNTIF(Stammdaten!$P$10:$P$69,B37))</f>
        <v>5</v>
      </c>
      <c r="D37" s="63">
        <f>IF(B37="","",SUMIF(Stammdaten!$P$10:$P$69,B37,Stammdaten!$Q$10:$Q$69))</f>
        <v>14</v>
      </c>
      <c r="E37" s="64">
        <f>IF(B37="","",SUMIFS(Buchungen!$O$6:$O$605,Buchungen!$K$6:$K$605,B37,Buchungen!$C$6:$C$605,"&gt;="&amp;$C$5,Buchungen!$C$6:$C$605,"&lt;="&amp;$E$5))</f>
        <v>54.5</v>
      </c>
      <c r="F37" s="64">
        <f t="shared" si="5"/>
        <v>2.7250000000000001</v>
      </c>
      <c r="G37" s="64">
        <f t="shared" si="6"/>
        <v>2.8</v>
      </c>
      <c r="H37" s="65">
        <f t="shared" si="7"/>
        <v>0.97321428571428581</v>
      </c>
      <c r="J37" s="102" t="s">
        <v>194</v>
      </c>
      <c r="K37" s="102"/>
      <c r="L37" s="102"/>
      <c r="M37" s="102"/>
      <c r="N37" s="102"/>
    </row>
    <row r="38" spans="2:14" ht="18.75" customHeight="1" x14ac:dyDescent="0.25">
      <c r="B38" s="56" t="str">
        <f>IF(Stammdaten!$V$12="","",Stammdaten!$V$12)</f>
        <v>Finanzen</v>
      </c>
      <c r="C38" s="63">
        <f>IF(B38="","",COUNTIF(Stammdaten!$P$10:$P$69,B38))</f>
        <v>5</v>
      </c>
      <c r="D38" s="63">
        <f>IF(B38="","",SUMIF(Stammdaten!$P$10:$P$69,B38,Stammdaten!$Q$10:$Q$69))</f>
        <v>13</v>
      </c>
      <c r="E38" s="64">
        <f>IF(B38="","",SUMIFS(Buchungen!$O$6:$O$605,Buchungen!$K$6:$K$605,B38,Buchungen!$C$6:$C$605,"&gt;="&amp;$C$5,Buchungen!$C$6:$C$605,"&lt;="&amp;$E$5))</f>
        <v>48.5</v>
      </c>
      <c r="F38" s="64">
        <f t="shared" si="5"/>
        <v>2.4249999999999998</v>
      </c>
      <c r="G38" s="64">
        <f t="shared" si="6"/>
        <v>2.6</v>
      </c>
      <c r="H38" s="65">
        <f t="shared" si="7"/>
        <v>0.9326923076923076</v>
      </c>
      <c r="J38" s="102"/>
      <c r="K38" s="102"/>
      <c r="L38" s="102"/>
      <c r="M38" s="102"/>
      <c r="N38" s="102"/>
    </row>
    <row r="39" spans="2:14" ht="18.75" customHeight="1" x14ac:dyDescent="0.25">
      <c r="B39" s="56" t="str">
        <f>IF(Stammdaten!$V$13="","",Stammdaten!$V$13)</f>
        <v>Personal</v>
      </c>
      <c r="C39" s="63">
        <f>IF(B39="","",COUNTIF(Stammdaten!$P$10:$P$69,B39))</f>
        <v>4</v>
      </c>
      <c r="D39" s="63">
        <f>IF(B39="","",SUMIF(Stammdaten!$P$10:$P$69,B39,Stammdaten!$Q$10:$Q$69))</f>
        <v>10</v>
      </c>
      <c r="E39" s="64">
        <f>IF(B39="","",SUMIFS(Buchungen!$O$6:$O$605,Buchungen!$K$6:$K$605,B39,Buchungen!$C$6:$C$605,"&gt;="&amp;$C$5,Buchungen!$C$6:$C$605,"&lt;="&amp;$E$5))</f>
        <v>37</v>
      </c>
      <c r="F39" s="64">
        <f t="shared" si="5"/>
        <v>2.3125</v>
      </c>
      <c r="G39" s="64">
        <f t="shared" si="6"/>
        <v>2.5</v>
      </c>
      <c r="H39" s="65">
        <f t="shared" si="7"/>
        <v>0.92500000000000004</v>
      </c>
      <c r="J39" s="102"/>
      <c r="K39" s="102"/>
      <c r="L39" s="102"/>
      <c r="M39" s="102"/>
      <c r="N39" s="102"/>
    </row>
    <row r="40" spans="2:14" ht="18.75" customHeight="1" x14ac:dyDescent="0.25">
      <c r="B40" s="56" t="str">
        <f>IF(Stammdaten!$V$14="","",Stammdaten!$V$14)</f>
        <v>IT</v>
      </c>
      <c r="C40" s="63">
        <f>IF(B40="","",COUNTIF(Stammdaten!$P$10:$P$69,B40))</f>
        <v>6</v>
      </c>
      <c r="D40" s="63">
        <f>IF(B40="","",SUMIF(Stammdaten!$P$10:$P$69,B40,Stammdaten!$Q$10:$Q$69))</f>
        <v>13</v>
      </c>
      <c r="E40" s="64">
        <f>IF(B40="","",SUMIFS(Buchungen!$O$6:$O$605,Buchungen!$K$6:$K$605,B40,Buchungen!$C$6:$C$605,"&gt;="&amp;$C$5,Buchungen!$C$6:$C$605,"&lt;="&amp;$E$5))</f>
        <v>49.5</v>
      </c>
      <c r="F40" s="64">
        <f t="shared" si="5"/>
        <v>2.0625</v>
      </c>
      <c r="G40" s="64">
        <f t="shared" si="6"/>
        <v>2.1666666666666665</v>
      </c>
      <c r="H40" s="65">
        <f t="shared" si="7"/>
        <v>0.95192307692307698</v>
      </c>
      <c r="J40" s="102"/>
      <c r="K40" s="102"/>
      <c r="L40" s="102"/>
      <c r="M40" s="102"/>
      <c r="N40" s="102"/>
    </row>
    <row r="41" spans="2:14" ht="18.75" customHeight="1" x14ac:dyDescent="0.25">
      <c r="B41" s="56" t="str">
        <f>IF(Stammdaten!$V$15="","",Stammdaten!$V$15)</f>
        <v>Projektmanagement</v>
      </c>
      <c r="C41" s="63">
        <f>IF(B41="","",COUNTIF(Stammdaten!$P$10:$P$69,B41))</f>
        <v>7</v>
      </c>
      <c r="D41" s="63">
        <f>IF(B41="","",SUMIF(Stammdaten!$P$10:$P$69,B41,Stammdaten!$Q$10:$Q$69))</f>
        <v>19</v>
      </c>
      <c r="E41" s="64">
        <f>IF(B41="","",SUMIFS(Buchungen!$O$6:$O$605,Buchungen!$K$6:$K$605,B41,Buchungen!$C$6:$C$605,"&gt;="&amp;$C$5,Buchungen!$C$6:$C$605,"&lt;="&amp;$E$5))</f>
        <v>71</v>
      </c>
      <c r="F41" s="64">
        <f t="shared" si="5"/>
        <v>2.5357142857142856</v>
      </c>
      <c r="G41" s="64">
        <f t="shared" si="6"/>
        <v>2.7142857142857144</v>
      </c>
      <c r="H41" s="65">
        <f t="shared" si="7"/>
        <v>0.93421052631578938</v>
      </c>
      <c r="J41" s="102"/>
      <c r="K41" s="102"/>
      <c r="L41" s="102"/>
      <c r="M41" s="102"/>
      <c r="N41" s="102"/>
    </row>
    <row r="42" spans="2:14" ht="18.75" customHeight="1" x14ac:dyDescent="0.25">
      <c r="B42" s="56" t="str">
        <f>IF(Stammdaten!$V$16="","",Stammdaten!$V$16)</f>
        <v/>
      </c>
      <c r="C42" s="63" t="str">
        <f>IF(B42="","",COUNTIF(Stammdaten!$P$10:$P$69,B42))</f>
        <v/>
      </c>
      <c r="D42" s="63" t="str">
        <f>IF(B42="","",SUMIF(Stammdaten!$P$10:$P$69,B42,Stammdaten!$Q$10:$Q$69))</f>
        <v/>
      </c>
      <c r="E42" s="64" t="str">
        <f>IF(B42="","",SUMIFS(Buchungen!$O$6:$O$605,Buchungen!$K$6:$K$605,B42,Buchungen!$C$6:$C$605,"&gt;="&amp;$C$5,Buchungen!$C$6:$C$605,"&lt;="&amp;$E$5))</f>
        <v/>
      </c>
      <c r="F42" s="64" t="str">
        <f t="shared" si="5"/>
        <v/>
      </c>
      <c r="G42" s="64" t="str">
        <f t="shared" si="6"/>
        <v/>
      </c>
      <c r="H42" s="65" t="str">
        <f t="shared" si="7"/>
        <v/>
      </c>
      <c r="J42" s="102"/>
      <c r="K42" s="102"/>
      <c r="L42" s="102"/>
      <c r="M42" s="102"/>
      <c r="N42" s="102"/>
    </row>
    <row r="43" spans="2:14" ht="18.75" customHeight="1" x14ac:dyDescent="0.25">
      <c r="B43" s="56" t="str">
        <f>IF(Stammdaten!$V$17="","",Stammdaten!$V$17)</f>
        <v/>
      </c>
      <c r="C43" s="63" t="str">
        <f>IF(B43="","",COUNTIF(Stammdaten!$P$10:$P$69,B43))</f>
        <v/>
      </c>
      <c r="D43" s="63" t="str">
        <f>IF(B43="","",SUMIF(Stammdaten!$P$10:$P$69,B43,Stammdaten!$Q$10:$Q$69))</f>
        <v/>
      </c>
      <c r="E43" s="64" t="str">
        <f>IF(B43="","",SUMIFS(Buchungen!$O$6:$O$605,Buchungen!$K$6:$K$605,B43,Buchungen!$C$6:$C$605,"&gt;="&amp;$C$5,Buchungen!$C$6:$C$605,"&lt;="&amp;$E$5))</f>
        <v/>
      </c>
      <c r="F43" s="64" t="str">
        <f t="shared" si="5"/>
        <v/>
      </c>
      <c r="G43" s="64" t="str">
        <f t="shared" si="6"/>
        <v/>
      </c>
      <c r="H43" s="65" t="str">
        <f t="shared" si="7"/>
        <v/>
      </c>
    </row>
    <row r="46" spans="2:14" ht="21.75" customHeight="1" x14ac:dyDescent="0.25">
      <c r="B46" s="20" t="s">
        <v>195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2:14" x14ac:dyDescent="0.25">
      <c r="B47" s="73" t="s">
        <v>196</v>
      </c>
      <c r="J47" s="73" t="s">
        <v>197</v>
      </c>
    </row>
    <row r="48" spans="2:14" ht="21" customHeight="1" x14ac:dyDescent="0.25">
      <c r="B48" s="103" t="s">
        <v>198</v>
      </c>
      <c r="C48" s="103"/>
      <c r="D48" s="103"/>
      <c r="E48" s="103"/>
      <c r="F48" s="103"/>
      <c r="G48" s="74">
        <v>12</v>
      </c>
      <c r="J48" s="102" t="s">
        <v>199</v>
      </c>
      <c r="K48" s="102"/>
      <c r="L48" s="102"/>
      <c r="M48" s="102"/>
      <c r="N48" s="102"/>
    </row>
    <row r="49" spans="2:14" ht="21" customHeight="1" x14ac:dyDescent="0.25">
      <c r="B49" s="103" t="s">
        <v>200</v>
      </c>
      <c r="C49" s="103"/>
      <c r="D49" s="103"/>
      <c r="E49" s="103"/>
      <c r="F49" s="103"/>
      <c r="G49" s="75">
        <v>24</v>
      </c>
      <c r="J49" s="102"/>
      <c r="K49" s="102"/>
      <c r="L49" s="102"/>
      <c r="M49" s="102"/>
      <c r="N49" s="102"/>
    </row>
    <row r="50" spans="2:14" ht="21" customHeight="1" x14ac:dyDescent="0.25">
      <c r="B50" s="103" t="s">
        <v>201</v>
      </c>
      <c r="C50" s="103"/>
      <c r="D50" s="103"/>
      <c r="E50" s="103"/>
      <c r="F50" s="103"/>
      <c r="G50" s="76">
        <v>1500</v>
      </c>
      <c r="J50" s="102"/>
      <c r="K50" s="102"/>
      <c r="L50" s="102"/>
      <c r="M50" s="102"/>
      <c r="N50" s="102"/>
    </row>
    <row r="51" spans="2:14" ht="21" customHeight="1" x14ac:dyDescent="0.25">
      <c r="B51" s="103" t="s">
        <v>202</v>
      </c>
      <c r="C51" s="103"/>
      <c r="D51" s="103"/>
      <c r="E51" s="103"/>
      <c r="F51" s="103"/>
      <c r="G51" s="77">
        <v>0.1</v>
      </c>
      <c r="J51" s="102"/>
      <c r="K51" s="102"/>
      <c r="L51" s="102"/>
      <c r="M51" s="102"/>
      <c r="N51" s="102"/>
    </row>
    <row r="52" spans="2:14" x14ac:dyDescent="0.25">
      <c r="J52" s="102"/>
      <c r="K52" s="102"/>
      <c r="L52" s="102"/>
      <c r="M52" s="102"/>
      <c r="N52" s="102"/>
    </row>
    <row r="53" spans="2:14" x14ac:dyDescent="0.25">
      <c r="B53" s="73" t="s">
        <v>203</v>
      </c>
      <c r="J53" s="102"/>
      <c r="K53" s="102"/>
      <c r="L53" s="102"/>
      <c r="M53" s="102"/>
      <c r="N53" s="102"/>
    </row>
    <row r="54" spans="2:14" ht="21" customHeight="1" x14ac:dyDescent="0.25">
      <c r="B54" s="104" t="s">
        <v>204</v>
      </c>
      <c r="C54" s="104"/>
      <c r="D54" s="104"/>
      <c r="E54" s="104"/>
      <c r="F54" s="104"/>
      <c r="G54" s="78">
        <f>D9</f>
        <v>34</v>
      </c>
      <c r="J54" s="102"/>
      <c r="K54" s="102"/>
      <c r="L54" s="102"/>
      <c r="M54" s="102"/>
      <c r="N54" s="102"/>
    </row>
    <row r="55" spans="2:14" ht="21" customHeight="1" x14ac:dyDescent="0.25">
      <c r="B55" s="104" t="s">
        <v>205</v>
      </c>
      <c r="C55" s="104"/>
      <c r="D55" s="104"/>
      <c r="E55" s="104"/>
      <c r="F55" s="104"/>
      <c r="G55" s="78">
        <f>SUM(Stammdaten!$Q$10:$Q$69)</f>
        <v>87</v>
      </c>
      <c r="J55" s="102"/>
      <c r="K55" s="102"/>
      <c r="L55" s="102"/>
      <c r="M55" s="102"/>
      <c r="N55" s="102"/>
    </row>
    <row r="56" spans="2:14" ht="21" customHeight="1" x14ac:dyDescent="0.25">
      <c r="B56" s="104" t="s">
        <v>206</v>
      </c>
      <c r="C56" s="104"/>
      <c r="D56" s="104"/>
      <c r="E56" s="104"/>
      <c r="F56" s="104"/>
      <c r="G56" s="79">
        <f>G55/5</f>
        <v>17.399999999999999</v>
      </c>
      <c r="J56" s="102"/>
      <c r="K56" s="102"/>
      <c r="L56" s="102"/>
      <c r="M56" s="102"/>
      <c r="N56" s="102"/>
    </row>
    <row r="57" spans="2:14" ht="21" customHeight="1" x14ac:dyDescent="0.25">
      <c r="B57" s="104" t="s">
        <v>207</v>
      </c>
      <c r="C57" s="104"/>
      <c r="D57" s="104"/>
      <c r="E57" s="104"/>
      <c r="F57" s="104"/>
      <c r="G57" s="79">
        <f>MAX(F15:F19)</f>
        <v>18</v>
      </c>
    </row>
    <row r="58" spans="2:14" ht="21" customHeight="1" x14ac:dyDescent="0.25">
      <c r="B58" s="105" t="s">
        <v>208</v>
      </c>
      <c r="C58" s="105"/>
      <c r="D58" s="105"/>
      <c r="E58" s="105"/>
      <c r="F58" s="105"/>
      <c r="G58" s="80">
        <f>ROUNDUP(MAX(G56,G57)*(1+G51),0)</f>
        <v>20</v>
      </c>
      <c r="J58" s="81" t="s">
        <v>209</v>
      </c>
      <c r="K58" s="82"/>
      <c r="L58" s="82"/>
      <c r="M58" s="82"/>
      <c r="N58" s="82"/>
    </row>
    <row r="59" spans="2:14" ht="21" customHeight="1" x14ac:dyDescent="0.25">
      <c r="B59" s="104" t="s">
        <v>210</v>
      </c>
      <c r="C59" s="104"/>
      <c r="D59" s="104"/>
      <c r="E59" s="104"/>
      <c r="F59" s="104"/>
      <c r="G59" s="78">
        <f>B9</f>
        <v>23</v>
      </c>
      <c r="J59" s="106">
        <f>G65</f>
        <v>54516</v>
      </c>
      <c r="K59" s="106"/>
      <c r="L59" s="106"/>
      <c r="M59" s="106"/>
      <c r="N59" s="106"/>
    </row>
    <row r="60" spans="2:14" ht="21" customHeight="1" x14ac:dyDescent="0.25">
      <c r="B60" s="104" t="s">
        <v>211</v>
      </c>
      <c r="C60" s="104"/>
      <c r="D60" s="104"/>
      <c r="E60" s="104"/>
      <c r="F60" s="104"/>
      <c r="G60" s="83">
        <f>G59-G58</f>
        <v>3</v>
      </c>
      <c r="J60" s="106"/>
      <c r="K60" s="106"/>
      <c r="L60" s="106"/>
      <c r="M60" s="106"/>
      <c r="N60" s="106"/>
    </row>
    <row r="61" spans="2:14" ht="21" customHeight="1" x14ac:dyDescent="0.25">
      <c r="B61" s="105" t="s">
        <v>212</v>
      </c>
      <c r="C61" s="105"/>
      <c r="D61" s="105"/>
      <c r="E61" s="105"/>
      <c r="F61" s="105"/>
      <c r="G61" s="84" t="str">
        <f>IF(G60&gt;0,"Überkapazität",IF(G60&lt;0,"Engpass","Passend"))</f>
        <v>Überkapazität</v>
      </c>
      <c r="J61" s="106"/>
      <c r="K61" s="106"/>
      <c r="L61" s="106"/>
      <c r="M61" s="106"/>
      <c r="N61" s="106"/>
    </row>
    <row r="62" spans="2:14" ht="21" customHeight="1" x14ac:dyDescent="0.25">
      <c r="B62" s="104" t="s">
        <v>213</v>
      </c>
      <c r="C62" s="104"/>
      <c r="D62" s="104"/>
      <c r="E62" s="104"/>
      <c r="F62" s="104"/>
      <c r="G62" s="85">
        <f>G48*G49*12+G50</f>
        <v>4956</v>
      </c>
      <c r="J62" s="100" t="str">
        <f>"gegenüber fester Platzzuordnung für "&amp;G54&amp;" Personen"</f>
        <v>gegenüber fester Platzzuordnung für 34 Personen</v>
      </c>
      <c r="K62" s="100"/>
      <c r="L62" s="100"/>
      <c r="M62" s="100"/>
      <c r="N62" s="100"/>
    </row>
    <row r="63" spans="2:14" ht="21" customHeight="1" x14ac:dyDescent="0.25">
      <c r="B63" s="104" t="s">
        <v>214</v>
      </c>
      <c r="C63" s="104"/>
      <c r="D63" s="104"/>
      <c r="E63" s="104"/>
      <c r="F63" s="104"/>
      <c r="G63" s="85">
        <f>G59*G62</f>
        <v>113988</v>
      </c>
    </row>
    <row r="64" spans="2:14" ht="21" customHeight="1" x14ac:dyDescent="0.25">
      <c r="B64" s="104" t="s">
        <v>215</v>
      </c>
      <c r="C64" s="104"/>
      <c r="D64" s="104"/>
      <c r="E64" s="104"/>
      <c r="F64" s="104"/>
      <c r="G64" s="85">
        <f>G54*G62</f>
        <v>168504</v>
      </c>
    </row>
    <row r="65" spans="2:7" ht="21" customHeight="1" x14ac:dyDescent="0.25">
      <c r="B65" s="105" t="s">
        <v>216</v>
      </c>
      <c r="C65" s="105"/>
      <c r="D65" s="105"/>
      <c r="E65" s="105"/>
      <c r="F65" s="105"/>
      <c r="G65" s="86">
        <f>G64-G63</f>
        <v>54516</v>
      </c>
    </row>
    <row r="66" spans="2:7" ht="21" customHeight="1" x14ac:dyDescent="0.25">
      <c r="B66" s="104" t="s">
        <v>217</v>
      </c>
      <c r="C66" s="104"/>
      <c r="D66" s="104"/>
      <c r="E66" s="104"/>
      <c r="F66" s="104"/>
      <c r="G66" s="85">
        <f>MAX(0,G60)*G62</f>
        <v>14868</v>
      </c>
    </row>
    <row r="67" spans="2:7" ht="21" customHeight="1" x14ac:dyDescent="0.25">
      <c r="B67" s="104" t="s">
        <v>218</v>
      </c>
      <c r="C67" s="104"/>
      <c r="D67" s="104"/>
      <c r="E67" s="104"/>
      <c r="F67" s="104"/>
      <c r="G67" s="87">
        <f>IFERROR(G58/G54,0)</f>
        <v>0.58823529411764708</v>
      </c>
    </row>
  </sheetData>
  <mergeCells count="42">
    <mergeCell ref="B66:F66"/>
    <mergeCell ref="B67:F67"/>
    <mergeCell ref="B62:F62"/>
    <mergeCell ref="J62:N62"/>
    <mergeCell ref="B63:F63"/>
    <mergeCell ref="B64:F64"/>
    <mergeCell ref="B65:F65"/>
    <mergeCell ref="B57:F57"/>
    <mergeCell ref="B58:F58"/>
    <mergeCell ref="B59:F59"/>
    <mergeCell ref="J59:N61"/>
    <mergeCell ref="B60:F60"/>
    <mergeCell ref="B61:F61"/>
    <mergeCell ref="L11:M11"/>
    <mergeCell ref="B21:C21"/>
    <mergeCell ref="J37:N42"/>
    <mergeCell ref="B48:F48"/>
    <mergeCell ref="J48:N56"/>
    <mergeCell ref="B49:F49"/>
    <mergeCell ref="B50:F50"/>
    <mergeCell ref="B51:F51"/>
    <mergeCell ref="B54:F54"/>
    <mergeCell ref="B55:F55"/>
    <mergeCell ref="B56:F56"/>
    <mergeCell ref="B11:C11"/>
    <mergeCell ref="D11:E11"/>
    <mergeCell ref="F11:G11"/>
    <mergeCell ref="H11:I11"/>
    <mergeCell ref="J11:K11"/>
    <mergeCell ref="J8:K8"/>
    <mergeCell ref="L8:M8"/>
    <mergeCell ref="B9:C10"/>
    <mergeCell ref="D9:E10"/>
    <mergeCell ref="F9:G10"/>
    <mergeCell ref="H9:I10"/>
    <mergeCell ref="J9:K10"/>
    <mergeCell ref="L9:M10"/>
    <mergeCell ref="G5:H5"/>
    <mergeCell ref="B8:C8"/>
    <mergeCell ref="D8:E8"/>
    <mergeCell ref="F8:G8"/>
    <mergeCell ref="H8:I8"/>
  </mergeCells>
  <conditionalFormatting sqref="G15:G19">
    <cfRule type="dataBar" priority="4">
      <dataBar>
        <cfvo type="num" val="0"/>
        <cfvo type="num" val="1"/>
        <color rgb="FF7FB5AE"/>
      </dataBar>
      <extLst>
        <ext xmlns:x14="http://schemas.microsoft.com/office/spreadsheetml/2009/9/main" uri="{B025F937-C7B1-47D3-B67F-A62EFF666E3E}">
          <x14:id>{47451CEF-3CCE-41D0-9070-D594F535374C}</x14:id>
        </ext>
      </extLst>
    </cfRule>
  </conditionalFormatting>
  <conditionalFormatting sqref="G26:G31">
    <cfRule type="dataBar" priority="5">
      <dataBar>
        <cfvo type="num" val="0"/>
        <cfvo type="num" val="1"/>
        <color rgb="FFD9B26A"/>
      </dataBar>
      <extLst>
        <ext xmlns:x14="http://schemas.microsoft.com/office/spreadsheetml/2009/9/main" uri="{B025F937-C7B1-47D3-B67F-A62EFF666E3E}">
          <x14:id>{2F4E1012-2052-45CD-982E-2136ACD1D1C0}</x14:id>
        </ext>
      </extLst>
    </cfRule>
  </conditionalFormatting>
  <conditionalFormatting sqref="G61">
    <cfRule type="expression" dxfId="6" priority="8">
      <formula>$G$60&lt;0</formula>
    </cfRule>
  </conditionalFormatting>
  <conditionalFormatting sqref="H36:H43">
    <cfRule type="expression" dxfId="5" priority="6">
      <formula>AND(ISNUMBER(H36),H36&lt;0.8)</formula>
    </cfRule>
    <cfRule type="expression" dxfId="4" priority="7">
      <formula>AND(ISNUMBER(H36),H36&gt;=0.8)</formula>
    </cfRule>
  </conditionalFormatting>
  <conditionalFormatting sqref="J9">
    <cfRule type="expression" dxfId="3" priority="3">
      <formula>$J$9&gt;0</formula>
    </cfRule>
  </conditionalFormatting>
  <conditionalFormatting sqref="L9">
    <cfRule type="expression" dxfId="2" priority="2">
      <formula>$L$9&gt;0</formula>
    </cfRule>
  </conditionalFormatting>
  <dataValidations count="1">
    <dataValidation type="date" showErrorMessage="1" error="Bitte ein gültiges Datum eingeben." sqref="C5 E5" xr:uid="{00000000-0002-0000-0400-000000000000}">
      <formula1>DATE(2020,1,1)</formula1>
      <formula2>DATE(2035,12,31)</formula2>
    </dataValidation>
  </dataValidations>
  <printOptions horizontalCentered="1"/>
  <pageMargins left="0.4" right="0.4" top="1" bottom="1" header="0.511811023622047" footer="0.511811023622047"/>
  <pageSetup paperSize="9"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451CEF-3CCE-41D0-9070-D594F535374C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7FB5AE"/>
            </x14:dataBar>
          </x14:cfRule>
          <xm:sqref>G15:G19</xm:sqref>
        </x14:conditionalFormatting>
        <x14:conditionalFormatting xmlns:xm="http://schemas.microsoft.com/office/excel/2006/main">
          <x14:cfRule type="dataBar" id="{2F4E1012-2052-45CD-982E-2136ACD1D1C0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D9B26A"/>
            </x14:dataBar>
          </x14:cfRule>
          <xm:sqref>G26:G31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A7466"/>
    <pageSetUpPr fitToPage="1"/>
  </sheetPr>
  <dimension ref="A1:AF69"/>
  <sheetViews>
    <sheetView showGridLines="0" zoomScaleNormal="100" workbookViewId="0">
      <pane ySplit="9" topLeftCell="A10" activePane="bottomLeft" state="frozen"/>
      <selection pane="bottomLeft"/>
    </sheetView>
  </sheetViews>
  <sheetFormatPr baseColWidth="10" defaultColWidth="8.7109375" defaultRowHeight="15" x14ac:dyDescent="0.25"/>
  <cols>
    <col min="1" max="1" width="2.42578125" customWidth="1"/>
    <col min="2" max="2" width="12" customWidth="1"/>
    <col min="3" max="3" width="8" customWidth="1"/>
    <col min="4" max="5" width="16" customWidth="1"/>
    <col min="6" max="6" width="9" customWidth="1"/>
    <col min="7" max="7" width="10" customWidth="1"/>
    <col min="8" max="8" width="11" customWidth="1"/>
    <col min="9" max="9" width="10" customWidth="1"/>
    <col min="10" max="10" width="30" customWidth="1"/>
    <col min="11" max="11" width="12" customWidth="1"/>
    <col min="12" max="12" width="14" customWidth="1"/>
    <col min="13" max="13" width="3" customWidth="1"/>
    <col min="14" max="14" width="20" customWidth="1"/>
    <col min="15" max="15" width="14" customWidth="1"/>
    <col min="16" max="16" width="18" customWidth="1"/>
    <col min="17" max="17" width="10" customWidth="1"/>
    <col min="18" max="18" width="16" customWidth="1"/>
    <col min="19" max="20" width="13" customWidth="1"/>
    <col min="21" max="21" width="3" customWidth="1"/>
    <col min="22" max="22" width="18" customWidth="1"/>
    <col min="23" max="23" width="16" customWidth="1"/>
    <col min="24" max="24" width="9" customWidth="1"/>
    <col min="25" max="25" width="15" customWidth="1"/>
    <col min="26" max="26" width="11" customWidth="1"/>
    <col min="27" max="27" width="12" customWidth="1"/>
    <col min="28" max="28" width="11" customWidth="1"/>
    <col min="29" max="29" width="9" customWidth="1"/>
    <col min="30" max="30" width="12" customWidth="1"/>
    <col min="31" max="31" width="24" customWidth="1"/>
  </cols>
  <sheetData>
    <row r="1" spans="1:32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3.75" customHeight="1" x14ac:dyDescent="0.25">
      <c r="A2" s="16"/>
      <c r="B2" s="17" t="s">
        <v>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8" t="s">
        <v>40</v>
      </c>
      <c r="AF2" s="16"/>
    </row>
    <row r="3" spans="1:32" ht="19.5" customHeight="1" x14ac:dyDescent="0.25">
      <c r="A3" s="16"/>
      <c r="B3" s="19" t="str">
        <f>Stammdaten!$C$5&amp;"  ·  "&amp;Stammdaten!$C$6</f>
        <v>Beispielunternehmen GmbH  ·  Hauptsitz – Bürogebäude A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2" customHeight="1" x14ac:dyDescent="0.25"/>
    <row r="5" spans="1:32" x14ac:dyDescent="0.25">
      <c r="B5" s="25" t="s">
        <v>219</v>
      </c>
      <c r="C5" s="107" t="s">
        <v>220</v>
      </c>
      <c r="D5" s="107"/>
      <c r="E5" s="107"/>
      <c r="G5" s="27" t="s">
        <v>221</v>
      </c>
    </row>
    <row r="6" spans="1:32" x14ac:dyDescent="0.25">
      <c r="B6" s="25" t="s">
        <v>222</v>
      </c>
      <c r="C6" s="107" t="s">
        <v>223</v>
      </c>
      <c r="D6" s="107"/>
      <c r="E6" s="107"/>
    </row>
    <row r="8" spans="1:32" ht="21.75" customHeight="1" x14ac:dyDescent="0.25">
      <c r="B8" s="20" t="s">
        <v>224</v>
      </c>
      <c r="C8" s="21"/>
      <c r="D8" s="21"/>
      <c r="E8" s="21"/>
      <c r="F8" s="21"/>
      <c r="G8" s="21"/>
      <c r="H8" s="21"/>
      <c r="I8" s="21"/>
      <c r="J8" s="21"/>
      <c r="K8" s="21"/>
      <c r="L8" s="21"/>
      <c r="N8" s="20" t="s">
        <v>225</v>
      </c>
      <c r="O8" s="21"/>
      <c r="P8" s="21"/>
      <c r="Q8" s="21"/>
      <c r="R8" s="21"/>
      <c r="S8" s="21"/>
      <c r="T8" s="21"/>
      <c r="V8" s="20" t="s">
        <v>226</v>
      </c>
      <c r="W8" s="21"/>
      <c r="X8" s="21"/>
      <c r="Y8" s="21"/>
      <c r="Z8" s="21"/>
      <c r="AA8" s="21"/>
      <c r="AB8" s="21"/>
      <c r="AC8" s="21"/>
      <c r="AD8" s="21"/>
      <c r="AE8" s="21"/>
    </row>
    <row r="9" spans="1:32" ht="30" customHeight="1" x14ac:dyDescent="0.25">
      <c r="B9" s="38" t="s">
        <v>227</v>
      </c>
      <c r="C9" s="38" t="s">
        <v>48</v>
      </c>
      <c r="D9" s="38" t="s">
        <v>49</v>
      </c>
      <c r="E9" s="38" t="s">
        <v>228</v>
      </c>
      <c r="F9" s="38" t="s">
        <v>229</v>
      </c>
      <c r="G9" s="38" t="s">
        <v>230</v>
      </c>
      <c r="H9" s="38" t="s">
        <v>231</v>
      </c>
      <c r="I9" s="38" t="s">
        <v>63</v>
      </c>
      <c r="J9" s="38" t="s">
        <v>232</v>
      </c>
      <c r="K9" s="38" t="s">
        <v>233</v>
      </c>
      <c r="L9" s="38" t="s">
        <v>234</v>
      </c>
      <c r="N9" s="38" t="s">
        <v>152</v>
      </c>
      <c r="O9" s="38" t="s">
        <v>235</v>
      </c>
      <c r="P9" s="38" t="s">
        <v>65</v>
      </c>
      <c r="Q9" s="38" t="s">
        <v>236</v>
      </c>
      <c r="R9" s="38" t="s">
        <v>237</v>
      </c>
      <c r="S9" s="38" t="s">
        <v>238</v>
      </c>
      <c r="T9" s="38" t="s">
        <v>239</v>
      </c>
      <c r="V9" s="38" t="s">
        <v>240</v>
      </c>
      <c r="W9" s="38" t="s">
        <v>241</v>
      </c>
      <c r="X9" s="38" t="s">
        <v>242</v>
      </c>
      <c r="Y9" s="38" t="s">
        <v>243</v>
      </c>
      <c r="Z9" s="38" t="s">
        <v>244</v>
      </c>
      <c r="AA9" s="38" t="s">
        <v>62</v>
      </c>
      <c r="AB9" s="38" t="s">
        <v>245</v>
      </c>
      <c r="AC9" s="38" t="s">
        <v>246</v>
      </c>
      <c r="AD9" s="38" t="s">
        <v>30</v>
      </c>
      <c r="AE9" s="38" t="s">
        <v>247</v>
      </c>
    </row>
    <row r="10" spans="1:32" ht="18" customHeight="1" x14ac:dyDescent="0.25">
      <c r="B10" s="51" t="s">
        <v>74</v>
      </c>
      <c r="C10" s="51" t="s">
        <v>248</v>
      </c>
      <c r="D10" s="52" t="s">
        <v>249</v>
      </c>
      <c r="E10" s="52" t="s">
        <v>250</v>
      </c>
      <c r="F10" s="51">
        <v>2</v>
      </c>
      <c r="G10" s="51" t="s">
        <v>251</v>
      </c>
      <c r="H10" s="51" t="s">
        <v>252</v>
      </c>
      <c r="I10" s="51" t="s">
        <v>253</v>
      </c>
      <c r="J10" s="52" t="s">
        <v>254</v>
      </c>
      <c r="K10" s="88">
        <f>IF(B10="","",SUMIFS(Buchungen!$O$6:$O$605,Buchungen!$F$6:$F$605,B10,Buchungen!$C$6:$C$605,"&gt;="&amp;Auswertung!$C$5,Buchungen!$C$6:$C$605,"&lt;="&amp;Auswertung!$E$5))</f>
        <v>17</v>
      </c>
      <c r="L10" s="89">
        <f>IF(B10="","",IF(I10="Gesperrt","gesperrt",IFERROR(K10/Auswertung!$I$5,0)))</f>
        <v>0.85</v>
      </c>
      <c r="N10" s="52" t="s">
        <v>79</v>
      </c>
      <c r="O10" s="53" t="str">
        <f t="shared" ref="O10:O41" si="0">IF(N10="","",IFERROR(LEFT(N10,1)&amp;". "&amp;MID(N10,FIND(" ",N10)+1,60),N10))</f>
        <v>L. Hartmann</v>
      </c>
      <c r="P10" s="52" t="s">
        <v>255</v>
      </c>
      <c r="Q10" s="90">
        <v>3</v>
      </c>
      <c r="R10" s="52" t="s">
        <v>249</v>
      </c>
      <c r="S10" s="88">
        <f>IF(N10="","",SUMIFS(Buchungen!$O$6:$O$605,Buchungen!$G$6:$G$605,N10,Buchungen!$C$6:$C$605,"&gt;="&amp;Auswertung!$C$5,Buchungen!$C$6:$C$605,"&lt;="&amp;Auswertung!$E$5))</f>
        <v>12.5</v>
      </c>
      <c r="T10" s="88">
        <f>IF(N10="","",IFERROR(S10/(Auswertung!$I$5/5),0))</f>
        <v>3.125</v>
      </c>
      <c r="V10" s="52" t="s">
        <v>255</v>
      </c>
      <c r="W10" s="52" t="s">
        <v>249</v>
      </c>
      <c r="X10" s="52" t="s">
        <v>256</v>
      </c>
      <c r="Y10" s="52" t="s">
        <v>250</v>
      </c>
      <c r="Z10" s="53" t="s">
        <v>253</v>
      </c>
      <c r="AA10" s="53" t="s">
        <v>76</v>
      </c>
      <c r="AB10" s="53" t="s">
        <v>77</v>
      </c>
      <c r="AC10" s="53" t="s">
        <v>251</v>
      </c>
      <c r="AD10" s="48">
        <v>46023</v>
      </c>
      <c r="AE10" s="52" t="s">
        <v>257</v>
      </c>
    </row>
    <row r="11" spans="1:32" ht="18" customHeight="1" x14ac:dyDescent="0.25">
      <c r="B11" s="51" t="s">
        <v>78</v>
      </c>
      <c r="C11" s="51" t="s">
        <v>248</v>
      </c>
      <c r="D11" s="52" t="s">
        <v>249</v>
      </c>
      <c r="E11" s="52" t="s">
        <v>250</v>
      </c>
      <c r="F11" s="51">
        <v>2</v>
      </c>
      <c r="G11" s="51" t="s">
        <v>251</v>
      </c>
      <c r="H11" s="51" t="s">
        <v>252</v>
      </c>
      <c r="I11" s="51" t="s">
        <v>253</v>
      </c>
      <c r="J11" s="52"/>
      <c r="K11" s="88">
        <f>IF(B11="","",SUMIFS(Buchungen!$O$6:$O$605,Buchungen!$F$6:$F$605,B11,Buchungen!$C$6:$C$605,"&gt;="&amp;Auswertung!$C$5,Buchungen!$C$6:$C$605,"&lt;="&amp;Auswertung!$E$5))</f>
        <v>20</v>
      </c>
      <c r="L11" s="89">
        <f>IF(B11="","",IF(I11="Gesperrt","gesperrt",IFERROR(K11/Auswertung!$I$5,0)))</f>
        <v>1</v>
      </c>
      <c r="N11" s="52" t="s">
        <v>126</v>
      </c>
      <c r="O11" s="53" t="str">
        <f t="shared" si="0"/>
        <v>J. Weber</v>
      </c>
      <c r="P11" s="52" t="s">
        <v>255</v>
      </c>
      <c r="Q11" s="90">
        <v>2</v>
      </c>
      <c r="R11" s="52" t="s">
        <v>249</v>
      </c>
      <c r="S11" s="88">
        <f>IF(N11="","",SUMIFS(Buchungen!$O$6:$O$605,Buchungen!$G$6:$G$605,N11,Buchungen!$C$6:$C$605,"&gt;="&amp;Auswertung!$C$5,Buchungen!$C$6:$C$605,"&lt;="&amp;Auswertung!$E$5))</f>
        <v>8.5</v>
      </c>
      <c r="T11" s="88">
        <f>IF(N11="","",IFERROR(S11/(Auswertung!$I$5/5),0))</f>
        <v>2.125</v>
      </c>
      <c r="V11" s="52" t="s">
        <v>258</v>
      </c>
      <c r="W11" s="52" t="s">
        <v>259</v>
      </c>
      <c r="X11" s="52" t="s">
        <v>248</v>
      </c>
      <c r="Y11" s="52" t="s">
        <v>260</v>
      </c>
      <c r="Z11" s="53" t="s">
        <v>28</v>
      </c>
      <c r="AA11" s="53" t="s">
        <v>133</v>
      </c>
      <c r="AB11" s="53" t="s">
        <v>147</v>
      </c>
      <c r="AC11" s="53" t="s">
        <v>252</v>
      </c>
      <c r="AD11" s="48">
        <v>46115</v>
      </c>
      <c r="AE11" s="52" t="s">
        <v>261</v>
      </c>
    </row>
    <row r="12" spans="1:32" ht="18" customHeight="1" x14ac:dyDescent="0.25">
      <c r="B12" s="51" t="s">
        <v>109</v>
      </c>
      <c r="C12" s="51" t="s">
        <v>248</v>
      </c>
      <c r="D12" s="52" t="s">
        <v>249</v>
      </c>
      <c r="E12" s="52" t="s">
        <v>262</v>
      </c>
      <c r="F12" s="51">
        <v>2</v>
      </c>
      <c r="G12" s="51" t="s">
        <v>251</v>
      </c>
      <c r="H12" s="51" t="s">
        <v>251</v>
      </c>
      <c r="I12" s="51" t="s">
        <v>253</v>
      </c>
      <c r="J12" s="52"/>
      <c r="K12" s="88">
        <f>IF(B12="","",SUMIFS(Buchungen!$O$6:$O$605,Buchungen!$F$6:$F$605,B12,Buchungen!$C$6:$C$605,"&gt;="&amp;Auswertung!$C$5,Buchungen!$C$6:$C$605,"&lt;="&amp;Auswertung!$E$5))</f>
        <v>13</v>
      </c>
      <c r="L12" s="89">
        <f>IF(B12="","",IF(I12="Gesperrt","gesperrt",IFERROR(K12/Auswertung!$I$5,0)))</f>
        <v>0.65</v>
      </c>
      <c r="N12" s="52" t="s">
        <v>85</v>
      </c>
      <c r="O12" s="53" t="str">
        <f t="shared" si="0"/>
        <v>M. Krause</v>
      </c>
      <c r="P12" s="52" t="s">
        <v>255</v>
      </c>
      <c r="Q12" s="90">
        <v>4</v>
      </c>
      <c r="R12" s="52" t="s">
        <v>249</v>
      </c>
      <c r="S12" s="88">
        <f>IF(N12="","",SUMIFS(Buchungen!$O$6:$O$605,Buchungen!$G$6:$G$605,N12,Buchungen!$C$6:$C$605,"&gt;="&amp;Auswertung!$C$5,Buchungen!$C$6:$C$605,"&lt;="&amp;Auswertung!$E$5))</f>
        <v>13.5</v>
      </c>
      <c r="T12" s="88">
        <f>IF(N12="","",IFERROR(S12/(Auswertung!$I$5/5),0))</f>
        <v>3.375</v>
      </c>
      <c r="V12" s="52" t="s">
        <v>263</v>
      </c>
      <c r="W12" s="52" t="s">
        <v>264</v>
      </c>
      <c r="X12" s="52" t="s">
        <v>265</v>
      </c>
      <c r="Y12" s="52" t="s">
        <v>262</v>
      </c>
      <c r="AA12" s="53" t="s">
        <v>134</v>
      </c>
      <c r="AB12" s="53" t="s">
        <v>137</v>
      </c>
      <c r="AD12" s="48">
        <v>46118</v>
      </c>
      <c r="AE12" s="52" t="s">
        <v>266</v>
      </c>
    </row>
    <row r="13" spans="1:32" ht="18" customHeight="1" x14ac:dyDescent="0.25">
      <c r="B13" s="51" t="s">
        <v>110</v>
      </c>
      <c r="C13" s="51" t="s">
        <v>248</v>
      </c>
      <c r="D13" s="52" t="s">
        <v>249</v>
      </c>
      <c r="E13" s="52" t="s">
        <v>250</v>
      </c>
      <c r="F13" s="51">
        <v>2</v>
      </c>
      <c r="G13" s="51" t="s">
        <v>251</v>
      </c>
      <c r="H13" s="51" t="s">
        <v>252</v>
      </c>
      <c r="I13" s="51" t="s">
        <v>253</v>
      </c>
      <c r="J13" s="52" t="s">
        <v>267</v>
      </c>
      <c r="K13" s="88">
        <f>IF(B13="","",SUMIFS(Buchungen!$O$6:$O$605,Buchungen!$F$6:$F$605,B13,Buchungen!$C$6:$C$605,"&gt;="&amp;Auswertung!$C$5,Buchungen!$C$6:$C$605,"&lt;="&amp;Auswertung!$E$5))</f>
        <v>16</v>
      </c>
      <c r="L13" s="89">
        <f>IF(B13="","",IF(I13="Gesperrt","gesperrt",IFERROR(K13/Auswertung!$I$5,0)))</f>
        <v>0.8</v>
      </c>
      <c r="N13" s="52" t="s">
        <v>127</v>
      </c>
      <c r="O13" s="53" t="str">
        <f t="shared" si="0"/>
        <v>T. Lindner</v>
      </c>
      <c r="P13" s="52" t="s">
        <v>255</v>
      </c>
      <c r="Q13" s="90">
        <v>2</v>
      </c>
      <c r="R13" s="52" t="s">
        <v>249</v>
      </c>
      <c r="S13" s="88">
        <f>IF(N13="","",SUMIFS(Buchungen!$O$6:$O$605,Buchungen!$G$6:$G$605,N13,Buchungen!$C$6:$C$605,"&gt;="&amp;Auswertung!$C$5,Buchungen!$C$6:$C$605,"&lt;="&amp;Auswertung!$E$5))</f>
        <v>8</v>
      </c>
      <c r="T13" s="88">
        <f>IF(N13="","",IFERROR(S13/(Auswertung!$I$5/5),0))</f>
        <v>2</v>
      </c>
      <c r="V13" s="52" t="s">
        <v>268</v>
      </c>
      <c r="W13" s="52" t="s">
        <v>269</v>
      </c>
      <c r="X13" s="52" t="s">
        <v>270</v>
      </c>
      <c r="Y13" s="52" t="s">
        <v>271</v>
      </c>
      <c r="AD13" s="48">
        <v>46143</v>
      </c>
      <c r="AE13" s="52" t="s">
        <v>272</v>
      </c>
    </row>
    <row r="14" spans="1:32" ht="18" customHeight="1" x14ac:dyDescent="0.25">
      <c r="B14" s="51" t="s">
        <v>80</v>
      </c>
      <c r="C14" s="51" t="s">
        <v>248</v>
      </c>
      <c r="D14" s="52" t="s">
        <v>249</v>
      </c>
      <c r="E14" s="52" t="s">
        <v>250</v>
      </c>
      <c r="F14" s="51">
        <v>2</v>
      </c>
      <c r="G14" s="51" t="s">
        <v>251</v>
      </c>
      <c r="H14" s="51" t="s">
        <v>252</v>
      </c>
      <c r="I14" s="51" t="s">
        <v>253</v>
      </c>
      <c r="J14" s="52"/>
      <c r="K14" s="88">
        <f>IF(B14="","",SUMIFS(Buchungen!$O$6:$O$605,Buchungen!$F$6:$F$605,B14,Buchungen!$C$6:$C$605,"&gt;="&amp;Auswertung!$C$5,Buchungen!$C$6:$C$605,"&lt;="&amp;Auswertung!$E$5))</f>
        <v>14</v>
      </c>
      <c r="L14" s="89">
        <f>IF(B14="","",IF(I14="Gesperrt","gesperrt",IFERROR(K14/Auswertung!$I$5,0)))</f>
        <v>0.7</v>
      </c>
      <c r="N14" s="52" t="s">
        <v>111</v>
      </c>
      <c r="O14" s="53" t="str">
        <f t="shared" si="0"/>
        <v>S. Brandt</v>
      </c>
      <c r="P14" s="52" t="s">
        <v>255</v>
      </c>
      <c r="Q14" s="90">
        <v>3</v>
      </c>
      <c r="R14" s="52" t="s">
        <v>249</v>
      </c>
      <c r="S14" s="88">
        <f>IF(N14="","",SUMIFS(Buchungen!$O$6:$O$605,Buchungen!$G$6:$G$605,N14,Buchungen!$C$6:$C$605,"&gt;="&amp;Auswertung!$C$5,Buchungen!$C$6:$C$605,"&lt;="&amp;Auswertung!$E$5))</f>
        <v>11</v>
      </c>
      <c r="T14" s="88">
        <f>IF(N14="","",IFERROR(S14/(Auswertung!$I$5/5),0))</f>
        <v>2.75</v>
      </c>
      <c r="V14" s="52" t="s">
        <v>273</v>
      </c>
      <c r="W14" s="52"/>
      <c r="Y14" s="52"/>
      <c r="AD14" s="48">
        <v>46156</v>
      </c>
      <c r="AE14" s="52" t="s">
        <v>274</v>
      </c>
    </row>
    <row r="15" spans="1:32" ht="18" customHeight="1" x14ac:dyDescent="0.25">
      <c r="B15" s="51" t="s">
        <v>82</v>
      </c>
      <c r="C15" s="51" t="s">
        <v>248</v>
      </c>
      <c r="D15" s="52" t="s">
        <v>249</v>
      </c>
      <c r="E15" s="52" t="s">
        <v>262</v>
      </c>
      <c r="F15" s="51">
        <v>2</v>
      </c>
      <c r="G15" s="51" t="s">
        <v>251</v>
      </c>
      <c r="H15" s="51" t="s">
        <v>251</v>
      </c>
      <c r="I15" s="51" t="s">
        <v>253</v>
      </c>
      <c r="J15" s="52"/>
      <c r="K15" s="88">
        <f>IF(B15="","",SUMIFS(Buchungen!$O$6:$O$605,Buchungen!$F$6:$F$605,B15,Buchungen!$C$6:$C$605,"&gt;="&amp;Auswertung!$C$5,Buchungen!$C$6:$C$605,"&lt;="&amp;Auswertung!$E$5))</f>
        <v>12</v>
      </c>
      <c r="L15" s="89">
        <f>IF(B15="","",IF(I15="Gesperrt","gesperrt",IFERROR(K15/Auswertung!$I$5,0)))</f>
        <v>0.6</v>
      </c>
      <c r="N15" s="52" t="s">
        <v>136</v>
      </c>
      <c r="O15" s="53" t="str">
        <f t="shared" si="0"/>
        <v>D. Kühn</v>
      </c>
      <c r="P15" s="52" t="s">
        <v>255</v>
      </c>
      <c r="Q15" s="90">
        <v>1</v>
      </c>
      <c r="R15" s="52" t="s">
        <v>249</v>
      </c>
      <c r="S15" s="88">
        <f>IF(N15="","",SUMIFS(Buchungen!$O$6:$O$605,Buchungen!$G$6:$G$605,N15,Buchungen!$C$6:$C$605,"&gt;="&amp;Auswertung!$C$5,Buchungen!$C$6:$C$605,"&lt;="&amp;Auswertung!$E$5))</f>
        <v>4</v>
      </c>
      <c r="T15" s="88">
        <f>IF(N15="","",IFERROR(S15/(Auswertung!$I$5/5),0))</f>
        <v>1</v>
      </c>
      <c r="V15" s="52" t="s">
        <v>275</v>
      </c>
      <c r="W15" s="52"/>
      <c r="AD15" s="48">
        <v>46167</v>
      </c>
      <c r="AE15" s="52" t="s">
        <v>276</v>
      </c>
    </row>
    <row r="16" spans="1:32" ht="18" customHeight="1" x14ac:dyDescent="0.25">
      <c r="B16" s="51" t="s">
        <v>84</v>
      </c>
      <c r="C16" s="51" t="s">
        <v>248</v>
      </c>
      <c r="D16" s="52" t="s">
        <v>249</v>
      </c>
      <c r="E16" s="52" t="s">
        <v>250</v>
      </c>
      <c r="F16" s="51">
        <v>2</v>
      </c>
      <c r="G16" s="51" t="s">
        <v>251</v>
      </c>
      <c r="H16" s="51" t="s">
        <v>252</v>
      </c>
      <c r="I16" s="51" t="s">
        <v>253</v>
      </c>
      <c r="J16" s="52"/>
      <c r="K16" s="88">
        <f>IF(B16="","",SUMIFS(Buchungen!$O$6:$O$605,Buchungen!$F$6:$F$605,B16,Buchungen!$C$6:$C$605,"&gt;="&amp;Auswertung!$C$5,Buchungen!$C$6:$C$605,"&lt;="&amp;Auswertung!$E$5))</f>
        <v>17</v>
      </c>
      <c r="L16" s="89">
        <f>IF(B16="","",IF(I16="Gesperrt","gesperrt",IFERROR(K16/Auswertung!$I$5,0)))</f>
        <v>0.85</v>
      </c>
      <c r="N16" s="52" t="s">
        <v>81</v>
      </c>
      <c r="O16" s="53" t="str">
        <f t="shared" si="0"/>
        <v>N. Albrecht</v>
      </c>
      <c r="P16" s="52" t="s">
        <v>255</v>
      </c>
      <c r="Q16" s="90">
        <v>3</v>
      </c>
      <c r="R16" s="52" t="s">
        <v>249</v>
      </c>
      <c r="S16" s="88">
        <f>IF(N16="","",SUMIFS(Buchungen!$O$6:$O$605,Buchungen!$G$6:$G$605,N16,Buchungen!$C$6:$C$605,"&gt;="&amp;Auswertung!$C$5,Buchungen!$C$6:$C$605,"&lt;="&amp;Auswertung!$E$5))</f>
        <v>11</v>
      </c>
      <c r="T16" s="88">
        <f>IF(N16="","",IFERROR(S16/(Auswertung!$I$5/5),0))</f>
        <v>2.75</v>
      </c>
      <c r="V16" s="52"/>
      <c r="AD16" s="48">
        <v>46298</v>
      </c>
      <c r="AE16" s="52" t="s">
        <v>277</v>
      </c>
    </row>
    <row r="17" spans="2:31" ht="18" customHeight="1" x14ac:dyDescent="0.25">
      <c r="B17" s="51" t="s">
        <v>86</v>
      </c>
      <c r="C17" s="51" t="s">
        <v>248</v>
      </c>
      <c r="D17" s="52" t="s">
        <v>249</v>
      </c>
      <c r="E17" s="52" t="s">
        <v>250</v>
      </c>
      <c r="F17" s="51">
        <v>2</v>
      </c>
      <c r="G17" s="51" t="s">
        <v>251</v>
      </c>
      <c r="H17" s="51" t="s">
        <v>252</v>
      </c>
      <c r="I17" s="51" t="s">
        <v>253</v>
      </c>
      <c r="J17" s="52"/>
      <c r="K17" s="88">
        <f>IF(B17="","",SUMIFS(Buchungen!$O$6:$O$605,Buchungen!$F$6:$F$605,B17,Buchungen!$C$6:$C$605,"&gt;="&amp;Auswertung!$C$5,Buchungen!$C$6:$C$605,"&lt;="&amp;Auswertung!$E$5))</f>
        <v>11</v>
      </c>
      <c r="L17" s="89">
        <f>IF(B17="","",IF(I17="Gesperrt","gesperrt",IFERROR(K17/Auswertung!$I$5,0)))</f>
        <v>0.55000000000000004</v>
      </c>
      <c r="N17" s="52" t="s">
        <v>83</v>
      </c>
      <c r="O17" s="53" t="str">
        <f t="shared" si="0"/>
        <v>F. Engel</v>
      </c>
      <c r="P17" s="52" t="s">
        <v>258</v>
      </c>
      <c r="Q17" s="90">
        <v>3</v>
      </c>
      <c r="R17" s="52" t="s">
        <v>249</v>
      </c>
      <c r="S17" s="88">
        <f>IF(N17="","",SUMIFS(Buchungen!$O$6:$O$605,Buchungen!$G$6:$G$605,N17,Buchungen!$C$6:$C$605,"&gt;="&amp;Auswertung!$C$5,Buchungen!$C$6:$C$605,"&lt;="&amp;Auswertung!$E$5))</f>
        <v>13</v>
      </c>
      <c r="T17" s="88">
        <f>IF(N17="","",IFERROR(S17/(Auswertung!$I$5/5),0))</f>
        <v>3.25</v>
      </c>
      <c r="V17" s="52"/>
      <c r="AD17" s="48">
        <v>46381</v>
      </c>
      <c r="AE17" s="52" t="s">
        <v>278</v>
      </c>
    </row>
    <row r="18" spans="2:31" ht="18" customHeight="1" x14ac:dyDescent="0.25">
      <c r="B18" s="51" t="s">
        <v>129</v>
      </c>
      <c r="C18" s="51" t="s">
        <v>248</v>
      </c>
      <c r="D18" s="52" t="s">
        <v>259</v>
      </c>
      <c r="E18" s="52" t="s">
        <v>260</v>
      </c>
      <c r="F18" s="51">
        <v>1</v>
      </c>
      <c r="G18" s="51" t="s">
        <v>251</v>
      </c>
      <c r="H18" s="51" t="s">
        <v>252</v>
      </c>
      <c r="I18" s="51" t="s">
        <v>253</v>
      </c>
      <c r="J18" s="52" t="s">
        <v>279</v>
      </c>
      <c r="K18" s="88">
        <f>IF(B18="","",SUMIFS(Buchungen!$O$6:$O$605,Buchungen!$F$6:$F$605,B18,Buchungen!$C$6:$C$605,"&gt;="&amp;Auswertung!$C$5,Buchungen!$C$6:$C$605,"&lt;="&amp;Auswertung!$E$5))</f>
        <v>13</v>
      </c>
      <c r="L18" s="89">
        <f>IF(B18="","",IF(I18="Gesperrt","gesperrt",IFERROR(K18/Auswertung!$I$5,0)))</f>
        <v>0.65</v>
      </c>
      <c r="N18" s="52" t="s">
        <v>112</v>
      </c>
      <c r="O18" s="53" t="str">
        <f t="shared" si="0"/>
        <v>C. Vogt</v>
      </c>
      <c r="P18" s="52" t="s">
        <v>258</v>
      </c>
      <c r="Q18" s="90">
        <v>2</v>
      </c>
      <c r="R18" s="52" t="s">
        <v>249</v>
      </c>
      <c r="S18" s="88">
        <f>IF(N18="","",SUMIFS(Buchungen!$O$6:$O$605,Buchungen!$G$6:$G$605,N18,Buchungen!$C$6:$C$605,"&gt;="&amp;Auswertung!$C$5,Buchungen!$C$6:$C$605,"&lt;="&amp;Auswertung!$E$5))</f>
        <v>6.5</v>
      </c>
      <c r="T18" s="88">
        <f>IF(N18="","",IFERROR(S18/(Auswertung!$I$5/5),0))</f>
        <v>1.625</v>
      </c>
      <c r="AD18" s="48">
        <v>46382</v>
      </c>
      <c r="AE18" s="52" t="s">
        <v>280</v>
      </c>
    </row>
    <row r="19" spans="2:31" ht="18" customHeight="1" x14ac:dyDescent="0.25">
      <c r="B19" s="51" t="s">
        <v>113</v>
      </c>
      <c r="C19" s="51" t="s">
        <v>248</v>
      </c>
      <c r="D19" s="52" t="s">
        <v>259</v>
      </c>
      <c r="E19" s="52" t="s">
        <v>260</v>
      </c>
      <c r="F19" s="51">
        <v>2</v>
      </c>
      <c r="G19" s="51" t="s">
        <v>251</v>
      </c>
      <c r="H19" s="51" t="s">
        <v>251</v>
      </c>
      <c r="I19" s="51" t="s">
        <v>253</v>
      </c>
      <c r="J19" s="52"/>
      <c r="K19" s="88">
        <f>IF(B19="","",SUMIFS(Buchungen!$O$6:$O$605,Buchungen!$F$6:$F$605,B19,Buchungen!$C$6:$C$605,"&gt;="&amp;Auswertung!$C$5,Buchungen!$C$6:$C$605,"&lt;="&amp;Auswertung!$E$5))</f>
        <v>11</v>
      </c>
      <c r="L19" s="89">
        <f>IF(B19="","",IF(I19="Gesperrt","gesperrt",IFERROR(K19/Auswertung!$I$5,0)))</f>
        <v>0.55000000000000004</v>
      </c>
      <c r="N19" s="52" t="s">
        <v>75</v>
      </c>
      <c r="O19" s="53" t="str">
        <f t="shared" si="0"/>
        <v>M. Seidel</v>
      </c>
      <c r="P19" s="52" t="s">
        <v>258</v>
      </c>
      <c r="Q19" s="90">
        <v>3</v>
      </c>
      <c r="R19" s="52" t="s">
        <v>249</v>
      </c>
      <c r="S19" s="88">
        <f>IF(N19="","",SUMIFS(Buchungen!$O$6:$O$605,Buchungen!$G$6:$G$605,N19,Buchungen!$C$6:$C$605,"&gt;="&amp;Auswertung!$C$5,Buchungen!$C$6:$C$605,"&lt;="&amp;Auswertung!$E$5))</f>
        <v>12</v>
      </c>
      <c r="T19" s="88">
        <f>IF(N19="","",IFERROR(S19/(Auswertung!$I$5/5),0))</f>
        <v>3</v>
      </c>
      <c r="AD19" s="48"/>
      <c r="AE19" s="52"/>
    </row>
    <row r="20" spans="2:31" ht="18" customHeight="1" x14ac:dyDescent="0.25">
      <c r="B20" s="51" t="s">
        <v>88</v>
      </c>
      <c r="C20" s="51" t="s">
        <v>248</v>
      </c>
      <c r="D20" s="52" t="s">
        <v>259</v>
      </c>
      <c r="E20" s="52" t="s">
        <v>260</v>
      </c>
      <c r="F20" s="51">
        <v>1</v>
      </c>
      <c r="G20" s="51" t="s">
        <v>251</v>
      </c>
      <c r="H20" s="51" t="s">
        <v>252</v>
      </c>
      <c r="I20" s="51" t="s">
        <v>253</v>
      </c>
      <c r="J20" s="52"/>
      <c r="K20" s="88">
        <f>IF(B20="","",SUMIFS(Buchungen!$O$6:$O$605,Buchungen!$F$6:$F$605,B20,Buchungen!$C$6:$C$605,"&gt;="&amp;Auswertung!$C$5,Buchungen!$C$6:$C$605,"&lt;="&amp;Auswertung!$E$5))</f>
        <v>18</v>
      </c>
      <c r="L20" s="89">
        <f>IF(B20="","",IF(I20="Gesperrt","gesperrt",IFERROR(K20/Auswertung!$I$5,0)))</f>
        <v>0.9</v>
      </c>
      <c r="N20" s="52" t="s">
        <v>108</v>
      </c>
      <c r="O20" s="53" t="str">
        <f t="shared" si="0"/>
        <v>A. Demir</v>
      </c>
      <c r="P20" s="52" t="s">
        <v>258</v>
      </c>
      <c r="Q20" s="90">
        <v>2</v>
      </c>
      <c r="R20" s="52" t="s">
        <v>249</v>
      </c>
      <c r="S20" s="88">
        <f>IF(N20="","",SUMIFS(Buchungen!$O$6:$O$605,Buchungen!$G$6:$G$605,N20,Buchungen!$C$6:$C$605,"&gt;="&amp;Auswertung!$C$5,Buchungen!$C$6:$C$605,"&lt;="&amp;Auswertung!$E$5))</f>
        <v>8</v>
      </c>
      <c r="T20" s="88">
        <f>IF(N20="","",IFERROR(S20/(Auswertung!$I$5/5),0))</f>
        <v>2</v>
      </c>
      <c r="V20" s="27" t="s">
        <v>281</v>
      </c>
      <c r="AD20" s="48"/>
      <c r="AE20" s="52"/>
    </row>
    <row r="21" spans="2:31" ht="18" customHeight="1" x14ac:dyDescent="0.25">
      <c r="B21" s="51" t="s">
        <v>90</v>
      </c>
      <c r="C21" s="51" t="s">
        <v>248</v>
      </c>
      <c r="D21" s="52" t="s">
        <v>259</v>
      </c>
      <c r="E21" s="52" t="s">
        <v>260</v>
      </c>
      <c r="F21" s="51">
        <v>2</v>
      </c>
      <c r="G21" s="51" t="s">
        <v>251</v>
      </c>
      <c r="H21" s="51" t="s">
        <v>251</v>
      </c>
      <c r="I21" s="51" t="s">
        <v>253</v>
      </c>
      <c r="J21" s="52" t="s">
        <v>254</v>
      </c>
      <c r="K21" s="88">
        <f>IF(B21="","",SUMIFS(Buchungen!$O$6:$O$605,Buchungen!$F$6:$F$605,B21,Buchungen!$C$6:$C$605,"&gt;="&amp;Auswertung!$C$5,Buchungen!$C$6:$C$605,"&lt;="&amp;Auswertung!$E$5))</f>
        <v>9</v>
      </c>
      <c r="L21" s="89">
        <f>IF(B21="","",IF(I21="Gesperrt","gesperrt",IFERROR(K21/Auswertung!$I$5,0)))</f>
        <v>0.45</v>
      </c>
      <c r="N21" s="52" t="s">
        <v>87</v>
      </c>
      <c r="O21" s="53" t="str">
        <f t="shared" si="0"/>
        <v>P. Schreiber</v>
      </c>
      <c r="P21" s="52" t="s">
        <v>258</v>
      </c>
      <c r="Q21" s="90">
        <v>4</v>
      </c>
      <c r="R21" s="52" t="s">
        <v>249</v>
      </c>
      <c r="S21" s="88">
        <f>IF(N21="","",SUMIFS(Buchungen!$O$6:$O$605,Buchungen!$G$6:$G$605,N21,Buchungen!$C$6:$C$605,"&gt;="&amp;Auswertung!$C$5,Buchungen!$C$6:$C$605,"&lt;="&amp;Auswertung!$E$5))</f>
        <v>15</v>
      </c>
      <c r="T21" s="88">
        <f>IF(N21="","",IFERROR(S21/(Auswertung!$I$5/5),0))</f>
        <v>3.75</v>
      </c>
      <c r="AD21" s="48"/>
      <c r="AE21" s="52"/>
    </row>
    <row r="22" spans="2:31" ht="18" customHeight="1" x14ac:dyDescent="0.25">
      <c r="B22" s="51" t="s">
        <v>92</v>
      </c>
      <c r="C22" s="51" t="s">
        <v>265</v>
      </c>
      <c r="D22" s="52" t="s">
        <v>264</v>
      </c>
      <c r="E22" s="52" t="s">
        <v>271</v>
      </c>
      <c r="F22" s="51">
        <v>2</v>
      </c>
      <c r="G22" s="51" t="s">
        <v>251</v>
      </c>
      <c r="H22" s="51" t="s">
        <v>251</v>
      </c>
      <c r="I22" s="51" t="s">
        <v>253</v>
      </c>
      <c r="J22" s="52" t="s">
        <v>282</v>
      </c>
      <c r="K22" s="88">
        <f>IF(B22="","",SUMIFS(Buchungen!$O$6:$O$605,Buchungen!$F$6:$F$605,B22,Buchungen!$C$6:$C$605,"&gt;="&amp;Auswertung!$C$5,Buchungen!$C$6:$C$605,"&lt;="&amp;Auswertung!$E$5))</f>
        <v>13</v>
      </c>
      <c r="L22" s="89">
        <f>IF(B22="","",IF(I22="Gesperrt","gesperrt",IFERROR(K22/Auswertung!$I$5,0)))</f>
        <v>0.65</v>
      </c>
      <c r="N22" s="52" t="s">
        <v>95</v>
      </c>
      <c r="O22" s="53" t="str">
        <f t="shared" si="0"/>
        <v>H. Roth</v>
      </c>
      <c r="P22" s="52" t="s">
        <v>263</v>
      </c>
      <c r="Q22" s="90">
        <v>3</v>
      </c>
      <c r="R22" s="52" t="s">
        <v>264</v>
      </c>
      <c r="S22" s="88">
        <f>IF(N22="","",SUMIFS(Buchungen!$O$6:$O$605,Buchungen!$G$6:$G$605,N22,Buchungen!$C$6:$C$605,"&gt;="&amp;Auswertung!$C$5,Buchungen!$C$6:$C$605,"&lt;="&amp;Auswertung!$E$5))</f>
        <v>11</v>
      </c>
      <c r="T22" s="88">
        <f>IF(N22="","",IFERROR(S22/(Auswertung!$I$5/5),0))</f>
        <v>2.75</v>
      </c>
      <c r="AD22" s="48"/>
      <c r="AE22" s="52"/>
    </row>
    <row r="23" spans="2:31" ht="18" customHeight="1" x14ac:dyDescent="0.25">
      <c r="B23" s="51" t="s">
        <v>94</v>
      </c>
      <c r="C23" s="51" t="s">
        <v>265</v>
      </c>
      <c r="D23" s="52" t="s">
        <v>264</v>
      </c>
      <c r="E23" s="52" t="s">
        <v>250</v>
      </c>
      <c r="F23" s="51">
        <v>2</v>
      </c>
      <c r="G23" s="51" t="s">
        <v>251</v>
      </c>
      <c r="H23" s="51" t="s">
        <v>252</v>
      </c>
      <c r="I23" s="51" t="s">
        <v>253</v>
      </c>
      <c r="J23" s="52"/>
      <c r="K23" s="88">
        <f>IF(B23="","",SUMIFS(Buchungen!$O$6:$O$605,Buchungen!$F$6:$F$605,B23,Buchungen!$C$6:$C$605,"&gt;="&amp;Auswertung!$C$5,Buchungen!$C$6:$C$605,"&lt;="&amp;Auswertung!$E$5))</f>
        <v>13</v>
      </c>
      <c r="L23" s="89">
        <f>IF(B23="","",IF(I23="Gesperrt","gesperrt",IFERROR(K23/Auswertung!$I$5,0)))</f>
        <v>0.65</v>
      </c>
      <c r="N23" s="52" t="s">
        <v>131</v>
      </c>
      <c r="O23" s="53" t="str">
        <f t="shared" si="0"/>
        <v>L. Fuchs</v>
      </c>
      <c r="P23" s="52" t="s">
        <v>263</v>
      </c>
      <c r="Q23" s="90">
        <v>2</v>
      </c>
      <c r="R23" s="52" t="s">
        <v>264</v>
      </c>
      <c r="S23" s="88">
        <f>IF(N23="","",SUMIFS(Buchungen!$O$6:$O$605,Buchungen!$G$6:$G$605,N23,Buchungen!$C$6:$C$605,"&gt;="&amp;Auswertung!$C$5,Buchungen!$C$6:$C$605,"&lt;="&amp;Auswertung!$E$5))</f>
        <v>8</v>
      </c>
      <c r="T23" s="88">
        <f>IF(N23="","",IFERROR(S23/(Auswertung!$I$5/5),0))</f>
        <v>2</v>
      </c>
      <c r="AD23" s="48"/>
      <c r="AE23" s="52"/>
    </row>
    <row r="24" spans="2:31" ht="18" customHeight="1" x14ac:dyDescent="0.25">
      <c r="B24" s="51" t="s">
        <v>117</v>
      </c>
      <c r="C24" s="51" t="s">
        <v>265</v>
      </c>
      <c r="D24" s="52" t="s">
        <v>264</v>
      </c>
      <c r="E24" s="52" t="s">
        <v>250</v>
      </c>
      <c r="F24" s="51">
        <v>2</v>
      </c>
      <c r="G24" s="51" t="s">
        <v>251</v>
      </c>
      <c r="H24" s="51" t="s">
        <v>252</v>
      </c>
      <c r="I24" s="51" t="s">
        <v>253</v>
      </c>
      <c r="J24" s="52"/>
      <c r="K24" s="88">
        <f>IF(B24="","",SUMIFS(Buchungen!$O$6:$O$605,Buchungen!$F$6:$F$605,B24,Buchungen!$C$6:$C$605,"&gt;="&amp;Auswertung!$C$5,Buchungen!$C$6:$C$605,"&lt;="&amp;Auswertung!$E$5))</f>
        <v>7</v>
      </c>
      <c r="L24" s="89">
        <f>IF(B24="","",IF(I24="Gesperrt","gesperrt",IFERROR(K24/Auswertung!$I$5,0)))</f>
        <v>0.35</v>
      </c>
      <c r="N24" s="52" t="s">
        <v>116</v>
      </c>
      <c r="O24" s="53" t="str">
        <f t="shared" si="0"/>
        <v>J. Herrmann</v>
      </c>
      <c r="P24" s="52" t="s">
        <v>263</v>
      </c>
      <c r="Q24" s="90">
        <v>3</v>
      </c>
      <c r="R24" s="52" t="s">
        <v>264</v>
      </c>
      <c r="S24" s="88">
        <f>IF(N24="","",SUMIFS(Buchungen!$O$6:$O$605,Buchungen!$G$6:$G$605,N24,Buchungen!$C$6:$C$605,"&gt;="&amp;Auswertung!$C$5,Buchungen!$C$6:$C$605,"&lt;="&amp;Auswertung!$E$5))</f>
        <v>12</v>
      </c>
      <c r="T24" s="88">
        <f>IF(N24="","",IFERROR(S24/(Auswertung!$I$5/5),0))</f>
        <v>3</v>
      </c>
      <c r="AD24" s="48"/>
      <c r="AE24" s="52"/>
    </row>
    <row r="25" spans="2:31" ht="18" customHeight="1" x14ac:dyDescent="0.25">
      <c r="B25" s="51" t="s">
        <v>119</v>
      </c>
      <c r="C25" s="51" t="s">
        <v>265</v>
      </c>
      <c r="D25" s="52" t="s">
        <v>264</v>
      </c>
      <c r="E25" s="52" t="s">
        <v>250</v>
      </c>
      <c r="F25" s="51">
        <v>2</v>
      </c>
      <c r="G25" s="51" t="s">
        <v>252</v>
      </c>
      <c r="H25" s="51" t="s">
        <v>252</v>
      </c>
      <c r="I25" s="51" t="s">
        <v>253</v>
      </c>
      <c r="J25" s="52"/>
      <c r="K25" s="88">
        <f>IF(B25="","",SUMIFS(Buchungen!$O$6:$O$605,Buchungen!$F$6:$F$605,B25,Buchungen!$C$6:$C$605,"&gt;="&amp;Auswertung!$C$5,Buchungen!$C$6:$C$605,"&lt;="&amp;Auswertung!$E$5))</f>
        <v>11</v>
      </c>
      <c r="L25" s="89">
        <f>IF(B25="","",IF(I25="Gesperrt","gesperrt",IFERROR(K25/Auswertung!$I$5,0)))</f>
        <v>0.55000000000000004</v>
      </c>
      <c r="N25" s="52" t="s">
        <v>99</v>
      </c>
      <c r="O25" s="53" t="str">
        <f t="shared" si="0"/>
        <v>E. Neumann</v>
      </c>
      <c r="P25" s="52" t="s">
        <v>263</v>
      </c>
      <c r="Q25" s="90">
        <v>2</v>
      </c>
      <c r="R25" s="52" t="s">
        <v>264</v>
      </c>
      <c r="S25" s="88">
        <f>IF(N25="","",SUMIFS(Buchungen!$O$6:$O$605,Buchungen!$G$6:$G$605,N25,Buchungen!$C$6:$C$605,"&gt;="&amp;Auswertung!$C$5,Buchungen!$C$6:$C$605,"&lt;="&amp;Auswertung!$E$5))</f>
        <v>8</v>
      </c>
      <c r="T25" s="88">
        <f>IF(N25="","",IFERROR(S25/(Auswertung!$I$5/5),0))</f>
        <v>2</v>
      </c>
      <c r="AD25" s="48"/>
      <c r="AE25" s="52"/>
    </row>
    <row r="26" spans="2:31" ht="18" customHeight="1" x14ac:dyDescent="0.25">
      <c r="B26" s="51" t="s">
        <v>121</v>
      </c>
      <c r="C26" s="51" t="s">
        <v>265</v>
      </c>
      <c r="D26" s="52" t="s">
        <v>264</v>
      </c>
      <c r="E26" s="52" t="s">
        <v>262</v>
      </c>
      <c r="F26" s="51">
        <v>2</v>
      </c>
      <c r="G26" s="51" t="s">
        <v>251</v>
      </c>
      <c r="H26" s="51" t="s">
        <v>251</v>
      </c>
      <c r="I26" s="51" t="s">
        <v>253</v>
      </c>
      <c r="J26" s="52"/>
      <c r="K26" s="88">
        <f>IF(B26="","",SUMIFS(Buchungen!$O$6:$O$605,Buchungen!$F$6:$F$605,B26,Buchungen!$C$6:$C$605,"&gt;="&amp;Auswertung!$C$5,Buchungen!$C$6:$C$605,"&lt;="&amp;Auswertung!$E$5))</f>
        <v>14</v>
      </c>
      <c r="L26" s="89">
        <f>IF(B26="","",IF(I26="Gesperrt","gesperrt",IFERROR(K26/Auswertung!$I$5,0)))</f>
        <v>0.7</v>
      </c>
      <c r="N26" s="52" t="s">
        <v>93</v>
      </c>
      <c r="O26" s="53" t="str">
        <f t="shared" si="0"/>
        <v>S. Böhm</v>
      </c>
      <c r="P26" s="52" t="s">
        <v>263</v>
      </c>
      <c r="Q26" s="90">
        <v>3</v>
      </c>
      <c r="R26" s="52" t="s">
        <v>264</v>
      </c>
      <c r="S26" s="88">
        <f>IF(N26="","",SUMIFS(Buchungen!$O$6:$O$605,Buchungen!$G$6:$G$605,N26,Buchungen!$C$6:$C$605,"&gt;="&amp;Auswertung!$C$5,Buchungen!$C$6:$C$605,"&lt;="&amp;Auswertung!$E$5))</f>
        <v>9.5</v>
      </c>
      <c r="T26" s="88">
        <f>IF(N26="","",IFERROR(S26/(Auswertung!$I$5/5),0))</f>
        <v>2.375</v>
      </c>
      <c r="AD26" s="48"/>
      <c r="AE26" s="52"/>
    </row>
    <row r="27" spans="2:31" ht="18" customHeight="1" x14ac:dyDescent="0.25">
      <c r="B27" s="51" t="s">
        <v>96</v>
      </c>
      <c r="C27" s="51" t="s">
        <v>265</v>
      </c>
      <c r="D27" s="52" t="s">
        <v>264</v>
      </c>
      <c r="E27" s="52" t="s">
        <v>250</v>
      </c>
      <c r="F27" s="51">
        <v>2</v>
      </c>
      <c r="G27" s="51" t="s">
        <v>251</v>
      </c>
      <c r="H27" s="51" t="s">
        <v>252</v>
      </c>
      <c r="I27" s="51" t="s">
        <v>253</v>
      </c>
      <c r="J27" s="52"/>
      <c r="K27" s="88">
        <f>IF(B27="","",SUMIFS(Buchungen!$O$6:$O$605,Buchungen!$F$6:$F$605,B27,Buchungen!$C$6:$C$605,"&gt;="&amp;Auswertung!$C$5,Buchungen!$C$6:$C$605,"&lt;="&amp;Auswertung!$E$5))</f>
        <v>14</v>
      </c>
      <c r="L27" s="89">
        <f>IF(B27="","",IF(I27="Gesperrt","gesperrt",IFERROR(K27/Auswertung!$I$5,0)))</f>
        <v>0.7</v>
      </c>
      <c r="N27" s="52" t="s">
        <v>122</v>
      </c>
      <c r="O27" s="53" t="str">
        <f t="shared" si="0"/>
        <v>N. Wolf</v>
      </c>
      <c r="P27" s="52" t="s">
        <v>268</v>
      </c>
      <c r="Q27" s="90">
        <v>3</v>
      </c>
      <c r="R27" s="52" t="s">
        <v>264</v>
      </c>
      <c r="S27" s="88">
        <f>IF(N27="","",SUMIFS(Buchungen!$O$6:$O$605,Buchungen!$G$6:$G$605,N27,Buchungen!$C$6:$C$605,"&gt;="&amp;Auswertung!$C$5,Buchungen!$C$6:$C$605,"&lt;="&amp;Auswertung!$E$5))</f>
        <v>10.5</v>
      </c>
      <c r="T27" s="88">
        <f>IF(N27="","",IFERROR(S27/(Auswertung!$I$5/5),0))</f>
        <v>2.625</v>
      </c>
      <c r="AD27" s="48"/>
      <c r="AE27" s="52"/>
    </row>
    <row r="28" spans="2:31" ht="18" customHeight="1" x14ac:dyDescent="0.25">
      <c r="B28" s="51" t="s">
        <v>148</v>
      </c>
      <c r="C28" s="51" t="s">
        <v>265</v>
      </c>
      <c r="D28" s="52" t="s">
        <v>264</v>
      </c>
      <c r="E28" s="52" t="s">
        <v>250</v>
      </c>
      <c r="F28" s="51">
        <v>2</v>
      </c>
      <c r="G28" s="51" t="s">
        <v>251</v>
      </c>
      <c r="H28" s="51" t="s">
        <v>252</v>
      </c>
      <c r="I28" s="51" t="s">
        <v>28</v>
      </c>
      <c r="J28" s="52" t="s">
        <v>283</v>
      </c>
      <c r="K28" s="88">
        <f>IF(B28="","",SUMIFS(Buchungen!$O$6:$O$605,Buchungen!$F$6:$F$605,B28,Buchungen!$C$6:$C$605,"&gt;="&amp;Auswertung!$C$5,Buchungen!$C$6:$C$605,"&lt;="&amp;Auswertung!$E$5))</f>
        <v>0</v>
      </c>
      <c r="L28" s="89" t="str">
        <f>IF(B28="","",IF(I28="Gesperrt","gesperrt",IFERROR(K28/Auswertung!$I$5,0)))</f>
        <v>gesperrt</v>
      </c>
      <c r="N28" s="52" t="s">
        <v>120</v>
      </c>
      <c r="O28" s="53" t="str">
        <f t="shared" si="0"/>
        <v>E. Yilmaz</v>
      </c>
      <c r="P28" s="52" t="s">
        <v>268</v>
      </c>
      <c r="Q28" s="90">
        <v>2</v>
      </c>
      <c r="R28" s="52" t="s">
        <v>264</v>
      </c>
      <c r="S28" s="88">
        <f>IF(N28="","",SUMIFS(Buchungen!$O$6:$O$605,Buchungen!$G$6:$G$605,N28,Buchungen!$C$6:$C$605,"&gt;="&amp;Auswertung!$C$5,Buchungen!$C$6:$C$605,"&lt;="&amp;Auswertung!$E$5))</f>
        <v>8.5</v>
      </c>
      <c r="T28" s="88">
        <f>IF(N28="","",IFERROR(S28/(Auswertung!$I$5/5),0))</f>
        <v>2.125</v>
      </c>
      <c r="AD28" s="48"/>
      <c r="AE28" s="52"/>
    </row>
    <row r="29" spans="2:31" ht="18" customHeight="1" x14ac:dyDescent="0.25">
      <c r="B29" s="51" t="s">
        <v>98</v>
      </c>
      <c r="C29" s="51" t="s">
        <v>265</v>
      </c>
      <c r="D29" s="52" t="s">
        <v>264</v>
      </c>
      <c r="E29" s="52" t="s">
        <v>250</v>
      </c>
      <c r="F29" s="51">
        <v>2</v>
      </c>
      <c r="G29" s="51" t="s">
        <v>251</v>
      </c>
      <c r="H29" s="51" t="s">
        <v>252</v>
      </c>
      <c r="I29" s="51" t="s">
        <v>253</v>
      </c>
      <c r="J29" s="52"/>
      <c r="K29" s="88">
        <f>IF(B29="","",SUMIFS(Buchungen!$O$6:$O$605,Buchungen!$F$6:$F$605,B29,Buchungen!$C$6:$C$605,"&gt;="&amp;Auswertung!$C$5,Buchungen!$C$6:$C$605,"&lt;="&amp;Auswertung!$E$5))</f>
        <v>11</v>
      </c>
      <c r="L29" s="89">
        <f>IF(B29="","",IF(I29="Gesperrt","gesperrt",IFERROR(K29/Auswertung!$I$5,0)))</f>
        <v>0.55000000000000004</v>
      </c>
      <c r="N29" s="52" t="s">
        <v>97</v>
      </c>
      <c r="O29" s="53" t="str">
        <f t="shared" si="0"/>
        <v>M. Keller</v>
      </c>
      <c r="P29" s="52" t="s">
        <v>268</v>
      </c>
      <c r="Q29" s="90">
        <v>3</v>
      </c>
      <c r="R29" s="52" t="s">
        <v>264</v>
      </c>
      <c r="S29" s="88">
        <f>IF(N29="","",SUMIFS(Buchungen!$O$6:$O$605,Buchungen!$G$6:$G$605,N29,Buchungen!$C$6:$C$605,"&gt;="&amp;Auswertung!$C$5,Buchungen!$C$6:$C$605,"&lt;="&amp;Auswertung!$E$5))</f>
        <v>12</v>
      </c>
      <c r="T29" s="88">
        <f>IF(N29="","",IFERROR(S29/(Auswertung!$I$5/5),0))</f>
        <v>3</v>
      </c>
      <c r="AD29" s="48"/>
      <c r="AE29" s="52"/>
    </row>
    <row r="30" spans="2:31" ht="18" customHeight="1" x14ac:dyDescent="0.25">
      <c r="B30" s="51" t="s">
        <v>100</v>
      </c>
      <c r="C30" s="51" t="s">
        <v>265</v>
      </c>
      <c r="D30" s="52" t="s">
        <v>269</v>
      </c>
      <c r="E30" s="52" t="s">
        <v>250</v>
      </c>
      <c r="F30" s="51">
        <v>2</v>
      </c>
      <c r="G30" s="51" t="s">
        <v>251</v>
      </c>
      <c r="H30" s="51" t="s">
        <v>252</v>
      </c>
      <c r="I30" s="51" t="s">
        <v>253</v>
      </c>
      <c r="J30" s="52" t="s">
        <v>284</v>
      </c>
      <c r="K30" s="88">
        <f>IF(B30="","",SUMIFS(Buchungen!$O$6:$O$605,Buchungen!$F$6:$F$605,B30,Buchungen!$C$6:$C$605,"&gt;="&amp;Auswertung!$C$5,Buchungen!$C$6:$C$605,"&lt;="&amp;Auswertung!$E$5))</f>
        <v>19</v>
      </c>
      <c r="L30" s="89">
        <f>IF(B30="","",IF(I30="Gesperrt","gesperrt",IFERROR(K30/Auswertung!$I$5,0)))</f>
        <v>0.95</v>
      </c>
      <c r="N30" s="52" t="s">
        <v>118</v>
      </c>
      <c r="O30" s="53" t="str">
        <f t="shared" si="0"/>
        <v>A. Lorenz</v>
      </c>
      <c r="P30" s="52" t="s">
        <v>268</v>
      </c>
      <c r="Q30" s="90">
        <v>2</v>
      </c>
      <c r="R30" s="52" t="s">
        <v>264</v>
      </c>
      <c r="S30" s="88">
        <f>IF(N30="","",SUMIFS(Buchungen!$O$6:$O$605,Buchungen!$G$6:$G$605,N30,Buchungen!$C$6:$C$605,"&gt;="&amp;Auswertung!$C$5,Buchungen!$C$6:$C$605,"&lt;="&amp;Auswertung!$E$5))</f>
        <v>6</v>
      </c>
      <c r="T30" s="88">
        <f>IF(N30="","",IFERROR(S30/(Auswertung!$I$5/5),0))</f>
        <v>1.5</v>
      </c>
      <c r="AD30" s="48"/>
      <c r="AE30" s="52"/>
    </row>
    <row r="31" spans="2:31" ht="18" customHeight="1" x14ac:dyDescent="0.25">
      <c r="B31" s="51" t="s">
        <v>102</v>
      </c>
      <c r="C31" s="51" t="s">
        <v>265</v>
      </c>
      <c r="D31" s="52" t="s">
        <v>269</v>
      </c>
      <c r="E31" s="52" t="s">
        <v>250</v>
      </c>
      <c r="F31" s="51">
        <v>2</v>
      </c>
      <c r="G31" s="51" t="s">
        <v>251</v>
      </c>
      <c r="H31" s="51" t="s">
        <v>252</v>
      </c>
      <c r="I31" s="51" t="s">
        <v>253</v>
      </c>
      <c r="J31" s="52"/>
      <c r="K31" s="88">
        <f>IF(B31="","",SUMIFS(Buchungen!$O$6:$O$605,Buchungen!$F$6:$F$605,B31,Buchungen!$C$6:$C$605,"&gt;="&amp;Auswertung!$C$5,Buchungen!$C$6:$C$605,"&lt;="&amp;Auswertung!$E$5))</f>
        <v>19</v>
      </c>
      <c r="L31" s="89">
        <f>IF(B31="","",IF(I31="Gesperrt","gesperrt",IFERROR(K31/Auswertung!$I$5,0)))</f>
        <v>0.95</v>
      </c>
      <c r="N31" s="52" t="s">
        <v>125</v>
      </c>
      <c r="O31" s="53" t="str">
        <f t="shared" si="0"/>
        <v>S. Graf</v>
      </c>
      <c r="P31" s="52" t="s">
        <v>273</v>
      </c>
      <c r="Q31" s="90">
        <v>2</v>
      </c>
      <c r="R31" s="52" t="s">
        <v>269</v>
      </c>
      <c r="S31" s="88">
        <f>IF(N31="","",SUMIFS(Buchungen!$O$6:$O$605,Buchungen!$G$6:$G$605,N31,Buchungen!$C$6:$C$605,"&gt;="&amp;Auswertung!$C$5,Buchungen!$C$6:$C$605,"&lt;="&amp;Auswertung!$E$5))</f>
        <v>7.5</v>
      </c>
      <c r="T31" s="88">
        <f>IF(N31="","",IFERROR(S31/(Auswertung!$I$5/5),0))</f>
        <v>1.875</v>
      </c>
    </row>
    <row r="32" spans="2:31" ht="18" customHeight="1" x14ac:dyDescent="0.25">
      <c r="B32" s="51" t="s">
        <v>104</v>
      </c>
      <c r="C32" s="51" t="s">
        <v>265</v>
      </c>
      <c r="D32" s="52" t="s">
        <v>269</v>
      </c>
      <c r="E32" s="52" t="s">
        <v>262</v>
      </c>
      <c r="F32" s="51">
        <v>2</v>
      </c>
      <c r="G32" s="51" t="s">
        <v>251</v>
      </c>
      <c r="H32" s="51" t="s">
        <v>251</v>
      </c>
      <c r="I32" s="51" t="s">
        <v>253</v>
      </c>
      <c r="J32" s="52"/>
      <c r="K32" s="88">
        <f>IF(B32="","",SUMIFS(Buchungen!$O$6:$O$605,Buchungen!$F$6:$F$605,B32,Buchungen!$C$6:$C$605,"&gt;="&amp;Auswertung!$C$5,Buchungen!$C$6:$C$605,"&lt;="&amp;Auswertung!$E$5))</f>
        <v>18</v>
      </c>
      <c r="L32" s="89">
        <f>IF(B32="","",IF(I32="Gesperrt","gesperrt",IFERROR(K32/Auswertung!$I$5,0)))</f>
        <v>0.9</v>
      </c>
      <c r="N32" s="52" t="s">
        <v>107</v>
      </c>
      <c r="O32" s="53" t="str">
        <f t="shared" si="0"/>
        <v>K. Busch</v>
      </c>
      <c r="P32" s="52" t="s">
        <v>273</v>
      </c>
      <c r="Q32" s="90">
        <v>3</v>
      </c>
      <c r="R32" s="52" t="s">
        <v>269</v>
      </c>
      <c r="S32" s="88">
        <f>IF(N32="","",SUMIFS(Buchungen!$O$6:$O$605,Buchungen!$G$6:$G$605,N32,Buchungen!$C$6:$C$605,"&gt;="&amp;Auswertung!$C$5,Buchungen!$C$6:$C$605,"&lt;="&amp;Auswertung!$E$5))</f>
        <v>11</v>
      </c>
      <c r="T32" s="88">
        <f>IF(N32="","",IFERROR(S32/(Auswertung!$I$5/5),0))</f>
        <v>2.75</v>
      </c>
      <c r="AD32" s="27" t="s">
        <v>285</v>
      </c>
    </row>
    <row r="33" spans="2:20" ht="18" customHeight="1" x14ac:dyDescent="0.25">
      <c r="B33" s="51" t="s">
        <v>106</v>
      </c>
      <c r="C33" s="51" t="s">
        <v>265</v>
      </c>
      <c r="D33" s="52" t="s">
        <v>269</v>
      </c>
      <c r="E33" s="52" t="s">
        <v>250</v>
      </c>
      <c r="F33" s="51">
        <v>2</v>
      </c>
      <c r="G33" s="51" t="s">
        <v>252</v>
      </c>
      <c r="H33" s="51" t="s">
        <v>252</v>
      </c>
      <c r="I33" s="51" t="s">
        <v>253</v>
      </c>
      <c r="J33" s="52" t="s">
        <v>286</v>
      </c>
      <c r="K33" s="88">
        <f>IF(B33="","",SUMIFS(Buchungen!$O$6:$O$605,Buchungen!$F$6:$F$605,B33,Buchungen!$C$6:$C$605,"&gt;="&amp;Auswertung!$C$5,Buchungen!$C$6:$C$605,"&lt;="&amp;Auswertung!$E$5))</f>
        <v>19</v>
      </c>
      <c r="L33" s="89">
        <f>IF(B33="","",IF(I33="Gesperrt","gesperrt",IFERROR(K33/Auswertung!$I$5,0)))</f>
        <v>0.95</v>
      </c>
      <c r="N33" s="52" t="s">
        <v>140</v>
      </c>
      <c r="O33" s="53" t="str">
        <f t="shared" si="0"/>
        <v>L. Pohl</v>
      </c>
      <c r="P33" s="52" t="s">
        <v>273</v>
      </c>
      <c r="Q33" s="90">
        <v>1</v>
      </c>
      <c r="R33" s="52" t="s">
        <v>269</v>
      </c>
      <c r="S33" s="88">
        <f>IF(N33="","",SUMIFS(Buchungen!$O$6:$O$605,Buchungen!$G$6:$G$605,N33,Buchungen!$C$6:$C$605,"&gt;="&amp;Auswertung!$C$5,Buchungen!$C$6:$C$605,"&lt;="&amp;Auswertung!$E$5))</f>
        <v>4</v>
      </c>
      <c r="T33" s="88">
        <f>IF(N33="","",IFERROR(S33/(Auswertung!$I$5/5),0))</f>
        <v>1</v>
      </c>
    </row>
    <row r="34" spans="2:20" ht="18" customHeight="1" x14ac:dyDescent="0.25">
      <c r="B34" s="51"/>
      <c r="C34" s="51"/>
      <c r="D34" s="52"/>
      <c r="E34" s="52"/>
      <c r="F34" s="51"/>
      <c r="G34" s="51"/>
      <c r="H34" s="51"/>
      <c r="I34" s="51"/>
      <c r="J34" s="52"/>
      <c r="K34" s="88" t="str">
        <f>IF(B34="","",SUMIFS(Buchungen!$O$6:$O$605,Buchungen!$F$6:$F$605,B34,Buchungen!$C$6:$C$605,"&gt;="&amp;Auswertung!$C$5,Buchungen!$C$6:$C$605,"&lt;="&amp;Auswertung!$E$5))</f>
        <v/>
      </c>
      <c r="L34" s="89" t="str">
        <f>IF(B34="","",IF(I34="Gesperrt","gesperrt",IFERROR(K34/Auswertung!$I$5,0)))</f>
        <v/>
      </c>
      <c r="N34" s="52" t="s">
        <v>91</v>
      </c>
      <c r="O34" s="53" t="str">
        <f t="shared" si="0"/>
        <v>M. Winter</v>
      </c>
      <c r="P34" s="52" t="s">
        <v>273</v>
      </c>
      <c r="Q34" s="90">
        <v>3</v>
      </c>
      <c r="R34" s="52" t="s">
        <v>269</v>
      </c>
      <c r="S34" s="88">
        <f>IF(N34="","",SUMIFS(Buchungen!$O$6:$O$605,Buchungen!$G$6:$G$605,N34,Buchungen!$C$6:$C$605,"&gt;="&amp;Auswertung!$C$5,Buchungen!$C$6:$C$605,"&lt;="&amp;Auswertung!$E$5))</f>
        <v>11.5</v>
      </c>
      <c r="T34" s="88">
        <f>IF(N34="","",IFERROR(S34/(Auswertung!$I$5/5),0))</f>
        <v>2.875</v>
      </c>
    </row>
    <row r="35" spans="2:20" ht="18" customHeight="1" x14ac:dyDescent="0.25">
      <c r="B35" s="51"/>
      <c r="C35" s="51"/>
      <c r="D35" s="52"/>
      <c r="E35" s="52"/>
      <c r="F35" s="51"/>
      <c r="G35" s="51"/>
      <c r="H35" s="51"/>
      <c r="I35" s="51"/>
      <c r="J35" s="52"/>
      <c r="K35" s="88" t="str">
        <f>IF(B35="","",SUMIFS(Buchungen!$O$6:$O$605,Buchungen!$F$6:$F$605,B35,Buchungen!$C$6:$C$605,"&gt;="&amp;Auswertung!$C$5,Buchungen!$C$6:$C$605,"&lt;="&amp;Auswertung!$E$5))</f>
        <v/>
      </c>
      <c r="L35" s="89" t="str">
        <f>IF(B35="","",IF(I35="Gesperrt","gesperrt",IFERROR(K35/Auswertung!$I$5,0)))</f>
        <v/>
      </c>
      <c r="N35" s="52" t="s">
        <v>101</v>
      </c>
      <c r="O35" s="53" t="str">
        <f t="shared" si="0"/>
        <v>D. Ritter</v>
      </c>
      <c r="P35" s="52" t="s">
        <v>273</v>
      </c>
      <c r="Q35" s="90">
        <v>2</v>
      </c>
      <c r="R35" s="52" t="s">
        <v>269</v>
      </c>
      <c r="S35" s="88">
        <f>IF(N35="","",SUMIFS(Buchungen!$O$6:$O$605,Buchungen!$G$6:$G$605,N35,Buchungen!$C$6:$C$605,"&gt;="&amp;Auswertung!$C$5,Buchungen!$C$6:$C$605,"&lt;="&amp;Auswertung!$E$5))</f>
        <v>7.5</v>
      </c>
      <c r="T35" s="88">
        <f>IF(N35="","",IFERROR(S35/(Auswertung!$I$5/5),0))</f>
        <v>1.875</v>
      </c>
    </row>
    <row r="36" spans="2:20" ht="18" customHeight="1" x14ac:dyDescent="0.25">
      <c r="B36" s="51"/>
      <c r="C36" s="51"/>
      <c r="D36" s="52"/>
      <c r="E36" s="52"/>
      <c r="F36" s="51"/>
      <c r="G36" s="51"/>
      <c r="H36" s="51"/>
      <c r="I36" s="51"/>
      <c r="J36" s="52"/>
      <c r="K36" s="88" t="str">
        <f>IF(B36="","",SUMIFS(Buchungen!$O$6:$O$605,Buchungen!$F$6:$F$605,B36,Buchungen!$C$6:$C$605,"&gt;="&amp;Auswertung!$C$5,Buchungen!$C$6:$C$605,"&lt;="&amp;Auswertung!$E$5))</f>
        <v/>
      </c>
      <c r="L36" s="89" t="str">
        <f>IF(B36="","",IF(I36="Gesperrt","gesperrt",IFERROR(K36/Auswertung!$I$5,0)))</f>
        <v/>
      </c>
      <c r="N36" s="52" t="s">
        <v>124</v>
      </c>
      <c r="O36" s="53" t="str">
        <f t="shared" si="0"/>
        <v>L. Sommer</v>
      </c>
      <c r="P36" s="52" t="s">
        <v>273</v>
      </c>
      <c r="Q36" s="90">
        <v>2</v>
      </c>
      <c r="R36" s="52" t="s">
        <v>269</v>
      </c>
      <c r="S36" s="88">
        <f>IF(N36="","",SUMIFS(Buchungen!$O$6:$O$605,Buchungen!$G$6:$G$605,N36,Buchungen!$C$6:$C$605,"&gt;="&amp;Auswertung!$C$5,Buchungen!$C$6:$C$605,"&lt;="&amp;Auswertung!$E$5))</f>
        <v>8</v>
      </c>
      <c r="T36" s="88">
        <f>IF(N36="","",IFERROR(S36/(Auswertung!$I$5/5),0))</f>
        <v>2</v>
      </c>
    </row>
    <row r="37" spans="2:20" ht="18" customHeight="1" x14ac:dyDescent="0.25">
      <c r="B37" s="51"/>
      <c r="C37" s="51"/>
      <c r="D37" s="52"/>
      <c r="E37" s="52"/>
      <c r="F37" s="51"/>
      <c r="G37" s="51"/>
      <c r="H37" s="51"/>
      <c r="I37" s="51"/>
      <c r="J37" s="52"/>
      <c r="K37" s="88" t="str">
        <f>IF(B37="","",SUMIFS(Buchungen!$O$6:$O$605,Buchungen!$F$6:$F$605,B37,Buchungen!$C$6:$C$605,"&gt;="&amp;Auswertung!$C$5,Buchungen!$C$6:$C$605,"&lt;="&amp;Auswertung!$E$5))</f>
        <v/>
      </c>
      <c r="L37" s="89" t="str">
        <f>IF(B37="","",IF(I37="Gesperrt","gesperrt",IFERROR(K37/Auswertung!$I$5,0)))</f>
        <v/>
      </c>
      <c r="N37" s="52" t="s">
        <v>103</v>
      </c>
      <c r="O37" s="53" t="str">
        <f t="shared" si="0"/>
        <v>K. Brandl</v>
      </c>
      <c r="P37" s="52" t="s">
        <v>275</v>
      </c>
      <c r="Q37" s="90">
        <v>3</v>
      </c>
      <c r="R37" s="52" t="s">
        <v>269</v>
      </c>
      <c r="S37" s="88">
        <f>IF(N37="","",SUMIFS(Buchungen!$O$6:$O$605,Buchungen!$G$6:$G$605,N37,Buchungen!$C$6:$C$605,"&gt;="&amp;Auswertung!$C$5,Buchungen!$C$6:$C$605,"&lt;="&amp;Auswertung!$E$5))</f>
        <v>10</v>
      </c>
      <c r="T37" s="88">
        <f>IF(N37="","",IFERROR(S37/(Auswertung!$I$5/5),0))</f>
        <v>2.5</v>
      </c>
    </row>
    <row r="38" spans="2:20" ht="18" customHeight="1" x14ac:dyDescent="0.25">
      <c r="B38" s="51"/>
      <c r="C38" s="51"/>
      <c r="D38" s="52"/>
      <c r="E38" s="52"/>
      <c r="F38" s="51"/>
      <c r="G38" s="51"/>
      <c r="H38" s="51"/>
      <c r="I38" s="51"/>
      <c r="J38" s="52"/>
      <c r="K38" s="88" t="str">
        <f>IF(B38="","",SUMIFS(Buchungen!$O$6:$O$605,Buchungen!$F$6:$F$605,B38,Buchungen!$C$6:$C$605,"&gt;="&amp;Auswertung!$C$5,Buchungen!$C$6:$C$605,"&lt;="&amp;Auswertung!$E$5))</f>
        <v/>
      </c>
      <c r="L38" s="89" t="str">
        <f>IF(B38="","",IF(I38="Gesperrt","gesperrt",IFERROR(K38/Auswertung!$I$5,0)))</f>
        <v/>
      </c>
      <c r="N38" s="52" t="s">
        <v>89</v>
      </c>
      <c r="O38" s="53" t="str">
        <f t="shared" si="0"/>
        <v>T. Jung</v>
      </c>
      <c r="P38" s="52" t="s">
        <v>275</v>
      </c>
      <c r="Q38" s="90">
        <v>4</v>
      </c>
      <c r="R38" s="52" t="s">
        <v>259</v>
      </c>
      <c r="S38" s="88">
        <f>IF(N38="","",SUMIFS(Buchungen!$O$6:$O$605,Buchungen!$G$6:$G$605,N38,Buchungen!$C$6:$C$605,"&gt;="&amp;Auswertung!$C$5,Buchungen!$C$6:$C$605,"&lt;="&amp;Auswertung!$E$5))</f>
        <v>16</v>
      </c>
      <c r="T38" s="88">
        <f>IF(N38="","",IFERROR(S38/(Auswertung!$I$5/5),0))</f>
        <v>4</v>
      </c>
    </row>
    <row r="39" spans="2:20" ht="18" customHeight="1" x14ac:dyDescent="0.25">
      <c r="B39" s="51"/>
      <c r="C39" s="51"/>
      <c r="D39" s="52"/>
      <c r="E39" s="52"/>
      <c r="F39" s="51"/>
      <c r="G39" s="51"/>
      <c r="H39" s="51"/>
      <c r="I39" s="51"/>
      <c r="J39" s="52"/>
      <c r="K39" s="88" t="str">
        <f>IF(B39="","",SUMIFS(Buchungen!$O$6:$O$605,Buchungen!$F$6:$F$605,B39,Buchungen!$C$6:$C$605,"&gt;="&amp;Auswertung!$C$5,Buchungen!$C$6:$C$605,"&lt;="&amp;Auswertung!$E$5))</f>
        <v/>
      </c>
      <c r="L39" s="89" t="str">
        <f>IF(B39="","",IF(I39="Gesperrt","gesperrt",IFERROR(K39/Auswertung!$I$5,0)))</f>
        <v/>
      </c>
      <c r="N39" s="52" t="s">
        <v>130</v>
      </c>
      <c r="O39" s="53" t="str">
        <f t="shared" si="0"/>
        <v>F. Ott</v>
      </c>
      <c r="P39" s="52" t="s">
        <v>275</v>
      </c>
      <c r="Q39" s="90">
        <v>2</v>
      </c>
      <c r="R39" s="52" t="s">
        <v>269</v>
      </c>
      <c r="S39" s="88">
        <f>IF(N39="","",SUMIFS(Buchungen!$O$6:$O$605,Buchungen!$G$6:$G$605,N39,Buchungen!$C$6:$C$605,"&gt;="&amp;Auswertung!$C$5,Buchungen!$C$6:$C$605,"&lt;="&amp;Auswertung!$E$5))</f>
        <v>7</v>
      </c>
      <c r="T39" s="88">
        <f>IF(N39="","",IFERROR(S39/(Auswertung!$I$5/5),0))</f>
        <v>1.75</v>
      </c>
    </row>
    <row r="40" spans="2:20" ht="18" customHeight="1" x14ac:dyDescent="0.25">
      <c r="B40" s="51"/>
      <c r="C40" s="51"/>
      <c r="D40" s="52"/>
      <c r="E40" s="52"/>
      <c r="F40" s="51"/>
      <c r="G40" s="51"/>
      <c r="H40" s="51"/>
      <c r="I40" s="51"/>
      <c r="J40" s="52"/>
      <c r="K40" s="88" t="str">
        <f>IF(B40="","",SUMIFS(Buchungen!$O$6:$O$605,Buchungen!$F$6:$F$605,B40,Buchungen!$C$6:$C$605,"&gt;="&amp;Auswertung!$C$5,Buchungen!$C$6:$C$605,"&lt;="&amp;Auswertung!$E$5))</f>
        <v/>
      </c>
      <c r="L40" s="89" t="str">
        <f>IF(B40="","",IF(I40="Gesperrt","gesperrt",IFERROR(K40/Auswertung!$I$5,0)))</f>
        <v/>
      </c>
      <c r="N40" s="52" t="s">
        <v>114</v>
      </c>
      <c r="O40" s="53" t="str">
        <f t="shared" si="0"/>
        <v>I. Marx</v>
      </c>
      <c r="P40" s="52" t="s">
        <v>275</v>
      </c>
      <c r="Q40" s="90">
        <v>3</v>
      </c>
      <c r="R40" s="52" t="s">
        <v>259</v>
      </c>
      <c r="S40" s="88">
        <f>IF(N40="","",SUMIFS(Buchungen!$O$6:$O$605,Buchungen!$G$6:$G$605,N40,Buchungen!$C$6:$C$605,"&gt;="&amp;Auswertung!$C$5,Buchungen!$C$6:$C$605,"&lt;="&amp;Auswertung!$E$5))</f>
        <v>11</v>
      </c>
      <c r="T40" s="88">
        <f>IF(N40="","",IFERROR(S40/(Auswertung!$I$5/5),0))</f>
        <v>2.75</v>
      </c>
    </row>
    <row r="41" spans="2:20" ht="18" customHeight="1" x14ac:dyDescent="0.25">
      <c r="B41" s="51"/>
      <c r="C41" s="51"/>
      <c r="D41" s="52"/>
      <c r="E41" s="52"/>
      <c r="F41" s="51"/>
      <c r="G41" s="51"/>
      <c r="H41" s="51"/>
      <c r="I41" s="51"/>
      <c r="J41" s="52"/>
      <c r="K41" s="88" t="str">
        <f>IF(B41="","",SUMIFS(Buchungen!$O$6:$O$605,Buchungen!$F$6:$F$605,B41,Buchungen!$C$6:$C$605,"&gt;="&amp;Auswertung!$C$5,Buchungen!$C$6:$C$605,"&lt;="&amp;Auswertung!$E$5))</f>
        <v/>
      </c>
      <c r="L41" s="89" t="str">
        <f>IF(B41="","",IF(I41="Gesperrt","gesperrt",IFERROR(K41/Auswertung!$I$5,0)))</f>
        <v/>
      </c>
      <c r="N41" s="52" t="s">
        <v>105</v>
      </c>
      <c r="O41" s="53" t="str">
        <f t="shared" si="0"/>
        <v>P. Haas</v>
      </c>
      <c r="P41" s="52" t="s">
        <v>275</v>
      </c>
      <c r="Q41" s="90">
        <v>2</v>
      </c>
      <c r="R41" s="52" t="s">
        <v>269</v>
      </c>
      <c r="S41" s="88">
        <f>IF(N41="","",SUMIFS(Buchungen!$O$6:$O$605,Buchungen!$G$6:$G$605,N41,Buchungen!$C$6:$C$605,"&gt;="&amp;Auswertung!$C$5,Buchungen!$C$6:$C$605,"&lt;="&amp;Auswertung!$E$5))</f>
        <v>8.5</v>
      </c>
      <c r="T41" s="88">
        <f>IF(N41="","",IFERROR(S41/(Auswertung!$I$5/5),0))</f>
        <v>2.125</v>
      </c>
    </row>
    <row r="42" spans="2:20" ht="18" customHeight="1" x14ac:dyDescent="0.25">
      <c r="B42" s="51"/>
      <c r="C42" s="51"/>
      <c r="D42" s="52"/>
      <c r="E42" s="52"/>
      <c r="F42" s="51"/>
      <c r="G42" s="51"/>
      <c r="H42" s="51"/>
      <c r="I42" s="51"/>
      <c r="J42" s="52"/>
      <c r="K42" s="88" t="str">
        <f>IF(B42="","",SUMIFS(Buchungen!$O$6:$O$605,Buchungen!$F$6:$F$605,B42,Buchungen!$C$6:$C$605,"&gt;="&amp;Auswertung!$C$5,Buchungen!$C$6:$C$605,"&lt;="&amp;Auswertung!$E$5))</f>
        <v/>
      </c>
      <c r="L42" s="89" t="str">
        <f>IF(B42="","",IF(I42="Gesperrt","gesperrt",IFERROR(K42/Auswertung!$I$5,0)))</f>
        <v/>
      </c>
      <c r="N42" s="52" t="s">
        <v>132</v>
      </c>
      <c r="O42" s="53" t="str">
        <f t="shared" ref="O42:O73" si="1">IF(N42="","",IFERROR(LEFT(N42,1)&amp;". "&amp;MID(N42,FIND(" ",N42)+1,60),N42))</f>
        <v>V. Kraft</v>
      </c>
      <c r="P42" s="52" t="s">
        <v>275</v>
      </c>
      <c r="Q42" s="90">
        <v>3</v>
      </c>
      <c r="R42" s="52" t="s">
        <v>269</v>
      </c>
      <c r="S42" s="88">
        <f>IF(N42="","",SUMIFS(Buchungen!$O$6:$O$605,Buchungen!$G$6:$G$605,N42,Buchungen!$C$6:$C$605,"&gt;="&amp;Auswertung!$C$5,Buchungen!$C$6:$C$605,"&lt;="&amp;Auswertung!$E$5))</f>
        <v>10.5</v>
      </c>
      <c r="T42" s="88">
        <f>IF(N42="","",IFERROR(S42/(Auswertung!$I$5/5),0))</f>
        <v>2.625</v>
      </c>
    </row>
    <row r="43" spans="2:20" ht="18" customHeight="1" x14ac:dyDescent="0.25">
      <c r="B43" s="51"/>
      <c r="C43" s="51"/>
      <c r="D43" s="52"/>
      <c r="E43" s="52"/>
      <c r="F43" s="51"/>
      <c r="G43" s="51"/>
      <c r="H43" s="51"/>
      <c r="I43" s="51"/>
      <c r="J43" s="52"/>
      <c r="K43" s="88" t="str">
        <f>IF(B43="","",SUMIFS(Buchungen!$O$6:$O$605,Buchungen!$F$6:$F$605,B43,Buchungen!$C$6:$C$605,"&gt;="&amp;Auswertung!$C$5,Buchungen!$C$6:$C$605,"&lt;="&amp;Auswertung!$E$5))</f>
        <v/>
      </c>
      <c r="L43" s="89" t="str">
        <f>IF(B43="","",IF(I43="Gesperrt","gesperrt",IFERROR(K43/Auswertung!$I$5,0)))</f>
        <v/>
      </c>
      <c r="N43" s="52" t="s">
        <v>115</v>
      </c>
      <c r="O43" s="53" t="str">
        <f t="shared" si="1"/>
        <v>J. Peters</v>
      </c>
      <c r="P43" s="52" t="s">
        <v>275</v>
      </c>
      <c r="Q43" s="90">
        <v>2</v>
      </c>
      <c r="R43" s="52" t="s">
        <v>259</v>
      </c>
      <c r="S43" s="88">
        <f>IF(N43="","",SUMIFS(Buchungen!$O$6:$O$605,Buchungen!$G$6:$G$605,N43,Buchungen!$C$6:$C$605,"&gt;="&amp;Auswertung!$C$5,Buchungen!$C$6:$C$605,"&lt;="&amp;Auswertung!$E$5))</f>
        <v>8</v>
      </c>
      <c r="T43" s="88">
        <f>IF(N43="","",IFERROR(S43/(Auswertung!$I$5/5),0))</f>
        <v>2</v>
      </c>
    </row>
    <row r="44" spans="2:20" ht="18" customHeight="1" x14ac:dyDescent="0.25">
      <c r="B44" s="51"/>
      <c r="C44" s="51"/>
      <c r="D44" s="52"/>
      <c r="E44" s="52"/>
      <c r="F44" s="51"/>
      <c r="G44" s="51"/>
      <c r="H44" s="51"/>
      <c r="I44" s="51"/>
      <c r="J44" s="52"/>
      <c r="K44" s="88" t="str">
        <f>IF(B44="","",SUMIFS(Buchungen!$O$6:$O$605,Buchungen!$F$6:$F$605,B44,Buchungen!$C$6:$C$605,"&gt;="&amp;Auswertung!$C$5,Buchungen!$C$6:$C$605,"&lt;="&amp;Auswertung!$E$5))</f>
        <v/>
      </c>
      <c r="L44" s="89" t="str">
        <f>IF(B44="","",IF(I44="Gesperrt","gesperrt",IFERROR(K44/Auswertung!$I$5,0)))</f>
        <v/>
      </c>
      <c r="N44" s="52"/>
      <c r="O44" s="53" t="str">
        <f t="shared" si="1"/>
        <v/>
      </c>
      <c r="P44" s="52"/>
      <c r="Q44" s="90"/>
      <c r="R44" s="52"/>
      <c r="S44" s="88" t="str">
        <f>IF(N44="","",SUMIFS(Buchungen!$O$6:$O$605,Buchungen!$G$6:$G$605,N44,Buchungen!$C$6:$C$605,"&gt;="&amp;Auswertung!$C$5,Buchungen!$C$6:$C$605,"&lt;="&amp;Auswertung!$E$5))</f>
        <v/>
      </c>
      <c r="T44" s="88" t="str">
        <f>IF(N44="","",IFERROR(S44/(Auswertung!$I$5/5),0))</f>
        <v/>
      </c>
    </row>
    <row r="45" spans="2:20" ht="18" customHeight="1" x14ac:dyDescent="0.25">
      <c r="B45" s="51"/>
      <c r="C45" s="51"/>
      <c r="D45" s="52"/>
      <c r="E45" s="52"/>
      <c r="F45" s="51"/>
      <c r="G45" s="51"/>
      <c r="H45" s="51"/>
      <c r="I45" s="51"/>
      <c r="J45" s="52"/>
      <c r="K45" s="88" t="str">
        <f>IF(B45="","",SUMIFS(Buchungen!$O$6:$O$605,Buchungen!$F$6:$F$605,B45,Buchungen!$C$6:$C$605,"&gt;="&amp;Auswertung!$C$5,Buchungen!$C$6:$C$605,"&lt;="&amp;Auswertung!$E$5))</f>
        <v/>
      </c>
      <c r="L45" s="89" t="str">
        <f>IF(B45="","",IF(I45="Gesperrt","gesperrt",IFERROR(K45/Auswertung!$I$5,0)))</f>
        <v/>
      </c>
      <c r="N45" s="52"/>
      <c r="O45" s="53" t="str">
        <f t="shared" si="1"/>
        <v/>
      </c>
      <c r="P45" s="52"/>
      <c r="Q45" s="90"/>
      <c r="R45" s="52"/>
      <c r="S45" s="88" t="str">
        <f>IF(N45="","",SUMIFS(Buchungen!$O$6:$O$605,Buchungen!$G$6:$G$605,N45,Buchungen!$C$6:$C$605,"&gt;="&amp;Auswertung!$C$5,Buchungen!$C$6:$C$605,"&lt;="&amp;Auswertung!$E$5))</f>
        <v/>
      </c>
      <c r="T45" s="88" t="str">
        <f>IF(N45="","",IFERROR(S45/(Auswertung!$I$5/5),0))</f>
        <v/>
      </c>
    </row>
    <row r="46" spans="2:20" ht="18" customHeight="1" x14ac:dyDescent="0.25">
      <c r="B46" s="51"/>
      <c r="C46" s="51"/>
      <c r="D46" s="52"/>
      <c r="E46" s="52"/>
      <c r="F46" s="51"/>
      <c r="G46" s="51"/>
      <c r="H46" s="51"/>
      <c r="I46" s="51"/>
      <c r="J46" s="52"/>
      <c r="K46" s="88" t="str">
        <f>IF(B46="","",SUMIFS(Buchungen!$O$6:$O$605,Buchungen!$F$6:$F$605,B46,Buchungen!$C$6:$C$605,"&gt;="&amp;Auswertung!$C$5,Buchungen!$C$6:$C$605,"&lt;="&amp;Auswertung!$E$5))</f>
        <v/>
      </c>
      <c r="L46" s="89" t="str">
        <f>IF(B46="","",IF(I46="Gesperrt","gesperrt",IFERROR(K46/Auswertung!$I$5,0)))</f>
        <v/>
      </c>
      <c r="N46" s="52"/>
      <c r="O46" s="53" t="str">
        <f t="shared" si="1"/>
        <v/>
      </c>
      <c r="P46" s="52"/>
      <c r="Q46" s="90"/>
      <c r="R46" s="52"/>
      <c r="S46" s="88" t="str">
        <f>IF(N46="","",SUMIFS(Buchungen!$O$6:$O$605,Buchungen!$G$6:$G$605,N46,Buchungen!$C$6:$C$605,"&gt;="&amp;Auswertung!$C$5,Buchungen!$C$6:$C$605,"&lt;="&amp;Auswertung!$E$5))</f>
        <v/>
      </c>
      <c r="T46" s="88" t="str">
        <f>IF(N46="","",IFERROR(S46/(Auswertung!$I$5/5),0))</f>
        <v/>
      </c>
    </row>
    <row r="47" spans="2:20" ht="18" customHeight="1" x14ac:dyDescent="0.25">
      <c r="B47" s="51"/>
      <c r="C47" s="51"/>
      <c r="D47" s="52"/>
      <c r="E47" s="52"/>
      <c r="F47" s="51"/>
      <c r="G47" s="51"/>
      <c r="H47" s="51"/>
      <c r="I47" s="51"/>
      <c r="J47" s="52"/>
      <c r="K47" s="88" t="str">
        <f>IF(B47="","",SUMIFS(Buchungen!$O$6:$O$605,Buchungen!$F$6:$F$605,B47,Buchungen!$C$6:$C$605,"&gt;="&amp;Auswertung!$C$5,Buchungen!$C$6:$C$605,"&lt;="&amp;Auswertung!$E$5))</f>
        <v/>
      </c>
      <c r="L47" s="89" t="str">
        <f>IF(B47="","",IF(I47="Gesperrt","gesperrt",IFERROR(K47/Auswertung!$I$5,0)))</f>
        <v/>
      </c>
      <c r="N47" s="52"/>
      <c r="O47" s="53" t="str">
        <f t="shared" si="1"/>
        <v/>
      </c>
      <c r="P47" s="52"/>
      <c r="Q47" s="90"/>
      <c r="R47" s="52"/>
      <c r="S47" s="88" t="str">
        <f>IF(N47="","",SUMIFS(Buchungen!$O$6:$O$605,Buchungen!$G$6:$G$605,N47,Buchungen!$C$6:$C$605,"&gt;="&amp;Auswertung!$C$5,Buchungen!$C$6:$C$605,"&lt;="&amp;Auswertung!$E$5))</f>
        <v/>
      </c>
      <c r="T47" s="88" t="str">
        <f>IF(N47="","",IFERROR(S47/(Auswertung!$I$5/5),0))</f>
        <v/>
      </c>
    </row>
    <row r="48" spans="2:20" ht="18" customHeight="1" x14ac:dyDescent="0.25">
      <c r="B48" s="51"/>
      <c r="C48" s="51"/>
      <c r="D48" s="52"/>
      <c r="E48" s="52"/>
      <c r="F48" s="51"/>
      <c r="G48" s="51"/>
      <c r="H48" s="51"/>
      <c r="I48" s="51"/>
      <c r="J48" s="52"/>
      <c r="K48" s="88" t="str">
        <f>IF(B48="","",SUMIFS(Buchungen!$O$6:$O$605,Buchungen!$F$6:$F$605,B48,Buchungen!$C$6:$C$605,"&gt;="&amp;Auswertung!$C$5,Buchungen!$C$6:$C$605,"&lt;="&amp;Auswertung!$E$5))</f>
        <v/>
      </c>
      <c r="L48" s="89" t="str">
        <f>IF(B48="","",IF(I48="Gesperrt","gesperrt",IFERROR(K48/Auswertung!$I$5,0)))</f>
        <v/>
      </c>
      <c r="N48" s="52"/>
      <c r="O48" s="53" t="str">
        <f t="shared" si="1"/>
        <v/>
      </c>
      <c r="P48" s="52"/>
      <c r="Q48" s="90"/>
      <c r="R48" s="52"/>
      <c r="S48" s="88" t="str">
        <f>IF(N48="","",SUMIFS(Buchungen!$O$6:$O$605,Buchungen!$G$6:$G$605,N48,Buchungen!$C$6:$C$605,"&gt;="&amp;Auswertung!$C$5,Buchungen!$C$6:$C$605,"&lt;="&amp;Auswertung!$E$5))</f>
        <v/>
      </c>
      <c r="T48" s="88" t="str">
        <f>IF(N48="","",IFERROR(S48/(Auswertung!$I$5/5),0))</f>
        <v/>
      </c>
    </row>
    <row r="49" spans="2:20" ht="18" customHeight="1" x14ac:dyDescent="0.25">
      <c r="B49" s="51"/>
      <c r="C49" s="51"/>
      <c r="D49" s="52"/>
      <c r="E49" s="52"/>
      <c r="F49" s="51"/>
      <c r="G49" s="51"/>
      <c r="H49" s="51"/>
      <c r="I49" s="51"/>
      <c r="J49" s="52"/>
      <c r="K49" s="88" t="str">
        <f>IF(B49="","",SUMIFS(Buchungen!$O$6:$O$605,Buchungen!$F$6:$F$605,B49,Buchungen!$C$6:$C$605,"&gt;="&amp;Auswertung!$C$5,Buchungen!$C$6:$C$605,"&lt;="&amp;Auswertung!$E$5))</f>
        <v/>
      </c>
      <c r="L49" s="89" t="str">
        <f>IF(B49="","",IF(I49="Gesperrt","gesperrt",IFERROR(K49/Auswertung!$I$5,0)))</f>
        <v/>
      </c>
      <c r="N49" s="52"/>
      <c r="O49" s="53" t="str">
        <f t="shared" si="1"/>
        <v/>
      </c>
      <c r="P49" s="52"/>
      <c r="Q49" s="90"/>
      <c r="R49" s="52"/>
      <c r="S49" s="88" t="str">
        <f>IF(N49="","",SUMIFS(Buchungen!$O$6:$O$605,Buchungen!$G$6:$G$605,N49,Buchungen!$C$6:$C$605,"&gt;="&amp;Auswertung!$C$5,Buchungen!$C$6:$C$605,"&lt;="&amp;Auswertung!$E$5))</f>
        <v/>
      </c>
      <c r="T49" s="88" t="str">
        <f>IF(N49="","",IFERROR(S49/(Auswertung!$I$5/5),0))</f>
        <v/>
      </c>
    </row>
    <row r="50" spans="2:20" ht="18" customHeight="1" x14ac:dyDescent="0.25">
      <c r="N50" s="52"/>
      <c r="O50" s="53" t="str">
        <f t="shared" si="1"/>
        <v/>
      </c>
      <c r="P50" s="52"/>
      <c r="Q50" s="90"/>
      <c r="R50" s="52"/>
      <c r="S50" s="88" t="str">
        <f>IF(N50="","",SUMIFS(Buchungen!$O$6:$O$605,Buchungen!$G$6:$G$605,N50,Buchungen!$C$6:$C$605,"&gt;="&amp;Auswertung!$C$5,Buchungen!$C$6:$C$605,"&lt;="&amp;Auswertung!$E$5))</f>
        <v/>
      </c>
      <c r="T50" s="88" t="str">
        <f>IF(N50="","",IFERROR(S50/(Auswertung!$I$5/5),0))</f>
        <v/>
      </c>
    </row>
    <row r="51" spans="2:20" ht="18" customHeight="1" x14ac:dyDescent="0.25">
      <c r="N51" s="52"/>
      <c r="O51" s="53" t="str">
        <f t="shared" si="1"/>
        <v/>
      </c>
      <c r="P51" s="52"/>
      <c r="Q51" s="90"/>
      <c r="R51" s="52"/>
      <c r="S51" s="88" t="str">
        <f>IF(N51="","",SUMIFS(Buchungen!$O$6:$O$605,Buchungen!$G$6:$G$605,N51,Buchungen!$C$6:$C$605,"&gt;="&amp;Auswertung!$C$5,Buchungen!$C$6:$C$605,"&lt;="&amp;Auswertung!$E$5))</f>
        <v/>
      </c>
      <c r="T51" s="88" t="str">
        <f>IF(N51="","",IFERROR(S51/(Auswertung!$I$5/5),0))</f>
        <v/>
      </c>
    </row>
    <row r="52" spans="2:20" ht="18" customHeight="1" x14ac:dyDescent="0.25">
      <c r="N52" s="52"/>
      <c r="O52" s="53" t="str">
        <f t="shared" si="1"/>
        <v/>
      </c>
      <c r="P52" s="52"/>
      <c r="Q52" s="90"/>
      <c r="R52" s="52"/>
      <c r="S52" s="88" t="str">
        <f>IF(N52="","",SUMIFS(Buchungen!$O$6:$O$605,Buchungen!$G$6:$G$605,N52,Buchungen!$C$6:$C$605,"&gt;="&amp;Auswertung!$C$5,Buchungen!$C$6:$C$605,"&lt;="&amp;Auswertung!$E$5))</f>
        <v/>
      </c>
      <c r="T52" s="88" t="str">
        <f>IF(N52="","",IFERROR(S52/(Auswertung!$I$5/5),0))</f>
        <v/>
      </c>
    </row>
    <row r="53" spans="2:20" ht="18" customHeight="1" x14ac:dyDescent="0.25">
      <c r="N53" s="52"/>
      <c r="O53" s="53" t="str">
        <f t="shared" si="1"/>
        <v/>
      </c>
      <c r="P53" s="52"/>
      <c r="Q53" s="90"/>
      <c r="R53" s="52"/>
      <c r="S53" s="88" t="str">
        <f>IF(N53="","",SUMIFS(Buchungen!$O$6:$O$605,Buchungen!$G$6:$G$605,N53,Buchungen!$C$6:$C$605,"&gt;="&amp;Auswertung!$C$5,Buchungen!$C$6:$C$605,"&lt;="&amp;Auswertung!$E$5))</f>
        <v/>
      </c>
      <c r="T53" s="88" t="str">
        <f>IF(N53="","",IFERROR(S53/(Auswertung!$I$5/5),0))</f>
        <v/>
      </c>
    </row>
    <row r="54" spans="2:20" ht="18" customHeight="1" x14ac:dyDescent="0.25">
      <c r="N54" s="52"/>
      <c r="O54" s="53" t="str">
        <f t="shared" si="1"/>
        <v/>
      </c>
      <c r="P54" s="52"/>
      <c r="Q54" s="90"/>
      <c r="R54" s="52"/>
      <c r="S54" s="88" t="str">
        <f>IF(N54="","",SUMIFS(Buchungen!$O$6:$O$605,Buchungen!$G$6:$G$605,N54,Buchungen!$C$6:$C$605,"&gt;="&amp;Auswertung!$C$5,Buchungen!$C$6:$C$605,"&lt;="&amp;Auswertung!$E$5))</f>
        <v/>
      </c>
      <c r="T54" s="88" t="str">
        <f>IF(N54="","",IFERROR(S54/(Auswertung!$I$5/5),0))</f>
        <v/>
      </c>
    </row>
    <row r="55" spans="2:20" ht="18" customHeight="1" x14ac:dyDescent="0.25">
      <c r="N55" s="52"/>
      <c r="O55" s="53" t="str">
        <f t="shared" si="1"/>
        <v/>
      </c>
      <c r="P55" s="52"/>
      <c r="Q55" s="90"/>
      <c r="R55" s="52"/>
      <c r="S55" s="88" t="str">
        <f>IF(N55="","",SUMIFS(Buchungen!$O$6:$O$605,Buchungen!$G$6:$G$605,N55,Buchungen!$C$6:$C$605,"&gt;="&amp;Auswertung!$C$5,Buchungen!$C$6:$C$605,"&lt;="&amp;Auswertung!$E$5))</f>
        <v/>
      </c>
      <c r="T55" s="88" t="str">
        <f>IF(N55="","",IFERROR(S55/(Auswertung!$I$5/5),0))</f>
        <v/>
      </c>
    </row>
    <row r="56" spans="2:20" ht="18" customHeight="1" x14ac:dyDescent="0.25">
      <c r="N56" s="52"/>
      <c r="O56" s="53" t="str">
        <f t="shared" si="1"/>
        <v/>
      </c>
      <c r="P56" s="52"/>
      <c r="Q56" s="90"/>
      <c r="R56" s="52"/>
      <c r="S56" s="88" t="str">
        <f>IF(N56="","",SUMIFS(Buchungen!$O$6:$O$605,Buchungen!$G$6:$G$605,N56,Buchungen!$C$6:$C$605,"&gt;="&amp;Auswertung!$C$5,Buchungen!$C$6:$C$605,"&lt;="&amp;Auswertung!$E$5))</f>
        <v/>
      </c>
      <c r="T56" s="88" t="str">
        <f>IF(N56="","",IFERROR(S56/(Auswertung!$I$5/5),0))</f>
        <v/>
      </c>
    </row>
    <row r="57" spans="2:20" ht="18" customHeight="1" x14ac:dyDescent="0.25">
      <c r="N57" s="52"/>
      <c r="O57" s="53" t="str">
        <f t="shared" si="1"/>
        <v/>
      </c>
      <c r="P57" s="52"/>
      <c r="Q57" s="90"/>
      <c r="R57" s="52"/>
      <c r="S57" s="88" t="str">
        <f>IF(N57="","",SUMIFS(Buchungen!$O$6:$O$605,Buchungen!$G$6:$G$605,N57,Buchungen!$C$6:$C$605,"&gt;="&amp;Auswertung!$C$5,Buchungen!$C$6:$C$605,"&lt;="&amp;Auswertung!$E$5))</f>
        <v/>
      </c>
      <c r="T57" s="88" t="str">
        <f>IF(N57="","",IFERROR(S57/(Auswertung!$I$5/5),0))</f>
        <v/>
      </c>
    </row>
    <row r="58" spans="2:20" ht="18" customHeight="1" x14ac:dyDescent="0.25">
      <c r="N58" s="52"/>
      <c r="O58" s="53" t="str">
        <f t="shared" si="1"/>
        <v/>
      </c>
      <c r="P58" s="52"/>
      <c r="Q58" s="90"/>
      <c r="R58" s="52"/>
      <c r="S58" s="88" t="str">
        <f>IF(N58="","",SUMIFS(Buchungen!$O$6:$O$605,Buchungen!$G$6:$G$605,N58,Buchungen!$C$6:$C$605,"&gt;="&amp;Auswertung!$C$5,Buchungen!$C$6:$C$605,"&lt;="&amp;Auswertung!$E$5))</f>
        <v/>
      </c>
      <c r="T58" s="88" t="str">
        <f>IF(N58="","",IFERROR(S58/(Auswertung!$I$5/5),0))</f>
        <v/>
      </c>
    </row>
    <row r="59" spans="2:20" ht="18" customHeight="1" x14ac:dyDescent="0.25">
      <c r="N59" s="52"/>
      <c r="O59" s="53" t="str">
        <f t="shared" si="1"/>
        <v/>
      </c>
      <c r="P59" s="52"/>
      <c r="Q59" s="90"/>
      <c r="R59" s="52"/>
      <c r="S59" s="88" t="str">
        <f>IF(N59="","",SUMIFS(Buchungen!$O$6:$O$605,Buchungen!$G$6:$G$605,N59,Buchungen!$C$6:$C$605,"&gt;="&amp;Auswertung!$C$5,Buchungen!$C$6:$C$605,"&lt;="&amp;Auswertung!$E$5))</f>
        <v/>
      </c>
      <c r="T59" s="88" t="str">
        <f>IF(N59="","",IFERROR(S59/(Auswertung!$I$5/5),0))</f>
        <v/>
      </c>
    </row>
    <row r="60" spans="2:20" ht="18" customHeight="1" x14ac:dyDescent="0.25">
      <c r="N60" s="52"/>
      <c r="O60" s="53" t="str">
        <f t="shared" si="1"/>
        <v/>
      </c>
      <c r="P60" s="52"/>
      <c r="Q60" s="90"/>
      <c r="R60" s="52"/>
      <c r="S60" s="88" t="str">
        <f>IF(N60="","",SUMIFS(Buchungen!$O$6:$O$605,Buchungen!$G$6:$G$605,N60,Buchungen!$C$6:$C$605,"&gt;="&amp;Auswertung!$C$5,Buchungen!$C$6:$C$605,"&lt;="&amp;Auswertung!$E$5))</f>
        <v/>
      </c>
      <c r="T60" s="88" t="str">
        <f>IF(N60="","",IFERROR(S60/(Auswertung!$I$5/5),0))</f>
        <v/>
      </c>
    </row>
    <row r="61" spans="2:20" ht="18" customHeight="1" x14ac:dyDescent="0.25">
      <c r="N61" s="52"/>
      <c r="O61" s="53" t="str">
        <f t="shared" si="1"/>
        <v/>
      </c>
      <c r="P61" s="52"/>
      <c r="Q61" s="90"/>
      <c r="R61" s="52"/>
      <c r="S61" s="88" t="str">
        <f>IF(N61="","",SUMIFS(Buchungen!$O$6:$O$605,Buchungen!$G$6:$G$605,N61,Buchungen!$C$6:$C$605,"&gt;="&amp;Auswertung!$C$5,Buchungen!$C$6:$C$605,"&lt;="&amp;Auswertung!$E$5))</f>
        <v/>
      </c>
      <c r="T61" s="88" t="str">
        <f>IF(N61="","",IFERROR(S61/(Auswertung!$I$5/5),0))</f>
        <v/>
      </c>
    </row>
    <row r="62" spans="2:20" ht="18" customHeight="1" x14ac:dyDescent="0.25">
      <c r="N62" s="52"/>
      <c r="O62" s="53" t="str">
        <f t="shared" si="1"/>
        <v/>
      </c>
      <c r="P62" s="52"/>
      <c r="Q62" s="90"/>
      <c r="R62" s="52"/>
      <c r="S62" s="88" t="str">
        <f>IF(N62="","",SUMIFS(Buchungen!$O$6:$O$605,Buchungen!$G$6:$G$605,N62,Buchungen!$C$6:$C$605,"&gt;="&amp;Auswertung!$C$5,Buchungen!$C$6:$C$605,"&lt;="&amp;Auswertung!$E$5))</f>
        <v/>
      </c>
      <c r="T62" s="88" t="str">
        <f>IF(N62="","",IFERROR(S62/(Auswertung!$I$5/5),0))</f>
        <v/>
      </c>
    </row>
    <row r="63" spans="2:20" ht="18" customHeight="1" x14ac:dyDescent="0.25">
      <c r="N63" s="52"/>
      <c r="O63" s="53" t="str">
        <f t="shared" si="1"/>
        <v/>
      </c>
      <c r="P63" s="52"/>
      <c r="Q63" s="90"/>
      <c r="R63" s="52"/>
      <c r="S63" s="88" t="str">
        <f>IF(N63="","",SUMIFS(Buchungen!$O$6:$O$605,Buchungen!$G$6:$G$605,N63,Buchungen!$C$6:$C$605,"&gt;="&amp;Auswertung!$C$5,Buchungen!$C$6:$C$605,"&lt;="&amp;Auswertung!$E$5))</f>
        <v/>
      </c>
      <c r="T63" s="88" t="str">
        <f>IF(N63="","",IFERROR(S63/(Auswertung!$I$5/5),0))</f>
        <v/>
      </c>
    </row>
    <row r="64" spans="2:20" ht="18" customHeight="1" x14ac:dyDescent="0.25">
      <c r="N64" s="52"/>
      <c r="O64" s="53" t="str">
        <f t="shared" si="1"/>
        <v/>
      </c>
      <c r="P64" s="52"/>
      <c r="Q64" s="90"/>
      <c r="R64" s="52"/>
      <c r="S64" s="88" t="str">
        <f>IF(N64="","",SUMIFS(Buchungen!$O$6:$O$605,Buchungen!$G$6:$G$605,N64,Buchungen!$C$6:$C$605,"&gt;="&amp;Auswertung!$C$5,Buchungen!$C$6:$C$605,"&lt;="&amp;Auswertung!$E$5))</f>
        <v/>
      </c>
      <c r="T64" s="88" t="str">
        <f>IF(N64="","",IFERROR(S64/(Auswertung!$I$5/5),0))</f>
        <v/>
      </c>
    </row>
    <row r="65" spans="14:20" ht="18" customHeight="1" x14ac:dyDescent="0.25">
      <c r="N65" s="52"/>
      <c r="O65" s="53" t="str">
        <f t="shared" si="1"/>
        <v/>
      </c>
      <c r="P65" s="52"/>
      <c r="Q65" s="90"/>
      <c r="R65" s="52"/>
      <c r="S65" s="88" t="str">
        <f>IF(N65="","",SUMIFS(Buchungen!$O$6:$O$605,Buchungen!$G$6:$G$605,N65,Buchungen!$C$6:$C$605,"&gt;="&amp;Auswertung!$C$5,Buchungen!$C$6:$C$605,"&lt;="&amp;Auswertung!$E$5))</f>
        <v/>
      </c>
      <c r="T65" s="88" t="str">
        <f>IF(N65="","",IFERROR(S65/(Auswertung!$I$5/5),0))</f>
        <v/>
      </c>
    </row>
    <row r="66" spans="14:20" ht="18" customHeight="1" x14ac:dyDescent="0.25">
      <c r="N66" s="52"/>
      <c r="O66" s="53" t="str">
        <f t="shared" si="1"/>
        <v/>
      </c>
      <c r="P66" s="52"/>
      <c r="Q66" s="90"/>
      <c r="R66" s="52"/>
      <c r="S66" s="88" t="str">
        <f>IF(N66="","",SUMIFS(Buchungen!$O$6:$O$605,Buchungen!$G$6:$G$605,N66,Buchungen!$C$6:$C$605,"&gt;="&amp;Auswertung!$C$5,Buchungen!$C$6:$C$605,"&lt;="&amp;Auswertung!$E$5))</f>
        <v/>
      </c>
      <c r="T66" s="88" t="str">
        <f>IF(N66="","",IFERROR(S66/(Auswertung!$I$5/5),0))</f>
        <v/>
      </c>
    </row>
    <row r="67" spans="14:20" ht="18" customHeight="1" x14ac:dyDescent="0.25">
      <c r="N67" s="52"/>
      <c r="O67" s="53" t="str">
        <f t="shared" si="1"/>
        <v/>
      </c>
      <c r="P67" s="52"/>
      <c r="Q67" s="90"/>
      <c r="R67" s="52"/>
      <c r="S67" s="88" t="str">
        <f>IF(N67="","",SUMIFS(Buchungen!$O$6:$O$605,Buchungen!$G$6:$G$605,N67,Buchungen!$C$6:$C$605,"&gt;="&amp;Auswertung!$C$5,Buchungen!$C$6:$C$605,"&lt;="&amp;Auswertung!$E$5))</f>
        <v/>
      </c>
      <c r="T67" s="88" t="str">
        <f>IF(N67="","",IFERROR(S67/(Auswertung!$I$5/5),0))</f>
        <v/>
      </c>
    </row>
    <row r="68" spans="14:20" ht="18" customHeight="1" x14ac:dyDescent="0.25">
      <c r="N68" s="52"/>
      <c r="O68" s="53" t="str">
        <f t="shared" si="1"/>
        <v/>
      </c>
      <c r="P68" s="52"/>
      <c r="Q68" s="90"/>
      <c r="R68" s="52"/>
      <c r="S68" s="88" t="str">
        <f>IF(N68="","",SUMIFS(Buchungen!$O$6:$O$605,Buchungen!$G$6:$G$605,N68,Buchungen!$C$6:$C$605,"&gt;="&amp;Auswertung!$C$5,Buchungen!$C$6:$C$605,"&lt;="&amp;Auswertung!$E$5))</f>
        <v/>
      </c>
      <c r="T68" s="88" t="str">
        <f>IF(N68="","",IFERROR(S68/(Auswertung!$I$5/5),0))</f>
        <v/>
      </c>
    </row>
    <row r="69" spans="14:20" ht="18" customHeight="1" x14ac:dyDescent="0.25">
      <c r="N69" s="52"/>
      <c r="O69" s="53" t="str">
        <f t="shared" si="1"/>
        <v/>
      </c>
      <c r="P69" s="52"/>
      <c r="Q69" s="90"/>
      <c r="R69" s="52"/>
      <c r="S69" s="88" t="str">
        <f>IF(N69="","",SUMIFS(Buchungen!$O$6:$O$605,Buchungen!$G$6:$G$605,N69,Buchungen!$C$6:$C$605,"&gt;="&amp;Auswertung!$C$5,Buchungen!$C$6:$C$605,"&lt;="&amp;Auswertung!$E$5))</f>
        <v/>
      </c>
      <c r="T69" s="88" t="str">
        <f>IF(N69="","",IFERROR(S69/(Auswertung!$I$5/5),0))</f>
        <v/>
      </c>
    </row>
  </sheetData>
  <mergeCells count="2">
    <mergeCell ref="C5:E5"/>
    <mergeCell ref="C6:E6"/>
  </mergeCells>
  <conditionalFormatting sqref="B10:L49">
    <cfRule type="expression" dxfId="1" priority="4">
      <formula>AND($B10&lt;&gt;"",COUNTIF($B$10:$B$49,$B10)&gt;1)</formula>
    </cfRule>
  </conditionalFormatting>
  <conditionalFormatting sqref="I10:I49">
    <cfRule type="expression" dxfId="0" priority="3">
      <formula>$I10="Gesperrt"</formula>
    </cfRule>
  </conditionalFormatting>
  <conditionalFormatting sqref="L10:L49">
    <cfRule type="dataBar" priority="2">
      <dataBar>
        <cfvo type="num" val="0"/>
        <cfvo type="num" val="1"/>
        <color rgb="FF7FB5AE"/>
      </dataBar>
      <extLst>
        <ext xmlns:x14="http://schemas.microsoft.com/office/spreadsheetml/2009/9/main" uri="{B025F937-C7B1-47D3-B67F-A62EFF666E3E}">
          <x14:id>{F0E157E7-13FF-493B-8939-AC38EE6C502B}</x14:id>
        </ext>
      </extLst>
    </cfRule>
  </conditionalFormatting>
  <dataValidations count="7">
    <dataValidation type="list" allowBlank="1" showErrorMessage="1" errorTitle="Ungültiger Wert" error="Bitte einen Wert aus der Liste wählen." sqref="C10:C49" xr:uid="{00000000-0002-0000-0500-000000000000}">
      <formula1>$X$10:$X$13</formula1>
      <formula2>0</formula2>
    </dataValidation>
    <dataValidation type="list" allowBlank="1" showErrorMessage="1" errorTitle="Ungültiger Wert" error="Bitte einen Wert aus der Liste wählen." sqref="D10:D49 R10:R69" xr:uid="{00000000-0002-0000-0500-000001000000}">
      <formula1>$W$10:$W$15</formula1>
      <formula2>0</formula2>
    </dataValidation>
    <dataValidation type="list" allowBlank="1" showErrorMessage="1" errorTitle="Ungültiger Wert" error="Bitte einen Wert aus der Liste wählen." sqref="E10:E49" xr:uid="{00000000-0002-0000-0500-000002000000}">
      <formula1>$Y$10:$Y$14</formula1>
      <formula2>0</formula2>
    </dataValidation>
    <dataValidation type="list" allowBlank="1" showErrorMessage="1" errorTitle="Ungültiger Wert" error="Bitte einen Wert aus der Liste wählen." sqref="G10:H49" xr:uid="{00000000-0002-0000-0500-000003000000}">
      <formula1>$AC$10:$AC$11</formula1>
      <formula2>0</formula2>
    </dataValidation>
    <dataValidation type="list" allowBlank="1" showErrorMessage="1" errorTitle="Ungültiger Wert" error="Bitte einen Wert aus der Liste wählen." sqref="I10:I49" xr:uid="{00000000-0002-0000-0500-000004000000}">
      <formula1>$Z$10:$Z$11</formula1>
      <formula2>0</formula2>
    </dataValidation>
    <dataValidation type="list" allowBlank="1" showErrorMessage="1" errorTitle="Ungültiger Wert" error="Bitte einen Wert aus der Liste wählen." sqref="P10:P69" xr:uid="{00000000-0002-0000-0500-000005000000}">
      <formula1>$V$10:$V$17</formula1>
      <formula2>0</formula2>
    </dataValidation>
    <dataValidation type="whole" allowBlank="1" showErrorMessage="1" error="Bitte 0 bis 5 Bürotage eintragen." sqref="Q10:Q69" xr:uid="{00000000-0002-0000-0500-000007000000}">
      <formula1>0</formula1>
      <formula2>5</formula2>
    </dataValidation>
  </dataValidations>
  <printOptions horizontalCentered="1"/>
  <pageMargins left="0.4" right="0.4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E157E7-13FF-493B-8939-AC38EE6C502B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7FB5AE"/>
            </x14:dataBar>
          </x14:cfRule>
          <xm:sqref>L10:L49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973A"/>
    <pageSetUpPr fitToPage="1"/>
  </sheetPr>
  <dimension ref="A1:K41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5" customWidth="1"/>
    <col min="3" max="9" width="14" customWidth="1"/>
    <col min="10" max="10" width="18" customWidth="1"/>
  </cols>
  <sheetData>
    <row r="1" spans="1:11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3.75" customHeight="1" x14ac:dyDescent="0.25">
      <c r="A2" s="16"/>
      <c r="B2" s="17" t="s">
        <v>0</v>
      </c>
      <c r="C2" s="16"/>
      <c r="D2" s="16"/>
      <c r="E2" s="16"/>
      <c r="F2" s="16"/>
      <c r="G2" s="16"/>
      <c r="H2" s="16"/>
      <c r="I2" s="16"/>
      <c r="J2" s="18" t="s">
        <v>1</v>
      </c>
      <c r="K2" s="16"/>
    </row>
    <row r="3" spans="1:11" ht="19.5" customHeight="1" x14ac:dyDescent="0.25">
      <c r="A3" s="16"/>
      <c r="B3" s="19" t="s">
        <v>2</v>
      </c>
      <c r="C3" s="16"/>
      <c r="D3" s="16"/>
      <c r="E3" s="16"/>
      <c r="F3" s="16"/>
      <c r="G3" s="16"/>
      <c r="H3" s="16"/>
      <c r="I3" s="16"/>
      <c r="J3" s="16"/>
      <c r="K3" s="16"/>
    </row>
    <row r="4" spans="1:11" ht="12" customHeight="1" x14ac:dyDescent="0.25"/>
    <row r="5" spans="1:11" ht="25.5" customHeight="1" x14ac:dyDescent="0.25">
      <c r="B5" s="14" t="s">
        <v>3</v>
      </c>
      <c r="C5" s="14"/>
      <c r="D5" s="14"/>
      <c r="E5" s="14"/>
      <c r="F5" s="14"/>
      <c r="G5" s="14"/>
      <c r="H5" s="14"/>
      <c r="I5" s="14"/>
      <c r="J5" s="14"/>
    </row>
    <row r="6" spans="1:11" ht="25.5" customHeight="1" x14ac:dyDescent="0.25">
      <c r="B6" s="14"/>
      <c r="C6" s="14"/>
      <c r="D6" s="14"/>
      <c r="E6" s="14"/>
      <c r="F6" s="14"/>
      <c r="G6" s="14"/>
      <c r="H6" s="14"/>
      <c r="I6" s="14"/>
      <c r="J6" s="14"/>
    </row>
    <row r="8" spans="1:11" ht="21.75" customHeight="1" x14ac:dyDescent="0.25">
      <c r="B8" s="20" t="s">
        <v>4</v>
      </c>
      <c r="C8" s="21"/>
      <c r="D8" s="21"/>
      <c r="E8" s="21"/>
      <c r="F8" s="21"/>
      <c r="G8" s="21"/>
      <c r="H8" s="21"/>
      <c r="I8" s="21"/>
      <c r="J8" s="21"/>
    </row>
    <row r="9" spans="1:11" ht="18" customHeight="1" x14ac:dyDescent="0.25">
      <c r="B9" s="13">
        <v>1</v>
      </c>
      <c r="C9" s="22" t="s">
        <v>5</v>
      </c>
    </row>
    <row r="10" spans="1:11" ht="39.75" customHeight="1" x14ac:dyDescent="0.25">
      <c r="B10" s="13"/>
      <c r="C10" s="12" t="s">
        <v>6</v>
      </c>
      <c r="D10" s="12"/>
      <c r="E10" s="12"/>
      <c r="F10" s="12"/>
      <c r="G10" s="12"/>
      <c r="H10" s="12"/>
      <c r="I10" s="12"/>
      <c r="J10" s="12"/>
    </row>
    <row r="11" spans="1:11" ht="7.5" customHeight="1" x14ac:dyDescent="0.25"/>
    <row r="12" spans="1:11" ht="18" customHeight="1" x14ac:dyDescent="0.25">
      <c r="B12" s="11">
        <v>2</v>
      </c>
      <c r="C12" s="22" t="s">
        <v>7</v>
      </c>
    </row>
    <row r="13" spans="1:11" ht="39.75" customHeight="1" x14ac:dyDescent="0.25">
      <c r="B13" s="11"/>
      <c r="C13" s="12" t="s">
        <v>8</v>
      </c>
      <c r="D13" s="12"/>
      <c r="E13" s="12"/>
      <c r="F13" s="12"/>
      <c r="G13" s="12"/>
      <c r="H13" s="12"/>
      <c r="I13" s="12"/>
      <c r="J13" s="12"/>
    </row>
    <row r="14" spans="1:11" ht="7.5" customHeight="1" x14ac:dyDescent="0.25"/>
    <row r="15" spans="1:11" ht="18" customHeight="1" x14ac:dyDescent="0.25">
      <c r="B15" s="13">
        <v>3</v>
      </c>
      <c r="C15" s="22" t="s">
        <v>9</v>
      </c>
    </row>
    <row r="16" spans="1:11" ht="39.75" customHeight="1" x14ac:dyDescent="0.25">
      <c r="B16" s="13"/>
      <c r="C16" s="12" t="s">
        <v>10</v>
      </c>
      <c r="D16" s="12"/>
      <c r="E16" s="12"/>
      <c r="F16" s="12"/>
      <c r="G16" s="12"/>
      <c r="H16" s="12"/>
      <c r="I16" s="12"/>
      <c r="J16" s="12"/>
    </row>
    <row r="17" spans="2:10" ht="7.5" customHeight="1" x14ac:dyDescent="0.25"/>
    <row r="18" spans="2:10" ht="18" customHeight="1" x14ac:dyDescent="0.25">
      <c r="B18" s="11">
        <v>4</v>
      </c>
      <c r="C18" s="22" t="s">
        <v>11</v>
      </c>
    </row>
    <row r="19" spans="2:10" ht="39.75" customHeight="1" x14ac:dyDescent="0.25">
      <c r="B19" s="11"/>
      <c r="C19" s="12" t="s">
        <v>12</v>
      </c>
      <c r="D19" s="12"/>
      <c r="E19" s="12"/>
      <c r="F19" s="12"/>
      <c r="G19" s="12"/>
      <c r="H19" s="12"/>
      <c r="I19" s="12"/>
      <c r="J19" s="12"/>
    </row>
    <row r="20" spans="2:10" ht="7.5" customHeight="1" x14ac:dyDescent="0.25"/>
    <row r="21" spans="2:10" ht="18" customHeight="1" x14ac:dyDescent="0.25">
      <c r="B21" s="13">
        <v>5</v>
      </c>
      <c r="C21" s="22" t="s">
        <v>13</v>
      </c>
    </row>
    <row r="22" spans="2:10" ht="39.75" customHeight="1" x14ac:dyDescent="0.25">
      <c r="B22" s="13"/>
      <c r="C22" s="12" t="s">
        <v>14</v>
      </c>
      <c r="D22" s="12"/>
      <c r="E22" s="12"/>
      <c r="F22" s="12"/>
      <c r="G22" s="12"/>
      <c r="H22" s="12"/>
      <c r="I22" s="12"/>
      <c r="J22" s="12"/>
    </row>
    <row r="23" spans="2:10" ht="7.5" customHeight="1" x14ac:dyDescent="0.25"/>
    <row r="25" spans="2:10" ht="21.75" customHeight="1" x14ac:dyDescent="0.25">
      <c r="B25" s="20" t="s">
        <v>15</v>
      </c>
      <c r="C25" s="21"/>
      <c r="D25" s="21"/>
      <c r="E25" s="21"/>
      <c r="F25" s="21"/>
      <c r="G25" s="21"/>
      <c r="H25" s="21"/>
      <c r="I25" s="21"/>
      <c r="J25" s="21"/>
    </row>
    <row r="26" spans="2:10" ht="19.5" customHeight="1" x14ac:dyDescent="0.25">
      <c r="B26" s="10" t="s">
        <v>16</v>
      </c>
      <c r="C26" s="10"/>
      <c r="D26" s="9" t="s">
        <v>17</v>
      </c>
      <c r="E26" s="9"/>
      <c r="F26" s="9"/>
      <c r="G26" s="9"/>
      <c r="H26" s="9"/>
      <c r="I26" s="9"/>
      <c r="J26" s="9"/>
    </row>
    <row r="27" spans="2:10" ht="19.5" customHeight="1" x14ac:dyDescent="0.25">
      <c r="B27" s="8" t="s">
        <v>18</v>
      </c>
      <c r="C27" s="8"/>
      <c r="D27" s="9" t="s">
        <v>19</v>
      </c>
      <c r="E27" s="9"/>
      <c r="F27" s="9"/>
      <c r="G27" s="9"/>
      <c r="H27" s="9"/>
      <c r="I27" s="9"/>
      <c r="J27" s="9"/>
    </row>
    <row r="28" spans="2:10" ht="19.5" customHeight="1" x14ac:dyDescent="0.25">
      <c r="B28" s="7" t="s">
        <v>20</v>
      </c>
      <c r="C28" s="7"/>
      <c r="D28" s="9" t="s">
        <v>21</v>
      </c>
      <c r="E28" s="9"/>
      <c r="F28" s="9"/>
      <c r="G28" s="9"/>
      <c r="H28" s="9"/>
      <c r="I28" s="9"/>
      <c r="J28" s="9"/>
    </row>
    <row r="29" spans="2:10" ht="19.5" customHeight="1" x14ac:dyDescent="0.25">
      <c r="B29" s="6" t="s">
        <v>22</v>
      </c>
      <c r="C29" s="6"/>
      <c r="D29" s="9" t="s">
        <v>23</v>
      </c>
      <c r="E29" s="9"/>
      <c r="F29" s="9"/>
      <c r="G29" s="9"/>
      <c r="H29" s="9"/>
      <c r="I29" s="9"/>
      <c r="J29" s="9"/>
    </row>
    <row r="30" spans="2:10" ht="19.5" customHeight="1" x14ac:dyDescent="0.25">
      <c r="B30" s="5" t="s">
        <v>24</v>
      </c>
      <c r="C30" s="5"/>
      <c r="D30" s="9" t="s">
        <v>25</v>
      </c>
      <c r="E30" s="9"/>
      <c r="F30" s="9"/>
      <c r="G30" s="9"/>
      <c r="H30" s="9"/>
      <c r="I30" s="9"/>
      <c r="J30" s="9"/>
    </row>
    <row r="31" spans="2:10" ht="19.5" customHeight="1" x14ac:dyDescent="0.25">
      <c r="B31" s="4" t="s">
        <v>26</v>
      </c>
      <c r="C31" s="4"/>
      <c r="D31" s="9" t="s">
        <v>27</v>
      </c>
      <c r="E31" s="9"/>
      <c r="F31" s="9"/>
      <c r="G31" s="9"/>
      <c r="H31" s="9"/>
      <c r="I31" s="9"/>
      <c r="J31" s="9"/>
    </row>
    <row r="32" spans="2:10" ht="19.5" customHeight="1" x14ac:dyDescent="0.25">
      <c r="B32" s="3" t="s">
        <v>28</v>
      </c>
      <c r="C32" s="3"/>
      <c r="D32" s="9" t="s">
        <v>29</v>
      </c>
      <c r="E32" s="9"/>
      <c r="F32" s="9"/>
      <c r="G32" s="9"/>
      <c r="H32" s="9"/>
      <c r="I32" s="9"/>
      <c r="J32" s="9"/>
    </row>
    <row r="33" spans="2:10" ht="19.5" customHeight="1" x14ac:dyDescent="0.25">
      <c r="B33" s="2" t="s">
        <v>30</v>
      </c>
      <c r="C33" s="2"/>
      <c r="D33" s="9" t="s">
        <v>31</v>
      </c>
      <c r="E33" s="9"/>
      <c r="F33" s="9"/>
      <c r="G33" s="9"/>
      <c r="H33" s="9"/>
      <c r="I33" s="9"/>
      <c r="J33" s="9"/>
    </row>
    <row r="35" spans="2:10" ht="21.75" customHeight="1" x14ac:dyDescent="0.25">
      <c r="B35" s="20" t="s">
        <v>32</v>
      </c>
      <c r="C35" s="21"/>
      <c r="D35" s="21"/>
      <c r="E35" s="21"/>
      <c r="F35" s="21"/>
      <c r="G35" s="21"/>
      <c r="H35" s="21"/>
      <c r="I35" s="21"/>
      <c r="J35" s="21"/>
    </row>
    <row r="36" spans="2:10" ht="19.5" customHeight="1" x14ac:dyDescent="0.25">
      <c r="B36" s="24" t="s">
        <v>33</v>
      </c>
      <c r="C36" s="9" t="s">
        <v>34</v>
      </c>
      <c r="D36" s="9"/>
      <c r="E36" s="9"/>
      <c r="F36" s="9"/>
      <c r="G36" s="9"/>
      <c r="H36" s="9"/>
      <c r="I36" s="9"/>
      <c r="J36" s="9"/>
    </row>
    <row r="37" spans="2:10" ht="19.5" customHeight="1" x14ac:dyDescent="0.25">
      <c r="B37" s="24" t="s">
        <v>33</v>
      </c>
      <c r="C37" s="9" t="s">
        <v>35</v>
      </c>
      <c r="D37" s="9"/>
      <c r="E37" s="9"/>
      <c r="F37" s="9"/>
      <c r="G37" s="9"/>
      <c r="H37" s="9"/>
      <c r="I37" s="9"/>
      <c r="J37" s="9"/>
    </row>
    <row r="38" spans="2:10" ht="19.5" customHeight="1" x14ac:dyDescent="0.25">
      <c r="B38" s="24" t="s">
        <v>33</v>
      </c>
      <c r="C38" s="9" t="s">
        <v>36</v>
      </c>
      <c r="D38" s="9"/>
      <c r="E38" s="9"/>
      <c r="F38" s="9"/>
      <c r="G38" s="9"/>
      <c r="H38" s="9"/>
      <c r="I38" s="9"/>
      <c r="J38" s="9"/>
    </row>
    <row r="39" spans="2:10" ht="19.5" customHeight="1" x14ac:dyDescent="0.25">
      <c r="B39" s="24" t="s">
        <v>33</v>
      </c>
      <c r="C39" s="9" t="s">
        <v>37</v>
      </c>
      <c r="D39" s="9"/>
      <c r="E39" s="9"/>
      <c r="F39" s="9"/>
      <c r="G39" s="9"/>
      <c r="H39" s="9"/>
      <c r="I39" s="9"/>
      <c r="J39" s="9"/>
    </row>
    <row r="40" spans="2:10" ht="19.5" customHeight="1" x14ac:dyDescent="0.25">
      <c r="B40" s="24" t="s">
        <v>33</v>
      </c>
      <c r="C40" s="9" t="s">
        <v>38</v>
      </c>
      <c r="D40" s="9"/>
      <c r="E40" s="9"/>
      <c r="F40" s="9"/>
      <c r="G40" s="9"/>
      <c r="H40" s="9"/>
      <c r="I40" s="9"/>
      <c r="J40" s="9"/>
    </row>
    <row r="41" spans="2:10" ht="19.5" customHeight="1" x14ac:dyDescent="0.25">
      <c r="B41" s="24" t="s">
        <v>33</v>
      </c>
      <c r="C41" s="9" t="s">
        <v>39</v>
      </c>
      <c r="D41" s="9"/>
      <c r="E41" s="9"/>
      <c r="F41" s="9"/>
      <c r="G41" s="9"/>
      <c r="H41" s="9"/>
      <c r="I41" s="9"/>
      <c r="J41" s="9"/>
    </row>
  </sheetData>
  <mergeCells count="33">
    <mergeCell ref="C37:J37"/>
    <mergeCell ref="C38:J38"/>
    <mergeCell ref="C39:J39"/>
    <mergeCell ref="C40:J40"/>
    <mergeCell ref="C41:J41"/>
    <mergeCell ref="B32:C32"/>
    <mergeCell ref="D32:J32"/>
    <mergeCell ref="B33:C33"/>
    <mergeCell ref="D33:J33"/>
    <mergeCell ref="C36:J36"/>
    <mergeCell ref="B29:C29"/>
    <mergeCell ref="D29:J29"/>
    <mergeCell ref="B30:C30"/>
    <mergeCell ref="D30:J30"/>
    <mergeCell ref="B31:C31"/>
    <mergeCell ref="D31:J31"/>
    <mergeCell ref="B26:C26"/>
    <mergeCell ref="D26:J26"/>
    <mergeCell ref="B27:C27"/>
    <mergeCell ref="D27:J27"/>
    <mergeCell ref="B28:C28"/>
    <mergeCell ref="D28:J28"/>
    <mergeCell ref="B15:B16"/>
    <mergeCell ref="C16:J16"/>
    <mergeCell ref="B18:B19"/>
    <mergeCell ref="C19:J19"/>
    <mergeCell ref="B21:B22"/>
    <mergeCell ref="C22:J22"/>
    <mergeCell ref="B5:J6"/>
    <mergeCell ref="B9:B10"/>
    <mergeCell ref="C10:J10"/>
    <mergeCell ref="B12:B13"/>
    <mergeCell ref="C13:J13"/>
  </mergeCells>
  <printOptions horizontalCentered="1"/>
  <pageMargins left="0.4" right="0.4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Belegungsplan</vt:lpstr>
      <vt:lpstr>Buchungen</vt:lpstr>
      <vt:lpstr>Teamplan</vt:lpstr>
      <vt:lpstr>Auswertung</vt:lpstr>
      <vt:lpstr>Stammdaten</vt:lpstr>
      <vt:lpstr>Anleitung</vt:lpstr>
      <vt:lpstr>Belegungsplan!Drucktitel</vt:lpstr>
      <vt:lpstr>Buchungen!Drucktitel</vt:lpstr>
      <vt:lpstr>Teamplan!Drucktitel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2026-10-14T10:12:16Z</dcterms:created>
  <dcterms:modified xsi:type="dcterms:W3CDTF">2026-10-14T10:44:51Z</dcterms:modified>
  <dc:language>en-US</dc:language>
</cp:coreProperties>
</file>