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A296618A-F46F-46C6-ADEA-66545C9598DA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Dashboard" sheetId="3" r:id="rId1"/>
    <sheet name="Risikobewertung" sheetId="2" r:id="rId2"/>
    <sheet name="Anleitung" sheetId="1" r:id="rId3"/>
  </sheets>
  <definedNames>
    <definedName name="_xlnm._FilterDatabase" localSheetId="1" hidden="1">Risikobewertung!$A$5:$W$20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0" i="2" l="1"/>
  <c r="O20" i="2" s="1"/>
  <c r="Q20" i="2" s="1"/>
  <c r="N19" i="2"/>
  <c r="O19" i="2" s="1"/>
  <c r="Q19" i="2" s="1"/>
  <c r="N18" i="2"/>
  <c r="O18" i="2" s="1"/>
  <c r="Q18" i="2" s="1"/>
  <c r="N17" i="2"/>
  <c r="O17" i="2" s="1"/>
  <c r="Q17" i="2" s="1"/>
  <c r="N16" i="2"/>
  <c r="O16" i="2" s="1"/>
  <c r="Q16" i="2" s="1"/>
  <c r="N15" i="2"/>
  <c r="O15" i="2" s="1"/>
  <c r="Q15" i="2" s="1"/>
  <c r="N14" i="2"/>
  <c r="O14" i="2" s="1"/>
  <c r="Q14" i="2" s="1"/>
  <c r="N13" i="2"/>
  <c r="O13" i="2" s="1"/>
  <c r="Q13" i="2" s="1"/>
  <c r="N12" i="2"/>
  <c r="O12" i="2" s="1"/>
  <c r="Q12" i="2" s="1"/>
  <c r="N11" i="2"/>
  <c r="O11" i="2" s="1"/>
  <c r="Q11" i="2" s="1"/>
  <c r="N10" i="2"/>
  <c r="O10" i="2" s="1"/>
  <c r="Q10" i="2" s="1"/>
  <c r="N9" i="2"/>
  <c r="O9" i="2" s="1"/>
  <c r="Q9" i="2" s="1"/>
  <c r="N8" i="2"/>
  <c r="O8" i="2" s="1"/>
  <c r="Q8" i="2" s="1"/>
  <c r="N7" i="2"/>
  <c r="O7" i="2" s="1"/>
  <c r="Q7" i="2" s="1"/>
  <c r="N6" i="2"/>
  <c r="O6" i="2" s="1"/>
  <c r="C37" i="1"/>
  <c r="X12" i="2" l="1"/>
  <c r="R12" i="2"/>
  <c r="X14" i="2"/>
  <c r="R14" i="2"/>
  <c r="F31" i="3"/>
  <c r="D31" i="3"/>
  <c r="C31" i="3"/>
  <c r="E31" i="3"/>
  <c r="G33" i="3"/>
  <c r="F33" i="3"/>
  <c r="E33" i="3"/>
  <c r="D33" i="3"/>
  <c r="Q6" i="2"/>
  <c r="C33" i="3"/>
  <c r="G30" i="3"/>
  <c r="F30" i="3"/>
  <c r="E30" i="3"/>
  <c r="D30" i="3"/>
  <c r="G32" i="3"/>
  <c r="C30" i="3"/>
  <c r="F32" i="3"/>
  <c r="E32" i="3"/>
  <c r="D32" i="3"/>
  <c r="C32" i="3"/>
  <c r="G29" i="3"/>
  <c r="F29" i="3"/>
  <c r="E29" i="3"/>
  <c r="D29" i="3"/>
  <c r="G31" i="3"/>
  <c r="C29" i="3"/>
  <c r="X8" i="2"/>
  <c r="R8" i="2"/>
  <c r="X9" i="2"/>
  <c r="R9" i="2"/>
  <c r="X10" i="2"/>
  <c r="R10" i="2"/>
  <c r="R11" i="2"/>
  <c r="X11" i="2"/>
  <c r="R7" i="2"/>
  <c r="X7" i="2"/>
  <c r="X13" i="2"/>
  <c r="R13" i="2"/>
  <c r="R15" i="2"/>
  <c r="X15" i="2"/>
  <c r="X16" i="2"/>
  <c r="R16" i="2"/>
  <c r="X17" i="2"/>
  <c r="R17" i="2"/>
  <c r="X18" i="2"/>
  <c r="R18" i="2"/>
  <c r="R19" i="2"/>
  <c r="X19" i="2"/>
  <c r="X20" i="2"/>
  <c r="R20" i="2"/>
  <c r="D6" i="3"/>
  <c r="X6" i="2" l="1"/>
  <c r="R6" i="2"/>
  <c r="B6" i="3"/>
  <c r="C14" i="3" l="1"/>
  <c r="D14" i="3" s="1"/>
  <c r="C13" i="3"/>
  <c r="D13" i="3" s="1"/>
  <c r="C12" i="3"/>
  <c r="D12" i="3" s="1"/>
  <c r="C11" i="3"/>
  <c r="H6" i="3"/>
  <c r="F6" i="3"/>
  <c r="L33" i="3"/>
  <c r="K33" i="3"/>
  <c r="J33" i="3"/>
  <c r="L30" i="3"/>
  <c r="K30" i="3"/>
  <c r="J30" i="3"/>
  <c r="L32" i="3"/>
  <c r="K32" i="3"/>
  <c r="J32" i="3"/>
  <c r="L29" i="3"/>
  <c r="K29" i="3"/>
  <c r="J29" i="3"/>
  <c r="L31" i="3"/>
  <c r="K31" i="3"/>
  <c r="J31" i="3"/>
  <c r="C15" i="3" l="1"/>
  <c r="D11" i="3"/>
  <c r="D15" i="3" s="1"/>
</calcChain>
</file>

<file path=xl/sharedStrings.xml><?xml version="1.0" encoding="utf-8"?>
<sst xmlns="http://schemas.openxmlformats.org/spreadsheetml/2006/main" count="213" uniqueCount="155">
  <si>
    <t>Lieferanten-Risikoanalyse</t>
  </si>
  <si>
    <t>Bewertung, Priorisierung und Steuerung von Beschaffungsrisiken  ·  Vorlage · Stand 2026</t>
  </si>
  <si>
    <t>So funktioniert diese Vorlage</t>
  </si>
  <si>
    <t>1.  Tragen Sie im Blatt »Risikobewertung« Ihre Lieferanten mit Stammdaten ein (hell hinterlegte Felder).</t>
  </si>
  <si>
    <t>2.  Bewerten Sie jeden Lieferanten in sechs Risikokriterien auf einer Skala von 1 (sehr gering) bis 5 (sehr hoch).</t>
  </si>
  <si>
    <t>3.  Legen Sie die Geschäftskritikalität (Auswirkung eines Ausfalls) von 1 bis 5 fest.</t>
  </si>
  <si>
    <t>4.  Die Vorlage berechnet automatisch den gewichteten Risikowert, die Risikoprioritätszahl (RPZ) und die Risikoklasse.</t>
  </si>
  <si>
    <t>5.  Leiten Sie Maßnahmen ab, vergeben Sie Verantwortliche, Termine und einen Status – und dokumentieren Sie das Restrisiko.</t>
  </si>
  <si>
    <t>Das Blatt »Dashboard« verdichtet alle Ergebnisse zu Kennzahlen, einer Risikomatrix und den Top-Risiken.</t>
  </si>
  <si>
    <t>Farb-Legende</t>
  </si>
  <si>
    <t>Eingabefeld – von Ihnen auszufüllen</t>
  </si>
  <si>
    <t>Automatisch berechnetes Feld – bitte nicht überschreiben</t>
  </si>
  <si>
    <t>Steuerungsgröße (Gewichtung / Schwellenwert) – hier justieren Sie das Modell</t>
  </si>
  <si>
    <t>Bewertungsskala – Risikokriterien (Eintrittswahrscheinlichkeit / Ausprägung)</t>
  </si>
  <si>
    <t>Wert</t>
  </si>
  <si>
    <t>Bedeutung</t>
  </si>
  <si>
    <t>Beschreibung</t>
  </si>
  <si>
    <t>Sehr gering</t>
  </si>
  <si>
    <t>Kein bekanntes Problem; stabiler, zuverlässiger Lieferant.</t>
  </si>
  <si>
    <t>Gering</t>
  </si>
  <si>
    <t>Vereinzelte Auffälligkeiten, gut beherrschbar.</t>
  </si>
  <si>
    <t>Mittel</t>
  </si>
  <si>
    <t>Wiederkehrende Schwächen; Beobachtung erforderlich.</t>
  </si>
  <si>
    <t>Hoch</t>
  </si>
  <si>
    <t>Deutliche Risiken; kurzfristige Maßnahmen nötig.</t>
  </si>
  <si>
    <t>Sehr hoch</t>
  </si>
  <si>
    <t>Kritische Lage; unmittelbarer Handlungsbedarf.</t>
  </si>
  <si>
    <t>Bewertungsskala – Geschäftskritikalität (Auswirkung eines Ausfalls)</t>
  </si>
  <si>
    <t>Vernachlässigbar</t>
  </si>
  <si>
    <t>Leicht ersetzbar; keine spürbare Auswirkung auf den Betrieb.</t>
  </si>
  <si>
    <t>Kurzfristig kompensierbar; geringe Mehrkosten.</t>
  </si>
  <si>
    <t>Spürbar</t>
  </si>
  <si>
    <t>Störungen im Ablauf; alternative Quellen mit Aufwand.</t>
  </si>
  <si>
    <t>Schwerwiegend</t>
  </si>
  <si>
    <t>Produktions-/Lieferausfälle; nur schwer ersetzbar.</t>
  </si>
  <si>
    <t>Existenzbedrohend</t>
  </si>
  <si>
    <t>Single Source, strategisch; Ausfall gefährdet das Kerngeschäft.</t>
  </si>
  <si>
    <t>Gewichtung der Risikokriterien  (Summe = 100 %)</t>
  </si>
  <si>
    <t>Kriterium</t>
  </si>
  <si>
    <t>Qualität</t>
  </si>
  <si>
    <t>Liefertreue &amp; Versorgung</t>
  </si>
  <si>
    <t>Finanzstabilität</t>
  </si>
  <si>
    <t>Abhängigkeit</t>
  </si>
  <si>
    <t>Compliance &amp; Recht</t>
  </si>
  <si>
    <t>Nachhaltigkeit (ESG)</t>
  </si>
  <si>
    <t>Gewichtung</t>
  </si>
  <si>
    <t>Summe</t>
  </si>
  <si>
    <t>Risikoklassen &amp; Schwellenwerte  (RPZ = Wahrscheinlichkeit × Auswirkung, 1–25)</t>
  </si>
  <si>
    <t>Risikoklasse</t>
  </si>
  <si>
    <t>RPZ von</t>
  </si>
  <si>
    <t>RPZ bis</t>
  </si>
  <si>
    <t>Bedeutung / Priorität</t>
  </si>
  <si>
    <t>Standardüberwachung; keine Sofortmaßnahmen.</t>
  </si>
  <si>
    <t>Beobachten; Maßnahmen einplanen.</t>
  </si>
  <si>
    <t>Priorisieren; Maßnahmen zeitnah umsetzen.</t>
  </si>
  <si>
    <t>Kritisch</t>
  </si>
  <si>
    <t>Sofort handeln; Eskalation und Alternativen prüfen.</t>
  </si>
  <si>
    <t>Statuswerte für Maßnahmen</t>
  </si>
  <si>
    <t>Status</t>
  </si>
  <si>
    <t>Offen · In Bearbeitung · Überwachung · Abgeschlossen</t>
  </si>
  <si>
    <t>Offen</t>
  </si>
  <si>
    <t>Single Source</t>
  </si>
  <si>
    <t>In Bearbeitung</t>
  </si>
  <si>
    <t>Dual Source</t>
  </si>
  <si>
    <t>Hinweis: Alle Beispieldaten sind frei erfunden und dienen nur der Veranschaulichung. Passen Sie Kriterien, Gewichtungen und Schwellenwerte an Ihre Organisation an.</t>
  </si>
  <si>
    <t>Überwachung</t>
  </si>
  <si>
    <t>Multi Source</t>
  </si>
  <si>
    <t>Abgeschlossen</t>
  </si>
  <si>
    <t>Lieferanten-Risikoanalyse  ·  Risikobewertung</t>
  </si>
  <si>
    <t>Bewertungszeitraum Geschäftsjahr 2026  ·  Skala 1 (sehr gering) – 5 (sehr hoch)  ·  Definitionen und Gewichtungen siehe Blatt »Anleitung«</t>
  </si>
  <si>
    <t>Stammdaten</t>
  </si>
  <si>
    <t>Risikokriterien  (Bewertung 1–5)</t>
  </si>
  <si>
    <t>Risikoergebnis  (automatisch)</t>
  </si>
  <si>
    <t>Maßnahmen &amp; Steuerung</t>
  </si>
  <si>
    <t>Nr.</t>
  </si>
  <si>
    <t>Lieferant</t>
  </si>
  <si>
    <t>Warengruppe</t>
  </si>
  <si>
    <t>Land</t>
  </si>
  <si>
    <t>Jahres-
volumen (€)</t>
  </si>
  <si>
    <t>Versorgungs-
typ</t>
  </si>
  <si>
    <t>Letzte
Bewertung</t>
  </si>
  <si>
    <t>Liefertreue
&amp; Versorgung</t>
  </si>
  <si>
    <t>Finanz-
stabilität</t>
  </si>
  <si>
    <t>Abhängig-
keit</t>
  </si>
  <si>
    <t>Compliance
&amp; Recht</t>
  </si>
  <si>
    <t>Nachhaltig-
keit (ESG)</t>
  </si>
  <si>
    <t>Gewichteter
Risikowert</t>
  </si>
  <si>
    <t>Wahrsch.-
Stufe</t>
  </si>
  <si>
    <t>Geschäfts-
kritikalität</t>
  </si>
  <si>
    <t>RPZ</t>
  </si>
  <si>
    <t>Risiko-
klasse</t>
  </si>
  <si>
    <t>Maßnahme</t>
  </si>
  <si>
    <t>Verantwortlich</t>
  </si>
  <si>
    <t>Termin
2026</t>
  </si>
  <si>
    <t>Rest-
risiko</t>
  </si>
  <si>
    <t>key</t>
  </si>
  <si>
    <t>Nordlicht Elektronik GmbH</t>
  </si>
  <si>
    <t>Elektronikkomponenten</t>
  </si>
  <si>
    <t>Deutschland</t>
  </si>
  <si>
    <t>Zweitlieferant qualifizieren, Rahmenvertrag prüfen</t>
  </si>
  <si>
    <t>Strategischer Einkauf</t>
  </si>
  <si>
    <t>Baltic Metalltechnik Sp. z o.o.</t>
  </si>
  <si>
    <t>Metallbauteile</t>
  </si>
  <si>
    <t>Polen</t>
  </si>
  <si>
    <t>Sicherheitsbestand aufbauen, Auditierung planen</t>
  </si>
  <si>
    <t>Lieferantenmanagement</t>
  </si>
  <si>
    <t>Sunrise Packaging Ltd.</t>
  </si>
  <si>
    <t>Verpackungsmaterial</t>
  </si>
  <si>
    <t>China</t>
  </si>
  <si>
    <t>Nearshoring-Alternative aufbauen, Doppelquelle etablieren</t>
  </si>
  <si>
    <t>Supply Chain Management</t>
  </si>
  <si>
    <t>Alpen Rohstoffe AG</t>
  </si>
  <si>
    <t>Chemische Rohstoffe</t>
  </si>
  <si>
    <t>Österreich</t>
  </si>
  <si>
    <t>ESG-Nachweise einholen, Bonität jährlich prüfen</t>
  </si>
  <si>
    <t>Qualitätsmanagement</t>
  </si>
  <si>
    <t>TransLog Spedition GmbH</t>
  </si>
  <si>
    <t>Logistikdienstleistung</t>
  </si>
  <si>
    <t>Service-Level-Vereinbarung nachschärfen</t>
  </si>
  <si>
    <t>Mekong Textil Co.</t>
  </si>
  <si>
    <t>Textilkomponenten</t>
  </si>
  <si>
    <t>Vietnam</t>
  </si>
  <si>
    <t>Sorgfaltsprüfung nach LkSG, Vor-Ort-Audit, Alternativquelle</t>
  </si>
  <si>
    <t>Compliance &amp; Einkauf</t>
  </si>
  <si>
    <t>Ibérica Componentes S.L.</t>
  </si>
  <si>
    <t>Kunststoffteile</t>
  </si>
  <si>
    <t>Spanien</t>
  </si>
  <si>
    <t>Reguläre Bewertung im Jahresturnus</t>
  </si>
  <si>
    <t>DataServ Solutions GmbH</t>
  </si>
  <si>
    <t>IT-Dienstleistung</t>
  </si>
  <si>
    <t>Exit-Strategie und Daten-Backup vertraglich sichern</t>
  </si>
  <si>
    <t>IT &amp; Einkauf</t>
  </si>
  <si>
    <t>Anatolia Guss &amp; Schmiede</t>
  </si>
  <si>
    <t>Gussteile</t>
  </si>
  <si>
    <t>Türkei</t>
  </si>
  <si>
    <t>Bonitätsmonitoring, Vorauszahlungen begrenzen, Zweitquelle</t>
  </si>
  <si>
    <t>GreenSource Naturprodukte GmbH</t>
  </si>
  <si>
    <t>Naturrohstoffe</t>
  </si>
  <si>
    <t>Standardüberwachung, jährliche Selbstauskunft</t>
  </si>
  <si>
    <t>Lieferanten-Risikoanalyse  ·  Dashboard</t>
  </si>
  <si>
    <t>Automatische Auswertung aller Einträge aus dem Blatt »Risikobewertung«  ·  Stand 2026</t>
  </si>
  <si>
    <t>Bewertete Lieferanten</t>
  </si>
  <si>
    <t>Ø Risikowert</t>
  </si>
  <si>
    <t>Hohe Risiken</t>
  </si>
  <si>
    <t>Kritische Risiken</t>
  </si>
  <si>
    <t>Verteilung nach Risikoklasse</t>
  </si>
  <si>
    <t>Anzahl</t>
  </si>
  <si>
    <t>Anteil</t>
  </si>
  <si>
    <t>Risikomatrix  ·  Anzahl Lieferanten je Feld</t>
  </si>
  <si>
    <t>Wahrscheinlichkeit →</t>
  </si>
  <si>
    <t>Top-Risiken (nach RPZ)</t>
  </si>
  <si>
    <t>Auswirkung ↓</t>
  </si>
  <si>
    <t>#</t>
  </si>
  <si>
    <t>Klasse</t>
  </si>
  <si>
    <t>Felder eingefärbt nach Risikoklasse (grün → gelb → orange → rot). RPZ = Wahrscheinlichkeit × Auswirkung.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</si>
</sst>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%"/>
    <numFmt numFmtId="165" formatCode="#,##0&quot; €&quot;"/>
    <numFmt numFmtId="166" formatCode="dd\.mm\.yyyy"/>
    <numFmt numFmtId="167" formatCode="0.0"/>
  </numFmts>
  <fonts count="20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1"/>
      <color rgb="FFD6E6EA"/>
      <name val="Calibri"/>
      <charset val="1"/>
    </font>
    <font>
      <b/>
      <sz val="12"/>
      <color rgb="FF0E4C5A"/>
      <name val="Calibri"/>
      <charset val="1"/>
    </font>
    <font>
      <sz val="10"/>
      <color rgb="FF1F2A2E"/>
      <name val="Calibri"/>
      <charset val="1"/>
    </font>
    <font>
      <b/>
      <sz val="10"/>
      <color rgb="FFFFFFFF"/>
      <name val="Calibri"/>
      <charset val="1"/>
    </font>
    <font>
      <b/>
      <sz val="10"/>
      <color rgb="FF0E4C5A"/>
      <name val="Calibri"/>
      <charset val="1"/>
    </font>
    <font>
      <b/>
      <sz val="9"/>
      <color rgb="FFFFFFFF"/>
      <name val="Calibri"/>
      <charset val="1"/>
    </font>
    <font>
      <b/>
      <sz val="9"/>
      <color rgb="FF0E4C5A"/>
      <name val="Calibri"/>
      <charset val="1"/>
    </font>
    <font>
      <b/>
      <sz val="11"/>
      <color rgb="FF1F2A2E"/>
      <name val="Calibri"/>
      <charset val="1"/>
    </font>
    <font>
      <b/>
      <sz val="10"/>
      <color rgb="FF1F2A2E"/>
      <name val="Calibri"/>
      <charset val="1"/>
    </font>
    <font>
      <b/>
      <sz val="10"/>
      <color rgb="FF1B5E20"/>
      <name val="Calibri"/>
      <charset val="1"/>
    </font>
    <font>
      <b/>
      <sz val="10"/>
      <color rgb="FF8A6300"/>
      <name val="Calibri"/>
      <charset val="1"/>
    </font>
    <font>
      <b/>
      <sz val="10"/>
      <color rgb="FFB54708"/>
      <name val="Calibri"/>
      <charset val="1"/>
    </font>
    <font>
      <b/>
      <sz val="10"/>
      <color rgb="FF9B1C1C"/>
      <name val="Calibri"/>
      <charset val="1"/>
    </font>
    <font>
      <i/>
      <sz val="9"/>
      <color rgb="FF6B7B7F"/>
      <name val="Calibri"/>
      <charset val="1"/>
    </font>
    <font>
      <b/>
      <sz val="16"/>
      <color rgb="FFFFFFFF"/>
      <name val="Calibri"/>
      <charset val="1"/>
    </font>
    <font>
      <sz val="9"/>
      <color rgb="FF0E4C5A"/>
      <name val="Calibri"/>
      <charset val="1"/>
    </font>
    <font>
      <b/>
      <sz val="18"/>
      <color rgb="FFFFFFFF"/>
      <name val="Calibri"/>
      <charset val="1"/>
    </font>
    <font>
      <b/>
      <sz val="20"/>
      <color rgb="FF0E4C5A"/>
      <name val="Calibri"/>
      <charset val="1"/>
    </font>
  </fonts>
  <fills count="16">
    <fill>
      <patternFill patternType="none"/>
    </fill>
    <fill>
      <patternFill patternType="gray125"/>
    </fill>
    <fill>
      <patternFill patternType="solid">
        <fgColor rgb="FF0E4C5A"/>
        <bgColor rgb="FF1B5E20"/>
      </patternFill>
    </fill>
    <fill>
      <patternFill patternType="solid">
        <fgColor rgb="FFFBEBD2"/>
        <bgColor rgb="FFFBE9C4"/>
      </patternFill>
    </fill>
    <fill>
      <patternFill patternType="solid">
        <fgColor rgb="FFEDF1F2"/>
        <bgColor rgb="FFF4F8F9"/>
      </patternFill>
    </fill>
    <fill>
      <patternFill patternType="solid">
        <fgColor rgb="FFE8A33D"/>
        <bgColor rgb="FFFF8080"/>
      </patternFill>
    </fill>
    <fill>
      <patternFill patternType="solid">
        <fgColor rgb="FF17697B"/>
        <bgColor rgb="FF008080"/>
      </patternFill>
    </fill>
    <fill>
      <patternFill patternType="solid">
        <fgColor rgb="FFC6E7C9"/>
        <bgColor rgb="FFD6E6EA"/>
      </patternFill>
    </fill>
    <fill>
      <patternFill patternType="solid">
        <fgColor rgb="FFFBE9C4"/>
        <bgColor rgb="FFFBEBD2"/>
      </patternFill>
    </fill>
    <fill>
      <patternFill patternType="solid">
        <fgColor rgb="FFF8D9BC"/>
        <bgColor rgb="FFFBE9C4"/>
      </patternFill>
    </fill>
    <fill>
      <patternFill patternType="solid">
        <fgColor rgb="FFF4C4C4"/>
        <bgColor rgb="FFF8D9BC"/>
      </patternFill>
    </fill>
    <fill>
      <patternFill patternType="solid">
        <fgColor rgb="FFDCE9EC"/>
        <bgColor rgb="FFD6E6EA"/>
      </patternFill>
    </fill>
    <fill>
      <patternFill patternType="solid">
        <fgColor rgb="FFFFFFFF"/>
        <bgColor rgb="FFF4F8F9"/>
      </patternFill>
    </fill>
    <fill>
      <patternFill patternType="solid">
        <fgColor rgb="FFF4F8F9"/>
        <bgColor rgb="FFEDF1F2"/>
      </patternFill>
    </fill>
    <fill>
      <patternFill patternType="solid">
        <fgColor rgb="FFB54708"/>
        <bgColor rgb="FF8A6300"/>
      </patternFill>
    </fill>
    <fill>
      <patternFill patternType="solid">
        <fgColor rgb="FF9B1C1C"/>
        <bgColor rgb="FF800000"/>
      </patternFill>
    </fill>
  </fills>
  <borders count="3">
    <border>
      <left/>
      <right/>
      <top/>
      <bottom/>
      <diagonal/>
    </border>
    <border>
      <left style="thin">
        <color rgb="FFBFD2D6"/>
      </left>
      <right style="thin">
        <color rgb="FFBFD2D6"/>
      </right>
      <top style="thin">
        <color rgb="FFBFD2D6"/>
      </top>
      <bottom style="thin">
        <color rgb="FFBFD2D6"/>
      </bottom>
      <diagonal/>
    </border>
    <border>
      <left style="thin">
        <color rgb="FFBFD2D6"/>
      </left>
      <right/>
      <top style="thin">
        <color rgb="FFBFD2D6"/>
      </top>
      <bottom style="thin">
        <color rgb="FFBFD2D6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6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0" fillId="6" borderId="0" xfId="0" applyFill="1"/>
    <xf numFmtId="0" fontId="7" fillId="2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165" fontId="0" fillId="3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 wrapText="1"/>
    </xf>
    <xf numFmtId="166" fontId="0" fillId="3" borderId="1" xfId="0" applyNumberForma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167" fontId="10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13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left" vertical="center" wrapText="1"/>
    </xf>
    <xf numFmtId="0" fontId="0" fillId="12" borderId="1" xfId="0" applyFill="1" applyBorder="1"/>
    <xf numFmtId="0" fontId="9" fillId="12" borderId="1" xfId="0" applyFont="1" applyFill="1" applyBorder="1" applyAlignment="1">
      <alignment horizontal="center" vertical="center" wrapText="1"/>
    </xf>
    <xf numFmtId="164" fontId="4" fillId="1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6" borderId="1" xfId="0" applyFill="1" applyBorder="1"/>
    <xf numFmtId="0" fontId="9" fillId="7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" fontId="19" fillId="11" borderId="1" xfId="0" applyNumberFormat="1" applyFont="1" applyFill="1" applyBorder="1" applyAlignment="1">
      <alignment horizontal="center" vertical="center" wrapText="1"/>
    </xf>
    <xf numFmtId="167" fontId="19" fillId="11" borderId="1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 indent="1"/>
    </xf>
    <xf numFmtId="0" fontId="17" fillId="11" borderId="0" xfId="0" applyFont="1" applyFill="1" applyAlignment="1">
      <alignment horizontal="left" vertical="center" indent="1"/>
    </xf>
    <xf numFmtId="0" fontId="5" fillId="6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 indent="1"/>
    </xf>
    <xf numFmtId="0" fontId="5" fillId="6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1">
    <cellStyle name="Standard" xfId="0" builtinId="0"/>
  </cellStyles>
  <dxfs count="12">
    <dxf>
      <font>
        <b/>
        <sz val="10"/>
        <color rgb="FF9B1C1C"/>
        <name val="Calibri"/>
        <charset val="1"/>
      </font>
      <fill>
        <patternFill>
          <bgColor rgb="FFF4C4C4"/>
        </patternFill>
      </fill>
    </dxf>
    <dxf>
      <font>
        <b/>
        <sz val="10"/>
        <color rgb="FFB54708"/>
        <name val="Calibri"/>
        <charset val="1"/>
      </font>
      <fill>
        <patternFill>
          <bgColor rgb="FFF8D9BC"/>
        </patternFill>
      </fill>
    </dxf>
    <dxf>
      <font>
        <b/>
        <sz val="10"/>
        <color rgb="FF8A6300"/>
        <name val="Calibri"/>
        <charset val="1"/>
      </font>
      <fill>
        <patternFill>
          <bgColor rgb="FFFBE9C4"/>
        </patternFill>
      </fill>
    </dxf>
    <dxf>
      <font>
        <b/>
        <sz val="10"/>
        <color rgb="FF1B5E20"/>
        <name val="Calibri"/>
        <charset val="1"/>
      </font>
      <fill>
        <patternFill>
          <bgColor rgb="FFC6E7C9"/>
        </patternFill>
      </fill>
    </dxf>
    <dxf>
      <font>
        <b/>
        <sz val="10"/>
        <color rgb="FF9B1C1C"/>
        <name val="Calibri"/>
        <charset val="1"/>
      </font>
      <fill>
        <patternFill>
          <bgColor rgb="FFF4C4C4"/>
        </patternFill>
      </fill>
    </dxf>
    <dxf>
      <font>
        <b/>
        <sz val="10"/>
        <color rgb="FFB54708"/>
        <name val="Calibri"/>
        <charset val="1"/>
      </font>
      <fill>
        <patternFill>
          <bgColor rgb="FFF8D9BC"/>
        </patternFill>
      </fill>
    </dxf>
    <dxf>
      <font>
        <b/>
        <sz val="10"/>
        <color rgb="FF8A6300"/>
        <name val="Calibri"/>
        <charset val="1"/>
      </font>
      <fill>
        <patternFill>
          <bgColor rgb="FFFBE9C4"/>
        </patternFill>
      </fill>
    </dxf>
    <dxf>
      <font>
        <b/>
        <sz val="10"/>
        <color rgb="FF1B5E20"/>
        <name val="Calibri"/>
        <charset val="1"/>
      </font>
      <fill>
        <patternFill>
          <bgColor rgb="FFC6E7C9"/>
        </patternFill>
      </fill>
    </dxf>
    <dxf>
      <font>
        <b/>
        <sz val="10"/>
        <color rgb="FF9B1C1C"/>
        <name val="Calibri"/>
        <charset val="1"/>
      </font>
      <fill>
        <patternFill>
          <bgColor rgb="FFF4C4C4"/>
        </patternFill>
      </fill>
    </dxf>
    <dxf>
      <font>
        <b/>
        <sz val="10"/>
        <color rgb="FFB54708"/>
        <name val="Calibri"/>
        <charset val="1"/>
      </font>
      <fill>
        <patternFill>
          <bgColor rgb="FFF8D9BC"/>
        </patternFill>
      </fill>
    </dxf>
    <dxf>
      <font>
        <b/>
        <sz val="10"/>
        <color rgb="FF8A6300"/>
        <name val="Calibri"/>
        <charset val="1"/>
      </font>
      <fill>
        <patternFill>
          <bgColor rgb="FFFBE9C4"/>
        </patternFill>
      </fill>
    </dxf>
    <dxf>
      <font>
        <b/>
        <sz val="10"/>
        <color rgb="FF1B5E20"/>
        <name val="Calibri"/>
        <charset val="1"/>
      </font>
      <fill>
        <patternFill>
          <bgColor rgb="FFC6E7C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A6300"/>
      <rgbColor rgb="FF800080"/>
      <rgbColor rgb="FF17697B"/>
      <rgbColor rgb="FFBFD2D6"/>
      <rgbColor rgb="FF878787"/>
      <rgbColor rgb="FF9999FF"/>
      <rgbColor rgb="FFB54708"/>
      <rgbColor rgb="FFFBEBD2"/>
      <rgbColor rgb="FFDCE9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6EA"/>
      <rgbColor rgb="FFC6E7C9"/>
      <rgbColor rgb="FFFBE9C4"/>
      <rgbColor rgb="FFEDF1F2"/>
      <rgbColor rgb="FFF4C4C4"/>
      <rgbColor rgb="FFF4F8F9"/>
      <rgbColor rgb="FFF8D9BC"/>
      <rgbColor rgb="FF4F81BD"/>
      <rgbColor rgb="FF33CCCC"/>
      <rgbColor rgb="FF99CC00"/>
      <rgbColor rgb="FFFFCC00"/>
      <rgbColor rgb="FFE8A33D"/>
      <rgbColor rgb="FFFF6600"/>
      <rgbColor rgb="FF6B7B7F"/>
      <rgbColor rgb="FF969696"/>
      <rgbColor rgb="FF0E4C5A"/>
      <rgbColor rgb="FF339966"/>
      <rgbColor rgb="FF003300"/>
      <rgbColor rgb="FF333300"/>
      <rgbColor rgb="FF9B1C1C"/>
      <rgbColor rgb="FF993366"/>
      <rgbColor rgb="FF333399"/>
      <rgbColor rgb="FF1F2A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Risikoklassen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Dashboard!$C$10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Dashboard!$B$11:$B$14</c:f>
              <c:strCache>
                <c:ptCount val="4"/>
                <c:pt idx="0">
                  <c:v>Gering</c:v>
                </c:pt>
                <c:pt idx="1">
                  <c:v>Mittel</c:v>
                </c:pt>
                <c:pt idx="2">
                  <c:v>Hoch</c:v>
                </c:pt>
                <c:pt idx="3">
                  <c:v>Kritisch</c:v>
                </c:pt>
              </c:strCache>
            </c:strRef>
          </c:cat>
          <c:val>
            <c:numRef>
              <c:f>Dashboard!$C$11:$C$14</c:f>
              <c:numCache>
                <c:formatCode>General</c:formatCode>
                <c:ptCount val="4"/>
                <c:pt idx="0">
                  <c:v>2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BE-469F-B2B3-EFA942AB2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3980"/>
        <c:axId val="68503733"/>
      </c:barChart>
      <c:catAx>
        <c:axId val="384139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8503733"/>
        <c:crosses val="autoZero"/>
        <c:auto val="1"/>
        <c:lblAlgn val="ctr"/>
        <c:lblOffset val="100"/>
        <c:noMultiLvlLbl val="0"/>
      </c:catAx>
      <c:valAx>
        <c:axId val="6850373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841398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6</xdr:row>
      <xdr:rowOff>38100</xdr:rowOff>
    </xdr:from>
    <xdr:to>
      <xdr:col>8</xdr:col>
      <xdr:colOff>323850</xdr:colOff>
      <xdr:row>24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34"/>
  <sheetViews>
    <sheetView showGridLines="0" tabSelected="1" zoomScaleNormal="100" workbookViewId="0">
      <selection activeCell="O36" sqref="O36"/>
    </sheetView>
  </sheetViews>
  <sheetFormatPr baseColWidth="10" defaultColWidth="8.7109375" defaultRowHeight="15" x14ac:dyDescent="0.25"/>
  <cols>
    <col min="1" max="1" width="2.42578125" customWidth="1"/>
    <col min="2" max="2" width="22" customWidth="1"/>
    <col min="3" max="8" width="14" customWidth="1"/>
    <col min="9" max="9" width="5" customWidth="1"/>
    <col min="10" max="10" width="26" customWidth="1"/>
    <col min="11" max="11" width="9" customWidth="1"/>
    <col min="12" max="12" width="12" customWidth="1"/>
  </cols>
  <sheetData>
    <row r="2" spans="2:9" ht="30" customHeight="1" x14ac:dyDescent="0.25">
      <c r="B2" s="47" t="s">
        <v>139</v>
      </c>
      <c r="C2" s="47"/>
      <c r="D2" s="47"/>
      <c r="E2" s="47"/>
      <c r="F2" s="47"/>
      <c r="G2" s="47"/>
      <c r="H2" s="47"/>
      <c r="I2" s="47"/>
    </row>
    <row r="3" spans="2:9" x14ac:dyDescent="0.25">
      <c r="B3" s="48" t="s">
        <v>140</v>
      </c>
      <c r="C3" s="48"/>
      <c r="D3" s="48"/>
      <c r="E3" s="48"/>
      <c r="F3" s="48"/>
      <c r="G3" s="48"/>
      <c r="H3" s="48"/>
      <c r="I3" s="48"/>
    </row>
    <row r="5" spans="2:9" ht="19.5" customHeight="1" x14ac:dyDescent="0.25">
      <c r="B5" s="49" t="s">
        <v>141</v>
      </c>
      <c r="C5" s="49"/>
      <c r="D5" s="49" t="s">
        <v>142</v>
      </c>
      <c r="E5" s="49"/>
      <c r="F5" s="50" t="s">
        <v>143</v>
      </c>
      <c r="G5" s="50"/>
      <c r="H5" s="51" t="s">
        <v>144</v>
      </c>
      <c r="I5" s="51"/>
    </row>
    <row r="6" spans="2:9" ht="33.75" customHeight="1" x14ac:dyDescent="0.25">
      <c r="B6" s="45">
        <f>COUNT(Risikobewertung!$Q$6:$Q$20)</f>
        <v>10</v>
      </c>
      <c r="C6" s="45"/>
      <c r="D6" s="46">
        <f>IFERROR(AVERAGE(Risikobewertung!$N$6:$N$20),0)</f>
        <v>2.76</v>
      </c>
      <c r="E6" s="46"/>
      <c r="F6" s="45">
        <f>COUNTIF(Risikobewertung!$R$6:$R$20,"Hoch")</f>
        <v>3</v>
      </c>
      <c r="G6" s="45"/>
      <c r="H6" s="45">
        <f>COUNTIF(Risikobewertung!$R$6:$R$20,"Kritisch")</f>
        <v>1</v>
      </c>
      <c r="I6" s="45"/>
    </row>
    <row r="9" spans="2:9" ht="15" customHeight="1" x14ac:dyDescent="0.25">
      <c r="B9" s="42" t="s">
        <v>145</v>
      </c>
      <c r="C9" s="42"/>
      <c r="D9" s="42"/>
    </row>
    <row r="10" spans="2:9" x14ac:dyDescent="0.25">
      <c r="B10" s="1" t="s">
        <v>48</v>
      </c>
      <c r="C10" s="1" t="s">
        <v>146</v>
      </c>
      <c r="D10" s="1" t="s">
        <v>147</v>
      </c>
    </row>
    <row r="11" spans="2:9" x14ac:dyDescent="0.25">
      <c r="B11" s="10" t="s">
        <v>19</v>
      </c>
      <c r="C11" s="32">
        <f>COUNTIF(Risikobewertung!$R$6:$R$20,"Gering")</f>
        <v>2</v>
      </c>
      <c r="D11" s="33">
        <f>IFERROR(C11/COUNT(Risikobewertung!$Q$6:$Q$20),0)</f>
        <v>0.2</v>
      </c>
    </row>
    <row r="12" spans="2:9" x14ac:dyDescent="0.25">
      <c r="B12" s="12" t="s">
        <v>21</v>
      </c>
      <c r="C12" s="32">
        <f>COUNTIF(Risikobewertung!$R$6:$R$20,"Mittel")</f>
        <v>4</v>
      </c>
      <c r="D12" s="33">
        <f>IFERROR(C12/COUNT(Risikobewertung!$Q$6:$Q$20),0)</f>
        <v>0.4</v>
      </c>
    </row>
    <row r="13" spans="2:9" x14ac:dyDescent="0.25">
      <c r="B13" s="13" t="s">
        <v>23</v>
      </c>
      <c r="C13" s="32">
        <f>COUNTIF(Risikobewertung!$R$6:$R$20,"Hoch")</f>
        <v>3</v>
      </c>
      <c r="D13" s="33">
        <f>IFERROR(C13/COUNT(Risikobewertung!$Q$6:$Q$20),0)</f>
        <v>0.3</v>
      </c>
    </row>
    <row r="14" spans="2:9" x14ac:dyDescent="0.25">
      <c r="B14" s="14" t="s">
        <v>55</v>
      </c>
      <c r="C14" s="32">
        <f>COUNTIF(Risikobewertung!$R$6:$R$20,"Kritisch")</f>
        <v>1</v>
      </c>
      <c r="D14" s="33">
        <f>IFERROR(C14/COUNT(Risikobewertung!$Q$6:$Q$20),0)</f>
        <v>0.1</v>
      </c>
    </row>
    <row r="15" spans="2:9" x14ac:dyDescent="0.25">
      <c r="B15" s="6" t="s">
        <v>46</v>
      </c>
      <c r="C15" s="27">
        <f>SUM(C11:C14)</f>
        <v>10</v>
      </c>
      <c r="D15" s="34">
        <f>IFERROR(D11+D12+D13+D14,0)</f>
        <v>1.0000000000000002</v>
      </c>
    </row>
    <row r="26" spans="2:12" ht="15" customHeight="1" x14ac:dyDescent="0.25">
      <c r="B26" s="42" t="s">
        <v>148</v>
      </c>
      <c r="C26" s="42"/>
      <c r="D26" s="42"/>
      <c r="E26" s="42"/>
      <c r="F26" s="42"/>
      <c r="G26" s="42"/>
      <c r="H26" s="42"/>
    </row>
    <row r="27" spans="2:12" ht="15" customHeight="1" x14ac:dyDescent="0.25">
      <c r="B27" s="35"/>
      <c r="C27" s="43" t="s">
        <v>149</v>
      </c>
      <c r="D27" s="43"/>
      <c r="E27" s="43"/>
      <c r="F27" s="43"/>
      <c r="G27" s="43"/>
      <c r="I27" s="42" t="s">
        <v>150</v>
      </c>
      <c r="J27" s="42"/>
      <c r="K27" s="42"/>
      <c r="L27" s="42"/>
    </row>
    <row r="28" spans="2:12" x14ac:dyDescent="0.25">
      <c r="B28" s="7" t="s">
        <v>151</v>
      </c>
      <c r="C28" s="1">
        <v>1</v>
      </c>
      <c r="D28" s="1">
        <v>2</v>
      </c>
      <c r="E28" s="1">
        <v>3</v>
      </c>
      <c r="F28" s="1">
        <v>4</v>
      </c>
      <c r="G28" s="1">
        <v>5</v>
      </c>
      <c r="I28" s="1" t="s">
        <v>152</v>
      </c>
      <c r="J28" s="1" t="s">
        <v>75</v>
      </c>
      <c r="K28" s="1" t="s">
        <v>89</v>
      </c>
      <c r="L28" s="1" t="s">
        <v>153</v>
      </c>
    </row>
    <row r="29" spans="2:12" ht="25.5" customHeight="1" x14ac:dyDescent="0.25">
      <c r="B29" s="1">
        <v>5</v>
      </c>
      <c r="C29" s="36">
        <f>COUNTIFS(Risikobewertung!$O$6:$O$20,1,Risikobewertung!$P$6:$P$20,5)</f>
        <v>0</v>
      </c>
      <c r="D29" s="37">
        <f>COUNTIFS(Risikobewertung!$O$6:$O$20,2,Risikobewertung!$P$6:$P$20,5)</f>
        <v>0</v>
      </c>
      <c r="E29" s="38">
        <f>COUNTIFS(Risikobewertung!$O$6:$O$20,3,Risikobewertung!$P$6:$P$20,5)</f>
        <v>0</v>
      </c>
      <c r="F29" s="39">
        <f>COUNTIFS(Risikobewertung!$O$6:$O$20,4,Risikobewertung!$P$6:$P$20,5)</f>
        <v>1</v>
      </c>
      <c r="G29" s="39">
        <f>COUNTIFS(Risikobewertung!$O$6:$O$20,5,Risikobewertung!$P$6:$P$20,5)</f>
        <v>0</v>
      </c>
      <c r="I29" s="6">
        <v>1</v>
      </c>
      <c r="J29" s="40" t="str">
        <f>IFERROR(INDEX(Risikobewertung!$B$6:$B$20,MATCH(LARGE(Risikobewertung!$X$6:$X$20,1),Risikobewertung!$X$6:$X$20,0)),"")</f>
        <v>Mekong Textil Co.</v>
      </c>
      <c r="K29" s="41">
        <f>IFERROR(INDEX(Risikobewertung!$Q$6:$Q$20,MATCH(LARGE(Risikobewertung!$X$6:$X$20,1),Risikobewertung!$X$6:$X$20,0)),"")</f>
        <v>20</v>
      </c>
      <c r="L29" s="27" t="str">
        <f>IFERROR(INDEX(Risikobewertung!$R$6:$R$20,MATCH(LARGE(Risikobewertung!$X$6:$X$20,1),Risikobewertung!$X$6:$X$20,0)),"")</f>
        <v>Kritisch</v>
      </c>
    </row>
    <row r="30" spans="2:12" ht="25.5" customHeight="1" x14ac:dyDescent="0.25">
      <c r="B30" s="1">
        <v>4</v>
      </c>
      <c r="C30" s="36">
        <f>COUNTIFS(Risikobewertung!$O$6:$O$20,1,Risikobewertung!$P$6:$P$20,4)</f>
        <v>0</v>
      </c>
      <c r="D30" s="37">
        <f>COUNTIFS(Risikobewertung!$O$6:$O$20,2,Risikobewertung!$P$6:$P$20,4)</f>
        <v>1</v>
      </c>
      <c r="E30" s="38">
        <f>COUNTIFS(Risikobewertung!$O$6:$O$20,3,Risikobewertung!$P$6:$P$20,4)</f>
        <v>1</v>
      </c>
      <c r="F30" s="38">
        <f>COUNTIFS(Risikobewertung!$O$6:$O$20,4,Risikobewertung!$P$6:$P$20,4)</f>
        <v>2</v>
      </c>
      <c r="G30" s="39">
        <f>COUNTIFS(Risikobewertung!$O$6:$O$20,5,Risikobewertung!$P$6:$P$20,4)</f>
        <v>0</v>
      </c>
      <c r="I30" s="6">
        <v>2</v>
      </c>
      <c r="J30" s="40" t="str">
        <f>IFERROR(INDEX(Risikobewertung!$B$6:$B$20,MATCH(LARGE(Risikobewertung!$X$6:$X$20,2),Risikobewertung!$X$6:$X$20,0)),"")</f>
        <v>Anatolia Guss &amp; Schmiede</v>
      </c>
      <c r="K30" s="41">
        <f>IFERROR(INDEX(Risikobewertung!$Q$6:$Q$20,MATCH(LARGE(Risikobewertung!$X$6:$X$20,2),Risikobewertung!$X$6:$X$20,0)),"")</f>
        <v>16</v>
      </c>
      <c r="L30" s="27" t="str">
        <f>IFERROR(INDEX(Risikobewertung!$R$6:$R$20,MATCH(LARGE(Risikobewertung!$X$6:$X$20,2),Risikobewertung!$X$6:$X$20,0)),"")</f>
        <v>Hoch</v>
      </c>
    </row>
    <row r="31" spans="2:12" ht="25.5" customHeight="1" x14ac:dyDescent="0.25">
      <c r="B31" s="1">
        <v>3</v>
      </c>
      <c r="C31" s="36">
        <f>COUNTIFS(Risikobewertung!$O$6:$O$20,1,Risikobewertung!$P$6:$P$20,3)</f>
        <v>0</v>
      </c>
      <c r="D31" s="37">
        <f>COUNTIFS(Risikobewertung!$O$6:$O$20,2,Risikobewertung!$P$6:$P$20,3)</f>
        <v>2</v>
      </c>
      <c r="E31" s="37">
        <f>COUNTIFS(Risikobewertung!$O$6:$O$20,3,Risikobewertung!$P$6:$P$20,3)</f>
        <v>1</v>
      </c>
      <c r="F31" s="38">
        <f>COUNTIFS(Risikobewertung!$O$6:$O$20,4,Risikobewertung!$P$6:$P$20,3)</f>
        <v>0</v>
      </c>
      <c r="G31" s="38">
        <f>COUNTIFS(Risikobewertung!$O$6:$O$20,5,Risikobewertung!$P$6:$P$20,3)</f>
        <v>0</v>
      </c>
      <c r="I31" s="6">
        <v>3</v>
      </c>
      <c r="J31" s="40" t="str">
        <f>IFERROR(INDEX(Risikobewertung!$B$6:$B$20,MATCH(LARGE(Risikobewertung!$X$6:$X$20,3),Risikobewertung!$X$6:$X$20,0)),"")</f>
        <v>Sunrise Packaging Ltd.</v>
      </c>
      <c r="K31" s="41">
        <f>IFERROR(INDEX(Risikobewertung!$Q$6:$Q$20,MATCH(LARGE(Risikobewertung!$X$6:$X$20,3),Risikobewertung!$X$6:$X$20,0)),"")</f>
        <v>16</v>
      </c>
      <c r="L31" s="27" t="str">
        <f>IFERROR(INDEX(Risikobewertung!$R$6:$R$20,MATCH(LARGE(Risikobewertung!$X$6:$X$20,3),Risikobewertung!$X$6:$X$20,0)),"")</f>
        <v>Hoch</v>
      </c>
    </row>
    <row r="32" spans="2:12" ht="25.5" customHeight="1" x14ac:dyDescent="0.25">
      <c r="B32" s="1">
        <v>2</v>
      </c>
      <c r="C32" s="36">
        <f>COUNTIFS(Risikobewertung!$O$6:$O$20,1,Risikobewertung!$P$6:$P$20,2)</f>
        <v>0</v>
      </c>
      <c r="D32" s="36">
        <f>COUNTIFS(Risikobewertung!$O$6:$O$20,2,Risikobewertung!$P$6:$P$20,2)</f>
        <v>2</v>
      </c>
      <c r="E32" s="37">
        <f>COUNTIFS(Risikobewertung!$O$6:$O$20,3,Risikobewertung!$P$6:$P$20,2)</f>
        <v>0</v>
      </c>
      <c r="F32" s="37">
        <f>COUNTIFS(Risikobewertung!$O$6:$O$20,4,Risikobewertung!$P$6:$P$20,2)</f>
        <v>0</v>
      </c>
      <c r="G32" s="37">
        <f>COUNTIFS(Risikobewertung!$O$6:$O$20,5,Risikobewertung!$P$6:$P$20,2)</f>
        <v>0</v>
      </c>
      <c r="I32" s="6">
        <v>4</v>
      </c>
      <c r="J32" s="40" t="str">
        <f>IFERROR(INDEX(Risikobewertung!$B$6:$B$20,MATCH(LARGE(Risikobewertung!$X$6:$X$20,4),Risikobewertung!$X$6:$X$20,0)),"")</f>
        <v>DataServ Solutions GmbH</v>
      </c>
      <c r="K32" s="41">
        <f>IFERROR(INDEX(Risikobewertung!$Q$6:$Q$20,MATCH(LARGE(Risikobewertung!$X$6:$X$20,4),Risikobewertung!$X$6:$X$20,0)),"")</f>
        <v>12</v>
      </c>
      <c r="L32" s="27" t="str">
        <f>IFERROR(INDEX(Risikobewertung!$R$6:$R$20,MATCH(LARGE(Risikobewertung!$X$6:$X$20,4),Risikobewertung!$X$6:$X$20,0)),"")</f>
        <v>Hoch</v>
      </c>
    </row>
    <row r="33" spans="2:12" ht="25.5" customHeight="1" x14ac:dyDescent="0.25">
      <c r="B33" s="1">
        <v>1</v>
      </c>
      <c r="C33" s="36">
        <f>COUNTIFS(Risikobewertung!$O$6:$O$20,1,Risikobewertung!$P$6:$P$20,1)</f>
        <v>0</v>
      </c>
      <c r="D33" s="36">
        <f>COUNTIFS(Risikobewertung!$O$6:$O$20,2,Risikobewertung!$P$6:$P$20,1)</f>
        <v>0</v>
      </c>
      <c r="E33" s="36">
        <f>COUNTIFS(Risikobewertung!$O$6:$O$20,3,Risikobewertung!$P$6:$P$20,1)</f>
        <v>0</v>
      </c>
      <c r="F33" s="36">
        <f>COUNTIFS(Risikobewertung!$O$6:$O$20,4,Risikobewertung!$P$6:$P$20,1)</f>
        <v>0</v>
      </c>
      <c r="G33" s="36">
        <f>COUNTIFS(Risikobewertung!$O$6:$O$20,5,Risikobewertung!$P$6:$P$20,1)</f>
        <v>0</v>
      </c>
      <c r="I33" s="6">
        <v>5</v>
      </c>
      <c r="J33" s="40" t="str">
        <f>IFERROR(INDEX(Risikobewertung!$B$6:$B$20,MATCH(LARGE(Risikobewertung!$X$6:$X$20,5),Risikobewertung!$X$6:$X$20,0)),"")</f>
        <v>Baltic Metalltechnik Sp. z o.o.</v>
      </c>
      <c r="K33" s="41">
        <f>IFERROR(INDEX(Risikobewertung!$Q$6:$Q$20,MATCH(LARGE(Risikobewertung!$X$6:$X$20,5),Risikobewertung!$X$6:$X$20,0)),"")</f>
        <v>9</v>
      </c>
      <c r="L33" s="27" t="str">
        <f>IFERROR(INDEX(Risikobewertung!$R$6:$R$20,MATCH(LARGE(Risikobewertung!$X$6:$X$20,5),Risikobewertung!$X$6:$X$20,0)),"")</f>
        <v>Mittel</v>
      </c>
    </row>
    <row r="34" spans="2:12" ht="15" customHeight="1" x14ac:dyDescent="0.25">
      <c r="B34" s="44" t="s">
        <v>154</v>
      </c>
      <c r="C34" s="44"/>
      <c r="D34" s="44"/>
      <c r="E34" s="44"/>
      <c r="F34" s="44"/>
      <c r="G34" s="44"/>
    </row>
  </sheetData>
  <mergeCells count="15">
    <mergeCell ref="B2:I2"/>
    <mergeCell ref="B3:I3"/>
    <mergeCell ref="B5:C5"/>
    <mergeCell ref="D5:E5"/>
    <mergeCell ref="F5:G5"/>
    <mergeCell ref="H5:I5"/>
    <mergeCell ref="B26:H26"/>
    <mergeCell ref="C27:G27"/>
    <mergeCell ref="I27:L27"/>
    <mergeCell ref="B34:G34"/>
    <mergeCell ref="B6:C6"/>
    <mergeCell ref="D6:E6"/>
    <mergeCell ref="F6:G6"/>
    <mergeCell ref="H6:I6"/>
    <mergeCell ref="B9:D9"/>
  </mergeCells>
  <conditionalFormatting sqref="L29:L33">
    <cfRule type="cellIs" dxfId="3" priority="2" operator="equal">
      <formula>"Gering"</formula>
    </cfRule>
    <cfRule type="cellIs" dxfId="2" priority="3" operator="equal">
      <formula>"Mittel"</formula>
    </cfRule>
    <cfRule type="cellIs" dxfId="1" priority="4" operator="equal">
      <formula>"Hoch"</formula>
    </cfRule>
    <cfRule type="cellIs" dxfId="0" priority="5" operator="equal">
      <formula>"Kritisch"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1"/>
    </sheetView>
  </sheetViews>
  <sheetFormatPr baseColWidth="10" defaultColWidth="8.7109375" defaultRowHeight="15" x14ac:dyDescent="0.25"/>
  <cols>
    <col min="1" max="1" width="6" customWidth="1"/>
    <col min="2" max="2" width="26" customWidth="1"/>
    <col min="3" max="3" width="20" customWidth="1"/>
    <col min="4" max="5" width="13" customWidth="1"/>
    <col min="6" max="6" width="14" customWidth="1"/>
    <col min="7" max="7" width="12" customWidth="1"/>
    <col min="8" max="8" width="9" customWidth="1"/>
    <col min="9" max="9" width="11" customWidth="1"/>
    <col min="10" max="11" width="10" customWidth="1"/>
    <col min="12" max="14" width="11" customWidth="1"/>
    <col min="15" max="15" width="9" customWidth="1"/>
    <col min="16" max="16" width="11" customWidth="1"/>
    <col min="17" max="17" width="7" customWidth="1"/>
    <col min="18" max="18" width="11" customWidth="1"/>
    <col min="19" max="19" width="34" customWidth="1"/>
    <col min="20" max="20" width="20" customWidth="1"/>
    <col min="21" max="21" width="12" customWidth="1"/>
    <col min="22" max="22" width="15" customWidth="1"/>
    <col min="23" max="23" width="10" customWidth="1"/>
    <col min="24" max="24" width="10" hidden="1" customWidth="1"/>
  </cols>
  <sheetData>
    <row r="1" spans="1:24" ht="30" customHeight="1" x14ac:dyDescent="0.25">
      <c r="A1" s="52" t="s">
        <v>68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4" ht="18" customHeight="1" x14ac:dyDescent="0.25">
      <c r="A2" s="48" t="s">
        <v>69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4" spans="1:24" ht="19.5" customHeight="1" x14ac:dyDescent="0.25">
      <c r="A4" s="53" t="s">
        <v>70</v>
      </c>
      <c r="B4" s="53"/>
      <c r="C4" s="53"/>
      <c r="D4" s="53"/>
      <c r="E4" s="53"/>
      <c r="F4" s="53"/>
      <c r="G4" s="53"/>
      <c r="H4" s="53" t="s">
        <v>71</v>
      </c>
      <c r="I4" s="53"/>
      <c r="J4" s="53"/>
      <c r="K4" s="53"/>
      <c r="L4" s="53"/>
      <c r="M4" s="53"/>
      <c r="N4" s="53" t="s">
        <v>72</v>
      </c>
      <c r="O4" s="53"/>
      <c r="P4" s="53"/>
      <c r="Q4" s="53"/>
      <c r="R4" s="53"/>
      <c r="S4" s="53" t="s">
        <v>73</v>
      </c>
      <c r="T4" s="53"/>
      <c r="U4" s="53"/>
      <c r="V4" s="53"/>
      <c r="W4" s="53"/>
      <c r="X4" s="15"/>
    </row>
    <row r="5" spans="1:24" ht="30" customHeight="1" x14ac:dyDescent="0.25">
      <c r="A5" s="16" t="s">
        <v>74</v>
      </c>
      <c r="B5" s="16" t="s">
        <v>75</v>
      </c>
      <c r="C5" s="16" t="s">
        <v>76</v>
      </c>
      <c r="D5" s="16" t="s">
        <v>77</v>
      </c>
      <c r="E5" s="16" t="s">
        <v>78</v>
      </c>
      <c r="F5" s="16" t="s">
        <v>79</v>
      </c>
      <c r="G5" s="16" t="s">
        <v>80</v>
      </c>
      <c r="H5" s="16" t="s">
        <v>39</v>
      </c>
      <c r="I5" s="16" t="s">
        <v>81</v>
      </c>
      <c r="J5" s="16" t="s">
        <v>82</v>
      </c>
      <c r="K5" s="16" t="s">
        <v>83</v>
      </c>
      <c r="L5" s="16" t="s">
        <v>84</v>
      </c>
      <c r="M5" s="16" t="s">
        <v>85</v>
      </c>
      <c r="N5" s="16" t="s">
        <v>86</v>
      </c>
      <c r="O5" s="16" t="s">
        <v>87</v>
      </c>
      <c r="P5" s="16" t="s">
        <v>88</v>
      </c>
      <c r="Q5" s="16" t="s">
        <v>89</v>
      </c>
      <c r="R5" s="16" t="s">
        <v>90</v>
      </c>
      <c r="S5" s="16" t="s">
        <v>91</v>
      </c>
      <c r="T5" s="16" t="s">
        <v>92</v>
      </c>
      <c r="U5" s="16" t="s">
        <v>93</v>
      </c>
      <c r="V5" s="16" t="s">
        <v>58</v>
      </c>
      <c r="W5" s="16" t="s">
        <v>94</v>
      </c>
      <c r="X5" s="16" t="s">
        <v>95</v>
      </c>
    </row>
    <row r="6" spans="1:24" ht="30" customHeight="1" x14ac:dyDescent="0.25">
      <c r="A6" s="17">
        <v>1</v>
      </c>
      <c r="B6" s="18" t="s">
        <v>96</v>
      </c>
      <c r="C6" s="19" t="s">
        <v>97</v>
      </c>
      <c r="D6" s="19" t="s">
        <v>98</v>
      </c>
      <c r="E6" s="20">
        <v>480000</v>
      </c>
      <c r="F6" s="21" t="s">
        <v>63</v>
      </c>
      <c r="G6" s="22">
        <v>46037</v>
      </c>
      <c r="H6" s="23">
        <v>2</v>
      </c>
      <c r="I6" s="23">
        <v>2</v>
      </c>
      <c r="J6" s="23">
        <v>2</v>
      </c>
      <c r="K6" s="23">
        <v>3</v>
      </c>
      <c r="L6" s="23">
        <v>1</v>
      </c>
      <c r="M6" s="23">
        <v>2</v>
      </c>
      <c r="N6" s="24">
        <f>IF(COUNT(H6:M6)&lt;6,"",SUMPRODUCT(H6:M6,Anleitung!$C$36:$H$36)/SUM(Anleitung!$C$36:$H$36))</f>
        <v>2</v>
      </c>
      <c r="O6" s="25">
        <f t="shared" ref="O6:O20" si="0">IF(N6="","",ROUND(N6,0))</f>
        <v>2</v>
      </c>
      <c r="P6" s="11">
        <v>3</v>
      </c>
      <c r="Q6" s="26">
        <f t="shared" ref="Q6:Q20" si="1">IF(OR(O6="",P6=""),"",O6*P6)</f>
        <v>6</v>
      </c>
      <c r="R6" s="27" t="str">
        <f>IF(Q6="","",IF(Q6&lt;=Anleitung!$D$41,"Gering",IF(Q6&lt;=Anleitung!$D$42,"Mittel",IF(Q6&lt;=Anleitung!$D$43,"Hoch","Kritisch"))))</f>
        <v>Mittel</v>
      </c>
      <c r="S6" s="19" t="s">
        <v>99</v>
      </c>
      <c r="T6" s="19" t="s">
        <v>100</v>
      </c>
      <c r="U6" s="22">
        <v>46203</v>
      </c>
      <c r="V6" s="21" t="s">
        <v>62</v>
      </c>
      <c r="W6" s="27" t="s">
        <v>19</v>
      </c>
      <c r="X6" s="28">
        <f t="shared" ref="X6:X20" si="2">IF(Q6="","",Q6+ROW()/100000)</f>
        <v>6.0000600000000004</v>
      </c>
    </row>
    <row r="7" spans="1:24" ht="30" customHeight="1" x14ac:dyDescent="0.25">
      <c r="A7" s="29">
        <v>2</v>
      </c>
      <c r="B7" s="30" t="s">
        <v>101</v>
      </c>
      <c r="C7" s="19" t="s">
        <v>102</v>
      </c>
      <c r="D7" s="19" t="s">
        <v>103</v>
      </c>
      <c r="E7" s="20">
        <v>220000</v>
      </c>
      <c r="F7" s="21" t="s">
        <v>61</v>
      </c>
      <c r="G7" s="22">
        <v>46044</v>
      </c>
      <c r="H7" s="23">
        <v>3</v>
      </c>
      <c r="I7" s="23">
        <v>3</v>
      </c>
      <c r="J7" s="23">
        <v>3</v>
      </c>
      <c r="K7" s="23">
        <v>4</v>
      </c>
      <c r="L7" s="23">
        <v>2</v>
      </c>
      <c r="M7" s="23">
        <v>2</v>
      </c>
      <c r="N7" s="24">
        <f>IF(COUNT(H7:M7)&lt;6,"",SUMPRODUCT(H7:M7,Anleitung!$C$36:$H$36)/SUM(Anleitung!$C$36:$H$36))</f>
        <v>2.8499999999999996</v>
      </c>
      <c r="O7" s="25">
        <f t="shared" si="0"/>
        <v>3</v>
      </c>
      <c r="P7" s="11">
        <v>3</v>
      </c>
      <c r="Q7" s="26">
        <f t="shared" si="1"/>
        <v>9</v>
      </c>
      <c r="R7" s="27" t="str">
        <f>IF(Q7="","",IF(Q7&lt;=Anleitung!$D$41,"Gering",IF(Q7&lt;=Anleitung!$D$42,"Mittel",IF(Q7&lt;=Anleitung!$D$43,"Hoch","Kritisch"))))</f>
        <v>Mittel</v>
      </c>
      <c r="S7" s="19" t="s">
        <v>104</v>
      </c>
      <c r="T7" s="19" t="s">
        <v>105</v>
      </c>
      <c r="U7" s="22">
        <v>46157</v>
      </c>
      <c r="V7" s="21" t="s">
        <v>60</v>
      </c>
      <c r="W7" s="27" t="s">
        <v>21</v>
      </c>
      <c r="X7" s="28">
        <f t="shared" si="2"/>
        <v>9.0000699999999991</v>
      </c>
    </row>
    <row r="8" spans="1:24" ht="30" customHeight="1" x14ac:dyDescent="0.25">
      <c r="A8" s="17">
        <v>3</v>
      </c>
      <c r="B8" s="18" t="s">
        <v>106</v>
      </c>
      <c r="C8" s="19" t="s">
        <v>107</v>
      </c>
      <c r="D8" s="19" t="s">
        <v>108</v>
      </c>
      <c r="E8" s="20">
        <v>310000</v>
      </c>
      <c r="F8" s="21" t="s">
        <v>61</v>
      </c>
      <c r="G8" s="22">
        <v>46058</v>
      </c>
      <c r="H8" s="23">
        <v>4</v>
      </c>
      <c r="I8" s="23">
        <v>4</v>
      </c>
      <c r="J8" s="23">
        <v>3</v>
      </c>
      <c r="K8" s="23">
        <v>5</v>
      </c>
      <c r="L8" s="23">
        <v>4</v>
      </c>
      <c r="M8" s="23">
        <v>4</v>
      </c>
      <c r="N8" s="24">
        <f>IF(COUNT(H8:M8)&lt;6,"",SUMPRODUCT(H8:M8,Anleitung!$C$36:$H$36)/SUM(Anleitung!$C$36:$H$36))</f>
        <v>4</v>
      </c>
      <c r="O8" s="25">
        <f t="shared" si="0"/>
        <v>4</v>
      </c>
      <c r="P8" s="11">
        <v>4</v>
      </c>
      <c r="Q8" s="26">
        <f t="shared" si="1"/>
        <v>16</v>
      </c>
      <c r="R8" s="27" t="str">
        <f>IF(Q8="","",IF(Q8&lt;=Anleitung!$D$41,"Gering",IF(Q8&lt;=Anleitung!$D$42,"Mittel",IF(Q8&lt;=Anleitung!$D$43,"Hoch","Kritisch"))))</f>
        <v>Hoch</v>
      </c>
      <c r="S8" s="19" t="s">
        <v>109</v>
      </c>
      <c r="T8" s="19" t="s">
        <v>110</v>
      </c>
      <c r="U8" s="22">
        <v>46295</v>
      </c>
      <c r="V8" s="21" t="s">
        <v>62</v>
      </c>
      <c r="W8" s="27" t="s">
        <v>21</v>
      </c>
      <c r="X8" s="28">
        <f t="shared" si="2"/>
        <v>16.000080000000001</v>
      </c>
    </row>
    <row r="9" spans="1:24" ht="30" customHeight="1" x14ac:dyDescent="0.25">
      <c r="A9" s="29">
        <v>4</v>
      </c>
      <c r="B9" s="30" t="s">
        <v>111</v>
      </c>
      <c r="C9" s="19" t="s">
        <v>112</v>
      </c>
      <c r="D9" s="19" t="s">
        <v>113</v>
      </c>
      <c r="E9" s="20">
        <v>650000</v>
      </c>
      <c r="F9" s="21" t="s">
        <v>66</v>
      </c>
      <c r="G9" s="22">
        <v>46065</v>
      </c>
      <c r="H9" s="23">
        <v>2</v>
      </c>
      <c r="I9" s="23">
        <v>2</v>
      </c>
      <c r="J9" s="23">
        <v>1</v>
      </c>
      <c r="K9" s="23">
        <v>2</v>
      </c>
      <c r="L9" s="23">
        <v>2</v>
      </c>
      <c r="M9" s="23">
        <v>3</v>
      </c>
      <c r="N9" s="24">
        <f>IF(COUNT(H9:M9)&lt;6,"",SUMPRODUCT(H9:M9,Anleitung!$C$36:$H$36)/SUM(Anleitung!$C$36:$H$36))</f>
        <v>2</v>
      </c>
      <c r="O9" s="25">
        <f t="shared" si="0"/>
        <v>2</v>
      </c>
      <c r="P9" s="11">
        <v>4</v>
      </c>
      <c r="Q9" s="26">
        <f t="shared" si="1"/>
        <v>8</v>
      </c>
      <c r="R9" s="27" t="str">
        <f>IF(Q9="","",IF(Q9&lt;=Anleitung!$D$41,"Gering",IF(Q9&lt;=Anleitung!$D$42,"Mittel",IF(Q9&lt;=Anleitung!$D$43,"Hoch","Kritisch"))))</f>
        <v>Mittel</v>
      </c>
      <c r="S9" s="19" t="s">
        <v>114</v>
      </c>
      <c r="T9" s="19" t="s">
        <v>115</v>
      </c>
      <c r="U9" s="22">
        <v>46234</v>
      </c>
      <c r="V9" s="21" t="s">
        <v>65</v>
      </c>
      <c r="W9" s="27" t="s">
        <v>19</v>
      </c>
      <c r="X9" s="28">
        <f t="shared" si="2"/>
        <v>8.0000900000000001</v>
      </c>
    </row>
    <row r="10" spans="1:24" ht="30" customHeight="1" x14ac:dyDescent="0.25">
      <c r="A10" s="17">
        <v>5</v>
      </c>
      <c r="B10" s="18" t="s">
        <v>116</v>
      </c>
      <c r="C10" s="19" t="s">
        <v>117</v>
      </c>
      <c r="D10" s="19" t="s">
        <v>98</v>
      </c>
      <c r="E10" s="20">
        <v>175000</v>
      </c>
      <c r="F10" s="21" t="s">
        <v>63</v>
      </c>
      <c r="G10" s="22">
        <v>46073</v>
      </c>
      <c r="H10" s="23">
        <v>2</v>
      </c>
      <c r="I10" s="23">
        <v>3</v>
      </c>
      <c r="J10" s="23">
        <v>2</v>
      </c>
      <c r="K10" s="23">
        <v>3</v>
      </c>
      <c r="L10" s="23">
        <v>2</v>
      </c>
      <c r="M10" s="23">
        <v>2</v>
      </c>
      <c r="N10" s="24">
        <f>IF(COUNT(H10:M10)&lt;6,"",SUMPRODUCT(H10:M10,Anleitung!$C$36:$H$36)/SUM(Anleitung!$C$36:$H$36))</f>
        <v>2.3499999999999996</v>
      </c>
      <c r="O10" s="25">
        <f t="shared" si="0"/>
        <v>2</v>
      </c>
      <c r="P10" s="11">
        <v>3</v>
      </c>
      <c r="Q10" s="26">
        <f t="shared" si="1"/>
        <v>6</v>
      </c>
      <c r="R10" s="27" t="str">
        <f>IF(Q10="","",IF(Q10&lt;=Anleitung!$D$41,"Gering",IF(Q10&lt;=Anleitung!$D$42,"Mittel",IF(Q10&lt;=Anleitung!$D$43,"Hoch","Kritisch"))))</f>
        <v>Mittel</v>
      </c>
      <c r="S10" s="19" t="s">
        <v>118</v>
      </c>
      <c r="T10" s="19" t="s">
        <v>100</v>
      </c>
      <c r="U10" s="22">
        <v>46142</v>
      </c>
      <c r="V10" s="21" t="s">
        <v>67</v>
      </c>
      <c r="W10" s="27" t="s">
        <v>19</v>
      </c>
      <c r="X10" s="28">
        <f t="shared" si="2"/>
        <v>6.0000999999999998</v>
      </c>
    </row>
    <row r="11" spans="1:24" ht="30" customHeight="1" x14ac:dyDescent="0.25">
      <c r="A11" s="29">
        <v>6</v>
      </c>
      <c r="B11" s="30" t="s">
        <v>119</v>
      </c>
      <c r="C11" s="19" t="s">
        <v>120</v>
      </c>
      <c r="D11" s="19" t="s">
        <v>121</v>
      </c>
      <c r="E11" s="20">
        <v>140000</v>
      </c>
      <c r="F11" s="21" t="s">
        <v>61</v>
      </c>
      <c r="G11" s="22">
        <v>46084</v>
      </c>
      <c r="H11" s="23">
        <v>4</v>
      </c>
      <c r="I11" s="23">
        <v>4</v>
      </c>
      <c r="J11" s="23">
        <v>4</v>
      </c>
      <c r="K11" s="23">
        <v>5</v>
      </c>
      <c r="L11" s="23">
        <v>5</v>
      </c>
      <c r="M11" s="23">
        <v>5</v>
      </c>
      <c r="N11" s="24">
        <f>IF(COUNT(H11:M11)&lt;6,"",SUMPRODUCT(H11:M11,Anleitung!$C$36:$H$36)/SUM(Anleitung!$C$36:$H$36))</f>
        <v>4.45</v>
      </c>
      <c r="O11" s="25">
        <f t="shared" si="0"/>
        <v>4</v>
      </c>
      <c r="P11" s="11">
        <v>5</v>
      </c>
      <c r="Q11" s="26">
        <f t="shared" si="1"/>
        <v>20</v>
      </c>
      <c r="R11" s="27" t="str">
        <f>IF(Q11="","",IF(Q11&lt;=Anleitung!$D$41,"Gering",IF(Q11&lt;=Anleitung!$D$42,"Mittel",IF(Q11&lt;=Anleitung!$D$43,"Hoch","Kritisch"))))</f>
        <v>Kritisch</v>
      </c>
      <c r="S11" s="19" t="s">
        <v>122</v>
      </c>
      <c r="T11" s="19" t="s">
        <v>123</v>
      </c>
      <c r="U11" s="22">
        <v>46265</v>
      </c>
      <c r="V11" s="21" t="s">
        <v>60</v>
      </c>
      <c r="W11" s="27" t="s">
        <v>23</v>
      </c>
      <c r="X11" s="28">
        <f t="shared" si="2"/>
        <v>20.000109999999999</v>
      </c>
    </row>
    <row r="12" spans="1:24" ht="30" customHeight="1" x14ac:dyDescent="0.25">
      <c r="A12" s="17">
        <v>7</v>
      </c>
      <c r="B12" s="18" t="s">
        <v>124</v>
      </c>
      <c r="C12" s="19" t="s">
        <v>125</v>
      </c>
      <c r="D12" s="19" t="s">
        <v>126</v>
      </c>
      <c r="E12" s="20">
        <v>260000</v>
      </c>
      <c r="F12" s="21" t="s">
        <v>63</v>
      </c>
      <c r="G12" s="22">
        <v>46091</v>
      </c>
      <c r="H12" s="23">
        <v>1</v>
      </c>
      <c r="I12" s="23">
        <v>2</v>
      </c>
      <c r="J12" s="23">
        <v>2</v>
      </c>
      <c r="K12" s="23">
        <v>2</v>
      </c>
      <c r="L12" s="23">
        <v>1</v>
      </c>
      <c r="M12" s="23">
        <v>1</v>
      </c>
      <c r="N12" s="24">
        <f>IF(COUNT(H12:M12)&lt;6,"",SUMPRODUCT(H12:M12,Anleitung!$C$36:$H$36)/SUM(Anleitung!$C$36:$H$36))</f>
        <v>1.5</v>
      </c>
      <c r="O12" s="25">
        <f t="shared" si="0"/>
        <v>2</v>
      </c>
      <c r="P12" s="11">
        <v>2</v>
      </c>
      <c r="Q12" s="26">
        <f t="shared" si="1"/>
        <v>4</v>
      </c>
      <c r="R12" s="27" t="str">
        <f>IF(Q12="","",IF(Q12&lt;=Anleitung!$D$41,"Gering",IF(Q12&lt;=Anleitung!$D$42,"Mittel",IF(Q12&lt;=Anleitung!$D$43,"Hoch","Kritisch"))))</f>
        <v>Gering</v>
      </c>
      <c r="S12" s="19" t="s">
        <v>127</v>
      </c>
      <c r="T12" s="19" t="s">
        <v>105</v>
      </c>
      <c r="U12" s="22">
        <v>46371</v>
      </c>
      <c r="V12" s="21" t="s">
        <v>65</v>
      </c>
      <c r="W12" s="27" t="s">
        <v>19</v>
      </c>
      <c r="X12" s="28">
        <f t="shared" si="2"/>
        <v>4.0001199999999999</v>
      </c>
    </row>
    <row r="13" spans="1:24" ht="30" customHeight="1" x14ac:dyDescent="0.25">
      <c r="A13" s="29">
        <v>8</v>
      </c>
      <c r="B13" s="30" t="s">
        <v>128</v>
      </c>
      <c r="C13" s="19" t="s">
        <v>129</v>
      </c>
      <c r="D13" s="19" t="s">
        <v>98</v>
      </c>
      <c r="E13" s="20">
        <v>95000</v>
      </c>
      <c r="F13" s="21" t="s">
        <v>61</v>
      </c>
      <c r="G13" s="22">
        <v>46099</v>
      </c>
      <c r="H13" s="23">
        <v>2</v>
      </c>
      <c r="I13" s="23">
        <v>3</v>
      </c>
      <c r="J13" s="23">
        <v>3</v>
      </c>
      <c r="K13" s="23">
        <v>5</v>
      </c>
      <c r="L13" s="23">
        <v>3</v>
      </c>
      <c r="M13" s="23">
        <v>1</v>
      </c>
      <c r="N13" s="24">
        <f>IF(COUNT(H13:M13)&lt;6,"",SUMPRODUCT(H13:M13,Anleitung!$C$36:$H$36)/SUM(Anleitung!$C$36:$H$36))</f>
        <v>2.8000000000000003</v>
      </c>
      <c r="O13" s="25">
        <f t="shared" si="0"/>
        <v>3</v>
      </c>
      <c r="P13" s="11">
        <v>4</v>
      </c>
      <c r="Q13" s="26">
        <f t="shared" si="1"/>
        <v>12</v>
      </c>
      <c r="R13" s="27" t="str">
        <f>IF(Q13="","",IF(Q13&lt;=Anleitung!$D$41,"Gering",IF(Q13&lt;=Anleitung!$D$42,"Mittel",IF(Q13&lt;=Anleitung!$D$43,"Hoch","Kritisch"))))</f>
        <v>Hoch</v>
      </c>
      <c r="S13" s="19" t="s">
        <v>130</v>
      </c>
      <c r="T13" s="19" t="s">
        <v>131</v>
      </c>
      <c r="U13" s="22">
        <v>46188</v>
      </c>
      <c r="V13" s="21" t="s">
        <v>62</v>
      </c>
      <c r="W13" s="27" t="s">
        <v>21</v>
      </c>
      <c r="X13" s="28">
        <f t="shared" si="2"/>
        <v>12.00013</v>
      </c>
    </row>
    <row r="14" spans="1:24" ht="30" customHeight="1" x14ac:dyDescent="0.25">
      <c r="A14" s="17">
        <v>9</v>
      </c>
      <c r="B14" s="18" t="s">
        <v>132</v>
      </c>
      <c r="C14" s="19" t="s">
        <v>133</v>
      </c>
      <c r="D14" s="19" t="s">
        <v>134</v>
      </c>
      <c r="E14" s="20">
        <v>200000</v>
      </c>
      <c r="F14" s="21" t="s">
        <v>61</v>
      </c>
      <c r="G14" s="22">
        <v>46106</v>
      </c>
      <c r="H14" s="23">
        <v>3</v>
      </c>
      <c r="I14" s="23">
        <v>4</v>
      </c>
      <c r="J14" s="23">
        <v>5</v>
      </c>
      <c r="K14" s="23">
        <v>5</v>
      </c>
      <c r="L14" s="23">
        <v>4</v>
      </c>
      <c r="M14" s="23">
        <v>3</v>
      </c>
      <c r="N14" s="24">
        <f>IF(COUNT(H14:M14)&lt;6,"",SUMPRODUCT(H14:M14,Anleitung!$C$36:$H$36)/SUM(Anleitung!$C$36:$H$36))</f>
        <v>3.95</v>
      </c>
      <c r="O14" s="25">
        <f t="shared" si="0"/>
        <v>4</v>
      </c>
      <c r="P14" s="11">
        <v>4</v>
      </c>
      <c r="Q14" s="26">
        <f t="shared" si="1"/>
        <v>16</v>
      </c>
      <c r="R14" s="27" t="str">
        <f>IF(Q14="","",IF(Q14&lt;=Anleitung!$D$41,"Gering",IF(Q14&lt;=Anleitung!$D$42,"Mittel",IF(Q14&lt;=Anleitung!$D$43,"Hoch","Kritisch"))))</f>
        <v>Hoch</v>
      </c>
      <c r="S14" s="19" t="s">
        <v>135</v>
      </c>
      <c r="T14" s="19" t="s">
        <v>105</v>
      </c>
      <c r="U14" s="22">
        <v>46218</v>
      </c>
      <c r="V14" s="21" t="s">
        <v>60</v>
      </c>
      <c r="W14" s="27" t="s">
        <v>23</v>
      </c>
      <c r="X14" s="28">
        <f t="shared" si="2"/>
        <v>16.000139999999998</v>
      </c>
    </row>
    <row r="15" spans="1:24" ht="30" customHeight="1" x14ac:dyDescent="0.25">
      <c r="A15" s="29">
        <v>10</v>
      </c>
      <c r="B15" s="30" t="s">
        <v>136</v>
      </c>
      <c r="C15" s="19" t="s">
        <v>137</v>
      </c>
      <c r="D15" s="19" t="s">
        <v>98</v>
      </c>
      <c r="E15" s="20">
        <v>130000</v>
      </c>
      <c r="F15" s="21" t="s">
        <v>66</v>
      </c>
      <c r="G15" s="22">
        <v>46114</v>
      </c>
      <c r="H15" s="23">
        <v>2</v>
      </c>
      <c r="I15" s="23">
        <v>2</v>
      </c>
      <c r="J15" s="23">
        <v>2</v>
      </c>
      <c r="K15" s="23">
        <v>1</v>
      </c>
      <c r="L15" s="23">
        <v>1</v>
      </c>
      <c r="M15" s="23">
        <v>2</v>
      </c>
      <c r="N15" s="24">
        <f>IF(COUNT(H15:M15)&lt;6,"",SUMPRODUCT(H15:M15,Anleitung!$C$36:$H$36)/SUM(Anleitung!$C$36:$H$36))</f>
        <v>1.7</v>
      </c>
      <c r="O15" s="25">
        <f t="shared" si="0"/>
        <v>2</v>
      </c>
      <c r="P15" s="11">
        <v>2</v>
      </c>
      <c r="Q15" s="26">
        <f t="shared" si="1"/>
        <v>4</v>
      </c>
      <c r="R15" s="27" t="str">
        <f>IF(Q15="","",IF(Q15&lt;=Anleitung!$D$41,"Gering",IF(Q15&lt;=Anleitung!$D$42,"Mittel",IF(Q15&lt;=Anleitung!$D$43,"Hoch","Kritisch"))))</f>
        <v>Gering</v>
      </c>
      <c r="S15" s="19" t="s">
        <v>138</v>
      </c>
      <c r="T15" s="19" t="s">
        <v>115</v>
      </c>
      <c r="U15" s="22">
        <v>46356</v>
      </c>
      <c r="V15" s="21" t="s">
        <v>67</v>
      </c>
      <c r="W15" s="27" t="s">
        <v>19</v>
      </c>
      <c r="X15" s="28">
        <f t="shared" si="2"/>
        <v>4.0001499999999997</v>
      </c>
    </row>
    <row r="16" spans="1:24" ht="30" customHeight="1" x14ac:dyDescent="0.25">
      <c r="A16" s="17"/>
      <c r="B16" s="18"/>
      <c r="C16" s="19"/>
      <c r="D16" s="19"/>
      <c r="E16" s="20"/>
      <c r="F16" s="21"/>
      <c r="G16" s="22"/>
      <c r="H16" s="31"/>
      <c r="I16" s="31"/>
      <c r="J16" s="31"/>
      <c r="K16" s="31"/>
      <c r="L16" s="31"/>
      <c r="M16" s="31"/>
      <c r="N16" s="24" t="str">
        <f>IF(COUNT(H16:M16)&lt;6,"",SUMPRODUCT(H16:M16,Anleitung!$C$36:$H$36)/SUM(Anleitung!$C$36:$H$36))</f>
        <v/>
      </c>
      <c r="O16" s="25" t="str">
        <f t="shared" si="0"/>
        <v/>
      </c>
      <c r="P16" s="11"/>
      <c r="Q16" s="26" t="str">
        <f t="shared" si="1"/>
        <v/>
      </c>
      <c r="R16" s="27" t="str">
        <f>IF(Q16="","",IF(Q16&lt;=Anleitung!$D$41,"Gering",IF(Q16&lt;=Anleitung!$D$42,"Mittel",IF(Q16&lt;=Anleitung!$D$43,"Hoch","Kritisch"))))</f>
        <v/>
      </c>
      <c r="S16" s="19"/>
      <c r="T16" s="19"/>
      <c r="U16" s="22"/>
      <c r="V16" s="21"/>
      <c r="W16" s="27"/>
      <c r="X16" s="28" t="str">
        <f t="shared" si="2"/>
        <v/>
      </c>
    </row>
    <row r="17" spans="1:24" ht="30" customHeight="1" x14ac:dyDescent="0.25">
      <c r="A17" s="29"/>
      <c r="B17" s="30"/>
      <c r="C17" s="19"/>
      <c r="D17" s="19"/>
      <c r="E17" s="20"/>
      <c r="F17" s="21"/>
      <c r="G17" s="22"/>
      <c r="H17" s="31"/>
      <c r="I17" s="31"/>
      <c r="J17" s="31"/>
      <c r="K17" s="31"/>
      <c r="L17" s="31"/>
      <c r="M17" s="31"/>
      <c r="N17" s="24" t="str">
        <f>IF(COUNT(H17:M17)&lt;6,"",SUMPRODUCT(H17:M17,Anleitung!$C$36:$H$36)/SUM(Anleitung!$C$36:$H$36))</f>
        <v/>
      </c>
      <c r="O17" s="25" t="str">
        <f t="shared" si="0"/>
        <v/>
      </c>
      <c r="P17" s="11"/>
      <c r="Q17" s="26" t="str">
        <f t="shared" si="1"/>
        <v/>
      </c>
      <c r="R17" s="27" t="str">
        <f>IF(Q17="","",IF(Q17&lt;=Anleitung!$D$41,"Gering",IF(Q17&lt;=Anleitung!$D$42,"Mittel",IF(Q17&lt;=Anleitung!$D$43,"Hoch","Kritisch"))))</f>
        <v/>
      </c>
      <c r="S17" s="19"/>
      <c r="T17" s="19"/>
      <c r="U17" s="22"/>
      <c r="V17" s="21"/>
      <c r="W17" s="27"/>
      <c r="X17" s="28" t="str">
        <f t="shared" si="2"/>
        <v/>
      </c>
    </row>
    <row r="18" spans="1:24" ht="30" customHeight="1" x14ac:dyDescent="0.25">
      <c r="A18" s="17"/>
      <c r="B18" s="18"/>
      <c r="C18" s="19"/>
      <c r="D18" s="19"/>
      <c r="E18" s="20"/>
      <c r="F18" s="21"/>
      <c r="G18" s="22"/>
      <c r="H18" s="31"/>
      <c r="I18" s="31"/>
      <c r="J18" s="31"/>
      <c r="K18" s="31"/>
      <c r="L18" s="31"/>
      <c r="M18" s="31"/>
      <c r="N18" s="24" t="str">
        <f>IF(COUNT(H18:M18)&lt;6,"",SUMPRODUCT(H18:M18,Anleitung!$C$36:$H$36)/SUM(Anleitung!$C$36:$H$36))</f>
        <v/>
      </c>
      <c r="O18" s="25" t="str">
        <f t="shared" si="0"/>
        <v/>
      </c>
      <c r="P18" s="11"/>
      <c r="Q18" s="26" t="str">
        <f t="shared" si="1"/>
        <v/>
      </c>
      <c r="R18" s="27" t="str">
        <f>IF(Q18="","",IF(Q18&lt;=Anleitung!$D$41,"Gering",IF(Q18&lt;=Anleitung!$D$42,"Mittel",IF(Q18&lt;=Anleitung!$D$43,"Hoch","Kritisch"))))</f>
        <v/>
      </c>
      <c r="S18" s="19"/>
      <c r="T18" s="19"/>
      <c r="U18" s="22"/>
      <c r="V18" s="21"/>
      <c r="W18" s="27"/>
      <c r="X18" s="28" t="str">
        <f t="shared" si="2"/>
        <v/>
      </c>
    </row>
    <row r="19" spans="1:24" ht="30" customHeight="1" x14ac:dyDescent="0.25">
      <c r="A19" s="29"/>
      <c r="B19" s="30"/>
      <c r="C19" s="19"/>
      <c r="D19" s="19"/>
      <c r="E19" s="20"/>
      <c r="F19" s="21"/>
      <c r="G19" s="22"/>
      <c r="H19" s="31"/>
      <c r="I19" s="31"/>
      <c r="J19" s="31"/>
      <c r="K19" s="31"/>
      <c r="L19" s="31"/>
      <c r="M19" s="31"/>
      <c r="N19" s="24" t="str">
        <f>IF(COUNT(H19:M19)&lt;6,"",SUMPRODUCT(H19:M19,Anleitung!$C$36:$H$36)/SUM(Anleitung!$C$36:$H$36))</f>
        <v/>
      </c>
      <c r="O19" s="25" t="str">
        <f t="shared" si="0"/>
        <v/>
      </c>
      <c r="P19" s="11"/>
      <c r="Q19" s="26" t="str">
        <f t="shared" si="1"/>
        <v/>
      </c>
      <c r="R19" s="27" t="str">
        <f>IF(Q19="","",IF(Q19&lt;=Anleitung!$D$41,"Gering",IF(Q19&lt;=Anleitung!$D$42,"Mittel",IF(Q19&lt;=Anleitung!$D$43,"Hoch","Kritisch"))))</f>
        <v/>
      </c>
      <c r="S19" s="19"/>
      <c r="T19" s="19"/>
      <c r="U19" s="22"/>
      <c r="V19" s="21"/>
      <c r="W19" s="27"/>
      <c r="X19" s="28" t="str">
        <f t="shared" si="2"/>
        <v/>
      </c>
    </row>
    <row r="20" spans="1:24" ht="30" customHeight="1" x14ac:dyDescent="0.25">
      <c r="A20" s="17"/>
      <c r="B20" s="18"/>
      <c r="C20" s="19"/>
      <c r="D20" s="19"/>
      <c r="E20" s="20"/>
      <c r="F20" s="21"/>
      <c r="G20" s="22"/>
      <c r="H20" s="31"/>
      <c r="I20" s="31"/>
      <c r="J20" s="31"/>
      <c r="K20" s="31"/>
      <c r="L20" s="31"/>
      <c r="M20" s="31"/>
      <c r="N20" s="24" t="str">
        <f>IF(COUNT(H20:M20)&lt;6,"",SUMPRODUCT(H20:M20,Anleitung!$C$36:$H$36)/SUM(Anleitung!$C$36:$H$36))</f>
        <v/>
      </c>
      <c r="O20" s="25" t="str">
        <f t="shared" si="0"/>
        <v/>
      </c>
      <c r="P20" s="11"/>
      <c r="Q20" s="26" t="str">
        <f t="shared" si="1"/>
        <v/>
      </c>
      <c r="R20" s="27" t="str">
        <f>IF(Q20="","",IF(Q20&lt;=Anleitung!$D$41,"Gering",IF(Q20&lt;=Anleitung!$D$42,"Mittel",IF(Q20&lt;=Anleitung!$D$43,"Hoch","Kritisch"))))</f>
        <v/>
      </c>
      <c r="S20" s="19"/>
      <c r="T20" s="19"/>
      <c r="U20" s="22"/>
      <c r="V20" s="21"/>
      <c r="W20" s="27"/>
      <c r="X20" s="28" t="str">
        <f t="shared" si="2"/>
        <v/>
      </c>
    </row>
  </sheetData>
  <autoFilter ref="A5:W20" xr:uid="{00000000-0009-0000-0000-000001000000}"/>
  <mergeCells count="6">
    <mergeCell ref="A1:X1"/>
    <mergeCell ref="A2:X2"/>
    <mergeCell ref="A4:G4"/>
    <mergeCell ref="H4:M4"/>
    <mergeCell ref="N4:R4"/>
    <mergeCell ref="S4:W4"/>
  </mergeCells>
  <conditionalFormatting sqref="H6:M20">
    <cfRule type="colorScale" priority="2">
      <colorScale>
        <cfvo type="num" val="1"/>
        <cfvo type="num" val="3"/>
        <cfvo type="num" val="5"/>
        <color rgb="FFC6E7C9"/>
        <color rgb="FFFCEBBF"/>
        <color rgb="FFF3B7B7"/>
      </colorScale>
    </cfRule>
  </conditionalFormatting>
  <conditionalFormatting sqref="Q6:Q20">
    <cfRule type="colorScale" priority="3">
      <colorScale>
        <cfvo type="num" val="1"/>
        <cfvo type="num" val="12"/>
        <cfvo type="num" val="25"/>
        <color rgb="FFC6E7C9"/>
        <color rgb="FFFCEBBF"/>
        <color rgb="FFF3B7B7"/>
      </colorScale>
    </cfRule>
  </conditionalFormatting>
  <conditionalFormatting sqref="R6:R20">
    <cfRule type="cellIs" dxfId="11" priority="4" operator="equal">
      <formula>"Gering"</formula>
    </cfRule>
    <cfRule type="cellIs" dxfId="10" priority="5" operator="equal">
      <formula>"Mittel"</formula>
    </cfRule>
    <cfRule type="cellIs" dxfId="9" priority="6" operator="equal">
      <formula>"Hoch"</formula>
    </cfRule>
    <cfRule type="cellIs" dxfId="8" priority="7" operator="equal">
      <formula>"Kritisch"</formula>
    </cfRule>
  </conditionalFormatting>
  <conditionalFormatting sqref="W6:W20">
    <cfRule type="cellIs" dxfId="7" priority="8" operator="equal">
      <formula>"Gering"</formula>
    </cfRule>
    <cfRule type="cellIs" dxfId="6" priority="9" operator="equal">
      <formula>"Mittel"</formula>
    </cfRule>
    <cfRule type="cellIs" dxfId="5" priority="10" operator="equal">
      <formula>"Hoch"</formula>
    </cfRule>
    <cfRule type="cellIs" dxfId="4" priority="11" operator="equal">
      <formula>"Kritisch"</formula>
    </cfRule>
  </conditionalFormatting>
  <dataValidations count="1">
    <dataValidation type="whole" allowBlank="1" errorTitle="Ungültiger Wert" error="Bitte einen Wert zwischen 1 und 5 eingeben." promptTitle="Bewertung" prompt="Skala 1 (sehr gering) bis 5 (sehr hoch)." sqref="H6:M20 P6:P20" xr:uid="{00000000-0002-0000-0100-000000000000}">
      <formula1>1</formula1>
      <formula2>5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1000000}">
          <x14:formula1>
            <xm:f>Anleitung!$K$47:$K$50</xm:f>
          </x14:formula1>
          <x14:formula2>
            <xm:f>0</xm:f>
          </x14:formula2>
          <xm:sqref>V6:V20</xm:sqref>
        </x14:dataValidation>
        <x14:dataValidation type="list" allowBlank="1" xr:uid="{00000000-0002-0000-0100-000002000000}">
          <x14:formula1>
            <xm:f>Anleitung!$L$47:$L$49</xm:f>
          </x14:formula1>
          <x14:formula2>
            <xm:f>0</xm:f>
          </x14:formula2>
          <xm:sqref>F6:F20</xm:sqref>
        </x14:dataValidation>
        <x14:dataValidation type="list" allowBlank="1" xr:uid="{00000000-0002-0000-0100-000003000000}">
          <x14:formula1>
            <xm:f>Anleitung!$M$47:$M$50</xm:f>
          </x14:formula1>
          <x14:formula2>
            <xm:f>0</xm:f>
          </x14:formula2>
          <xm:sqref>W6:W20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0"/>
  <sheetViews>
    <sheetView showGridLines="0" zoomScaleNormal="100" workbookViewId="0">
      <selection sqref="A1:XFD1048576"/>
    </sheetView>
  </sheetViews>
  <sheetFormatPr baseColWidth="10" defaultColWidth="8.7109375" defaultRowHeight="15" x14ac:dyDescent="0.25"/>
  <cols>
    <col min="1" max="1" width="2.42578125" customWidth="1"/>
    <col min="2" max="2" width="10" bestFit="1" customWidth="1"/>
    <col min="3" max="3" width="15.7109375" bestFit="1" customWidth="1"/>
    <col min="4" max="4" width="10.28515625" bestFit="1" customWidth="1"/>
    <col min="5" max="5" width="11.85546875" bestFit="1" customWidth="1"/>
    <col min="6" max="6" width="10.28515625" bestFit="1" customWidth="1"/>
    <col min="7" max="7" width="15.140625" bestFit="1" customWidth="1"/>
    <col min="8" max="8" width="15.7109375" bestFit="1" customWidth="1"/>
    <col min="11" max="11" width="14.140625" bestFit="1" customWidth="1"/>
    <col min="12" max="12" width="12.85546875" bestFit="1" customWidth="1"/>
    <col min="13" max="13" width="7.5703125" bestFit="1" customWidth="1"/>
  </cols>
  <sheetData>
    <row r="1" spans="2:8" ht="9.75" customHeight="1" x14ac:dyDescent="0.25"/>
    <row r="2" spans="2:8" ht="33.75" customHeight="1" x14ac:dyDescent="0.25">
      <c r="B2" s="60" t="s">
        <v>0</v>
      </c>
      <c r="C2" s="60"/>
      <c r="D2" s="60"/>
      <c r="E2" s="60"/>
      <c r="F2" s="60"/>
      <c r="G2" s="60"/>
      <c r="H2" s="60"/>
    </row>
    <row r="3" spans="2:8" ht="19.5" customHeight="1" x14ac:dyDescent="0.25">
      <c r="B3" s="61" t="s">
        <v>1</v>
      </c>
      <c r="C3" s="61"/>
      <c r="D3" s="61"/>
      <c r="E3" s="61"/>
      <c r="F3" s="61"/>
      <c r="G3" s="61"/>
      <c r="H3" s="61"/>
    </row>
    <row r="5" spans="2:8" ht="21.75" customHeight="1" x14ac:dyDescent="0.25">
      <c r="B5" s="42" t="s">
        <v>2</v>
      </c>
      <c r="C5" s="42"/>
      <c r="D5" s="42"/>
      <c r="E5" s="42"/>
      <c r="F5" s="42"/>
      <c r="G5" s="42"/>
      <c r="H5" s="42"/>
    </row>
    <row r="6" spans="2:8" ht="15" customHeight="1" x14ac:dyDescent="0.25">
      <c r="B6" s="59" t="s">
        <v>3</v>
      </c>
      <c r="C6" s="59"/>
      <c r="D6" s="59"/>
      <c r="E6" s="59"/>
      <c r="F6" s="59"/>
      <c r="G6" s="59"/>
      <c r="H6" s="59"/>
    </row>
    <row r="7" spans="2:8" ht="15" customHeight="1" x14ac:dyDescent="0.25">
      <c r="B7" s="59" t="s">
        <v>4</v>
      </c>
      <c r="C7" s="59"/>
      <c r="D7" s="59"/>
      <c r="E7" s="59"/>
      <c r="F7" s="59"/>
      <c r="G7" s="59"/>
      <c r="H7" s="59"/>
    </row>
    <row r="8" spans="2:8" ht="15" customHeight="1" x14ac:dyDescent="0.25">
      <c r="B8" s="59" t="s">
        <v>5</v>
      </c>
      <c r="C8" s="59"/>
      <c r="D8" s="59"/>
      <c r="E8" s="59"/>
      <c r="F8" s="59"/>
      <c r="G8" s="59"/>
      <c r="H8" s="59"/>
    </row>
    <row r="9" spans="2:8" ht="15" customHeight="1" x14ac:dyDescent="0.25">
      <c r="B9" s="59" t="s">
        <v>6</v>
      </c>
      <c r="C9" s="59"/>
      <c r="D9" s="59"/>
      <c r="E9" s="59"/>
      <c r="F9" s="59"/>
      <c r="G9" s="59"/>
      <c r="H9" s="59"/>
    </row>
    <row r="10" spans="2:8" ht="15" customHeight="1" x14ac:dyDescent="0.25">
      <c r="B10" s="59" t="s">
        <v>7</v>
      </c>
      <c r="C10" s="59"/>
      <c r="D10" s="59"/>
      <c r="E10" s="59"/>
      <c r="F10" s="59"/>
      <c r="G10" s="59"/>
      <c r="H10" s="59"/>
    </row>
    <row r="11" spans="2:8" ht="15" customHeight="1" x14ac:dyDescent="0.25">
      <c r="B11" s="59" t="s">
        <v>8</v>
      </c>
      <c r="C11" s="59"/>
      <c r="D11" s="59"/>
      <c r="E11" s="59"/>
      <c r="F11" s="59"/>
      <c r="G11" s="59"/>
      <c r="H11" s="59"/>
    </row>
    <row r="13" spans="2:8" ht="21.75" customHeight="1" x14ac:dyDescent="0.25">
      <c r="B13" s="42" t="s">
        <v>9</v>
      </c>
      <c r="C13" s="42"/>
      <c r="D13" s="42"/>
      <c r="E13" s="42"/>
      <c r="F13" s="42"/>
      <c r="G13" s="42"/>
      <c r="H13" s="42"/>
    </row>
    <row r="14" spans="2:8" ht="15" customHeight="1" x14ac:dyDescent="0.25">
      <c r="B14" s="3"/>
      <c r="C14" s="54" t="s">
        <v>10</v>
      </c>
      <c r="D14" s="54"/>
      <c r="E14" s="54"/>
      <c r="F14" s="54"/>
      <c r="G14" s="54"/>
      <c r="H14" s="54"/>
    </row>
    <row r="15" spans="2:8" ht="15" customHeight="1" x14ac:dyDescent="0.25">
      <c r="B15" s="4"/>
      <c r="C15" s="54" t="s">
        <v>11</v>
      </c>
      <c r="D15" s="54"/>
      <c r="E15" s="54"/>
      <c r="F15" s="54"/>
      <c r="G15" s="54"/>
      <c r="H15" s="54"/>
    </row>
    <row r="16" spans="2:8" ht="15" customHeight="1" x14ac:dyDescent="0.25">
      <c r="B16" s="5"/>
      <c r="C16" s="54" t="s">
        <v>12</v>
      </c>
      <c r="D16" s="54"/>
      <c r="E16" s="54"/>
      <c r="F16" s="54"/>
      <c r="G16" s="54"/>
      <c r="H16" s="54"/>
    </row>
    <row r="18" spans="2:8" ht="21.75" customHeight="1" x14ac:dyDescent="0.25">
      <c r="B18" s="42" t="s">
        <v>13</v>
      </c>
      <c r="C18" s="42"/>
      <c r="D18" s="42"/>
      <c r="E18" s="42"/>
      <c r="F18" s="42"/>
      <c r="G18" s="42"/>
      <c r="H18" s="42"/>
    </row>
    <row r="19" spans="2:8" ht="15" customHeight="1" x14ac:dyDescent="0.25">
      <c r="B19" s="1" t="s">
        <v>14</v>
      </c>
      <c r="C19" s="1" t="s">
        <v>15</v>
      </c>
      <c r="D19" s="58" t="s">
        <v>16</v>
      </c>
      <c r="E19" s="58"/>
      <c r="F19" s="58"/>
      <c r="G19" s="58"/>
      <c r="H19" s="58"/>
    </row>
    <row r="20" spans="2:8" ht="15" customHeight="1" x14ac:dyDescent="0.25">
      <c r="B20" s="6">
        <v>1</v>
      </c>
      <c r="C20" s="2" t="s">
        <v>17</v>
      </c>
      <c r="D20" s="56" t="s">
        <v>18</v>
      </c>
      <c r="E20" s="56"/>
      <c r="F20" s="56"/>
      <c r="G20" s="56"/>
      <c r="H20" s="56"/>
    </row>
    <row r="21" spans="2:8" ht="15" customHeight="1" x14ac:dyDescent="0.25">
      <c r="B21" s="6">
        <v>2</v>
      </c>
      <c r="C21" s="2" t="s">
        <v>19</v>
      </c>
      <c r="D21" s="56" t="s">
        <v>20</v>
      </c>
      <c r="E21" s="56"/>
      <c r="F21" s="56"/>
      <c r="G21" s="56"/>
      <c r="H21" s="56"/>
    </row>
    <row r="22" spans="2:8" ht="15" customHeight="1" x14ac:dyDescent="0.25">
      <c r="B22" s="6">
        <v>3</v>
      </c>
      <c r="C22" s="2" t="s">
        <v>21</v>
      </c>
      <c r="D22" s="56" t="s">
        <v>22</v>
      </c>
      <c r="E22" s="56"/>
      <c r="F22" s="56"/>
      <c r="G22" s="56"/>
      <c r="H22" s="56"/>
    </row>
    <row r="23" spans="2:8" ht="15" customHeight="1" x14ac:dyDescent="0.25">
      <c r="B23" s="6">
        <v>4</v>
      </c>
      <c r="C23" s="2" t="s">
        <v>23</v>
      </c>
      <c r="D23" s="56" t="s">
        <v>24</v>
      </c>
      <c r="E23" s="56"/>
      <c r="F23" s="56"/>
      <c r="G23" s="56"/>
      <c r="H23" s="56"/>
    </row>
    <row r="24" spans="2:8" ht="15" customHeight="1" x14ac:dyDescent="0.25">
      <c r="B24" s="6">
        <v>5</v>
      </c>
      <c r="C24" s="2" t="s">
        <v>25</v>
      </c>
      <c r="D24" s="56" t="s">
        <v>26</v>
      </c>
      <c r="E24" s="56"/>
      <c r="F24" s="56"/>
      <c r="G24" s="56"/>
      <c r="H24" s="56"/>
    </row>
    <row r="26" spans="2:8" ht="21.75" customHeight="1" x14ac:dyDescent="0.25">
      <c r="B26" s="42" t="s">
        <v>27</v>
      </c>
      <c r="C26" s="42"/>
      <c r="D26" s="42"/>
      <c r="E26" s="42"/>
      <c r="F26" s="42"/>
      <c r="G26" s="42"/>
      <c r="H26" s="42"/>
    </row>
    <row r="27" spans="2:8" ht="15" customHeight="1" x14ac:dyDescent="0.25">
      <c r="B27" s="1" t="s">
        <v>14</v>
      </c>
      <c r="C27" s="1" t="s">
        <v>15</v>
      </c>
      <c r="D27" s="58" t="s">
        <v>16</v>
      </c>
      <c r="E27" s="58"/>
      <c r="F27" s="58"/>
      <c r="G27" s="58"/>
      <c r="H27" s="58"/>
    </row>
    <row r="28" spans="2:8" ht="15" customHeight="1" x14ac:dyDescent="0.25">
      <c r="B28" s="6">
        <v>1</v>
      </c>
      <c r="C28" s="2" t="s">
        <v>28</v>
      </c>
      <c r="D28" s="56" t="s">
        <v>29</v>
      </c>
      <c r="E28" s="56"/>
      <c r="F28" s="56"/>
      <c r="G28" s="56"/>
      <c r="H28" s="56"/>
    </row>
    <row r="29" spans="2:8" ht="15" customHeight="1" x14ac:dyDescent="0.25">
      <c r="B29" s="6">
        <v>2</v>
      </c>
      <c r="C29" s="2" t="s">
        <v>19</v>
      </c>
      <c r="D29" s="56" t="s">
        <v>30</v>
      </c>
      <c r="E29" s="56"/>
      <c r="F29" s="56"/>
      <c r="G29" s="56"/>
      <c r="H29" s="56"/>
    </row>
    <row r="30" spans="2:8" ht="15" customHeight="1" x14ac:dyDescent="0.25">
      <c r="B30" s="6">
        <v>3</v>
      </c>
      <c r="C30" s="2" t="s">
        <v>31</v>
      </c>
      <c r="D30" s="56" t="s">
        <v>32</v>
      </c>
      <c r="E30" s="56"/>
      <c r="F30" s="56"/>
      <c r="G30" s="56"/>
      <c r="H30" s="56"/>
    </row>
    <row r="31" spans="2:8" ht="15" customHeight="1" x14ac:dyDescent="0.25">
      <c r="B31" s="6">
        <v>4</v>
      </c>
      <c r="C31" s="2" t="s">
        <v>33</v>
      </c>
      <c r="D31" s="56" t="s">
        <v>34</v>
      </c>
      <c r="E31" s="56"/>
      <c r="F31" s="56"/>
      <c r="G31" s="56"/>
      <c r="H31" s="56"/>
    </row>
    <row r="32" spans="2:8" ht="15" customHeight="1" x14ac:dyDescent="0.25">
      <c r="B32" s="6">
        <v>5</v>
      </c>
      <c r="C32" s="2" t="s">
        <v>35</v>
      </c>
      <c r="D32" s="56" t="s">
        <v>36</v>
      </c>
      <c r="E32" s="56"/>
      <c r="F32" s="56"/>
      <c r="G32" s="56"/>
      <c r="H32" s="56"/>
    </row>
    <row r="34" spans="2:13" ht="21.75" customHeight="1" x14ac:dyDescent="0.25">
      <c r="B34" s="42" t="s">
        <v>37</v>
      </c>
      <c r="C34" s="42"/>
      <c r="D34" s="42"/>
      <c r="E34" s="42"/>
      <c r="F34" s="42"/>
      <c r="G34" s="42"/>
      <c r="H34" s="42"/>
    </row>
    <row r="35" spans="2:13" ht="24" x14ac:dyDescent="0.25">
      <c r="B35" s="7" t="s">
        <v>38</v>
      </c>
      <c r="C35" s="7" t="s">
        <v>39</v>
      </c>
      <c r="D35" s="7" t="s">
        <v>40</v>
      </c>
      <c r="E35" s="7" t="s">
        <v>41</v>
      </c>
      <c r="F35" s="7" t="s">
        <v>42</v>
      </c>
      <c r="G35" s="7" t="s">
        <v>43</v>
      </c>
      <c r="H35" s="7" t="s">
        <v>44</v>
      </c>
    </row>
    <row r="36" spans="2:13" x14ac:dyDescent="0.25">
      <c r="B36" s="8" t="s">
        <v>45</v>
      </c>
      <c r="C36" s="9">
        <v>0.2</v>
      </c>
      <c r="D36" s="9">
        <v>0.2</v>
      </c>
      <c r="E36" s="9">
        <v>0.15</v>
      </c>
      <c r="F36" s="9">
        <v>0.15</v>
      </c>
      <c r="G36" s="9">
        <v>0.15</v>
      </c>
      <c r="H36" s="9">
        <v>0.15</v>
      </c>
    </row>
    <row r="37" spans="2:13" x14ac:dyDescent="0.25">
      <c r="B37" s="8" t="s">
        <v>46</v>
      </c>
      <c r="C37" s="57">
        <f>SUM(C36:H36)</f>
        <v>1</v>
      </c>
      <c r="D37" s="57"/>
      <c r="E37" s="57"/>
      <c r="F37" s="57"/>
      <c r="G37" s="57"/>
      <c r="H37" s="57"/>
    </row>
    <row r="39" spans="2:13" ht="21.75" customHeight="1" x14ac:dyDescent="0.25">
      <c r="B39" s="42" t="s">
        <v>47</v>
      </c>
      <c r="C39" s="42"/>
      <c r="D39" s="42"/>
      <c r="E39" s="42"/>
      <c r="F39" s="42"/>
      <c r="G39" s="42"/>
      <c r="H39" s="42"/>
    </row>
    <row r="40" spans="2:13" ht="15" customHeight="1" x14ac:dyDescent="0.25">
      <c r="B40" s="1" t="s">
        <v>48</v>
      </c>
      <c r="C40" s="1" t="s">
        <v>49</v>
      </c>
      <c r="D40" s="1" t="s">
        <v>50</v>
      </c>
      <c r="E40" s="49" t="s">
        <v>51</v>
      </c>
      <c r="F40" s="49"/>
      <c r="G40" s="49"/>
      <c r="H40" s="49"/>
    </row>
    <row r="41" spans="2:13" ht="15" customHeight="1" x14ac:dyDescent="0.25">
      <c r="B41" s="10" t="s">
        <v>19</v>
      </c>
      <c r="C41" s="11">
        <v>1</v>
      </c>
      <c r="D41" s="11">
        <v>5</v>
      </c>
      <c r="E41" s="56" t="s">
        <v>52</v>
      </c>
      <c r="F41" s="56"/>
      <c r="G41" s="56"/>
      <c r="H41" s="56"/>
    </row>
    <row r="42" spans="2:13" ht="15" customHeight="1" x14ac:dyDescent="0.25">
      <c r="B42" s="12" t="s">
        <v>21</v>
      </c>
      <c r="C42" s="11">
        <v>6</v>
      </c>
      <c r="D42" s="11">
        <v>11</v>
      </c>
      <c r="E42" s="56" t="s">
        <v>53</v>
      </c>
      <c r="F42" s="56"/>
      <c r="G42" s="56"/>
      <c r="H42" s="56"/>
    </row>
    <row r="43" spans="2:13" ht="15" customHeight="1" x14ac:dyDescent="0.25">
      <c r="B43" s="13" t="s">
        <v>23</v>
      </c>
      <c r="C43" s="11">
        <v>12</v>
      </c>
      <c r="D43" s="11">
        <v>17</v>
      </c>
      <c r="E43" s="56" t="s">
        <v>54</v>
      </c>
      <c r="F43" s="56"/>
      <c r="G43" s="56"/>
      <c r="H43" s="56"/>
    </row>
    <row r="44" spans="2:13" ht="15" customHeight="1" x14ac:dyDescent="0.25">
      <c r="B44" s="14" t="s">
        <v>55</v>
      </c>
      <c r="C44" s="11">
        <v>18</v>
      </c>
      <c r="D44" s="11">
        <v>25</v>
      </c>
      <c r="E44" s="56" t="s">
        <v>56</v>
      </c>
      <c r="F44" s="56"/>
      <c r="G44" s="56"/>
      <c r="H44" s="56"/>
    </row>
    <row r="46" spans="2:13" ht="21.75" customHeight="1" x14ac:dyDescent="0.25">
      <c r="B46" s="42" t="s">
        <v>57</v>
      </c>
      <c r="C46" s="42"/>
      <c r="D46" s="42"/>
      <c r="E46" s="42"/>
      <c r="F46" s="42"/>
      <c r="G46" s="42"/>
      <c r="H46" s="42"/>
    </row>
    <row r="47" spans="2:13" ht="15" customHeight="1" x14ac:dyDescent="0.25">
      <c r="B47" s="1" t="s">
        <v>58</v>
      </c>
      <c r="C47" s="54" t="s">
        <v>59</v>
      </c>
      <c r="D47" s="54"/>
      <c r="E47" s="54"/>
      <c r="F47" s="54"/>
      <c r="G47" s="54"/>
      <c r="H47" s="54"/>
      <c r="K47" t="s">
        <v>60</v>
      </c>
      <c r="L47" t="s">
        <v>61</v>
      </c>
      <c r="M47" t="s">
        <v>19</v>
      </c>
    </row>
    <row r="48" spans="2:13" x14ac:dyDescent="0.25">
      <c r="K48" t="s">
        <v>62</v>
      </c>
      <c r="L48" t="s">
        <v>63</v>
      </c>
      <c r="M48" t="s">
        <v>21</v>
      </c>
    </row>
    <row r="49" spans="2:13" ht="27.75" customHeight="1" x14ac:dyDescent="0.25">
      <c r="B49" s="55" t="s">
        <v>64</v>
      </c>
      <c r="C49" s="55"/>
      <c r="D49" s="55"/>
      <c r="E49" s="55"/>
      <c r="F49" s="55"/>
      <c r="G49" s="55"/>
      <c r="H49" s="55"/>
      <c r="K49" t="s">
        <v>65</v>
      </c>
      <c r="L49" t="s">
        <v>66</v>
      </c>
      <c r="M49" t="s">
        <v>23</v>
      </c>
    </row>
    <row r="50" spans="2:13" x14ac:dyDescent="0.25">
      <c r="K50" t="s">
        <v>67</v>
      </c>
      <c r="M50" t="s">
        <v>55</v>
      </c>
    </row>
  </sheetData>
  <mergeCells count="38">
    <mergeCell ref="B2:H2"/>
    <mergeCell ref="B3:H3"/>
    <mergeCell ref="B5:H5"/>
    <mergeCell ref="B6:H6"/>
    <mergeCell ref="B7:H7"/>
    <mergeCell ref="B8:H8"/>
    <mergeCell ref="B9:H9"/>
    <mergeCell ref="B10:H10"/>
    <mergeCell ref="B11:H11"/>
    <mergeCell ref="B13:H13"/>
    <mergeCell ref="C14:H14"/>
    <mergeCell ref="C15:H15"/>
    <mergeCell ref="C16:H16"/>
    <mergeCell ref="B18:H18"/>
    <mergeCell ref="D19:H19"/>
    <mergeCell ref="D20:H20"/>
    <mergeCell ref="D21:H21"/>
    <mergeCell ref="D22:H22"/>
    <mergeCell ref="D23:H23"/>
    <mergeCell ref="D24:H24"/>
    <mergeCell ref="B26:H26"/>
    <mergeCell ref="D27:H27"/>
    <mergeCell ref="D28:H28"/>
    <mergeCell ref="D29:H29"/>
    <mergeCell ref="D30:H30"/>
    <mergeCell ref="D31:H31"/>
    <mergeCell ref="D32:H32"/>
    <mergeCell ref="B34:H34"/>
    <mergeCell ref="C37:H37"/>
    <mergeCell ref="B39:H39"/>
    <mergeCell ref="B46:H46"/>
    <mergeCell ref="C47:H47"/>
    <mergeCell ref="B49:H49"/>
    <mergeCell ref="E40:H40"/>
    <mergeCell ref="E41:H41"/>
    <mergeCell ref="E42:H42"/>
    <mergeCell ref="E43:H43"/>
    <mergeCell ref="E44:H4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Dashboard</vt:lpstr>
      <vt:lpstr>Risikobewertung</vt:lpstr>
      <vt:lpstr>Anleitung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2026-08-31T17:28:50Z</dcterms:created>
  <dcterms:modified xsi:type="dcterms:W3CDTF">2026-09-02T08:36:30Z</dcterms:modified>
  <dc:language>en-US</dc:language>
</cp:coreProperties>
</file>