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362322DC-4541-4642-B776-645ECF563E20}" xr6:coauthVersionLast="47" xr6:coauthVersionMax="47" xr10:uidLastSave="{00000000-0000-0000-0000-000000000000}"/>
  <bookViews>
    <workbookView xWindow="1380" yWindow="1380" windowWidth="25500" windowHeight="13500" tabRatio="500" activeTab="2" xr2:uid="{00000000-000D-0000-FFFF-FFFF00000000}"/>
  </bookViews>
  <sheets>
    <sheet name="Anleitung" sheetId="1" r:id="rId1"/>
    <sheet name="Risikoanalyse" sheetId="2" r:id="rId2"/>
    <sheet name="Auswertung" sheetId="3" r:id="rId3"/>
  </sheets>
  <definedNames>
    <definedName name="_xlnm.Print_Area" localSheetId="0">Anleitung!$B$1:$I$49</definedName>
    <definedName name="_xlnm.Print_Area" localSheetId="2">Auswertung!$B$1:$N$42</definedName>
    <definedName name="_xlnm.Print_Area" localSheetId="1">Risikoanalyse!$A$1:$U$26</definedName>
    <definedName name="_xlnm.Print_Titles" localSheetId="1">Risikoanalyse!$1:$4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4" i="3" l="1"/>
  <c r="M14" i="3"/>
  <c r="L14" i="3"/>
  <c r="K14" i="3"/>
  <c r="J14" i="3"/>
  <c r="B7" i="3"/>
  <c r="L24" i="2"/>
  <c r="M24" i="2" s="1"/>
  <c r="O24" i="2" s="1"/>
  <c r="A24" i="2"/>
  <c r="L23" i="2"/>
  <c r="M23" i="2" s="1"/>
  <c r="O23" i="2" s="1"/>
  <c r="A23" i="2"/>
  <c r="L22" i="2"/>
  <c r="M22" i="2" s="1"/>
  <c r="O22" i="2" s="1"/>
  <c r="A22" i="2"/>
  <c r="L21" i="2"/>
  <c r="M21" i="2" s="1"/>
  <c r="O21" i="2" s="1"/>
  <c r="A21" i="2"/>
  <c r="L20" i="2"/>
  <c r="M20" i="2" s="1"/>
  <c r="O20" i="2" s="1"/>
  <c r="A20" i="2"/>
  <c r="L19" i="2"/>
  <c r="M19" i="2" s="1"/>
  <c r="O19" i="2" s="1"/>
  <c r="A19" i="2"/>
  <c r="M18" i="2"/>
  <c r="O18" i="2" s="1"/>
  <c r="L18" i="2"/>
  <c r="A18" i="2"/>
  <c r="L17" i="2"/>
  <c r="M17" i="2" s="1"/>
  <c r="O17" i="2" s="1"/>
  <c r="A17" i="2"/>
  <c r="L16" i="2"/>
  <c r="M16" i="2" s="1"/>
  <c r="O16" i="2" s="1"/>
  <c r="M15" i="2"/>
  <c r="O15" i="2" s="1"/>
  <c r="L15" i="2"/>
  <c r="L14" i="2"/>
  <c r="M14" i="2" s="1"/>
  <c r="O14" i="2" s="1"/>
  <c r="L13" i="2"/>
  <c r="M13" i="2" s="1"/>
  <c r="O13" i="2" s="1"/>
  <c r="L12" i="2"/>
  <c r="M12" i="2" s="1"/>
  <c r="M11" i="2"/>
  <c r="O11" i="2" s="1"/>
  <c r="L11" i="2"/>
  <c r="L10" i="2"/>
  <c r="M10" i="2" s="1"/>
  <c r="O10" i="2" s="1"/>
  <c r="L9" i="2"/>
  <c r="M9" i="2" s="1"/>
  <c r="O9" i="2" s="1"/>
  <c r="L8" i="2"/>
  <c r="M8" i="2" s="1"/>
  <c r="M7" i="2"/>
  <c r="O7" i="2" s="1"/>
  <c r="L7" i="2"/>
  <c r="L6" i="2"/>
  <c r="M6" i="2" s="1"/>
  <c r="L5" i="2"/>
  <c r="M5" i="2" s="1"/>
  <c r="I40" i="1"/>
  <c r="P19" i="2" l="1"/>
  <c r="Q19" i="2"/>
  <c r="K17" i="3"/>
  <c r="O5" i="2"/>
  <c r="J17" i="3"/>
  <c r="L17" i="3"/>
  <c r="N17" i="3"/>
  <c r="M17" i="3"/>
  <c r="P20" i="2"/>
  <c r="Q20" i="2"/>
  <c r="Q21" i="2"/>
  <c r="P21" i="2"/>
  <c r="N18" i="3"/>
  <c r="M18" i="3"/>
  <c r="L18" i="3"/>
  <c r="K18" i="3"/>
  <c r="J18" i="3"/>
  <c r="O12" i="2"/>
  <c r="P23" i="2"/>
  <c r="Q23" i="2"/>
  <c r="Q24" i="2"/>
  <c r="P24" i="2"/>
  <c r="P14" i="2"/>
  <c r="P18" i="2"/>
  <c r="Q18" i="2"/>
  <c r="P16" i="2"/>
  <c r="P9" i="2"/>
  <c r="P11" i="2"/>
  <c r="P15" i="2"/>
  <c r="P7" i="2"/>
  <c r="K16" i="3"/>
  <c r="J16" i="3"/>
  <c r="N16" i="3"/>
  <c r="O6" i="2"/>
  <c r="Q14" i="2" s="1"/>
  <c r="M16" i="3"/>
  <c r="L16" i="3"/>
  <c r="N15" i="3"/>
  <c r="O8" i="2"/>
  <c r="M15" i="3"/>
  <c r="L15" i="3"/>
  <c r="K15" i="3"/>
  <c r="J15" i="3"/>
  <c r="P10" i="2"/>
  <c r="Q22" i="2"/>
  <c r="P22" i="2"/>
  <c r="P13" i="2"/>
  <c r="Q17" i="2"/>
  <c r="P17" i="2"/>
  <c r="Q13" i="2" l="1"/>
  <c r="Q9" i="2"/>
  <c r="Q15" i="2"/>
  <c r="Q10" i="2"/>
  <c r="P8" i="2"/>
  <c r="Q8" i="2"/>
  <c r="K7" i="3"/>
  <c r="E7" i="3"/>
  <c r="P5" i="2"/>
  <c r="Q5" i="2"/>
  <c r="P12" i="2"/>
  <c r="Q12" i="2"/>
  <c r="Q7" i="2"/>
  <c r="Q6" i="2"/>
  <c r="P6" i="2"/>
  <c r="Q16" i="2"/>
  <c r="Q11" i="2"/>
  <c r="H7" i="3" l="1"/>
  <c r="E13" i="3"/>
  <c r="E15" i="3"/>
  <c r="E16" i="3"/>
  <c r="C16" i="3"/>
  <c r="C14" i="3"/>
  <c r="C15" i="3"/>
  <c r="E14" i="3"/>
  <c r="C13" i="3"/>
  <c r="G41" i="3"/>
  <c r="G38" i="3"/>
  <c r="F38" i="3"/>
  <c r="G37" i="3"/>
  <c r="F41" i="3"/>
  <c r="C38" i="3"/>
  <c r="E41" i="3"/>
  <c r="F40" i="3"/>
  <c r="G39" i="3"/>
  <c r="F39" i="3"/>
  <c r="C41" i="3"/>
  <c r="G40" i="3"/>
  <c r="F37" i="3"/>
  <c r="C37" i="3"/>
  <c r="E40" i="3"/>
  <c r="C39" i="3"/>
  <c r="C40" i="3"/>
  <c r="E39" i="3"/>
  <c r="E38" i="3"/>
  <c r="E37" i="3"/>
  <c r="C17" i="3" l="1"/>
  <c r="D14" i="3" s="1"/>
  <c r="D16" i="3" l="1"/>
  <c r="D13" i="3"/>
  <c r="D15" i="3"/>
  <c r="D17" i="3" l="1"/>
</calcChain>
</file>

<file path=xl/sharedStrings.xml><?xml version="1.0" encoding="utf-8"?>
<sst xmlns="http://schemas.openxmlformats.org/spreadsheetml/2006/main" count="217" uniqueCount="163">
  <si>
    <t>LIEFERANTEN-RISIKOANALYSE</t>
  </si>
  <si>
    <t>Systematische Bewertung und Priorisierung von Beschaffungs- und Lieferantenrisiken</t>
  </si>
  <si>
    <t>Unternehmen</t>
  </si>
  <si>
    <t>Muster Handels- und Produktions GmbH</t>
  </si>
  <si>
    <t>Erstellt von</t>
  </si>
  <si>
    <t>Abteilung Einkauf / Lieferantenmanagement</t>
  </si>
  <si>
    <t>Version / Stand</t>
  </si>
  <si>
    <t>1.0  ·  Januar 2026</t>
  </si>
  <si>
    <t>Nächste Gesamtprüfung</t>
  </si>
  <si>
    <t>31.12.2026</t>
  </si>
  <si>
    <t>So verwenden Sie diese Vorlage</t>
  </si>
  <si>
    <t>1.  Tragen Sie Ihre Lieferanten im Tabellenblatt „Risikoanalyse“ in die amberfarbenen Felder ein (Stammdaten in den Spalten B–E).</t>
  </si>
  <si>
    <t>2.  Bewerten Sie jeden Lieferanten in den sechs Risikokriterien mit einer Zahl von 1 (geringes Risiko) bis 5 (hohes Risiko).</t>
  </si>
  <si>
    <t>3.  Legen Sie je Lieferant die Eintrittswahrscheinlichkeit (1–5) fest. Auswirkung, Risikozahl und Risikoklasse berechnet die Vorlage automatisch.</t>
  </si>
  <si>
    <t>4.  Hinterlegen Sie Maßnahme, Verantwortliche/n, Prüftermin und Status. Die Auswertung inkl. Risikomatrix aktualisiert sich von selbst.</t>
  </si>
  <si>
    <t>5.  Passen Sie bei Bedarf die Gewichtung der Kriterien unten an – alle Berechnungen folgen automatisch.</t>
  </si>
  <si>
    <t>Legende</t>
  </si>
  <si>
    <t>Eingabefeld – hier tragen Sie Ihre Daten ein</t>
  </si>
  <si>
    <t>Automatisch berechnetes Feld – nicht überschreiben</t>
  </si>
  <si>
    <t>Bewertungsskala – Risikokriterien (1 = geringes, 5 = hohes Risiko)</t>
  </si>
  <si>
    <t>Stufe</t>
  </si>
  <si>
    <t>Einstufung</t>
  </si>
  <si>
    <t>Beschreibung</t>
  </si>
  <si>
    <t>Sehr gering</t>
  </si>
  <si>
    <t>Kein spürbares Risiko; Anforderungen werden zuverlässig übertroffen.</t>
  </si>
  <si>
    <t>Gering</t>
  </si>
  <si>
    <t>Geringe Abweichungen möglich, ohne wesentliche Folgen.</t>
  </si>
  <si>
    <t>Mittel</t>
  </si>
  <si>
    <t>Erkennbares Risiko; gelegentliche Abweichungen zu erwarten.</t>
  </si>
  <si>
    <t>Hoch</t>
  </si>
  <si>
    <t>Deutliches Risiko; Störungen wahrscheinlich, Maßnahmen nötig.</t>
  </si>
  <si>
    <t>Sehr hoch</t>
  </si>
  <si>
    <t>Kritisches Risiko; erhebliche Auswirkungen zu erwarten.</t>
  </si>
  <si>
    <t>Bewertungsskala – Eintrittswahrscheinlichkeit (1–5)</t>
  </si>
  <si>
    <t>Erwartete Häufigkeit / Wahrscheinlichkeit eines Risikoeintritts</t>
  </si>
  <si>
    <t>Unwahrscheinlich</t>
  </si>
  <si>
    <t>Tritt praktisch nicht auf (&lt; 5 %).</t>
  </si>
  <si>
    <t>Selten</t>
  </si>
  <si>
    <t>Nur unter besonderen Umständen denkbar (ca. 5–20 %).</t>
  </si>
  <si>
    <t>Möglich</t>
  </si>
  <si>
    <t>Kann gelegentlich vorkommen (ca. 20–50 %).</t>
  </si>
  <si>
    <t>Wahrscheinlich</t>
  </si>
  <si>
    <t>Tritt voraussichtlich ein (ca. 50–80 %).</t>
  </si>
  <si>
    <t>Sehr wahrscheinlich</t>
  </si>
  <si>
    <t>Tritt regelmäßig bzw. nahezu sicher ein (&gt; 80 %).</t>
  </si>
  <si>
    <t>Gewichtung der Risikokriterien  (frei anpassbar – die Analyse rechnet automatisch)</t>
  </si>
  <si>
    <t>Kriterium →</t>
  </si>
  <si>
    <t>Versorgungs-/
Lieferrisiko</t>
  </si>
  <si>
    <t>Qualitäts-
risiko</t>
  </si>
  <si>
    <t>Finanz-/
Bonitätsrisiko</t>
  </si>
  <si>
    <t>Abhängigkeits-
risiko</t>
  </si>
  <si>
    <t>Compliance-/
Rechtsrisiko</t>
  </si>
  <si>
    <t>Nachhaltigkeit/
ESG-Risiko</t>
  </si>
  <si>
    <t>Summe</t>
  </si>
  <si>
    <t>Gewichtung (%)</t>
  </si>
  <si>
    <t>Hinweis: Die Gewichtungen müssen sich nicht auf 100 % summieren – die Auswirkung wird stets anteilig berechnet.</t>
  </si>
  <si>
    <t>Risikoklassen  (Risikozahl = Auswirkung × Eintrittswahrscheinlichkeit, 1–25)</t>
  </si>
  <si>
    <t>Risikoklasse</t>
  </si>
  <si>
    <t>Risikozahl</t>
  </si>
  <si>
    <t>Bedeutung / empfohlene Reaktion</t>
  </si>
  <si>
    <t>1 – 5</t>
  </si>
  <si>
    <t>Akzeptabel. Regelmäßige Beobachtung, kein akuter Handlungsbedarf.</t>
  </si>
  <si>
    <t>6 – 10</t>
  </si>
  <si>
    <t>Beobachten. Maßnahmen prüfen und Wiedervorlage festlegen.</t>
  </si>
  <si>
    <t>11 – 15</t>
  </si>
  <si>
    <t>Handeln. Konkrete Gegenmaßnahmen einleiten und nachverfolgen.</t>
  </si>
  <si>
    <t>16 – 25</t>
  </si>
  <si>
    <t>Sofort handeln. Eskalation, Alternativquellen, engmaschige Kontrolle.</t>
  </si>
  <si>
    <t>Bewertung 1 (geringes Risiko) – 5 (hohes Risiko)  ·  Muster Handels- und Produktions GmbH  ·  Stand 2026</t>
  </si>
  <si>
    <t>Lieferantenstammdaten</t>
  </si>
  <si>
    <t>Risikokriterien</t>
  </si>
  <si>
    <t>Risikoermittlung  (automatisch)</t>
  </si>
  <si>
    <t>Maßnahmen &amp; Steuerung</t>
  </si>
  <si>
    <t>Nr.</t>
  </si>
  <si>
    <t>Lieferant</t>
  </si>
  <si>
    <t>Warengruppe</t>
  </si>
  <si>
    <t>Land</t>
  </si>
  <si>
    <t>Beschaffungs-
volumen p.a. (€)</t>
  </si>
  <si>
    <t>Ø Auswirkung
(gewichtet)</t>
  </si>
  <si>
    <t>Auswirkung
Stufe</t>
  </si>
  <si>
    <t>Eintritts-
wahrsch.</t>
  </si>
  <si>
    <t>Risiko-
zahl</t>
  </si>
  <si>
    <t>Priori-
tät</t>
  </si>
  <si>
    <t>Empfohlene Maßnahme</t>
  </si>
  <si>
    <t>Verantwortlich</t>
  </si>
  <si>
    <t>Nächste
Bewertung</t>
  </si>
  <si>
    <t>Status</t>
  </si>
  <si>
    <t>Nordwind Komponenten GmbH</t>
  </si>
  <si>
    <t>Elektronikbauteile</t>
  </si>
  <si>
    <t>Deutschland</t>
  </si>
  <si>
    <t>Zweitlieferant qualifizieren, Rahmenvertrag prüfen</t>
  </si>
  <si>
    <t>T. Ahrens</t>
  </si>
  <si>
    <t>30.04.2026</t>
  </si>
  <si>
    <t>In Bearbeitung</t>
  </si>
  <si>
    <t>Meridian Logistik AG</t>
  </si>
  <si>
    <t>Transport &amp; Logistik</t>
  </si>
  <si>
    <t>Niederlande</t>
  </si>
  <si>
    <t>Service-Level vertraglich absichern</t>
  </si>
  <si>
    <t>K. Brandt</t>
  </si>
  <si>
    <t>15.03.2026</t>
  </si>
  <si>
    <t>Offen</t>
  </si>
  <si>
    <t>Blauhaus Verpackungen KG</t>
  </si>
  <si>
    <t>Verpackungsmaterial</t>
  </si>
  <si>
    <t>Recyclingquote im Audit erhöhen</t>
  </si>
  <si>
    <t>S. Voss</t>
  </si>
  <si>
    <t>30.06.2026</t>
  </si>
  <si>
    <t>Silvana Rohstoffe s.r.o.</t>
  </si>
  <si>
    <t>Rohstoffe / Metalle</t>
  </si>
  <si>
    <t>Tschechien</t>
  </si>
  <si>
    <t>Alternativquellen in EU aufbauen</t>
  </si>
  <si>
    <t>28.02.2026</t>
  </si>
  <si>
    <t>Orionis Chemie B.V.</t>
  </si>
  <si>
    <t>Chemische Stoffe</t>
  </si>
  <si>
    <t>REACH-Konformität jährlich nachweisen</t>
  </si>
  <si>
    <t>M. Keller</t>
  </si>
  <si>
    <t>31.05.2026</t>
  </si>
  <si>
    <t>Fenix Elektronik Ltd.</t>
  </si>
  <si>
    <t>China</t>
  </si>
  <si>
    <t>Dual Sourcing, Sicherheitsbestand erhöhen</t>
  </si>
  <si>
    <t>31.01.2026</t>
  </si>
  <si>
    <t>Aurea Textil Sanayi A.S.</t>
  </si>
  <si>
    <t>Textil / Bekleidung</t>
  </si>
  <si>
    <t>Türkei</t>
  </si>
  <si>
    <t>Sozialaudit vor Ort durchführen</t>
  </si>
  <si>
    <t>30.09.2026</t>
  </si>
  <si>
    <t>Kastanie Büro &amp; Technik</t>
  </si>
  <si>
    <t>Büromaterial / IT</t>
  </si>
  <si>
    <t>Bestandsführung, keine Sofortmaßnahme</t>
  </si>
  <si>
    <t>Abgeschlossen</t>
  </si>
  <si>
    <t>Delphin Präzisionsteile GmbH</t>
  </si>
  <si>
    <t>Maschinenkomponenten</t>
  </si>
  <si>
    <t>Kapazitätsengpässe quartalsweise prüfen</t>
  </si>
  <si>
    <t>Sambara Naturprodukte Pvt.</t>
  </si>
  <si>
    <t>Rohstoffe / Naturfasern</t>
  </si>
  <si>
    <t>Indien</t>
  </si>
  <si>
    <t>Lieferkette zertifizieren, Vor-Ort-Audit</t>
  </si>
  <si>
    <t>31.03.2026</t>
  </si>
  <si>
    <t>Vulkan Guss &amp; Metall AG</t>
  </si>
  <si>
    <t>Bonität halbjährlich überwachen</t>
  </si>
  <si>
    <t>Pacifico Trading Co.</t>
  </si>
  <si>
    <t>Handelswaren / Import</t>
  </si>
  <si>
    <t>Vietnam</t>
  </si>
  <si>
    <t>Zoll- &amp; Compliance-Prüfung, Ersatzquelle</t>
  </si>
  <si>
    <t>Amberfarbene Felder = Eingabe · weiße Felder werden automatisch berechnet · Skalen &amp; Gewichtung siehe Tabellenblatt „Anleitung“.</t>
  </si>
  <si>
    <t>AUSWERTUNG &amp; RISIKOMATRIX</t>
  </si>
  <si>
    <t>Automatische Übersicht auf Basis des Tabellenblatts „Risikoanalyse“ · Stand 2026</t>
  </si>
  <si>
    <t>Bewertete Lieferanten</t>
  </si>
  <si>
    <t>Ø Risikozahl</t>
  </si>
  <si>
    <t>Hoch / Sehr hoch</t>
  </si>
  <si>
    <t>Höchste Risikozahl</t>
  </si>
  <si>
    <t>Verteilung nach Risikoklasse</t>
  </si>
  <si>
    <t>Risikomatrix</t>
  </si>
  <si>
    <t>Anzahl</t>
  </si>
  <si>
    <t>Anteil</t>
  </si>
  <si>
    <t>Ø Beschaffungsvolumen</t>
  </si>
  <si>
    <t>EW ↓ / A →</t>
  </si>
  <si>
    <t>Eintrittswahrscheinlichkeit</t>
  </si>
  <si>
    <t>Gesamt</t>
  </si>
  <si>
    <t>Auswirkung (Stufe 1–5)</t>
  </si>
  <si>
    <t>Zonen:</t>
  </si>
  <si>
    <t>Top 5 – Lieferanten mit höchstem Risiko</t>
  </si>
  <si>
    <t>Rang</t>
  </si>
  <si>
    <t>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</si>
</sst>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%&quot;"/>
    <numFmt numFmtId="165" formatCode="#,##0&quot; €&quot;"/>
    <numFmt numFmtId="166" formatCode="0.0"/>
    <numFmt numFmtId="167" formatCode="0\ %"/>
  </numFmts>
  <fonts count="33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1"/>
      <color rgb="FFCFE0E2"/>
      <name val="Calibri"/>
      <charset val="1"/>
    </font>
    <font>
      <b/>
      <sz val="10"/>
      <color rgb="FF5A7075"/>
      <name val="Calibri"/>
      <charset val="1"/>
    </font>
    <font>
      <sz val="11"/>
      <color rgb="FF1A2E33"/>
      <name val="Calibri"/>
      <charset val="1"/>
    </font>
    <font>
      <b/>
      <sz val="12"/>
      <color rgb="FFFFFFFF"/>
      <name val="Calibri"/>
      <charset val="1"/>
    </font>
    <font>
      <sz val="10.5"/>
      <color rgb="FF1A2E33"/>
      <name val="Calibri"/>
      <charset val="1"/>
    </font>
    <font>
      <b/>
      <sz val="10"/>
      <color rgb="FFFFFFFF"/>
      <name val="Calibri"/>
      <charset val="1"/>
    </font>
    <font>
      <b/>
      <sz val="11"/>
      <color rgb="FF1A2E33"/>
      <name val="Calibri"/>
      <charset val="1"/>
    </font>
    <font>
      <b/>
      <sz val="10.5"/>
      <color rgb="FF1A2E33"/>
      <name val="Calibri"/>
      <charset val="1"/>
    </font>
    <font>
      <b/>
      <sz val="9.5"/>
      <color rgb="FFFFFFFF"/>
      <name val="Calibri"/>
      <charset val="1"/>
    </font>
    <font>
      <b/>
      <sz val="12"/>
      <color rgb="FF1A2E33"/>
      <name val="Calibri"/>
      <charset val="1"/>
    </font>
    <font>
      <b/>
      <i/>
      <sz val="9.5"/>
      <color rgb="FF5A7075"/>
      <name val="Calibri"/>
      <charset val="1"/>
    </font>
    <font>
      <b/>
      <sz val="11"/>
      <color rgb="FF2E8B57"/>
      <name val="Calibri"/>
      <charset val="1"/>
    </font>
    <font>
      <b/>
      <sz val="11"/>
      <color rgb="FFB9860B"/>
      <name val="Calibri"/>
      <charset val="1"/>
    </font>
    <font>
      <b/>
      <sz val="11"/>
      <color rgb="FFC8721F"/>
      <name val="Calibri"/>
      <charset val="1"/>
    </font>
    <font>
      <b/>
      <sz val="11"/>
      <color rgb="FFB23A2E"/>
      <name val="Calibri"/>
      <charset val="1"/>
    </font>
    <font>
      <b/>
      <sz val="20"/>
      <color rgb="FFFFFFFF"/>
      <name val="Calibri"/>
      <charset val="1"/>
    </font>
    <font>
      <sz val="10"/>
      <color rgb="FFCFE0E2"/>
      <name val="Calibri"/>
      <charset val="1"/>
    </font>
    <font>
      <b/>
      <sz val="10.5"/>
      <color rgb="FFFFFFFF"/>
      <name val="Calibri"/>
      <charset val="1"/>
    </font>
    <font>
      <sz val="10"/>
      <color rgb="FF1A2E33"/>
      <name val="Calibri"/>
      <charset val="1"/>
    </font>
    <font>
      <b/>
      <sz val="10.5"/>
      <color rgb="FFC77B30"/>
      <name val="Calibri"/>
      <charset val="1"/>
    </font>
    <font>
      <b/>
      <sz val="24"/>
      <color rgb="FF1E5563"/>
      <name val="Calibri"/>
      <charset val="1"/>
    </font>
    <font>
      <b/>
      <sz val="10.5"/>
      <color rgb="FF2E8B57"/>
      <name val="Calibri"/>
      <charset val="1"/>
    </font>
    <font>
      <b/>
      <sz val="8.5"/>
      <color rgb="FFFFFFFF"/>
      <name val="Calibri"/>
      <charset val="1"/>
    </font>
    <font>
      <b/>
      <sz val="10.5"/>
      <color rgb="FFB9860B"/>
      <name val="Calibri"/>
      <charset val="1"/>
    </font>
    <font>
      <b/>
      <sz val="9"/>
      <color rgb="FF5A7075"/>
      <name val="Calibri"/>
      <charset val="1"/>
    </font>
    <font>
      <b/>
      <sz val="10.5"/>
      <color rgb="FFC8721F"/>
      <name val="Calibri"/>
      <charset val="1"/>
    </font>
    <font>
      <b/>
      <sz val="10.5"/>
      <color rgb="FFB23A2E"/>
      <name val="Calibri"/>
      <charset val="1"/>
    </font>
    <font>
      <b/>
      <sz val="9"/>
      <color rgb="FF2E8B57"/>
      <name val="Calibri"/>
      <charset val="1"/>
    </font>
    <font>
      <b/>
      <sz val="9"/>
      <color rgb="FFB9860B"/>
      <name val="Calibri"/>
      <charset val="1"/>
    </font>
    <font>
      <b/>
      <sz val="9"/>
      <color rgb="FFC8721F"/>
      <name val="Calibri"/>
      <charset val="1"/>
    </font>
    <font>
      <b/>
      <sz val="9"/>
      <color rgb="FFB23A2E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3343D"/>
        <bgColor rgb="FF1A2E33"/>
      </patternFill>
    </fill>
    <fill>
      <patternFill patternType="solid">
        <fgColor rgb="FFC77B30"/>
        <bgColor rgb="FFC8721F"/>
      </patternFill>
    </fill>
    <fill>
      <patternFill patternType="solid">
        <fgColor rgb="FF1E5563"/>
        <bgColor rgb="FF2E6E7E"/>
      </patternFill>
    </fill>
    <fill>
      <patternFill patternType="solid">
        <fgColor rgb="FFFFF3CC"/>
        <bgColor rgb="FFFBEFC6"/>
      </patternFill>
    </fill>
    <fill>
      <patternFill patternType="solid">
        <fgColor rgb="FFFFFFFF"/>
        <bgColor rgb="FFF3F8F8"/>
      </patternFill>
    </fill>
    <fill>
      <patternFill patternType="solid">
        <fgColor rgb="FF2E6E7E"/>
        <bgColor rgb="FF1E5563"/>
      </patternFill>
    </fill>
    <fill>
      <patternFill patternType="solid">
        <fgColor rgb="FFD8ECDD"/>
        <bgColor rgb="FFDCE9EB"/>
      </patternFill>
    </fill>
    <fill>
      <patternFill patternType="solid">
        <fgColor rgb="FFFBEFC6"/>
        <bgColor rgb="FFFFF3CC"/>
      </patternFill>
    </fill>
    <fill>
      <patternFill patternType="solid">
        <fgColor rgb="FFF7DEC4"/>
        <bgColor rgb="FFF3D2CD"/>
      </patternFill>
    </fill>
    <fill>
      <patternFill patternType="solid">
        <fgColor rgb="FFF3D2CD"/>
        <bgColor rgb="FFF7DEC4"/>
      </patternFill>
    </fill>
    <fill>
      <patternFill patternType="solid">
        <fgColor rgb="FFDCE9EB"/>
        <bgColor rgb="FFD8ECDD"/>
      </patternFill>
    </fill>
    <fill>
      <patternFill patternType="solid">
        <fgColor rgb="FFF3F8F8"/>
        <bgColor rgb="FFFFFFFF"/>
      </patternFill>
    </fill>
  </fills>
  <borders count="11">
    <border>
      <left/>
      <right/>
      <top/>
      <bottom/>
      <diagonal/>
    </border>
    <border>
      <left style="thin">
        <color rgb="FFE6C46A"/>
      </left>
      <right style="thin">
        <color rgb="FFE6C46A"/>
      </right>
      <top style="thin">
        <color rgb="FFE6C46A"/>
      </top>
      <bottom style="thin">
        <color rgb="FFE6C46A"/>
      </bottom>
      <diagonal/>
    </border>
    <border>
      <left style="thin">
        <color rgb="FFC4D3D5"/>
      </left>
      <right style="thin">
        <color rgb="FFC4D3D5"/>
      </right>
      <top style="thin">
        <color rgb="FFC4D3D5"/>
      </top>
      <bottom style="thin">
        <color rgb="FFC4D3D5"/>
      </bottom>
      <diagonal/>
    </border>
    <border>
      <left style="thin">
        <color rgb="FFC4D3D5"/>
      </left>
      <right style="thin">
        <color rgb="FFC4D3D5"/>
      </right>
      <top style="medium">
        <color rgb="FF1E5563"/>
      </top>
      <bottom style="thin">
        <color rgb="FFC4D3D5"/>
      </bottom>
      <diagonal/>
    </border>
    <border>
      <left style="thin">
        <color rgb="FFC4D3D5"/>
      </left>
      <right/>
      <top/>
      <bottom/>
      <diagonal/>
    </border>
    <border>
      <left style="thin">
        <color rgb="FFC4D3D5"/>
      </left>
      <right/>
      <top style="thin">
        <color rgb="FFC4D3D5"/>
      </top>
      <bottom/>
      <diagonal/>
    </border>
    <border>
      <left/>
      <right/>
      <top style="thin">
        <color rgb="FFC4D3D5"/>
      </top>
      <bottom/>
      <diagonal/>
    </border>
    <border>
      <left/>
      <right style="thin">
        <color rgb="FFC4D3D5"/>
      </right>
      <top style="thin">
        <color rgb="FFC4D3D5"/>
      </top>
      <bottom/>
      <diagonal/>
    </border>
    <border>
      <left style="thin">
        <color rgb="FFC4D3D5"/>
      </left>
      <right/>
      <top/>
      <bottom style="thin">
        <color rgb="FFC4D3D5"/>
      </bottom>
      <diagonal/>
    </border>
    <border>
      <left/>
      <right/>
      <top/>
      <bottom style="thin">
        <color rgb="FFC4D3D5"/>
      </bottom>
      <diagonal/>
    </border>
    <border>
      <left/>
      <right style="thin">
        <color rgb="FFC4D3D5"/>
      </right>
      <top/>
      <bottom style="thin">
        <color rgb="FFC4D3D5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2" fillId="0" borderId="0" xfId="0" applyFont="1" applyAlignment="1">
      <alignment horizontal="left" vertical="center"/>
    </xf>
    <xf numFmtId="0" fontId="19" fillId="4" borderId="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 indent="1"/>
    </xf>
    <xf numFmtId="0" fontId="17" fillId="2" borderId="0" xfId="0" applyFont="1" applyFill="1" applyAlignment="1">
      <alignment horizontal="left" vertical="center" indent="1"/>
    </xf>
    <xf numFmtId="0" fontId="12" fillId="0" borderId="0" xfId="0" applyFont="1"/>
    <xf numFmtId="0" fontId="6" fillId="0" borderId="2" xfId="0" applyFont="1" applyBorder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3" borderId="0" xfId="0" applyFill="1"/>
    <xf numFmtId="0" fontId="3" fillId="0" borderId="0" xfId="0" applyFont="1"/>
    <xf numFmtId="0" fontId="0" fillId="5" borderId="1" xfId="0" applyFill="1" applyBorder="1"/>
    <xf numFmtId="0" fontId="0" fillId="6" borderId="2" xfId="0" applyFill="1" applyBorder="1"/>
    <xf numFmtId="0" fontId="7" fillId="7" borderId="0" xfId="0" applyFont="1" applyFill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3" fillId="8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4" fillId="9" borderId="2" xfId="0" applyFont="1" applyFill="1" applyBorder="1" applyAlignment="1">
      <alignment horizontal="left" vertical="center"/>
    </xf>
    <xf numFmtId="0" fontId="15" fillId="10" borderId="2" xfId="0" applyFont="1" applyFill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165" fontId="20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166" fontId="6" fillId="13" borderId="2" xfId="0" applyNumberFormat="1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13" borderId="2" xfId="0" applyNumberForma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23" fillId="8" borderId="2" xfId="0" applyFont="1" applyFill="1" applyBorder="1" applyAlignment="1">
      <alignment horizontal="left" vertical="center"/>
    </xf>
    <xf numFmtId="167" fontId="6" fillId="0" borderId="2" xfId="0" applyNumberFormat="1" applyFont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25" fillId="9" borderId="2" xfId="0" applyFont="1" applyFill="1" applyBorder="1" applyAlignment="1">
      <alignment horizontal="left" vertical="center"/>
    </xf>
    <xf numFmtId="0" fontId="13" fillId="8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left" vertical="center"/>
    </xf>
    <xf numFmtId="0" fontId="28" fillId="11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/>
    </xf>
    <xf numFmtId="167" fontId="19" fillId="4" borderId="2" xfId="0" applyNumberFormat="1" applyFont="1" applyFill="1" applyBorder="1" applyAlignment="1">
      <alignment horizontal="center" vertical="center"/>
    </xf>
    <xf numFmtId="0" fontId="26" fillId="0" borderId="0" xfId="0" applyFont="1"/>
    <xf numFmtId="0" fontId="29" fillId="8" borderId="2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1" fontId="22" fillId="12" borderId="2" xfId="0" applyNumberFormat="1" applyFont="1" applyFill="1" applyBorder="1" applyAlignment="1">
      <alignment horizontal="center" vertical="center"/>
    </xf>
    <xf numFmtId="166" fontId="22" fillId="12" borderId="2" xfId="0" applyNumberFormat="1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textRotation="90"/>
    </xf>
    <xf numFmtId="0" fontId="0" fillId="4" borderId="2" xfId="0" applyFill="1" applyBorder="1"/>
    <xf numFmtId="0" fontId="26" fillId="0" borderId="0" xfId="0" applyFont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7" borderId="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1" fontId="22" fillId="12" borderId="5" xfId="0" applyNumberFormat="1" applyFont="1" applyFill="1" applyBorder="1" applyAlignment="1">
      <alignment horizontal="center" vertical="center"/>
    </xf>
    <xf numFmtId="1" fontId="22" fillId="12" borderId="6" xfId="0" applyNumberFormat="1" applyFont="1" applyFill="1" applyBorder="1" applyAlignment="1">
      <alignment horizontal="center" vertical="center"/>
    </xf>
    <xf numFmtId="1" fontId="22" fillId="12" borderId="7" xfId="0" applyNumberFormat="1" applyFont="1" applyFill="1" applyBorder="1" applyAlignment="1">
      <alignment horizontal="center" vertical="center"/>
    </xf>
    <xf numFmtId="1" fontId="22" fillId="12" borderId="8" xfId="0" applyNumberFormat="1" applyFont="1" applyFill="1" applyBorder="1" applyAlignment="1">
      <alignment horizontal="center" vertical="center"/>
    </xf>
    <xf numFmtId="1" fontId="22" fillId="12" borderId="9" xfId="0" applyNumberFormat="1" applyFont="1" applyFill="1" applyBorder="1" applyAlignment="1">
      <alignment horizontal="center" vertical="center"/>
    </xf>
    <xf numFmtId="1" fontId="22" fillId="12" borderId="10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2">
    <dxf>
      <font>
        <b/>
        <color rgb="FFB23A2E"/>
        <name val="Calibri"/>
        <charset val="1"/>
      </font>
      <fill>
        <patternFill>
          <bgColor rgb="FFF3D2CD"/>
        </patternFill>
      </fill>
    </dxf>
    <dxf>
      <font>
        <b/>
        <color rgb="FFC8721F"/>
        <name val="Calibri"/>
        <charset val="1"/>
      </font>
      <fill>
        <patternFill>
          <bgColor rgb="FFF7DEC4"/>
        </patternFill>
      </fill>
    </dxf>
    <dxf>
      <font>
        <b/>
        <color rgb="FFB9860B"/>
        <name val="Calibri"/>
        <charset val="1"/>
      </font>
      <fill>
        <patternFill>
          <bgColor rgb="FFFBEFC6"/>
        </patternFill>
      </fill>
    </dxf>
    <dxf>
      <font>
        <b/>
        <color rgb="FF2E8B57"/>
        <name val="Calibri"/>
        <charset val="1"/>
      </font>
      <fill>
        <patternFill>
          <bgColor rgb="FFD8ECDD"/>
        </patternFill>
      </fill>
    </dxf>
    <dxf>
      <font>
        <b/>
        <color rgb="FFB23A2E"/>
        <name val="Calibri"/>
        <charset val="1"/>
      </font>
      <fill>
        <patternFill>
          <bgColor rgb="FFF3D2CD"/>
        </patternFill>
      </fill>
    </dxf>
    <dxf>
      <font>
        <b/>
        <color rgb="FFC8721F"/>
        <name val="Calibri"/>
        <charset val="1"/>
      </font>
      <fill>
        <patternFill>
          <bgColor rgb="FFF7DEC4"/>
        </patternFill>
      </fill>
    </dxf>
    <dxf>
      <font>
        <b/>
        <color rgb="FFB9860B"/>
        <name val="Calibri"/>
        <charset val="1"/>
      </font>
      <fill>
        <patternFill>
          <bgColor rgb="FFFBEFC6"/>
        </patternFill>
      </fill>
    </dxf>
    <dxf>
      <font>
        <b/>
        <color rgb="FF2E8B57"/>
        <name val="Calibri"/>
        <charset val="1"/>
      </font>
      <fill>
        <patternFill>
          <bgColor rgb="FFD8ECDD"/>
        </patternFill>
      </fill>
    </dxf>
    <dxf>
      <font>
        <b/>
        <color rgb="FFB23A2E"/>
        <name val="Calibri"/>
        <charset val="1"/>
      </font>
      <fill>
        <patternFill>
          <bgColor rgb="FFF3D2CD"/>
        </patternFill>
      </fill>
    </dxf>
    <dxf>
      <font>
        <b/>
        <color rgb="FFC8721F"/>
        <name val="Calibri"/>
        <charset val="1"/>
      </font>
      <fill>
        <patternFill>
          <bgColor rgb="FFF7DEC4"/>
        </patternFill>
      </fill>
    </dxf>
    <dxf>
      <font>
        <b/>
        <color rgb="FFB9860B"/>
        <name val="Calibri"/>
        <charset val="1"/>
      </font>
      <fill>
        <patternFill>
          <bgColor rgb="FFFBEFC6"/>
        </patternFill>
      </fill>
    </dxf>
    <dxf>
      <font>
        <b/>
        <color rgb="FF2E8B57"/>
        <name val="Calibri"/>
        <charset val="1"/>
      </font>
      <fill>
        <patternFill>
          <bgColor rgb="FFD8EC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9860B"/>
      <rgbColor rgb="FF800080"/>
      <rgbColor rgb="FF2E6E7E"/>
      <rgbColor rgb="FFD9D9D9"/>
      <rgbColor rgb="FF878787"/>
      <rgbColor rgb="FF9999FF"/>
      <rgbColor rgb="FF993366"/>
      <rgbColor rgb="FFFFF3CC"/>
      <rgbColor rgb="FFDCE9EB"/>
      <rgbColor rgb="FF660066"/>
      <rgbColor rgb="FFC77B30"/>
      <rgbColor rgb="FF0066CC"/>
      <rgbColor rgb="FFC4D3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8F8"/>
      <rgbColor rgb="FFD8ECDD"/>
      <rgbColor rgb="FFFBEFC6"/>
      <rgbColor rgb="FFCFE0E2"/>
      <rgbColor rgb="FFF7DEC4"/>
      <rgbColor rgb="FFCC99FF"/>
      <rgbColor rgb="FFF3D2CD"/>
      <rgbColor rgb="FF4F81BD"/>
      <rgbColor rgb="FF33CCCC"/>
      <rgbColor rgb="FF99CC00"/>
      <rgbColor rgb="FFE6C46A"/>
      <rgbColor rgb="FFFF9900"/>
      <rgbColor rgb="FFC8721F"/>
      <rgbColor rgb="FF5A7075"/>
      <rgbColor rgb="FF969696"/>
      <rgbColor rgb="FF13343D"/>
      <rgbColor rgb="FF2E8B57"/>
      <rgbColor rgb="FF003300"/>
      <rgbColor rgb="FF333300"/>
      <rgbColor rgb="FFB23A2E"/>
      <rgbColor rgb="FF993366"/>
      <rgbColor rgb="FF1E5563"/>
      <rgbColor rgb="FF1A2E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Lieferanten je Risikoklasse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Auswertung!$C$12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Auswertung!$B$13:$B$16</c:f>
              <c:strCache>
                <c:ptCount val="4"/>
                <c:pt idx="0">
                  <c:v>Gering</c:v>
                </c:pt>
                <c:pt idx="1">
                  <c:v>Mittel</c:v>
                </c:pt>
                <c:pt idx="2">
                  <c:v>Hoch</c:v>
                </c:pt>
                <c:pt idx="3">
                  <c:v>Sehr hoch</c:v>
                </c:pt>
              </c:strCache>
            </c:strRef>
          </c:cat>
          <c:val>
            <c:numRef>
              <c:f>Auswertung!$C$13:$C$16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E4-4E4E-B1D5-AB964B413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54594"/>
        <c:axId val="49491709"/>
      </c:barChart>
      <c:catAx>
        <c:axId val="89545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9491709"/>
        <c:crosses val="autoZero"/>
        <c:auto val="1"/>
        <c:lblAlgn val="ctr"/>
        <c:lblOffset val="100"/>
        <c:noMultiLvlLbl val="0"/>
      </c:catAx>
      <c:valAx>
        <c:axId val="4949170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9545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76200</xdr:rowOff>
    </xdr:from>
    <xdr:to>
      <xdr:col>5</xdr:col>
      <xdr:colOff>857250</xdr:colOff>
      <xdr:row>30</xdr:row>
      <xdr:rowOff>136440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49"/>
  <sheetViews>
    <sheetView showGridLines="0" zoomScaleNormal="100" workbookViewId="0">
      <pane ySplit="4" topLeftCell="A11" activePane="bottomLeft" state="frozen"/>
      <selection pane="bottomLeft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8" width="17" customWidth="1"/>
    <col min="9" max="9" width="13" customWidth="1"/>
    <col min="10" max="10" width="4" customWidth="1"/>
  </cols>
  <sheetData>
    <row r="2" spans="2:9" ht="33.75" customHeight="1" x14ac:dyDescent="0.25">
      <c r="B2" s="13" t="s">
        <v>0</v>
      </c>
      <c r="C2" s="13"/>
      <c r="D2" s="13"/>
      <c r="E2" s="13"/>
      <c r="F2" s="13"/>
      <c r="G2" s="13"/>
      <c r="H2" s="13"/>
      <c r="I2" s="13"/>
    </row>
    <row r="3" spans="2:9" ht="19.5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</row>
    <row r="4" spans="2:9" ht="3" customHeight="1" x14ac:dyDescent="0.25">
      <c r="B4" s="14"/>
      <c r="C4" s="14"/>
      <c r="D4" s="14"/>
      <c r="E4" s="14"/>
      <c r="F4" s="14"/>
      <c r="G4" s="14"/>
      <c r="H4" s="14"/>
      <c r="I4" s="14"/>
    </row>
    <row r="6" spans="2:9" x14ac:dyDescent="0.25">
      <c r="B6" s="15" t="s">
        <v>2</v>
      </c>
      <c r="C6" s="11" t="s">
        <v>3</v>
      </c>
      <c r="D6" s="11"/>
      <c r="E6" s="11"/>
      <c r="F6" s="11"/>
      <c r="G6" s="11"/>
      <c r="H6" s="11"/>
    </row>
    <row r="7" spans="2:9" x14ac:dyDescent="0.25">
      <c r="B7" s="15" t="s">
        <v>4</v>
      </c>
      <c r="C7" s="11" t="s">
        <v>5</v>
      </c>
      <c r="D7" s="11"/>
      <c r="E7" s="11"/>
      <c r="F7" s="11"/>
      <c r="G7" s="11"/>
      <c r="H7" s="11"/>
    </row>
    <row r="8" spans="2:9" x14ac:dyDescent="0.25">
      <c r="B8" s="15" t="s">
        <v>6</v>
      </c>
      <c r="C8" s="11" t="s">
        <v>7</v>
      </c>
      <c r="D8" s="11"/>
      <c r="E8" s="11"/>
      <c r="F8" s="11"/>
      <c r="G8" s="11"/>
      <c r="H8" s="11"/>
    </row>
    <row r="9" spans="2:9" x14ac:dyDescent="0.25">
      <c r="B9" s="15" t="s">
        <v>8</v>
      </c>
      <c r="C9" s="11" t="s">
        <v>9</v>
      </c>
      <c r="D9" s="11"/>
      <c r="E9" s="11"/>
      <c r="F9" s="11"/>
      <c r="G9" s="11"/>
      <c r="H9" s="11"/>
    </row>
    <row r="11" spans="2:9" ht="24" customHeight="1" x14ac:dyDescent="0.25">
      <c r="B11" s="10" t="s">
        <v>10</v>
      </c>
      <c r="C11" s="10"/>
      <c r="D11" s="10"/>
      <c r="E11" s="10"/>
      <c r="F11" s="10"/>
      <c r="G11" s="10"/>
      <c r="H11" s="10"/>
    </row>
    <row r="12" spans="2:9" ht="27.75" customHeight="1" x14ac:dyDescent="0.25">
      <c r="B12" s="9" t="s">
        <v>11</v>
      </c>
      <c r="C12" s="9"/>
      <c r="D12" s="9"/>
      <c r="E12" s="9"/>
      <c r="F12" s="9"/>
      <c r="G12" s="9"/>
      <c r="H12" s="9"/>
    </row>
    <row r="13" spans="2:9" ht="27.75" customHeight="1" x14ac:dyDescent="0.25">
      <c r="B13" s="9" t="s">
        <v>12</v>
      </c>
      <c r="C13" s="9"/>
      <c r="D13" s="9"/>
      <c r="E13" s="9"/>
      <c r="F13" s="9"/>
      <c r="G13" s="9"/>
      <c r="H13" s="9"/>
    </row>
    <row r="14" spans="2:9" ht="27.75" customHeight="1" x14ac:dyDescent="0.25">
      <c r="B14" s="9" t="s">
        <v>13</v>
      </c>
      <c r="C14" s="9"/>
      <c r="D14" s="9"/>
      <c r="E14" s="9"/>
      <c r="F14" s="9"/>
      <c r="G14" s="9"/>
      <c r="H14" s="9"/>
    </row>
    <row r="15" spans="2:9" ht="27.75" customHeight="1" x14ac:dyDescent="0.25">
      <c r="B15" s="9" t="s">
        <v>14</v>
      </c>
      <c r="C15" s="9"/>
      <c r="D15" s="9"/>
      <c r="E15" s="9"/>
      <c r="F15" s="9"/>
      <c r="G15" s="9"/>
      <c r="H15" s="9"/>
    </row>
    <row r="16" spans="2:9" ht="27.75" customHeight="1" x14ac:dyDescent="0.25">
      <c r="B16" s="9" t="s">
        <v>15</v>
      </c>
      <c r="C16" s="9"/>
      <c r="D16" s="9"/>
      <c r="E16" s="9"/>
      <c r="F16" s="9"/>
      <c r="G16" s="9"/>
      <c r="H16" s="9"/>
    </row>
    <row r="18" spans="2:8" ht="24" customHeight="1" x14ac:dyDescent="0.25">
      <c r="B18" s="10" t="s">
        <v>16</v>
      </c>
      <c r="C18" s="10"/>
      <c r="D18" s="10"/>
      <c r="E18" s="10"/>
      <c r="F18" s="10"/>
      <c r="G18" s="10"/>
      <c r="H18" s="10"/>
    </row>
    <row r="19" spans="2:8" x14ac:dyDescent="0.25">
      <c r="B19" s="16"/>
      <c r="C19" s="8" t="s">
        <v>17</v>
      </c>
      <c r="D19" s="8"/>
      <c r="E19" s="8"/>
      <c r="F19" s="8"/>
      <c r="G19" s="8"/>
      <c r="H19" s="8"/>
    </row>
    <row r="20" spans="2:8" x14ac:dyDescent="0.25">
      <c r="B20" s="17"/>
      <c r="C20" s="8" t="s">
        <v>18</v>
      </c>
      <c r="D20" s="8"/>
      <c r="E20" s="8"/>
      <c r="F20" s="8"/>
      <c r="G20" s="8"/>
      <c r="H20" s="8"/>
    </row>
    <row r="22" spans="2:8" ht="24" customHeight="1" x14ac:dyDescent="0.25">
      <c r="B22" s="10" t="s">
        <v>19</v>
      </c>
      <c r="C22" s="10"/>
      <c r="D22" s="10"/>
      <c r="E22" s="10"/>
      <c r="F22" s="10"/>
      <c r="G22" s="10"/>
      <c r="H22" s="10"/>
    </row>
    <row r="23" spans="2:8" x14ac:dyDescent="0.25">
      <c r="B23" s="18" t="s">
        <v>20</v>
      </c>
      <c r="C23" s="18" t="s">
        <v>21</v>
      </c>
      <c r="D23" s="7" t="s">
        <v>22</v>
      </c>
      <c r="E23" s="7"/>
      <c r="F23" s="7"/>
      <c r="G23" s="7"/>
      <c r="H23" s="7"/>
    </row>
    <row r="24" spans="2:8" x14ac:dyDescent="0.25">
      <c r="B24" s="19">
        <v>1</v>
      </c>
      <c r="C24" s="20" t="s">
        <v>23</v>
      </c>
      <c r="D24" s="6" t="s">
        <v>24</v>
      </c>
      <c r="E24" s="6"/>
      <c r="F24" s="6"/>
      <c r="G24" s="6"/>
      <c r="H24" s="6"/>
    </row>
    <row r="25" spans="2:8" x14ac:dyDescent="0.25">
      <c r="B25" s="19">
        <v>2</v>
      </c>
      <c r="C25" s="20" t="s">
        <v>25</v>
      </c>
      <c r="D25" s="6" t="s">
        <v>26</v>
      </c>
      <c r="E25" s="6"/>
      <c r="F25" s="6"/>
      <c r="G25" s="6"/>
      <c r="H25" s="6"/>
    </row>
    <row r="26" spans="2:8" x14ac:dyDescent="0.25">
      <c r="B26" s="21">
        <v>3</v>
      </c>
      <c r="C26" s="20" t="s">
        <v>27</v>
      </c>
      <c r="D26" s="6" t="s">
        <v>28</v>
      </c>
      <c r="E26" s="6"/>
      <c r="F26" s="6"/>
      <c r="G26" s="6"/>
      <c r="H26" s="6"/>
    </row>
    <row r="27" spans="2:8" x14ac:dyDescent="0.25">
      <c r="B27" s="22">
        <v>4</v>
      </c>
      <c r="C27" s="20" t="s">
        <v>29</v>
      </c>
      <c r="D27" s="6" t="s">
        <v>30</v>
      </c>
      <c r="E27" s="6"/>
      <c r="F27" s="6"/>
      <c r="G27" s="6"/>
      <c r="H27" s="6"/>
    </row>
    <row r="28" spans="2:8" x14ac:dyDescent="0.25">
      <c r="B28" s="23">
        <v>5</v>
      </c>
      <c r="C28" s="20" t="s">
        <v>31</v>
      </c>
      <c r="D28" s="6" t="s">
        <v>32</v>
      </c>
      <c r="E28" s="6"/>
      <c r="F28" s="6"/>
      <c r="G28" s="6"/>
      <c r="H28" s="6"/>
    </row>
    <row r="30" spans="2:8" ht="24" customHeight="1" x14ac:dyDescent="0.25">
      <c r="B30" s="10" t="s">
        <v>33</v>
      </c>
      <c r="C30" s="10"/>
      <c r="D30" s="10"/>
      <c r="E30" s="10"/>
      <c r="F30" s="10"/>
      <c r="G30" s="10"/>
      <c r="H30" s="10"/>
    </row>
    <row r="31" spans="2:8" x14ac:dyDescent="0.25">
      <c r="B31" s="18" t="s">
        <v>20</v>
      </c>
      <c r="C31" s="18" t="s">
        <v>21</v>
      </c>
      <c r="D31" s="7" t="s">
        <v>34</v>
      </c>
      <c r="E31" s="7"/>
      <c r="F31" s="7"/>
      <c r="G31" s="7"/>
      <c r="H31" s="7"/>
    </row>
    <row r="32" spans="2:8" x14ac:dyDescent="0.25">
      <c r="B32" s="24">
        <v>1</v>
      </c>
      <c r="C32" s="20" t="s">
        <v>35</v>
      </c>
      <c r="D32" s="6" t="s">
        <v>36</v>
      </c>
      <c r="E32" s="6"/>
      <c r="F32" s="6"/>
      <c r="G32" s="6"/>
      <c r="H32" s="6"/>
    </row>
    <row r="33" spans="2:9" x14ac:dyDescent="0.25">
      <c r="B33" s="24">
        <v>2</v>
      </c>
      <c r="C33" s="20" t="s">
        <v>37</v>
      </c>
      <c r="D33" s="6" t="s">
        <v>38</v>
      </c>
      <c r="E33" s="6"/>
      <c r="F33" s="6"/>
      <c r="G33" s="6"/>
      <c r="H33" s="6"/>
    </row>
    <row r="34" spans="2:9" x14ac:dyDescent="0.25">
      <c r="B34" s="24">
        <v>3</v>
      </c>
      <c r="C34" s="20" t="s">
        <v>39</v>
      </c>
      <c r="D34" s="6" t="s">
        <v>40</v>
      </c>
      <c r="E34" s="6"/>
      <c r="F34" s="6"/>
      <c r="G34" s="6"/>
      <c r="H34" s="6"/>
    </row>
    <row r="35" spans="2:9" x14ac:dyDescent="0.25">
      <c r="B35" s="24">
        <v>4</v>
      </c>
      <c r="C35" s="20" t="s">
        <v>41</v>
      </c>
      <c r="D35" s="6" t="s">
        <v>42</v>
      </c>
      <c r="E35" s="6"/>
      <c r="F35" s="6"/>
      <c r="G35" s="6"/>
      <c r="H35" s="6"/>
    </row>
    <row r="36" spans="2:9" x14ac:dyDescent="0.25">
      <c r="B36" s="24">
        <v>5</v>
      </c>
      <c r="C36" s="20" t="s">
        <v>43</v>
      </c>
      <c r="D36" s="6" t="s">
        <v>44</v>
      </c>
      <c r="E36" s="6"/>
      <c r="F36" s="6"/>
      <c r="G36" s="6"/>
      <c r="H36" s="6"/>
    </row>
    <row r="38" spans="2:9" ht="24" customHeight="1" x14ac:dyDescent="0.25">
      <c r="B38" s="10" t="s">
        <v>45</v>
      </c>
      <c r="C38" s="10"/>
      <c r="D38" s="10"/>
      <c r="E38" s="10"/>
      <c r="F38" s="10"/>
      <c r="G38" s="10"/>
      <c r="H38" s="10"/>
    </row>
    <row r="39" spans="2:9" ht="30" customHeight="1" x14ac:dyDescent="0.25">
      <c r="B39" s="25" t="s">
        <v>46</v>
      </c>
      <c r="C39" s="26" t="s">
        <v>47</v>
      </c>
      <c r="D39" s="26" t="s">
        <v>48</v>
      </c>
      <c r="E39" s="26" t="s">
        <v>49</v>
      </c>
      <c r="F39" s="26" t="s">
        <v>50</v>
      </c>
      <c r="G39" s="26" t="s">
        <v>51</v>
      </c>
      <c r="H39" s="26" t="s">
        <v>52</v>
      </c>
      <c r="I39" s="27" t="s">
        <v>53</v>
      </c>
    </row>
    <row r="40" spans="2:9" ht="15.75" x14ac:dyDescent="0.25">
      <c r="B40" s="25" t="s">
        <v>54</v>
      </c>
      <c r="C40" s="28">
        <v>25</v>
      </c>
      <c r="D40" s="28">
        <v>20</v>
      </c>
      <c r="E40" s="28">
        <v>20</v>
      </c>
      <c r="F40" s="28">
        <v>15</v>
      </c>
      <c r="G40" s="28">
        <v>10</v>
      </c>
      <c r="H40" s="28">
        <v>10</v>
      </c>
      <c r="I40" s="29">
        <f>SUM(C40:H40)</f>
        <v>100</v>
      </c>
    </row>
    <row r="41" spans="2:9" x14ac:dyDescent="0.25">
      <c r="C41" s="5" t="s">
        <v>55</v>
      </c>
      <c r="D41" s="5"/>
      <c r="E41" s="5"/>
      <c r="F41" s="5"/>
      <c r="G41" s="5"/>
      <c r="H41" s="5"/>
    </row>
    <row r="44" spans="2:9" ht="24" customHeight="1" x14ac:dyDescent="0.25">
      <c r="B44" s="10" t="s">
        <v>56</v>
      </c>
      <c r="C44" s="10"/>
      <c r="D44" s="10"/>
      <c r="E44" s="10"/>
      <c r="F44" s="10"/>
      <c r="G44" s="10"/>
      <c r="H44" s="10"/>
    </row>
    <row r="45" spans="2:9" x14ac:dyDescent="0.25">
      <c r="B45" s="18" t="s">
        <v>57</v>
      </c>
      <c r="C45" s="18" t="s">
        <v>58</v>
      </c>
      <c r="D45" s="7" t="s">
        <v>59</v>
      </c>
      <c r="E45" s="7"/>
      <c r="F45" s="7"/>
      <c r="G45" s="7"/>
      <c r="H45" s="7"/>
    </row>
    <row r="46" spans="2:9" x14ac:dyDescent="0.25">
      <c r="B46" s="30" t="s">
        <v>25</v>
      </c>
      <c r="C46" s="31" t="s">
        <v>60</v>
      </c>
      <c r="D46" s="6" t="s">
        <v>61</v>
      </c>
      <c r="E46" s="6"/>
      <c r="F46" s="6"/>
      <c r="G46" s="6"/>
      <c r="H46" s="6"/>
    </row>
    <row r="47" spans="2:9" x14ac:dyDescent="0.25">
      <c r="B47" s="32" t="s">
        <v>27</v>
      </c>
      <c r="C47" s="31" t="s">
        <v>62</v>
      </c>
      <c r="D47" s="6" t="s">
        <v>63</v>
      </c>
      <c r="E47" s="6"/>
      <c r="F47" s="6"/>
      <c r="G47" s="6"/>
      <c r="H47" s="6"/>
    </row>
    <row r="48" spans="2:9" x14ac:dyDescent="0.25">
      <c r="B48" s="33" t="s">
        <v>29</v>
      </c>
      <c r="C48" s="31" t="s">
        <v>64</v>
      </c>
      <c r="D48" s="6" t="s">
        <v>65</v>
      </c>
      <c r="E48" s="6"/>
      <c r="F48" s="6"/>
      <c r="G48" s="6"/>
      <c r="H48" s="6"/>
    </row>
    <row r="49" spans="2:8" x14ac:dyDescent="0.25">
      <c r="B49" s="34" t="s">
        <v>31</v>
      </c>
      <c r="C49" s="31" t="s">
        <v>66</v>
      </c>
      <c r="D49" s="6" t="s">
        <v>67</v>
      </c>
      <c r="E49" s="6"/>
      <c r="F49" s="6"/>
      <c r="G49" s="6"/>
      <c r="H49" s="6"/>
    </row>
  </sheetData>
  <mergeCells count="37">
    <mergeCell ref="D48:H48"/>
    <mergeCell ref="D49:H49"/>
    <mergeCell ref="C41:H41"/>
    <mergeCell ref="B44:H44"/>
    <mergeCell ref="D45:H45"/>
    <mergeCell ref="D46:H46"/>
    <mergeCell ref="D47:H47"/>
    <mergeCell ref="D33:H33"/>
    <mergeCell ref="D34:H34"/>
    <mergeCell ref="D35:H35"/>
    <mergeCell ref="D36:H36"/>
    <mergeCell ref="B38:H38"/>
    <mergeCell ref="D27:H27"/>
    <mergeCell ref="D28:H28"/>
    <mergeCell ref="B30:H30"/>
    <mergeCell ref="D31:H31"/>
    <mergeCell ref="D32:H32"/>
    <mergeCell ref="B22:H22"/>
    <mergeCell ref="D23:H23"/>
    <mergeCell ref="D24:H24"/>
    <mergeCell ref="D25:H25"/>
    <mergeCell ref="D26:H26"/>
    <mergeCell ref="B15:H15"/>
    <mergeCell ref="B16:H16"/>
    <mergeCell ref="B18:H18"/>
    <mergeCell ref="C19:H19"/>
    <mergeCell ref="C20:H20"/>
    <mergeCell ref="C9:H9"/>
    <mergeCell ref="B11:H11"/>
    <mergeCell ref="B12:H12"/>
    <mergeCell ref="B13:H13"/>
    <mergeCell ref="B14:H14"/>
    <mergeCell ref="B2:I2"/>
    <mergeCell ref="B3:I3"/>
    <mergeCell ref="C6:H6"/>
    <mergeCell ref="C7:H7"/>
    <mergeCell ref="C8:H8"/>
  </mergeCells>
  <pageMargins left="0.4" right="0.4" top="0.5" bottom="0.5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6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U1"/>
    </sheetView>
  </sheetViews>
  <sheetFormatPr baseColWidth="10" defaultColWidth="8.7109375" defaultRowHeight="15" x14ac:dyDescent="0.25"/>
  <cols>
    <col min="1" max="1" width="5" customWidth="1"/>
    <col min="2" max="2" width="26" customWidth="1"/>
    <col min="3" max="3" width="20" customWidth="1"/>
    <col min="4" max="5" width="15" customWidth="1"/>
    <col min="6" max="11" width="11" customWidth="1"/>
    <col min="12" max="12" width="12" customWidth="1"/>
    <col min="13" max="14" width="10" customWidth="1"/>
    <col min="15" max="15" width="9" customWidth="1"/>
    <col min="16" max="16" width="13" customWidth="1"/>
    <col min="17" max="17" width="8" customWidth="1"/>
    <col min="18" max="18" width="34" customWidth="1"/>
    <col min="19" max="19" width="20" customWidth="1"/>
    <col min="20" max="20" width="13" customWidth="1"/>
    <col min="21" max="21" width="16" customWidth="1"/>
  </cols>
  <sheetData>
    <row r="1" spans="1:21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6.5" customHeight="1" x14ac:dyDescent="0.25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9.5" customHeight="1" x14ac:dyDescent="0.25">
      <c r="A3" s="2" t="s">
        <v>69</v>
      </c>
      <c r="B3" s="2"/>
      <c r="C3" s="2"/>
      <c r="D3" s="2"/>
      <c r="E3" s="2"/>
      <c r="F3" s="2" t="s">
        <v>70</v>
      </c>
      <c r="G3" s="2"/>
      <c r="H3" s="2"/>
      <c r="I3" s="2"/>
      <c r="J3" s="2"/>
      <c r="K3" s="2"/>
      <c r="L3" s="2" t="s">
        <v>71</v>
      </c>
      <c r="M3" s="2"/>
      <c r="N3" s="2"/>
      <c r="O3" s="2"/>
      <c r="P3" s="2"/>
      <c r="Q3" s="2" t="s">
        <v>72</v>
      </c>
      <c r="R3" s="2"/>
      <c r="S3" s="2"/>
      <c r="T3" s="2"/>
      <c r="U3" s="2"/>
    </row>
    <row r="4" spans="1:21" ht="42" customHeight="1" x14ac:dyDescent="0.25">
      <c r="A4" s="26" t="s">
        <v>73</v>
      </c>
      <c r="B4" s="26" t="s">
        <v>74</v>
      </c>
      <c r="C4" s="26" t="s">
        <v>75</v>
      </c>
      <c r="D4" s="26" t="s">
        <v>76</v>
      </c>
      <c r="E4" s="26" t="s">
        <v>77</v>
      </c>
      <c r="F4" s="26" t="s">
        <v>47</v>
      </c>
      <c r="G4" s="26" t="s">
        <v>48</v>
      </c>
      <c r="H4" s="26" t="s">
        <v>49</v>
      </c>
      <c r="I4" s="26" t="s">
        <v>50</v>
      </c>
      <c r="J4" s="26" t="s">
        <v>51</v>
      </c>
      <c r="K4" s="26" t="s">
        <v>52</v>
      </c>
      <c r="L4" s="26" t="s">
        <v>78</v>
      </c>
      <c r="M4" s="26" t="s">
        <v>79</v>
      </c>
      <c r="N4" s="26" t="s">
        <v>80</v>
      </c>
      <c r="O4" s="26" t="s">
        <v>81</v>
      </c>
      <c r="P4" s="26" t="s">
        <v>57</v>
      </c>
      <c r="Q4" s="26" t="s">
        <v>82</v>
      </c>
      <c r="R4" s="26" t="s">
        <v>83</v>
      </c>
      <c r="S4" s="26" t="s">
        <v>84</v>
      </c>
      <c r="T4" s="26" t="s">
        <v>85</v>
      </c>
      <c r="U4" s="26" t="s">
        <v>86</v>
      </c>
    </row>
    <row r="5" spans="1:21" ht="30" customHeight="1" x14ac:dyDescent="0.25">
      <c r="A5" s="35">
        <v>1</v>
      </c>
      <c r="B5" s="36" t="s">
        <v>87</v>
      </c>
      <c r="C5" s="37" t="s">
        <v>88</v>
      </c>
      <c r="D5" s="37" t="s">
        <v>89</v>
      </c>
      <c r="E5" s="38">
        <v>480000</v>
      </c>
      <c r="F5" s="39">
        <v>2</v>
      </c>
      <c r="G5" s="39">
        <v>2</v>
      </c>
      <c r="H5" s="39">
        <v>3</v>
      </c>
      <c r="I5" s="39">
        <v>4</v>
      </c>
      <c r="J5" s="39">
        <v>2</v>
      </c>
      <c r="K5" s="39">
        <v>2</v>
      </c>
      <c r="L5" s="40">
        <f>IF(COUNT(F5:K5)&lt;6,"",SUMPRODUCT(F5:K5,Anleitung!$C$40:$H$40)/SUM(Anleitung!$C$40:$H$40))</f>
        <v>2.5</v>
      </c>
      <c r="M5" s="41">
        <f t="shared" ref="M5:M24" si="0">IF(L5="","",ROUND(L5,0))</f>
        <v>3</v>
      </c>
      <c r="N5" s="39">
        <v>2</v>
      </c>
      <c r="O5" s="31">
        <f t="shared" ref="O5:O24" si="1">IF(OR(M5="",N5=""),"",M5*N5)</f>
        <v>6</v>
      </c>
      <c r="P5" s="41" t="str">
        <f t="shared" ref="P5:P24" si="2">IF(O5="","",IF(O5&lt;=5,"Gering",IF(O5&lt;=10,"Mittel",IF(O5&lt;=15,"Hoch","Sehr hoch"))))</f>
        <v>Mittel</v>
      </c>
      <c r="Q5" s="42">
        <f t="shared" ref="Q5:Q24" si="3">IF(O5="","",SUMPRODUCT(($O$5:$O$24&lt;&gt;"")*($O$5:$O$24&gt;O5))+SUMPRODUCT(($O$5:$O$24&lt;&gt;"")*($O$5:$O$24=O5)*(ROW($O$5:$O$24)&lt;=ROW(O5))))</f>
        <v>9</v>
      </c>
      <c r="R5" s="43" t="s">
        <v>90</v>
      </c>
      <c r="S5" s="37" t="s">
        <v>91</v>
      </c>
      <c r="T5" s="44" t="s">
        <v>92</v>
      </c>
      <c r="U5" s="37" t="s">
        <v>93</v>
      </c>
    </row>
    <row r="6" spans="1:21" ht="30" customHeight="1" x14ac:dyDescent="0.25">
      <c r="A6" s="45">
        <v>2</v>
      </c>
      <c r="B6" s="36" t="s">
        <v>94</v>
      </c>
      <c r="C6" s="37" t="s">
        <v>95</v>
      </c>
      <c r="D6" s="37" t="s">
        <v>96</v>
      </c>
      <c r="E6" s="38">
        <v>210000</v>
      </c>
      <c r="F6" s="39">
        <v>3</v>
      </c>
      <c r="G6" s="39">
        <v>2</v>
      </c>
      <c r="H6" s="39">
        <v>3</v>
      </c>
      <c r="I6" s="39">
        <v>2</v>
      </c>
      <c r="J6" s="39">
        <v>3</v>
      </c>
      <c r="K6" s="39">
        <v>3</v>
      </c>
      <c r="L6" s="46">
        <f>IF(COUNT(F6:K6)&lt;6,"",SUMPRODUCT(F6:K6,Anleitung!$C$40:$H$40)/SUM(Anleitung!$C$40:$H$40))</f>
        <v>2.65</v>
      </c>
      <c r="M6" s="47">
        <f t="shared" si="0"/>
        <v>3</v>
      </c>
      <c r="N6" s="39">
        <v>3</v>
      </c>
      <c r="O6" s="48">
        <f t="shared" si="1"/>
        <v>9</v>
      </c>
      <c r="P6" s="47" t="str">
        <f t="shared" si="2"/>
        <v>Mittel</v>
      </c>
      <c r="Q6" s="49">
        <f t="shared" si="3"/>
        <v>5</v>
      </c>
      <c r="R6" s="43" t="s">
        <v>97</v>
      </c>
      <c r="S6" s="37" t="s">
        <v>98</v>
      </c>
      <c r="T6" s="44" t="s">
        <v>99</v>
      </c>
      <c r="U6" s="37" t="s">
        <v>100</v>
      </c>
    </row>
    <row r="7" spans="1:21" ht="30" customHeight="1" x14ac:dyDescent="0.25">
      <c r="A7" s="35">
        <v>3</v>
      </c>
      <c r="B7" s="36" t="s">
        <v>101</v>
      </c>
      <c r="C7" s="37" t="s">
        <v>102</v>
      </c>
      <c r="D7" s="37" t="s">
        <v>89</v>
      </c>
      <c r="E7" s="38">
        <v>165000</v>
      </c>
      <c r="F7" s="39">
        <v>2</v>
      </c>
      <c r="G7" s="39">
        <v>3</v>
      </c>
      <c r="H7" s="39">
        <v>2</v>
      </c>
      <c r="I7" s="39">
        <v>2</v>
      </c>
      <c r="J7" s="39">
        <v>2</v>
      </c>
      <c r="K7" s="39">
        <v>3</v>
      </c>
      <c r="L7" s="40">
        <f>IF(COUNT(F7:K7)&lt;6,"",SUMPRODUCT(F7:K7,Anleitung!$C$40:$H$40)/SUM(Anleitung!$C$40:$H$40))</f>
        <v>2.2999999999999998</v>
      </c>
      <c r="M7" s="41">
        <f t="shared" si="0"/>
        <v>2</v>
      </c>
      <c r="N7" s="39">
        <v>2</v>
      </c>
      <c r="O7" s="31">
        <f t="shared" si="1"/>
        <v>4</v>
      </c>
      <c r="P7" s="41" t="str">
        <f t="shared" si="2"/>
        <v>Gering</v>
      </c>
      <c r="Q7" s="42">
        <f t="shared" si="3"/>
        <v>11</v>
      </c>
      <c r="R7" s="43" t="s">
        <v>103</v>
      </c>
      <c r="S7" s="37" t="s">
        <v>104</v>
      </c>
      <c r="T7" s="44" t="s">
        <v>105</v>
      </c>
      <c r="U7" s="37" t="s">
        <v>100</v>
      </c>
    </row>
    <row r="8" spans="1:21" ht="30" customHeight="1" x14ac:dyDescent="0.25">
      <c r="A8" s="45">
        <v>4</v>
      </c>
      <c r="B8" s="36" t="s">
        <v>106</v>
      </c>
      <c r="C8" s="37" t="s">
        <v>107</v>
      </c>
      <c r="D8" s="37" t="s">
        <v>108</v>
      </c>
      <c r="E8" s="38">
        <v>720000</v>
      </c>
      <c r="F8" s="39">
        <v>3</v>
      </c>
      <c r="G8" s="39">
        <v>3</v>
      </c>
      <c r="H8" s="39">
        <v>3</v>
      </c>
      <c r="I8" s="39">
        <v>4</v>
      </c>
      <c r="J8" s="39">
        <v>3</v>
      </c>
      <c r="K8" s="39">
        <v>4</v>
      </c>
      <c r="L8" s="46">
        <f>IF(COUNT(F8:K8)&lt;6,"",SUMPRODUCT(F8:K8,Anleitung!$C$40:$H$40)/SUM(Anleitung!$C$40:$H$40))</f>
        <v>3.25</v>
      </c>
      <c r="M8" s="47">
        <f t="shared" si="0"/>
        <v>3</v>
      </c>
      <c r="N8" s="39">
        <v>4</v>
      </c>
      <c r="O8" s="48">
        <f t="shared" si="1"/>
        <v>12</v>
      </c>
      <c r="P8" s="47" t="str">
        <f t="shared" si="2"/>
        <v>Hoch</v>
      </c>
      <c r="Q8" s="49">
        <f t="shared" si="3"/>
        <v>4</v>
      </c>
      <c r="R8" s="43" t="s">
        <v>109</v>
      </c>
      <c r="S8" s="37" t="s">
        <v>91</v>
      </c>
      <c r="T8" s="44" t="s">
        <v>110</v>
      </c>
      <c r="U8" s="37" t="s">
        <v>93</v>
      </c>
    </row>
    <row r="9" spans="1:21" ht="30" customHeight="1" x14ac:dyDescent="0.25">
      <c r="A9" s="35">
        <v>5</v>
      </c>
      <c r="B9" s="36" t="s">
        <v>111</v>
      </c>
      <c r="C9" s="37" t="s">
        <v>112</v>
      </c>
      <c r="D9" s="37" t="s">
        <v>96</v>
      </c>
      <c r="E9" s="38">
        <v>395000</v>
      </c>
      <c r="F9" s="39">
        <v>3</v>
      </c>
      <c r="G9" s="39">
        <v>4</v>
      </c>
      <c r="H9" s="39">
        <v>3</v>
      </c>
      <c r="I9" s="39">
        <v>3</v>
      </c>
      <c r="J9" s="39">
        <v>4</v>
      </c>
      <c r="K9" s="39">
        <v>4</v>
      </c>
      <c r="L9" s="40">
        <f>IF(COUNT(F9:K9)&lt;6,"",SUMPRODUCT(F9:K9,Anleitung!$C$40:$H$40)/SUM(Anleitung!$C$40:$H$40))</f>
        <v>3.4</v>
      </c>
      <c r="M9" s="41">
        <f t="shared" si="0"/>
        <v>3</v>
      </c>
      <c r="N9" s="39">
        <v>3</v>
      </c>
      <c r="O9" s="31">
        <f t="shared" si="1"/>
        <v>9</v>
      </c>
      <c r="P9" s="41" t="str">
        <f t="shared" si="2"/>
        <v>Mittel</v>
      </c>
      <c r="Q9" s="42">
        <f t="shared" si="3"/>
        <v>6</v>
      </c>
      <c r="R9" s="43" t="s">
        <v>113</v>
      </c>
      <c r="S9" s="37" t="s">
        <v>114</v>
      </c>
      <c r="T9" s="44" t="s">
        <v>115</v>
      </c>
      <c r="U9" s="37" t="s">
        <v>100</v>
      </c>
    </row>
    <row r="10" spans="1:21" ht="30" customHeight="1" x14ac:dyDescent="0.25">
      <c r="A10" s="45">
        <v>6</v>
      </c>
      <c r="B10" s="36" t="s">
        <v>116</v>
      </c>
      <c r="C10" s="37" t="s">
        <v>88</v>
      </c>
      <c r="D10" s="37" t="s">
        <v>117</v>
      </c>
      <c r="E10" s="38">
        <v>890000</v>
      </c>
      <c r="F10" s="39">
        <v>4</v>
      </c>
      <c r="G10" s="39">
        <v>3</v>
      </c>
      <c r="H10" s="39">
        <v>3</v>
      </c>
      <c r="I10" s="39">
        <v>5</v>
      </c>
      <c r="J10" s="39">
        <v>4</v>
      </c>
      <c r="K10" s="39">
        <v>4</v>
      </c>
      <c r="L10" s="46">
        <f>IF(COUNT(F10:K10)&lt;6,"",SUMPRODUCT(F10:K10,Anleitung!$C$40:$H$40)/SUM(Anleitung!$C$40:$H$40))</f>
        <v>3.75</v>
      </c>
      <c r="M10" s="47">
        <f t="shared" si="0"/>
        <v>4</v>
      </c>
      <c r="N10" s="39">
        <v>4</v>
      </c>
      <c r="O10" s="48">
        <f t="shared" si="1"/>
        <v>16</v>
      </c>
      <c r="P10" s="47" t="str">
        <f t="shared" si="2"/>
        <v>Sehr hoch</v>
      </c>
      <c r="Q10" s="49">
        <f t="shared" si="3"/>
        <v>1</v>
      </c>
      <c r="R10" s="43" t="s">
        <v>118</v>
      </c>
      <c r="S10" s="37" t="s">
        <v>98</v>
      </c>
      <c r="T10" s="44" t="s">
        <v>119</v>
      </c>
      <c r="U10" s="37" t="s">
        <v>93</v>
      </c>
    </row>
    <row r="11" spans="1:21" ht="30" customHeight="1" x14ac:dyDescent="0.25">
      <c r="A11" s="35">
        <v>7</v>
      </c>
      <c r="B11" s="36" t="s">
        <v>120</v>
      </c>
      <c r="C11" s="37" t="s">
        <v>121</v>
      </c>
      <c r="D11" s="37" t="s">
        <v>122</v>
      </c>
      <c r="E11" s="38">
        <v>240000</v>
      </c>
      <c r="F11" s="39">
        <v>3</v>
      </c>
      <c r="G11" s="39">
        <v>3</v>
      </c>
      <c r="H11" s="39">
        <v>4</v>
      </c>
      <c r="I11" s="39">
        <v>3</v>
      </c>
      <c r="J11" s="39">
        <v>4</v>
      </c>
      <c r="K11" s="39">
        <v>4</v>
      </c>
      <c r="L11" s="40">
        <f>IF(COUNT(F11:K11)&lt;6,"",SUMPRODUCT(F11:K11,Anleitung!$C$40:$H$40)/SUM(Anleitung!$C$40:$H$40))</f>
        <v>3.4</v>
      </c>
      <c r="M11" s="41">
        <f t="shared" si="0"/>
        <v>3</v>
      </c>
      <c r="N11" s="39">
        <v>3</v>
      </c>
      <c r="O11" s="31">
        <f t="shared" si="1"/>
        <v>9</v>
      </c>
      <c r="P11" s="41" t="str">
        <f t="shared" si="2"/>
        <v>Mittel</v>
      </c>
      <c r="Q11" s="42">
        <f t="shared" si="3"/>
        <v>7</v>
      </c>
      <c r="R11" s="43" t="s">
        <v>123</v>
      </c>
      <c r="S11" s="37" t="s">
        <v>104</v>
      </c>
      <c r="T11" s="44" t="s">
        <v>124</v>
      </c>
      <c r="U11" s="37" t="s">
        <v>100</v>
      </c>
    </row>
    <row r="12" spans="1:21" ht="30" customHeight="1" x14ac:dyDescent="0.25">
      <c r="A12" s="45">
        <v>8</v>
      </c>
      <c r="B12" s="36" t="s">
        <v>125</v>
      </c>
      <c r="C12" s="37" t="s">
        <v>126</v>
      </c>
      <c r="D12" s="37" t="s">
        <v>89</v>
      </c>
      <c r="E12" s="38">
        <v>58000</v>
      </c>
      <c r="F12" s="39">
        <v>1</v>
      </c>
      <c r="G12" s="39">
        <v>2</v>
      </c>
      <c r="H12" s="39">
        <v>2</v>
      </c>
      <c r="I12" s="39">
        <v>1</v>
      </c>
      <c r="J12" s="39">
        <v>1</v>
      </c>
      <c r="K12" s="39">
        <v>2</v>
      </c>
      <c r="L12" s="46">
        <f>IF(COUNT(F12:K12)&lt;6,"",SUMPRODUCT(F12:K12,Anleitung!$C$40:$H$40)/SUM(Anleitung!$C$40:$H$40))</f>
        <v>1.5</v>
      </c>
      <c r="M12" s="47">
        <f t="shared" si="0"/>
        <v>2</v>
      </c>
      <c r="N12" s="39">
        <v>1</v>
      </c>
      <c r="O12" s="48">
        <f t="shared" si="1"/>
        <v>2</v>
      </c>
      <c r="P12" s="47" t="str">
        <f t="shared" si="2"/>
        <v>Gering</v>
      </c>
      <c r="Q12" s="49">
        <f t="shared" si="3"/>
        <v>12</v>
      </c>
      <c r="R12" s="43" t="s">
        <v>127</v>
      </c>
      <c r="S12" s="37" t="s">
        <v>114</v>
      </c>
      <c r="T12" s="44" t="s">
        <v>9</v>
      </c>
      <c r="U12" s="37" t="s">
        <v>128</v>
      </c>
    </row>
    <row r="13" spans="1:21" ht="30" customHeight="1" x14ac:dyDescent="0.25">
      <c r="A13" s="35">
        <v>9</v>
      </c>
      <c r="B13" s="36" t="s">
        <v>129</v>
      </c>
      <c r="C13" s="37" t="s">
        <v>130</v>
      </c>
      <c r="D13" s="37" t="s">
        <v>89</v>
      </c>
      <c r="E13" s="38">
        <v>510000</v>
      </c>
      <c r="F13" s="39">
        <v>2</v>
      </c>
      <c r="G13" s="39">
        <v>2</v>
      </c>
      <c r="H13" s="39">
        <v>3</v>
      </c>
      <c r="I13" s="39">
        <v>4</v>
      </c>
      <c r="J13" s="39">
        <v>2</v>
      </c>
      <c r="K13" s="39">
        <v>2</v>
      </c>
      <c r="L13" s="40">
        <f>IF(COUNT(F13:K13)&lt;6,"",SUMPRODUCT(F13:K13,Anleitung!$C$40:$H$40)/SUM(Anleitung!$C$40:$H$40))</f>
        <v>2.5</v>
      </c>
      <c r="M13" s="41">
        <f t="shared" si="0"/>
        <v>3</v>
      </c>
      <c r="N13" s="39">
        <v>3</v>
      </c>
      <c r="O13" s="31">
        <f t="shared" si="1"/>
        <v>9</v>
      </c>
      <c r="P13" s="41" t="str">
        <f t="shared" si="2"/>
        <v>Mittel</v>
      </c>
      <c r="Q13" s="42">
        <f t="shared" si="3"/>
        <v>8</v>
      </c>
      <c r="R13" s="43" t="s">
        <v>131</v>
      </c>
      <c r="S13" s="37" t="s">
        <v>91</v>
      </c>
      <c r="T13" s="44" t="s">
        <v>105</v>
      </c>
      <c r="U13" s="37" t="s">
        <v>100</v>
      </c>
    </row>
    <row r="14" spans="1:21" ht="30" customHeight="1" x14ac:dyDescent="0.25">
      <c r="A14" s="45">
        <v>10</v>
      </c>
      <c r="B14" s="36" t="s">
        <v>132</v>
      </c>
      <c r="C14" s="37" t="s">
        <v>133</v>
      </c>
      <c r="D14" s="37" t="s">
        <v>134</v>
      </c>
      <c r="E14" s="38">
        <v>180000</v>
      </c>
      <c r="F14" s="39">
        <v>4</v>
      </c>
      <c r="G14" s="39">
        <v>3</v>
      </c>
      <c r="H14" s="39">
        <v>3</v>
      </c>
      <c r="I14" s="39">
        <v>3</v>
      </c>
      <c r="J14" s="39">
        <v>4</v>
      </c>
      <c r="K14" s="39">
        <v>5</v>
      </c>
      <c r="L14" s="46">
        <f>IF(COUNT(F14:K14)&lt;6,"",SUMPRODUCT(F14:K14,Anleitung!$C$40:$H$40)/SUM(Anleitung!$C$40:$H$40))</f>
        <v>3.55</v>
      </c>
      <c r="M14" s="47">
        <f t="shared" si="0"/>
        <v>4</v>
      </c>
      <c r="N14" s="39">
        <v>4</v>
      </c>
      <c r="O14" s="48">
        <f t="shared" si="1"/>
        <v>16</v>
      </c>
      <c r="P14" s="47" t="str">
        <f t="shared" si="2"/>
        <v>Sehr hoch</v>
      </c>
      <c r="Q14" s="49">
        <f t="shared" si="3"/>
        <v>2</v>
      </c>
      <c r="R14" s="43" t="s">
        <v>135</v>
      </c>
      <c r="S14" s="37" t="s">
        <v>104</v>
      </c>
      <c r="T14" s="44" t="s">
        <v>136</v>
      </c>
      <c r="U14" s="37" t="s">
        <v>93</v>
      </c>
    </row>
    <row r="15" spans="1:21" ht="30" customHeight="1" x14ac:dyDescent="0.25">
      <c r="A15" s="35">
        <v>11</v>
      </c>
      <c r="B15" s="36" t="s">
        <v>137</v>
      </c>
      <c r="C15" s="37" t="s">
        <v>107</v>
      </c>
      <c r="D15" s="37" t="s">
        <v>89</v>
      </c>
      <c r="E15" s="38">
        <v>640000</v>
      </c>
      <c r="F15" s="39">
        <v>2</v>
      </c>
      <c r="G15" s="39">
        <v>2</v>
      </c>
      <c r="H15" s="39">
        <v>4</v>
      </c>
      <c r="I15" s="39">
        <v>3</v>
      </c>
      <c r="J15" s="39">
        <v>2</v>
      </c>
      <c r="K15" s="39">
        <v>3</v>
      </c>
      <c r="L15" s="40">
        <f>IF(COUNT(F15:K15)&lt;6,"",SUMPRODUCT(F15:K15,Anleitung!$C$40:$H$40)/SUM(Anleitung!$C$40:$H$40))</f>
        <v>2.65</v>
      </c>
      <c r="M15" s="41">
        <f t="shared" si="0"/>
        <v>3</v>
      </c>
      <c r="N15" s="39">
        <v>2</v>
      </c>
      <c r="O15" s="31">
        <f t="shared" si="1"/>
        <v>6</v>
      </c>
      <c r="P15" s="41" t="str">
        <f t="shared" si="2"/>
        <v>Mittel</v>
      </c>
      <c r="Q15" s="42">
        <f t="shared" si="3"/>
        <v>10</v>
      </c>
      <c r="R15" s="43" t="s">
        <v>138</v>
      </c>
      <c r="S15" s="37" t="s">
        <v>114</v>
      </c>
      <c r="T15" s="44" t="s">
        <v>105</v>
      </c>
      <c r="U15" s="37" t="s">
        <v>100</v>
      </c>
    </row>
    <row r="16" spans="1:21" ht="30" customHeight="1" x14ac:dyDescent="0.25">
      <c r="A16" s="45">
        <v>12</v>
      </c>
      <c r="B16" s="36" t="s">
        <v>139</v>
      </c>
      <c r="C16" s="37" t="s">
        <v>140</v>
      </c>
      <c r="D16" s="37" t="s">
        <v>141</v>
      </c>
      <c r="E16" s="38">
        <v>305000</v>
      </c>
      <c r="F16" s="39">
        <v>4</v>
      </c>
      <c r="G16" s="39">
        <v>4</v>
      </c>
      <c r="H16" s="39">
        <v>4</v>
      </c>
      <c r="I16" s="39">
        <v>4</v>
      </c>
      <c r="J16" s="39">
        <v>5</v>
      </c>
      <c r="K16" s="39">
        <v>4</v>
      </c>
      <c r="L16" s="46">
        <f>IF(COUNT(F16:K16)&lt;6,"",SUMPRODUCT(F16:K16,Anleitung!$C$40:$H$40)/SUM(Anleitung!$C$40:$H$40))</f>
        <v>4.0999999999999996</v>
      </c>
      <c r="M16" s="47">
        <f t="shared" si="0"/>
        <v>4</v>
      </c>
      <c r="N16" s="39">
        <v>4</v>
      </c>
      <c r="O16" s="48">
        <f t="shared" si="1"/>
        <v>16</v>
      </c>
      <c r="P16" s="47" t="str">
        <f t="shared" si="2"/>
        <v>Sehr hoch</v>
      </c>
      <c r="Q16" s="49">
        <f t="shared" si="3"/>
        <v>3</v>
      </c>
      <c r="R16" s="43" t="s">
        <v>142</v>
      </c>
      <c r="S16" s="37" t="s">
        <v>98</v>
      </c>
      <c r="T16" s="44" t="s">
        <v>110</v>
      </c>
      <c r="U16" s="37" t="s">
        <v>93</v>
      </c>
    </row>
    <row r="17" spans="1:21" ht="30" customHeight="1" x14ac:dyDescent="0.25">
      <c r="A17" s="35" t="str">
        <f>IF(B17="","",COUNTA($B$5:B17))</f>
        <v/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50" t="str">
        <f>IF(COUNT(F17:K17)&lt;6,"",SUMPRODUCT(F17:K17,Anleitung!$C$40:$H$40)/SUM(Anleitung!$C$40:$H$40))</f>
        <v/>
      </c>
      <c r="M17" s="51" t="str">
        <f t="shared" si="0"/>
        <v/>
      </c>
      <c r="N17" s="16"/>
      <c r="O17" s="51" t="str">
        <f t="shared" si="1"/>
        <v/>
      </c>
      <c r="P17" s="51" t="str">
        <f t="shared" si="2"/>
        <v/>
      </c>
      <c r="Q17" s="51" t="str">
        <f t="shared" si="3"/>
        <v/>
      </c>
      <c r="R17" s="16"/>
      <c r="S17" s="16"/>
      <c r="T17" s="16"/>
      <c r="U17" s="16"/>
    </row>
    <row r="18" spans="1:21" ht="30" customHeight="1" x14ac:dyDescent="0.25">
      <c r="A18" s="45" t="str">
        <f>IF(B18="","",COUNTA($B$5:B18))</f>
        <v/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52" t="str">
        <f>IF(COUNT(F18:K18)&lt;6,"",SUMPRODUCT(F18:K18,Anleitung!$C$40:$H$40)/SUM(Anleitung!$C$40:$H$40))</f>
        <v/>
      </c>
      <c r="M18" s="53" t="str">
        <f t="shared" si="0"/>
        <v/>
      </c>
      <c r="N18" s="16"/>
      <c r="O18" s="53" t="str">
        <f t="shared" si="1"/>
        <v/>
      </c>
      <c r="P18" s="53" t="str">
        <f t="shared" si="2"/>
        <v/>
      </c>
      <c r="Q18" s="53" t="str">
        <f t="shared" si="3"/>
        <v/>
      </c>
      <c r="R18" s="16"/>
      <c r="S18" s="16"/>
      <c r="T18" s="16"/>
      <c r="U18" s="16"/>
    </row>
    <row r="19" spans="1:21" ht="30" customHeight="1" x14ac:dyDescent="0.25">
      <c r="A19" s="35" t="str">
        <f>IF(B19="","",COUNTA($B$5:B19))</f>
        <v/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50" t="str">
        <f>IF(COUNT(F19:K19)&lt;6,"",SUMPRODUCT(F19:K19,Anleitung!$C$40:$H$40)/SUM(Anleitung!$C$40:$H$40))</f>
        <v/>
      </c>
      <c r="M19" s="51" t="str">
        <f t="shared" si="0"/>
        <v/>
      </c>
      <c r="N19" s="16"/>
      <c r="O19" s="51" t="str">
        <f t="shared" si="1"/>
        <v/>
      </c>
      <c r="P19" s="51" t="str">
        <f t="shared" si="2"/>
        <v/>
      </c>
      <c r="Q19" s="51" t="str">
        <f t="shared" si="3"/>
        <v/>
      </c>
      <c r="R19" s="16"/>
      <c r="S19" s="16"/>
      <c r="T19" s="16"/>
      <c r="U19" s="16"/>
    </row>
    <row r="20" spans="1:21" ht="30" customHeight="1" x14ac:dyDescent="0.25">
      <c r="A20" s="45" t="str">
        <f>IF(B20="","",COUNTA($B$5:B20))</f>
        <v/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52" t="str">
        <f>IF(COUNT(F20:K20)&lt;6,"",SUMPRODUCT(F20:K20,Anleitung!$C$40:$H$40)/SUM(Anleitung!$C$40:$H$40))</f>
        <v/>
      </c>
      <c r="M20" s="53" t="str">
        <f t="shared" si="0"/>
        <v/>
      </c>
      <c r="N20" s="16"/>
      <c r="O20" s="53" t="str">
        <f t="shared" si="1"/>
        <v/>
      </c>
      <c r="P20" s="53" t="str">
        <f t="shared" si="2"/>
        <v/>
      </c>
      <c r="Q20" s="53" t="str">
        <f t="shared" si="3"/>
        <v/>
      </c>
      <c r="R20" s="16"/>
      <c r="S20" s="16"/>
      <c r="T20" s="16"/>
      <c r="U20" s="16"/>
    </row>
    <row r="21" spans="1:21" ht="30" customHeight="1" x14ac:dyDescent="0.25">
      <c r="A21" s="35" t="str">
        <f>IF(B21="","",COUNTA($B$5:B21))</f>
        <v/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50" t="str">
        <f>IF(COUNT(F21:K21)&lt;6,"",SUMPRODUCT(F21:K21,Anleitung!$C$40:$H$40)/SUM(Anleitung!$C$40:$H$40))</f>
        <v/>
      </c>
      <c r="M21" s="51" t="str">
        <f t="shared" si="0"/>
        <v/>
      </c>
      <c r="N21" s="16"/>
      <c r="O21" s="51" t="str">
        <f t="shared" si="1"/>
        <v/>
      </c>
      <c r="P21" s="51" t="str">
        <f t="shared" si="2"/>
        <v/>
      </c>
      <c r="Q21" s="51" t="str">
        <f t="shared" si="3"/>
        <v/>
      </c>
      <c r="R21" s="16"/>
      <c r="S21" s="16"/>
      <c r="T21" s="16"/>
      <c r="U21" s="16"/>
    </row>
    <row r="22" spans="1:21" ht="30" customHeight="1" x14ac:dyDescent="0.25">
      <c r="A22" s="45" t="str">
        <f>IF(B22="","",COUNTA($B$5:B22))</f>
        <v/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52" t="str">
        <f>IF(COUNT(F22:K22)&lt;6,"",SUMPRODUCT(F22:K22,Anleitung!$C$40:$H$40)/SUM(Anleitung!$C$40:$H$40))</f>
        <v/>
      </c>
      <c r="M22" s="53" t="str">
        <f t="shared" si="0"/>
        <v/>
      </c>
      <c r="N22" s="16"/>
      <c r="O22" s="53" t="str">
        <f t="shared" si="1"/>
        <v/>
      </c>
      <c r="P22" s="53" t="str">
        <f t="shared" si="2"/>
        <v/>
      </c>
      <c r="Q22" s="53" t="str">
        <f t="shared" si="3"/>
        <v/>
      </c>
      <c r="R22" s="16"/>
      <c r="S22" s="16"/>
      <c r="T22" s="16"/>
      <c r="U22" s="16"/>
    </row>
    <row r="23" spans="1:21" ht="30" customHeight="1" x14ac:dyDescent="0.25">
      <c r="A23" s="35" t="str">
        <f>IF(B23="","",COUNTA($B$5:B23))</f>
        <v/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50" t="str">
        <f>IF(COUNT(F23:K23)&lt;6,"",SUMPRODUCT(F23:K23,Anleitung!$C$40:$H$40)/SUM(Anleitung!$C$40:$H$40))</f>
        <v/>
      </c>
      <c r="M23" s="51" t="str">
        <f t="shared" si="0"/>
        <v/>
      </c>
      <c r="N23" s="16"/>
      <c r="O23" s="51" t="str">
        <f t="shared" si="1"/>
        <v/>
      </c>
      <c r="P23" s="51" t="str">
        <f t="shared" si="2"/>
        <v/>
      </c>
      <c r="Q23" s="51" t="str">
        <f t="shared" si="3"/>
        <v/>
      </c>
      <c r="R23" s="16"/>
      <c r="S23" s="16"/>
      <c r="T23" s="16"/>
      <c r="U23" s="16"/>
    </row>
    <row r="24" spans="1:21" ht="30" customHeight="1" x14ac:dyDescent="0.25">
      <c r="A24" s="45" t="str">
        <f>IF(B24="","",COUNTA($B$5:B24))</f>
        <v/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52" t="str">
        <f>IF(COUNT(F24:K24)&lt;6,"",SUMPRODUCT(F24:K24,Anleitung!$C$40:$H$40)/SUM(Anleitung!$C$40:$H$40))</f>
        <v/>
      </c>
      <c r="M24" s="53" t="str">
        <f t="shared" si="0"/>
        <v/>
      </c>
      <c r="N24" s="16"/>
      <c r="O24" s="53" t="str">
        <f t="shared" si="1"/>
        <v/>
      </c>
      <c r="P24" s="53" t="str">
        <f t="shared" si="2"/>
        <v/>
      </c>
      <c r="Q24" s="53" t="str">
        <f t="shared" si="3"/>
        <v/>
      </c>
      <c r="R24" s="16"/>
      <c r="S24" s="16"/>
      <c r="T24" s="16"/>
      <c r="U24" s="16"/>
    </row>
    <row r="26" spans="1:21" x14ac:dyDescent="0.25">
      <c r="B26" s="1" t="s">
        <v>143</v>
      </c>
      <c r="C26" s="1"/>
      <c r="D26" s="1"/>
      <c r="E26" s="1"/>
      <c r="F26" s="1"/>
      <c r="G26" s="1"/>
      <c r="H26" s="1"/>
      <c r="I26" s="1"/>
      <c r="J26" s="1"/>
      <c r="K26" s="1"/>
    </row>
  </sheetData>
  <mergeCells count="7">
    <mergeCell ref="B26:K26"/>
    <mergeCell ref="A1:U1"/>
    <mergeCell ref="A2:U2"/>
    <mergeCell ref="A3:E3"/>
    <mergeCell ref="F3:K3"/>
    <mergeCell ref="L3:P3"/>
    <mergeCell ref="Q3:U3"/>
  </mergeCells>
  <conditionalFormatting sqref="O5:O24">
    <cfRule type="cellIs" dxfId="11" priority="2" operator="between">
      <formula>1</formula>
      <formula>5</formula>
    </cfRule>
    <cfRule type="cellIs" dxfId="10" priority="3" operator="between">
      <formula>6</formula>
      <formula>10</formula>
    </cfRule>
    <cfRule type="cellIs" dxfId="9" priority="4" operator="between">
      <formula>11</formula>
      <formula>15</formula>
    </cfRule>
    <cfRule type="cellIs" dxfId="8" priority="5" operator="greaterThanOrEqual">
      <formula>16</formula>
    </cfRule>
  </conditionalFormatting>
  <conditionalFormatting sqref="P5:P24">
    <cfRule type="cellIs" dxfId="7" priority="6" operator="equal">
      <formula>"Gering"</formula>
    </cfRule>
    <cfRule type="cellIs" dxfId="6" priority="7" operator="equal">
      <formula>"Mittel"</formula>
    </cfRule>
    <cfRule type="cellIs" dxfId="5" priority="8" operator="equal">
      <formula>"Hoch"</formula>
    </cfRule>
    <cfRule type="cellIs" dxfId="4" priority="9" operator="equal">
      <formula>"Sehr hoch"</formula>
    </cfRule>
  </conditionalFormatting>
  <dataValidations count="2">
    <dataValidation type="whole" allowBlank="1" errorTitle="Ungültige Eingabe" error="Bitte eine Zahl von 1 bis 5 eingeben." promptTitle="Bewertung" prompt="1 = geringes Risiko … 5 = hohes Risiko" sqref="F5:K24 N5:N24" xr:uid="{00000000-0002-0000-0100-000000000000}">
      <formula1>1</formula1>
      <formula2>5</formula2>
    </dataValidation>
    <dataValidation type="list" allowBlank="1" sqref="U5:U24" xr:uid="{00000000-0002-0000-0100-000001000000}">
      <formula1>"Offen,In Bearbeitung,Abgeschlossen"</formula1>
      <formula2>0</formula2>
    </dataValidation>
  </dataValidations>
  <pageMargins left="0.3" right="0.3" top="0.5" bottom="0.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N41"/>
  <sheetViews>
    <sheetView showGridLines="0" tabSelected="1" zoomScaleNormal="100" workbookViewId="0">
      <pane ySplit="4" topLeftCell="A5" activePane="bottomLeft" state="frozen"/>
      <selection pane="bottomLeft" activeCell="Q44" sqref="Q44"/>
    </sheetView>
  </sheetViews>
  <sheetFormatPr baseColWidth="10" defaultColWidth="8.7109375" defaultRowHeight="15" x14ac:dyDescent="0.25"/>
  <cols>
    <col min="1" max="1" width="2.42578125" customWidth="1"/>
    <col min="2" max="2" width="18" customWidth="1"/>
    <col min="3" max="3" width="16" customWidth="1"/>
    <col min="4" max="4" width="12" customWidth="1"/>
    <col min="5" max="5" width="22" customWidth="1"/>
    <col min="6" max="6" width="13" customWidth="1"/>
    <col min="7" max="7" width="9.5703125" bestFit="1" customWidth="1"/>
    <col min="8" max="8" width="6" customWidth="1"/>
    <col min="9" max="9" width="9" customWidth="1"/>
    <col min="10" max="14" width="8" customWidth="1"/>
  </cols>
  <sheetData>
    <row r="2" spans="2:14" ht="30" customHeight="1" x14ac:dyDescent="0.25">
      <c r="B2" s="83" t="s">
        <v>144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2:14" ht="16.5" customHeight="1" x14ac:dyDescent="0.25">
      <c r="B3" s="84" t="s">
        <v>145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2:14" ht="3" customHeight="1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6" spans="2:14" x14ac:dyDescent="0.25">
      <c r="B6" s="82" t="s">
        <v>146</v>
      </c>
      <c r="C6" s="82"/>
      <c r="E6" s="82" t="s">
        <v>147</v>
      </c>
      <c r="F6" s="82"/>
      <c r="H6" s="82" t="s">
        <v>148</v>
      </c>
      <c r="I6" s="82"/>
      <c r="K6" s="86" t="s">
        <v>149</v>
      </c>
      <c r="L6" s="87"/>
      <c r="M6" s="87"/>
      <c r="N6" s="87"/>
    </row>
    <row r="7" spans="2:14" ht="21.75" customHeight="1" x14ac:dyDescent="0.25">
      <c r="B7" s="74">
        <f>COUNTA(Risikoanalyse!$B$5:$B$24)</f>
        <v>12</v>
      </c>
      <c r="C7" s="74"/>
      <c r="E7" s="75">
        <f>IFERROR(AVERAGE(Risikoanalyse!$O$5:$O$24),0)</f>
        <v>9.5</v>
      </c>
      <c r="F7" s="75"/>
      <c r="H7" s="74">
        <f>COUNTIF(Risikoanalyse!$P$5:$P$24,"Hoch")+COUNTIF(Risikoanalyse!$P$5:$P$24,"Sehr hoch")</f>
        <v>4</v>
      </c>
      <c r="I7" s="74"/>
      <c r="K7" s="88">
        <f>IFERROR(MAX(Risikoanalyse!$O$5:$O$24),0)</f>
        <v>16</v>
      </c>
      <c r="L7" s="89"/>
      <c r="M7" s="89"/>
      <c r="N7" s="90"/>
    </row>
    <row r="8" spans="2:14" ht="19.5" customHeight="1" x14ac:dyDescent="0.25">
      <c r="B8" s="74"/>
      <c r="C8" s="74"/>
      <c r="E8" s="75"/>
      <c r="F8" s="75"/>
      <c r="H8" s="74"/>
      <c r="I8" s="74"/>
      <c r="K8" s="91"/>
      <c r="L8" s="92"/>
      <c r="M8" s="92"/>
      <c r="N8" s="93"/>
    </row>
    <row r="11" spans="2:14" ht="21.75" customHeight="1" x14ac:dyDescent="0.25">
      <c r="B11" s="10" t="s">
        <v>150</v>
      </c>
      <c r="C11" s="10"/>
      <c r="D11" s="10"/>
      <c r="E11" s="10"/>
      <c r="F11" s="10"/>
      <c r="I11" s="85" t="s">
        <v>151</v>
      </c>
      <c r="J11" s="85"/>
      <c r="K11" s="85"/>
      <c r="L11" s="85"/>
      <c r="M11" s="85"/>
      <c r="N11" s="85"/>
    </row>
    <row r="12" spans="2:14" x14ac:dyDescent="0.25">
      <c r="B12" s="18" t="s">
        <v>57</v>
      </c>
      <c r="C12" s="18" t="s">
        <v>152</v>
      </c>
      <c r="D12" s="18" t="s">
        <v>153</v>
      </c>
      <c r="E12" s="7" t="s">
        <v>154</v>
      </c>
      <c r="F12" s="7"/>
    </row>
    <row r="13" spans="2:14" x14ac:dyDescent="0.25">
      <c r="B13" s="54" t="s">
        <v>25</v>
      </c>
      <c r="C13" s="41">
        <f>COUNTIF(Risikoanalyse!$P$5:$P$24,"Gering")</f>
        <v>2</v>
      </c>
      <c r="D13" s="55">
        <f>IFERROR(C13/$C$17,0)</f>
        <v>0.16666666666666666</v>
      </c>
      <c r="E13" s="76">
        <f>IFERROR(AVERAGEIF(Risikoanalyse!$P$5:$P$24,"Gering",Risikoanalyse!$E$5:$E$24),0)</f>
        <v>111500</v>
      </c>
      <c r="F13" s="76"/>
      <c r="I13" s="56" t="s">
        <v>155</v>
      </c>
      <c r="J13" s="57">
        <v>1</v>
      </c>
      <c r="K13" s="57">
        <v>2</v>
      </c>
      <c r="L13" s="57">
        <v>3</v>
      </c>
      <c r="M13" s="57">
        <v>4</v>
      </c>
      <c r="N13" s="57">
        <v>5</v>
      </c>
    </row>
    <row r="14" spans="2:14" ht="21.75" customHeight="1" x14ac:dyDescent="0.25">
      <c r="B14" s="58" t="s">
        <v>27</v>
      </c>
      <c r="C14" s="41">
        <f>COUNTIF(Risikoanalyse!$P$5:$P$24,"Mittel")</f>
        <v>6</v>
      </c>
      <c r="D14" s="55">
        <f>IFERROR(C14/$C$17,0)</f>
        <v>0.5</v>
      </c>
      <c r="E14" s="76">
        <f>IFERROR(AVERAGEIF(Risikoanalyse!$P$5:$P$24,"Mittel",Risikoanalyse!$E$5:$E$24),0)</f>
        <v>412500</v>
      </c>
      <c r="F14" s="76"/>
      <c r="H14" s="77" t="s">
        <v>156</v>
      </c>
      <c r="I14" s="57">
        <v>5</v>
      </c>
      <c r="J14" s="59">
        <f>COUNTIFS(Risikoanalyse!$N$5:$N$24,5,Risikoanalyse!$M$5:$M$24,1)</f>
        <v>0</v>
      </c>
      <c r="K14" s="60">
        <f>COUNTIFS(Risikoanalyse!$N$5:$N$24,5,Risikoanalyse!$M$5:$M$24,2)</f>
        <v>0</v>
      </c>
      <c r="L14" s="61">
        <f>COUNTIFS(Risikoanalyse!$N$5:$N$24,5,Risikoanalyse!$M$5:$M$24,3)</f>
        <v>0</v>
      </c>
      <c r="M14" s="62">
        <f>COUNTIFS(Risikoanalyse!$N$5:$N$24,5,Risikoanalyse!$M$5:$M$24,4)</f>
        <v>0</v>
      </c>
      <c r="N14" s="62">
        <f>COUNTIFS(Risikoanalyse!$N$5:$N$24,5,Risikoanalyse!$M$5:$M$24,5)</f>
        <v>0</v>
      </c>
    </row>
    <row r="15" spans="2:14" ht="21.75" customHeight="1" x14ac:dyDescent="0.25">
      <c r="B15" s="63" t="s">
        <v>29</v>
      </c>
      <c r="C15" s="41">
        <f>COUNTIF(Risikoanalyse!$P$5:$P$24,"Hoch")</f>
        <v>1</v>
      </c>
      <c r="D15" s="55">
        <f>IFERROR(C15/$C$17,0)</f>
        <v>8.3333333333333329E-2</v>
      </c>
      <c r="E15" s="76">
        <f>IFERROR(AVERAGEIF(Risikoanalyse!$P$5:$P$24,"Hoch",Risikoanalyse!$E$5:$E$24),0)</f>
        <v>720000</v>
      </c>
      <c r="F15" s="76"/>
      <c r="H15" s="77"/>
      <c r="I15" s="57">
        <v>4</v>
      </c>
      <c r="J15" s="59">
        <f>COUNTIFS(Risikoanalyse!$N$5:$N$24,4,Risikoanalyse!$M$5:$M$24,1)</f>
        <v>0</v>
      </c>
      <c r="K15" s="60">
        <f>COUNTIFS(Risikoanalyse!$N$5:$N$24,4,Risikoanalyse!$M$5:$M$24,2)</f>
        <v>0</v>
      </c>
      <c r="L15" s="61">
        <f>COUNTIFS(Risikoanalyse!$N$5:$N$24,4,Risikoanalyse!$M$5:$M$24,3)</f>
        <v>1</v>
      </c>
      <c r="M15" s="62">
        <f>COUNTIFS(Risikoanalyse!$N$5:$N$24,4,Risikoanalyse!$M$5:$M$24,4)</f>
        <v>3</v>
      </c>
      <c r="N15" s="62">
        <f>COUNTIFS(Risikoanalyse!$N$5:$N$24,4,Risikoanalyse!$M$5:$M$24,5)</f>
        <v>0</v>
      </c>
    </row>
    <row r="16" spans="2:14" ht="21.75" customHeight="1" x14ac:dyDescent="0.25">
      <c r="B16" s="64" t="s">
        <v>31</v>
      </c>
      <c r="C16" s="41">
        <f>COUNTIF(Risikoanalyse!$P$5:$P$24,"Sehr hoch")</f>
        <v>3</v>
      </c>
      <c r="D16" s="55">
        <f>IFERROR(C16/$C$17,0)</f>
        <v>0.25</v>
      </c>
      <c r="E16" s="76">
        <f>IFERROR(AVERAGEIF(Risikoanalyse!$P$5:$P$24,"Sehr hoch",Risikoanalyse!$E$5:$E$24),0)</f>
        <v>458333.33333333331</v>
      </c>
      <c r="F16" s="76"/>
      <c r="H16" s="77"/>
      <c r="I16" s="57">
        <v>3</v>
      </c>
      <c r="J16" s="59">
        <f>COUNTIFS(Risikoanalyse!$N$5:$N$24,3,Risikoanalyse!$M$5:$M$24,1)</f>
        <v>0</v>
      </c>
      <c r="K16" s="60">
        <f>COUNTIFS(Risikoanalyse!$N$5:$N$24,3,Risikoanalyse!$M$5:$M$24,2)</f>
        <v>0</v>
      </c>
      <c r="L16" s="60">
        <f>COUNTIFS(Risikoanalyse!$N$5:$N$24,3,Risikoanalyse!$M$5:$M$24,3)</f>
        <v>4</v>
      </c>
      <c r="M16" s="61">
        <f>COUNTIFS(Risikoanalyse!$N$5:$N$24,3,Risikoanalyse!$M$5:$M$24,4)</f>
        <v>0</v>
      </c>
      <c r="N16" s="61">
        <f>COUNTIFS(Risikoanalyse!$N$5:$N$24,3,Risikoanalyse!$M$5:$M$24,5)</f>
        <v>0</v>
      </c>
    </row>
    <row r="17" spans="2:14" ht="21.75" customHeight="1" x14ac:dyDescent="0.25">
      <c r="B17" s="65" t="s">
        <v>157</v>
      </c>
      <c r="C17" s="66">
        <f>SUM(C13:C16)</f>
        <v>12</v>
      </c>
      <c r="D17" s="67">
        <f>IFERROR(SUM(D13:D16),0)</f>
        <v>1</v>
      </c>
      <c r="E17" s="78"/>
      <c r="F17" s="78"/>
      <c r="H17" s="77"/>
      <c r="I17" s="57">
        <v>2</v>
      </c>
      <c r="J17" s="59">
        <f>COUNTIFS(Risikoanalyse!$N$5:$N$24,2,Risikoanalyse!$M$5:$M$24,1)</f>
        <v>0</v>
      </c>
      <c r="K17" s="59">
        <f>COUNTIFS(Risikoanalyse!$N$5:$N$24,2,Risikoanalyse!$M$5:$M$24,2)</f>
        <v>1</v>
      </c>
      <c r="L17" s="60">
        <f>COUNTIFS(Risikoanalyse!$N$5:$N$24,2,Risikoanalyse!$M$5:$M$24,3)</f>
        <v>2</v>
      </c>
      <c r="M17" s="60">
        <f>COUNTIFS(Risikoanalyse!$N$5:$N$24,2,Risikoanalyse!$M$5:$M$24,4)</f>
        <v>0</v>
      </c>
      <c r="N17" s="60">
        <f>COUNTIFS(Risikoanalyse!$N$5:$N$24,2,Risikoanalyse!$M$5:$M$24,5)</f>
        <v>0</v>
      </c>
    </row>
    <row r="18" spans="2:14" ht="21.75" customHeight="1" x14ac:dyDescent="0.25">
      <c r="H18" s="77"/>
      <c r="I18" s="57">
        <v>1</v>
      </c>
      <c r="J18" s="59">
        <f>COUNTIFS(Risikoanalyse!$N$5:$N$24,1,Risikoanalyse!$M$5:$M$24,1)</f>
        <v>0</v>
      </c>
      <c r="K18" s="59">
        <f>COUNTIFS(Risikoanalyse!$N$5:$N$24,1,Risikoanalyse!$M$5:$M$24,2)</f>
        <v>1</v>
      </c>
      <c r="L18" s="59">
        <f>COUNTIFS(Risikoanalyse!$N$5:$N$24,1,Risikoanalyse!$M$5:$M$24,3)</f>
        <v>0</v>
      </c>
      <c r="M18" s="59">
        <f>COUNTIFS(Risikoanalyse!$N$5:$N$24,1,Risikoanalyse!$M$5:$M$24,4)</f>
        <v>0</v>
      </c>
      <c r="N18" s="59">
        <f>COUNTIFS(Risikoanalyse!$N$5:$N$24,1,Risikoanalyse!$M$5:$M$24,5)</f>
        <v>0</v>
      </c>
    </row>
    <row r="20" spans="2:14" x14ac:dyDescent="0.25">
      <c r="J20" s="79" t="s">
        <v>158</v>
      </c>
      <c r="K20" s="79"/>
      <c r="L20" s="79"/>
      <c r="M20" s="79"/>
      <c r="N20" s="79"/>
    </row>
    <row r="22" spans="2:14" x14ac:dyDescent="0.25">
      <c r="I22" s="68" t="s">
        <v>159</v>
      </c>
      <c r="J22" s="69" t="s">
        <v>25</v>
      </c>
      <c r="K22" s="70" t="s">
        <v>27</v>
      </c>
      <c r="L22" s="71" t="s">
        <v>29</v>
      </c>
      <c r="M22" s="72" t="s">
        <v>31</v>
      </c>
    </row>
    <row r="32" spans="2:14" ht="3.75" customHeight="1" x14ac:dyDescent="0.25"/>
    <row r="33" spans="2:7" ht="3.75" customHeight="1" x14ac:dyDescent="0.25"/>
    <row r="34" spans="2:7" ht="3.75" customHeight="1" x14ac:dyDescent="0.25"/>
    <row r="35" spans="2:7" ht="21.75" customHeight="1" x14ac:dyDescent="0.25">
      <c r="B35" s="10" t="s">
        <v>160</v>
      </c>
      <c r="C35" s="10"/>
      <c r="D35" s="10"/>
      <c r="E35" s="10"/>
      <c r="F35" s="10"/>
      <c r="G35" s="10"/>
    </row>
    <row r="36" spans="2:7" x14ac:dyDescent="0.25">
      <c r="B36" s="57" t="s">
        <v>161</v>
      </c>
      <c r="C36" s="80" t="s">
        <v>74</v>
      </c>
      <c r="D36" s="80"/>
      <c r="E36" s="57" t="s">
        <v>75</v>
      </c>
      <c r="F36" s="57" t="s">
        <v>58</v>
      </c>
      <c r="G36" s="57" t="s">
        <v>162</v>
      </c>
    </row>
    <row r="37" spans="2:7" x14ac:dyDescent="0.25">
      <c r="B37" s="42">
        <v>1</v>
      </c>
      <c r="C37" s="81" t="str">
        <f>IFERROR(INDEX(Risikoanalyse!$B$5:$B$24,MATCH(1,Risikoanalyse!$Q$5:$Q$24,0)),"")</f>
        <v>Fenix Elektronik Ltd.</v>
      </c>
      <c r="D37" s="81"/>
      <c r="E37" s="73" t="str">
        <f>IFERROR(INDEX(Risikoanalyse!$C$5:$C$24,MATCH(1,Risikoanalyse!$Q$5:$Q$24,0)),"")</f>
        <v>Elektronikbauteile</v>
      </c>
      <c r="F37" s="41">
        <f>IFERROR(INDEX(Risikoanalyse!$O$5:$O$24,MATCH(1,Risikoanalyse!$Q$5:$Q$24,0)),"")</f>
        <v>16</v>
      </c>
      <c r="G37" s="41" t="str">
        <f>IFERROR(INDEX(Risikoanalyse!$P$5:$P$24,MATCH(1,Risikoanalyse!$Q$5:$Q$24,0)),"")</f>
        <v>Sehr hoch</v>
      </c>
    </row>
    <row r="38" spans="2:7" x14ac:dyDescent="0.25">
      <c r="B38" s="42">
        <v>2</v>
      </c>
      <c r="C38" s="81" t="str">
        <f>IFERROR(INDEX(Risikoanalyse!$B$5:$B$24,MATCH(2,Risikoanalyse!$Q$5:$Q$24,0)),"")</f>
        <v>Sambara Naturprodukte Pvt.</v>
      </c>
      <c r="D38" s="81"/>
      <c r="E38" s="73" t="str">
        <f>IFERROR(INDEX(Risikoanalyse!$C$5:$C$24,MATCH(2,Risikoanalyse!$Q$5:$Q$24,0)),"")</f>
        <v>Rohstoffe / Naturfasern</v>
      </c>
      <c r="F38" s="41">
        <f>IFERROR(INDEX(Risikoanalyse!$O$5:$O$24,MATCH(2,Risikoanalyse!$Q$5:$Q$24,0)),"")</f>
        <v>16</v>
      </c>
      <c r="G38" s="41" t="str">
        <f>IFERROR(INDEX(Risikoanalyse!$P$5:$P$24,MATCH(2,Risikoanalyse!$Q$5:$Q$24,0)),"")</f>
        <v>Sehr hoch</v>
      </c>
    </row>
    <row r="39" spans="2:7" x14ac:dyDescent="0.25">
      <c r="B39" s="42">
        <v>3</v>
      </c>
      <c r="C39" s="81" t="str">
        <f>IFERROR(INDEX(Risikoanalyse!$B$5:$B$24,MATCH(3,Risikoanalyse!$Q$5:$Q$24,0)),"")</f>
        <v>Pacifico Trading Co.</v>
      </c>
      <c r="D39" s="81"/>
      <c r="E39" s="73" t="str">
        <f>IFERROR(INDEX(Risikoanalyse!$C$5:$C$24,MATCH(3,Risikoanalyse!$Q$5:$Q$24,0)),"")</f>
        <v>Handelswaren / Import</v>
      </c>
      <c r="F39" s="41">
        <f>IFERROR(INDEX(Risikoanalyse!$O$5:$O$24,MATCH(3,Risikoanalyse!$Q$5:$Q$24,0)),"")</f>
        <v>16</v>
      </c>
      <c r="G39" s="41" t="str">
        <f>IFERROR(INDEX(Risikoanalyse!$P$5:$P$24,MATCH(3,Risikoanalyse!$Q$5:$Q$24,0)),"")</f>
        <v>Sehr hoch</v>
      </c>
    </row>
    <row r="40" spans="2:7" x14ac:dyDescent="0.25">
      <c r="B40" s="42">
        <v>4</v>
      </c>
      <c r="C40" s="81" t="str">
        <f>IFERROR(INDEX(Risikoanalyse!$B$5:$B$24,MATCH(4,Risikoanalyse!$Q$5:$Q$24,0)),"")</f>
        <v>Silvana Rohstoffe s.r.o.</v>
      </c>
      <c r="D40" s="81"/>
      <c r="E40" s="73" t="str">
        <f>IFERROR(INDEX(Risikoanalyse!$C$5:$C$24,MATCH(4,Risikoanalyse!$Q$5:$Q$24,0)),"")</f>
        <v>Rohstoffe / Metalle</v>
      </c>
      <c r="F40" s="41">
        <f>IFERROR(INDEX(Risikoanalyse!$O$5:$O$24,MATCH(4,Risikoanalyse!$Q$5:$Q$24,0)),"")</f>
        <v>12</v>
      </c>
      <c r="G40" s="41" t="str">
        <f>IFERROR(INDEX(Risikoanalyse!$P$5:$P$24,MATCH(4,Risikoanalyse!$Q$5:$Q$24,0)),"")</f>
        <v>Hoch</v>
      </c>
    </row>
    <row r="41" spans="2:7" x14ac:dyDescent="0.25">
      <c r="B41" s="42">
        <v>5</v>
      </c>
      <c r="C41" s="81" t="str">
        <f>IFERROR(INDEX(Risikoanalyse!$B$5:$B$24,MATCH(5,Risikoanalyse!$Q$5:$Q$24,0)),"")</f>
        <v>Meridian Logistik AG</v>
      </c>
      <c r="D41" s="81"/>
      <c r="E41" s="73" t="str">
        <f>IFERROR(INDEX(Risikoanalyse!$C$5:$C$24,MATCH(5,Risikoanalyse!$Q$5:$Q$24,0)),"")</f>
        <v>Transport &amp; Logistik</v>
      </c>
      <c r="F41" s="41">
        <f>IFERROR(INDEX(Risikoanalyse!$O$5:$O$24,MATCH(5,Risikoanalyse!$Q$5:$Q$24,0)),"")</f>
        <v>9</v>
      </c>
      <c r="G41" s="41" t="str">
        <f>IFERROR(INDEX(Risikoanalyse!$P$5:$P$24,MATCH(5,Risikoanalyse!$Q$5:$Q$24,0)),"")</f>
        <v>Mittel</v>
      </c>
    </row>
  </sheetData>
  <mergeCells count="27">
    <mergeCell ref="C39:D39"/>
    <mergeCell ref="C40:D40"/>
    <mergeCell ref="C41:D41"/>
    <mergeCell ref="B2:N2"/>
    <mergeCell ref="B3:N3"/>
    <mergeCell ref="I11:N11"/>
    <mergeCell ref="K6:N6"/>
    <mergeCell ref="K7:N8"/>
    <mergeCell ref="J20:N20"/>
    <mergeCell ref="B35:G35"/>
    <mergeCell ref="C36:D36"/>
    <mergeCell ref="C37:D37"/>
    <mergeCell ref="C38:D38"/>
    <mergeCell ref="E12:F12"/>
    <mergeCell ref="E13:F13"/>
    <mergeCell ref="E14:F14"/>
    <mergeCell ref="H14:H18"/>
    <mergeCell ref="E15:F15"/>
    <mergeCell ref="E16:F16"/>
    <mergeCell ref="E17:F17"/>
    <mergeCell ref="B7:C8"/>
    <mergeCell ref="E7:F8"/>
    <mergeCell ref="H7:I8"/>
    <mergeCell ref="B11:F11"/>
    <mergeCell ref="B6:C6"/>
    <mergeCell ref="E6:F6"/>
    <mergeCell ref="H6:I6"/>
  </mergeCells>
  <conditionalFormatting sqref="G37:G41">
    <cfRule type="cellIs" dxfId="3" priority="2" operator="equal">
      <formula>"Gering"</formula>
    </cfRule>
    <cfRule type="cellIs" dxfId="2" priority="3" operator="equal">
      <formula>"Mittel"</formula>
    </cfRule>
    <cfRule type="cellIs" dxfId="1" priority="4" operator="equal">
      <formula>"Hoch"</formula>
    </cfRule>
    <cfRule type="cellIs" dxfId="0" priority="5" operator="equal">
      <formula>"Sehr hoch"</formula>
    </cfRule>
  </conditionalFormatting>
  <pageMargins left="0.3" right="0.3" top="0.5" bottom="0.5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Anleitung</vt:lpstr>
      <vt:lpstr>Risikoanalyse</vt:lpstr>
      <vt:lpstr>Auswertung</vt:lpstr>
      <vt:lpstr>Anleitung!Druckbereich</vt:lpstr>
      <vt:lpstr>Auswertung!Druckbereich</vt:lpstr>
      <vt:lpstr>Risikoanalyse!Druckbereich</vt:lpstr>
      <vt:lpstr>Risikoanalyse!Drucktitel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Lieferanten-Risikoanalyse</dc:title>
  <dc:subject/>
  <dc:creator>Muster Handels- und Produktions GmbH</dc:creator>
  <dc:description/>
  <cp:lastModifiedBy>Sergio Jiménez Canales</cp:lastModifiedBy>
  <cp:revision>1</cp:revision>
  <dcterms:created xsi:type="dcterms:W3CDTF">2026-09-01T05:22:11Z</dcterms:created>
  <dcterms:modified xsi:type="dcterms:W3CDTF">2026-09-02T08:39:04Z</dcterms:modified>
  <dc:language>en-US</dc:language>
</cp:coreProperties>
</file>