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21F0947C-83D2-4382-9776-77104ED26A32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Risikobewertung" sheetId="2" r:id="rId1"/>
    <sheet name="Anleitung" sheetId="1" r:id="rId2"/>
    <sheet name="Dashboard" sheetId="3" r:id="rId3"/>
  </sheets>
  <definedNames>
    <definedName name="_xlnm._FilterDatabase" localSheetId="0" hidden="1">Risikobewertung!$A$6:$W$30</definedName>
    <definedName name="_xlnm.Print_Titles" localSheetId="0">Risikobewertung!$1:$6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0" i="2" l="1"/>
  <c r="O30" i="2" s="1"/>
  <c r="Q30" i="2" s="1"/>
  <c r="N29" i="2"/>
  <c r="O29" i="2" s="1"/>
  <c r="Q29" i="2" s="1"/>
  <c r="N28" i="2"/>
  <c r="O28" i="2" s="1"/>
  <c r="Q28" i="2" s="1"/>
  <c r="N27" i="2"/>
  <c r="O27" i="2" s="1"/>
  <c r="Q27" i="2" s="1"/>
  <c r="N26" i="2"/>
  <c r="O26" i="2" s="1"/>
  <c r="Q26" i="2" s="1"/>
  <c r="N25" i="2"/>
  <c r="O25" i="2" s="1"/>
  <c r="Q25" i="2" s="1"/>
  <c r="N24" i="2"/>
  <c r="O24" i="2" s="1"/>
  <c r="Q24" i="2" s="1"/>
  <c r="N23" i="2"/>
  <c r="O23" i="2" s="1"/>
  <c r="Q23" i="2" s="1"/>
  <c r="N22" i="2"/>
  <c r="O22" i="2" s="1"/>
  <c r="Q22" i="2" s="1"/>
  <c r="N21" i="2"/>
  <c r="O21" i="2" s="1"/>
  <c r="Q21" i="2" s="1"/>
  <c r="N20" i="2"/>
  <c r="O20" i="2" s="1"/>
  <c r="Q20" i="2" s="1"/>
  <c r="N19" i="2"/>
  <c r="O19" i="2" s="1"/>
  <c r="Q19" i="2" s="1"/>
  <c r="N18" i="2"/>
  <c r="O18" i="2" s="1"/>
  <c r="Q18" i="2" s="1"/>
  <c r="N17" i="2"/>
  <c r="O17" i="2" s="1"/>
  <c r="Q17" i="2" s="1"/>
  <c r="N16" i="2"/>
  <c r="O16" i="2" s="1"/>
  <c r="Q16" i="2" s="1"/>
  <c r="N15" i="2"/>
  <c r="O15" i="2" s="1"/>
  <c r="Q15" i="2" s="1"/>
  <c r="N14" i="2"/>
  <c r="O14" i="2" s="1"/>
  <c r="Q14" i="2" s="1"/>
  <c r="N13" i="2"/>
  <c r="O13" i="2" s="1"/>
  <c r="Q13" i="2" s="1"/>
  <c r="N12" i="2"/>
  <c r="O12" i="2" s="1"/>
  <c r="Q12" i="2" s="1"/>
  <c r="N11" i="2"/>
  <c r="O11" i="2" s="1"/>
  <c r="Q11" i="2" s="1"/>
  <c r="N10" i="2"/>
  <c r="O10" i="2" s="1"/>
  <c r="Q10" i="2" s="1"/>
  <c r="N9" i="2"/>
  <c r="O9" i="2" s="1"/>
  <c r="Q9" i="2" s="1"/>
  <c r="N8" i="2"/>
  <c r="O8" i="2" s="1"/>
  <c r="Q8" i="2" s="1"/>
  <c r="N7" i="2"/>
  <c r="D8" i="3" s="1"/>
  <c r="C42" i="1"/>
  <c r="X20" i="2" l="1"/>
  <c r="R20" i="2"/>
  <c r="X22" i="2"/>
  <c r="R22" i="2"/>
  <c r="X24" i="2"/>
  <c r="R24" i="2"/>
  <c r="R25" i="2"/>
  <c r="X25" i="2"/>
  <c r="X27" i="2"/>
  <c r="R27" i="2"/>
  <c r="X8" i="2"/>
  <c r="R8" i="2"/>
  <c r="X28" i="2"/>
  <c r="R28" i="2"/>
  <c r="R9" i="2"/>
  <c r="X9" i="2"/>
  <c r="R29" i="2"/>
  <c r="X29" i="2"/>
  <c r="X30" i="2"/>
  <c r="R30" i="2"/>
  <c r="X11" i="2"/>
  <c r="R11" i="2"/>
  <c r="X12" i="2"/>
  <c r="R12" i="2"/>
  <c r="R13" i="2"/>
  <c r="X13" i="2"/>
  <c r="X14" i="2"/>
  <c r="R14" i="2"/>
  <c r="X15" i="2"/>
  <c r="R15" i="2"/>
  <c r="X16" i="2"/>
  <c r="R16" i="2"/>
  <c r="R17" i="2"/>
  <c r="X17" i="2"/>
  <c r="X18" i="2"/>
  <c r="R18" i="2"/>
  <c r="X19" i="2"/>
  <c r="R19" i="2"/>
  <c r="R21" i="2"/>
  <c r="X21" i="2"/>
  <c r="X23" i="2"/>
  <c r="R23" i="2"/>
  <c r="X26" i="2"/>
  <c r="R26" i="2"/>
  <c r="X10" i="2"/>
  <c r="R10" i="2"/>
  <c r="O7" i="2"/>
  <c r="F33" i="3" l="1"/>
  <c r="E33" i="3"/>
  <c r="D33" i="3"/>
  <c r="G35" i="3"/>
  <c r="C33" i="3"/>
  <c r="F35" i="3"/>
  <c r="E35" i="3"/>
  <c r="D35" i="3"/>
  <c r="C35" i="3"/>
  <c r="G32" i="3"/>
  <c r="F32" i="3"/>
  <c r="E32" i="3"/>
  <c r="D32" i="3"/>
  <c r="G34" i="3"/>
  <c r="C32" i="3"/>
  <c r="Q7" i="2"/>
  <c r="F34" i="3"/>
  <c r="E34" i="3"/>
  <c r="D34" i="3"/>
  <c r="C34" i="3"/>
  <c r="G31" i="3"/>
  <c r="F31" i="3"/>
  <c r="E31" i="3"/>
  <c r="D31" i="3"/>
  <c r="C31" i="3"/>
  <c r="G33" i="3"/>
  <c r="X7" i="2" l="1"/>
  <c r="R7" i="2"/>
  <c r="B8" i="3"/>
  <c r="C16" i="3" l="1"/>
  <c r="D16" i="3" s="1"/>
  <c r="C14" i="3"/>
  <c r="D14" i="3" s="1"/>
  <c r="C15" i="3"/>
  <c r="D15" i="3" s="1"/>
  <c r="C13" i="3"/>
  <c r="H8" i="3"/>
  <c r="F8" i="3"/>
  <c r="L35" i="3"/>
  <c r="K35" i="3"/>
  <c r="J35" i="3"/>
  <c r="J32" i="3"/>
  <c r="L34" i="3"/>
  <c r="L32" i="3"/>
  <c r="K32" i="3"/>
  <c r="K34" i="3"/>
  <c r="J34" i="3"/>
  <c r="L31" i="3"/>
  <c r="K31" i="3"/>
  <c r="J31" i="3"/>
  <c r="L33" i="3"/>
  <c r="K33" i="3"/>
  <c r="J33" i="3"/>
  <c r="C17" i="3" l="1"/>
  <c r="D13" i="3"/>
  <c r="D17" i="3" s="1"/>
</calcChain>
</file>

<file path=xl/sharedStrings.xml><?xml version="1.0" encoding="utf-8"?>
<sst xmlns="http://schemas.openxmlformats.org/spreadsheetml/2006/main" count="280" uniqueCount="189">
  <si>
    <t>Lieferanten-Risikoanalyse</t>
  </si>
  <si>
    <t>Methodik, Bewertungsskalen und Steuerungsgrößen  ·  Vorlage  ·  Ausgabe 2026</t>
  </si>
  <si>
    <t>Vorgehen in fünf Schritten</t>
  </si>
  <si>
    <t>1.   Lieferant mit Stammdaten im Blatt »Risikobewertung« erfassen (gold hinterlegte Eingabefelder).</t>
  </si>
  <si>
    <t>2.   Sechs Risikokriterien je Lieferant auf einer Skala von 1 (sehr gering) bis 5 (sehr hoch) bewerten.</t>
  </si>
  <si>
    <t>3.   Geschäftskritikalität – die Auswirkung eines Ausfalls – von 1 bis 5 festlegen.</t>
  </si>
  <si>
    <t>4.   Gewichteter Risikowert, Risikoprioritätszahl (RPZ) und Risikoklasse werden automatisch ermittelt.</t>
  </si>
  <si>
    <t>5.   Maßnahmen ableiten, Verantwortliche, Termine und Status dokumentieren, Restrisiko bewerten.</t>
  </si>
  <si>
    <t>Berechnungslogik</t>
  </si>
  <si>
    <t>Gewichteter Risikowert  =  Σ (Kriterium × Gewichtung)  ⁄  Σ Gewichtungen        →  Skala 1–5</t>
  </si>
  <si>
    <t>Risikoprioritätszahl (RPZ)  =  Wahrscheinlichkeits-Stufe  ×  Geschäftskritikalität        →  1–25</t>
  </si>
  <si>
    <t>Die Risikoklasse ergibt sich aus der RPZ anhand der unten definierten Schwellenwerte.</t>
  </si>
  <si>
    <t>Farb-Legende</t>
  </si>
  <si>
    <t>Eingabefeld – von der bewertenden Person auszufüllen</t>
  </si>
  <si>
    <t>Automatisch berechnetes Feld – bitte nicht überschreiben</t>
  </si>
  <si>
    <t>Steuerungsgröße (Gewichtung / Schwellenwert) – hier wird das Modell justiert</t>
  </si>
  <si>
    <t>Bewertungsskala – Risikokriterien (Ausprägung / Eintrittswahrscheinlichkeit)</t>
  </si>
  <si>
    <t>Wert</t>
  </si>
  <si>
    <t>Bedeutung</t>
  </si>
  <si>
    <t>Beschreibung</t>
  </si>
  <si>
    <t>Sehr gering</t>
  </si>
  <si>
    <t>Kein bekanntes Problem; stabiler, langjährig zuverlässiger Lieferant.</t>
  </si>
  <si>
    <t>Gering</t>
  </si>
  <si>
    <t>Vereinzelte Auffälligkeiten, gut beherrschbar.</t>
  </si>
  <si>
    <t>Mittel</t>
  </si>
  <si>
    <t>Wiederkehrende Schwächen; regelmäßige Beobachtung erforderlich.</t>
  </si>
  <si>
    <t>Hoch</t>
  </si>
  <si>
    <t>Deutliche Risiken; kurzfristige Maßnahmen erforderlich.</t>
  </si>
  <si>
    <t>Sehr hoch</t>
  </si>
  <si>
    <t>Kritische Lage; unmittelbarer Handlungsbedarf.</t>
  </si>
  <si>
    <t>Bewertungsskala – Geschäftskritikalität (Auswirkung eines Ausfalls)</t>
  </si>
  <si>
    <t>Vernachlässigbar</t>
  </si>
  <si>
    <t>Leicht ersetzbar; keine spürbare Auswirkung auf den Betrieb.</t>
  </si>
  <si>
    <t>Kurzfristig kompensierbar; geringe Mehrkosten.</t>
  </si>
  <si>
    <t>Spürbar</t>
  </si>
  <si>
    <t>Störungen im Ablauf; alternative Quellen nur mit Aufwand.</t>
  </si>
  <si>
    <t>Schwerwiegend</t>
  </si>
  <si>
    <t>Produktions- oder Lieferausfälle; nur schwer ersetzbar.</t>
  </si>
  <si>
    <t>Existenzbedrohend</t>
  </si>
  <si>
    <t>Single Source, strategisch; Ausfall gefährdet das Kerngeschäft.</t>
  </si>
  <si>
    <t>Gewichtung der Risikokriterien   (Summe muss 100 % ergeben)</t>
  </si>
  <si>
    <t>Kriterium</t>
  </si>
  <si>
    <t>Qualität</t>
  </si>
  <si>
    <t>Liefertreue &amp; Versorgung</t>
  </si>
  <si>
    <t>Finanzstabilität</t>
  </si>
  <si>
    <t>Abhängigkeit</t>
  </si>
  <si>
    <t>Compliance &amp; Recht</t>
  </si>
  <si>
    <t>Nachhaltigkeit (ESG)</t>
  </si>
  <si>
    <t>Gewichtung</t>
  </si>
  <si>
    <t>Summe</t>
  </si>
  <si>
    <t>Risikoklassen &amp; Schwellenwerte   (RPZ = Wahrscheinlichkeit × Auswirkung, 1–25)</t>
  </si>
  <si>
    <t>Risikoklasse</t>
  </si>
  <si>
    <t>RPZ von</t>
  </si>
  <si>
    <t>RPZ bis</t>
  </si>
  <si>
    <t>Bedeutung / Priorität</t>
  </si>
  <si>
    <t>Standardüberwachung; keine Sofortmaßnahmen erforderlich.</t>
  </si>
  <si>
    <t>Beobachten; Maßnahmen mittelfristig einplanen.</t>
  </si>
  <si>
    <t>Priorisieren; Maßnahmen zeitnah umsetzen.</t>
  </si>
  <si>
    <t>Kritisch</t>
  </si>
  <si>
    <t>Sofort handeln; Eskalation und Alternativquellen prüfen.</t>
  </si>
  <si>
    <t>Statuswerte für Maßnahmen</t>
  </si>
  <si>
    <t>Status</t>
  </si>
  <si>
    <t>Offen     ·     In Bearbeitung     ·     Überwachung     ·     Abgeschlossen</t>
  </si>
  <si>
    <t>Offen</t>
  </si>
  <si>
    <t>Single Source</t>
  </si>
  <si>
    <t>In Bearbeitung</t>
  </si>
  <si>
    <t>Dual Source</t>
  </si>
  <si>
    <t>Hinweis: Sämtliche Beispieldaten sind frei erfunden und dienen ausschließlich der Veranschaulichung. Kriterien, Gewichtungen und Schwellenwerte an die eigene Organisation anpassen.</t>
  </si>
  <si>
    <t>Überwachung</t>
  </si>
  <si>
    <t>Multi Source</t>
  </si>
  <si>
    <t>Abgeschlossen</t>
  </si>
  <si>
    <t>Risikobewertung  ·  Bewertungszeitraum Geschäftsjahr 2026  ·  Skala 1 (sehr gering) – 5 (sehr hoch)  ·  Methodik und Gewichtungen siehe Blatt »Anleitung«</t>
  </si>
  <si>
    <t>STAMMDATEN</t>
  </si>
  <si>
    <t>RISIKOKRITERIEN  (Bewertung 1–5)</t>
  </si>
  <si>
    <t>RISIKOERGEBNIS  (automatisch)</t>
  </si>
  <si>
    <t>MASSNAHMEN &amp; STEUERUNG</t>
  </si>
  <si>
    <t>Nr.</t>
  </si>
  <si>
    <t>Lieferant</t>
  </si>
  <si>
    <t>Warengruppe</t>
  </si>
  <si>
    <t>Land</t>
  </si>
  <si>
    <t>Jahres-
volumen (€)</t>
  </si>
  <si>
    <t>Versorgungs-
typ</t>
  </si>
  <si>
    <t>Letzte
Bewertung</t>
  </si>
  <si>
    <t>Liefertreue
&amp; Versorgung</t>
  </si>
  <si>
    <t>Finanz-
stabilität</t>
  </si>
  <si>
    <t>Abhängig-
keit</t>
  </si>
  <si>
    <t>Compliance
&amp; Recht</t>
  </si>
  <si>
    <t>Nachhaltig-
keit (ESG)</t>
  </si>
  <si>
    <t>Gewichteter
Risikowert</t>
  </si>
  <si>
    <t>Wahrsch.-
Stufe</t>
  </si>
  <si>
    <t>Geschäfts-
kritikalität</t>
  </si>
  <si>
    <t>RPZ</t>
  </si>
  <si>
    <t>Risiko-
klasse</t>
  </si>
  <si>
    <t>Maßnahme</t>
  </si>
  <si>
    <t>Verantwortlich</t>
  </si>
  <si>
    <t>Termin
2026</t>
  </si>
  <si>
    <t>Rest-
risiko</t>
  </si>
  <si>
    <t>key</t>
  </si>
  <si>
    <t>Hanseatic Präzisionsteile GmbH</t>
  </si>
  <si>
    <t>Metallbauteile</t>
  </si>
  <si>
    <t>Deutschland</t>
  </si>
  <si>
    <t>Zweitlieferant qualifizieren, Rahmenvertrag verlängern</t>
  </si>
  <si>
    <t>Strategischer Einkauf</t>
  </si>
  <si>
    <t>Vistula Kunststofftechnik Sp. z o.o.</t>
  </si>
  <si>
    <t>Kunststoffteile</t>
  </si>
  <si>
    <t>Polen</t>
  </si>
  <si>
    <t>Sicherheitsbestand aufbauen, Lieferantenaudit planen</t>
  </si>
  <si>
    <t>Lieferantenmanagement</t>
  </si>
  <si>
    <t>Golden Harbor Components Ltd.</t>
  </si>
  <si>
    <t>Elektronikkomponenten</t>
  </si>
  <si>
    <t>China</t>
  </si>
  <si>
    <t>Nearshoring-Alternative prüfen, Doppelquelle aufbauen</t>
  </si>
  <si>
    <t>Supply Chain Management</t>
  </si>
  <si>
    <t>Helvetia Feinchemie AG</t>
  </si>
  <si>
    <t>Chemische Rohstoffe</t>
  </si>
  <si>
    <t>Schweiz</t>
  </si>
  <si>
    <t>ESG-Nachweise einholen, Bonität jährlich prüfen</t>
  </si>
  <si>
    <t>Qualitätsmanagement</t>
  </si>
  <si>
    <t>RheinLog Kontraktlogistik GmbH</t>
  </si>
  <si>
    <t>Logistikdienstleistung</t>
  </si>
  <si>
    <t>Service-Level-Vereinbarung nachschärfen</t>
  </si>
  <si>
    <t>Saigon Garment Partners Co.</t>
  </si>
  <si>
    <t>Textilkomponenten</t>
  </si>
  <si>
    <t>Vietnam</t>
  </si>
  <si>
    <t>Sorgfaltsprüfung nach LkSG, Vor-Ort-Audit, Alternativquelle</t>
  </si>
  <si>
    <t>Compliance &amp; Einkauf</t>
  </si>
  <si>
    <t>Catalana de Moldes S.L.</t>
  </si>
  <si>
    <t>Formen &amp; Werkzeuge</t>
  </si>
  <si>
    <t>Spanien</t>
  </si>
  <si>
    <t>Reguläre Bewertung im Jahresturnus</t>
  </si>
  <si>
    <t>Meridian Cloud Services GmbH</t>
  </si>
  <si>
    <t>IT-Dienstleistung</t>
  </si>
  <si>
    <t>Exit-Strategie und Daten-Backup vertraglich sichern</t>
  </si>
  <si>
    <t>IT &amp; Einkauf</t>
  </si>
  <si>
    <t>Bosphorus Metal Casting A.Ş.</t>
  </si>
  <si>
    <t>Gussteile</t>
  </si>
  <si>
    <t>Türkei</t>
  </si>
  <si>
    <t>Bonitätsmonitoring, Vorauszahlungen begrenzen, Zweitquelle</t>
  </si>
  <si>
    <t>Terra Verde Naturstoffe GmbH</t>
  </si>
  <si>
    <t>Naturrohstoffe</t>
  </si>
  <si>
    <t>Standardüberwachung, jährliche Selbstauskunft</t>
  </si>
  <si>
    <t>Nordic Steel Solutions AB</t>
  </si>
  <si>
    <t>Stahlprodukte</t>
  </si>
  <si>
    <t>Schweden</t>
  </si>
  <si>
    <t>Preisgleitklausel prüfen, Kapazitäten abstimmen</t>
  </si>
  <si>
    <t>Bengal Textile Mills Pvt Ltd</t>
  </si>
  <si>
    <t>Rohtextilien</t>
  </si>
  <si>
    <t>Indien</t>
  </si>
  <si>
    <t>LkSG-Sorgfaltsprozess, Zertifizierung einfordern, Zweitquelle</t>
  </si>
  <si>
    <t>Alpine Packaging Systems GmbH</t>
  </si>
  <si>
    <t>Verpackungsmaterial</t>
  </si>
  <si>
    <t>Österreich</t>
  </si>
  <si>
    <t>Turnusmäßige Bewertung, Recyclingquote dokumentieren</t>
  </si>
  <si>
    <t>Lusitania Elektronik Lda.</t>
  </si>
  <si>
    <t>Leiterplatten</t>
  </si>
  <si>
    <t>Portugal</t>
  </si>
  <si>
    <t>Zweitquelle aufbauen, technische Freigabe vorbereiten</t>
  </si>
  <si>
    <t>Great Lakes Machining Inc.</t>
  </si>
  <si>
    <t>Präzisionsteile</t>
  </si>
  <si>
    <t>USA</t>
  </si>
  <si>
    <t>Zölle &amp; Wechselkurs absichern, Lieferzeiten überwachen</t>
  </si>
  <si>
    <t>Carpathian Wood Supply SRL</t>
  </si>
  <si>
    <t>Holzwerkstoffe</t>
  </si>
  <si>
    <t>Rumänien</t>
  </si>
  <si>
    <t>Herkunftsnachweise (EUDR) einholen, Qualität stichprobenprüfen</t>
  </si>
  <si>
    <t>Emirates Polymer Trading LLC</t>
  </si>
  <si>
    <t>Polymere</t>
  </si>
  <si>
    <t>VAE</t>
  </si>
  <si>
    <t>Alternativlieferanten in der EU qualifizieren, Lager erhöhen</t>
  </si>
  <si>
    <t>Bavaria Sensorik GmbH</t>
  </si>
  <si>
    <t>Sensoren &amp; Messtechnik</t>
  </si>
  <si>
    <t>Technologie-Abhängigkeit reduzieren, Roadmap abstimmen</t>
  </si>
  <si>
    <t>F&amp;E &amp; Einkauf</t>
  </si>
  <si>
    <t>Management-Dashboard  ·  automatische Auswertung aller Einträge  ·  Stand 2026</t>
  </si>
  <si>
    <t>Bewertete Lieferanten</t>
  </si>
  <si>
    <t>Ø Risikowert</t>
  </si>
  <si>
    <t>Hohe Risiken</t>
  </si>
  <si>
    <t>Kritische Risiken</t>
  </si>
  <si>
    <t>Verteilung nach Risikoklasse</t>
  </si>
  <si>
    <t>Anzahl</t>
  </si>
  <si>
    <t>Anteil</t>
  </si>
  <si>
    <t>Risikomatrix  ·  Anzahl Lieferanten je Feld</t>
  </si>
  <si>
    <t>Wahrscheinlichkeit  →</t>
  </si>
  <si>
    <t>Top-Risiken  ·  nach RPZ</t>
  </si>
  <si>
    <t>Auswirkung ↓</t>
  </si>
  <si>
    <t>#</t>
  </si>
  <si>
    <t>Klasse</t>
  </si>
  <si>
    <t>Felder eingefärbt nach Risikoklasse (grün → gelb → orange → rot). RPZ = Wahrscheinlichkeit × Auswirkung.</t>
  </si>
  <si>
    <t>Lieferanten-Risikoanalyse 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</si>
</sst>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%"/>
    <numFmt numFmtId="165" formatCode="#,##0&quot; €&quot;"/>
    <numFmt numFmtId="166" formatCode="dd\.mm\.yyyy"/>
    <numFmt numFmtId="167" formatCode="0.0"/>
  </numFmts>
  <fonts count="23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.5"/>
      <color rgb="FFC7D2E0"/>
      <name val="Calibri"/>
      <charset val="1"/>
    </font>
    <font>
      <b/>
      <sz val="12"/>
      <color rgb="FF16243C"/>
      <name val="Calibri"/>
      <charset val="1"/>
    </font>
    <font>
      <sz val="10"/>
      <color rgb="FF1C2733"/>
      <name val="Calibri"/>
      <charset val="1"/>
    </font>
    <font>
      <sz val="10"/>
      <color rgb="FF6B7A8D"/>
      <name val="Calibri"/>
      <charset val="1"/>
    </font>
    <font>
      <b/>
      <sz val="9.5"/>
      <color rgb="FFFFFFFF"/>
      <name val="Calibri"/>
      <charset val="1"/>
    </font>
    <font>
      <b/>
      <sz val="10"/>
      <color rgb="FF16243C"/>
      <name val="Calibri"/>
      <charset val="1"/>
    </font>
    <font>
      <b/>
      <sz val="10"/>
      <color rgb="FF1C2733"/>
      <name val="Calibri"/>
      <charset val="1"/>
    </font>
    <font>
      <b/>
      <sz val="9"/>
      <color rgb="FFFFFFFF"/>
      <name val="Calibri"/>
      <charset val="1"/>
    </font>
    <font>
      <b/>
      <sz val="9.5"/>
      <color rgb="FF16243C"/>
      <name val="Calibri"/>
      <charset val="1"/>
    </font>
    <font>
      <b/>
      <sz val="11"/>
      <color rgb="FF1C2733"/>
      <name val="Calibri"/>
      <charset val="1"/>
    </font>
    <font>
      <b/>
      <sz val="10"/>
      <color rgb="FF2E6B33"/>
      <name val="Calibri"/>
      <charset val="1"/>
    </font>
    <font>
      <b/>
      <sz val="10"/>
      <color rgb="FF876412"/>
      <name val="Calibri"/>
      <charset val="1"/>
    </font>
    <font>
      <b/>
      <sz val="10"/>
      <color rgb="FF9C531B"/>
      <name val="Calibri"/>
      <charset val="1"/>
    </font>
    <font>
      <b/>
      <sz val="10"/>
      <color rgb="FF93262B"/>
      <name val="Calibri"/>
      <charset val="1"/>
    </font>
    <font>
      <b/>
      <sz val="10"/>
      <color rgb="FFFFFFFF"/>
      <name val="Calibri"/>
      <charset val="1"/>
    </font>
    <font>
      <i/>
      <sz val="9"/>
      <color rgb="FF6B7A8D"/>
      <name val="Calibri"/>
      <charset val="1"/>
    </font>
    <font>
      <b/>
      <sz val="17"/>
      <color rgb="FFFFFFFF"/>
      <name val="Calibri"/>
      <charset val="1"/>
    </font>
    <font>
      <sz val="9"/>
      <color rgb="FF33507A"/>
      <name val="Calibri"/>
      <charset val="1"/>
    </font>
    <font>
      <b/>
      <sz val="10"/>
      <color rgb="FF33507A"/>
      <name val="Calibri"/>
      <charset val="1"/>
    </font>
    <font>
      <b/>
      <sz val="18"/>
      <color rgb="FFFFFFFF"/>
      <name val="Calibri"/>
      <charset val="1"/>
    </font>
    <font>
      <b/>
      <sz val="22"/>
      <color rgb="FF16243C"/>
      <name val="Calibri"/>
      <charset val="1"/>
    </font>
  </fonts>
  <fills count="15">
    <fill>
      <patternFill patternType="none"/>
    </fill>
    <fill>
      <patternFill patternType="gray125"/>
    </fill>
    <fill>
      <patternFill patternType="solid">
        <fgColor rgb="FF16243C"/>
        <bgColor rgb="FF1C2733"/>
      </patternFill>
    </fill>
    <fill>
      <patternFill patternType="solid">
        <fgColor rgb="FFB8912F"/>
        <bgColor rgb="FF878787"/>
      </patternFill>
    </fill>
    <fill>
      <patternFill patternType="solid">
        <fgColor rgb="FFF6EED9"/>
        <bgColor rgb="FFF6E8C6"/>
      </patternFill>
    </fill>
    <fill>
      <patternFill patternType="solid">
        <fgColor rgb="FFEDF1F5"/>
        <bgColor rgb="FFEAEEF3"/>
      </patternFill>
    </fill>
    <fill>
      <patternFill patternType="solid">
        <fgColor rgb="FF2E4262"/>
        <bgColor rgb="FF33507A"/>
      </patternFill>
    </fill>
    <fill>
      <patternFill patternType="solid">
        <fgColor rgb="FFFFFFFF"/>
        <bgColor rgb="FFF4F7FA"/>
      </patternFill>
    </fill>
    <fill>
      <patternFill patternType="solid">
        <fgColor rgb="FFF4F7FA"/>
        <bgColor rgb="FFEDF1F5"/>
      </patternFill>
    </fill>
    <fill>
      <patternFill patternType="solid">
        <fgColor rgb="FFDDEBDD"/>
        <bgColor rgb="FFD9E1E9"/>
      </patternFill>
    </fill>
    <fill>
      <patternFill patternType="solid">
        <fgColor rgb="FFF6E8C6"/>
        <bgColor rgb="FFF6EED9"/>
      </patternFill>
    </fill>
    <fill>
      <patternFill patternType="solid">
        <fgColor rgb="FFF1DAC4"/>
        <bgColor rgb="FFEACFCF"/>
      </patternFill>
    </fill>
    <fill>
      <patternFill patternType="solid">
        <fgColor rgb="FFEACFCF"/>
        <bgColor rgb="FFF1DAC4"/>
      </patternFill>
    </fill>
    <fill>
      <patternFill patternType="solid">
        <fgColor rgb="FFEAEEF3"/>
        <bgColor rgb="FFEDF1F5"/>
      </patternFill>
    </fill>
    <fill>
      <patternFill patternType="solid">
        <fgColor rgb="FF22314F"/>
        <bgColor rgb="FF1C2733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B8912F"/>
      </bottom>
      <diagonal/>
    </border>
    <border>
      <left style="thin">
        <color rgb="FFD9E1E9"/>
      </left>
      <right style="thin">
        <color rgb="FFD9E1E9"/>
      </right>
      <top style="thin">
        <color rgb="FFD9E1E9"/>
      </top>
      <bottom style="thin">
        <color rgb="FFD9E1E9"/>
      </bottom>
      <diagonal/>
    </border>
    <border>
      <left style="thin">
        <color rgb="FFD9E1E9"/>
      </left>
      <right/>
      <top style="thin">
        <color rgb="FFD9E1E9"/>
      </top>
      <bottom style="thin">
        <color rgb="FFD9E1E9"/>
      </bottom>
      <diagonal/>
    </border>
    <border>
      <left style="thin">
        <color rgb="FFD9E1E9"/>
      </left>
      <right style="medium">
        <color rgb="FF33507A"/>
      </right>
      <top style="thin">
        <color rgb="FFD9E1E9"/>
      </top>
      <bottom style="thin">
        <color rgb="FFD9E1E9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0" fillId="3" borderId="0" xfId="0" applyFill="1"/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4" borderId="2" xfId="0" applyFill="1" applyBorder="1"/>
    <xf numFmtId="0" fontId="0" fillId="5" borderId="2" xfId="0" applyFill="1" applyBorder="1"/>
    <xf numFmtId="0" fontId="0" fillId="3" borderId="2" xfId="0" applyFill="1" applyBorder="1"/>
    <xf numFmtId="0" fontId="6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0" fillId="14" borderId="0" xfId="0" applyFill="1"/>
    <xf numFmtId="0" fontId="9" fillId="6" borderId="4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165" fontId="4" fillId="4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 wrapText="1"/>
    </xf>
    <xf numFmtId="166" fontId="4" fillId="4" borderId="4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167" fontId="8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6" fontId="4" fillId="4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/>
    <xf numFmtId="0" fontId="20" fillId="8" borderId="2" xfId="0" applyFont="1" applyFill="1" applyBorder="1" applyAlignment="1">
      <alignment horizontal="center" vertical="center" wrapText="1"/>
    </xf>
    <xf numFmtId="0" fontId="0" fillId="7" borderId="2" xfId="0" applyFill="1" applyBorder="1"/>
    <xf numFmtId="0" fontId="0" fillId="7" borderId="4" xfId="0" applyFill="1" applyBorder="1"/>
    <xf numFmtId="0" fontId="11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14" borderId="2" xfId="0" applyFill="1" applyBorder="1"/>
    <xf numFmtId="0" fontId="9" fillId="14" borderId="2" xfId="0" applyFont="1" applyFill="1" applyBorder="1" applyAlignment="1">
      <alignment horizontal="center" vertical="center" wrapText="1"/>
    </xf>
    <xf numFmtId="0" fontId="16" fillId="14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8" fillId="2" borderId="0" xfId="0" applyFont="1" applyFill="1" applyAlignment="1">
      <alignment horizontal="left" vertical="center" indent="1"/>
    </xf>
    <xf numFmtId="0" fontId="19" fillId="13" borderId="0" xfId="0" applyFont="1" applyFill="1" applyAlignment="1">
      <alignment horizontal="left" vertical="center" indent="1"/>
    </xf>
    <xf numFmtId="0" fontId="6" fillId="14" borderId="3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 indent="1"/>
    </xf>
    <xf numFmtId="0" fontId="0" fillId="3" borderId="2" xfId="0" applyFill="1" applyBorder="1"/>
    <xf numFmtId="0" fontId="6" fillId="14" borderId="2" xfId="0" applyFont="1" applyFill="1" applyBorder="1" applyAlignment="1">
      <alignment horizontal="center" vertical="center" wrapText="1"/>
    </xf>
    <xf numFmtId="1" fontId="22" fillId="13" borderId="2" xfId="0" applyNumberFormat="1" applyFont="1" applyFill="1" applyBorder="1" applyAlignment="1">
      <alignment horizontal="center" vertical="center" wrapText="1"/>
    </xf>
    <xf numFmtId="167" fontId="22" fillId="13" borderId="2" xfId="0" applyNumberFormat="1" applyFont="1" applyFill="1" applyBorder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</cellXfs>
  <cellStyles count="1">
    <cellStyle name="Standard" xfId="0" builtinId="0"/>
  </cellStyles>
  <dxfs count="12">
    <dxf>
      <font>
        <b/>
        <sz val="10"/>
        <color rgb="FF93262B"/>
        <name val="Calibri"/>
        <charset val="1"/>
      </font>
      <fill>
        <patternFill>
          <bgColor rgb="FFEACFCF"/>
        </patternFill>
      </fill>
    </dxf>
    <dxf>
      <font>
        <b/>
        <sz val="10"/>
        <color rgb="FF9C531B"/>
        <name val="Calibri"/>
        <charset val="1"/>
      </font>
      <fill>
        <patternFill>
          <bgColor rgb="FFF1DAC4"/>
        </patternFill>
      </fill>
    </dxf>
    <dxf>
      <font>
        <b/>
        <sz val="10"/>
        <color rgb="FF876412"/>
        <name val="Calibri"/>
        <charset val="1"/>
      </font>
      <fill>
        <patternFill>
          <bgColor rgb="FFF6E8C6"/>
        </patternFill>
      </fill>
    </dxf>
    <dxf>
      <font>
        <b/>
        <sz val="10"/>
        <color rgb="FF2E6B33"/>
        <name val="Calibri"/>
        <charset val="1"/>
      </font>
      <fill>
        <patternFill>
          <bgColor rgb="FFDDEBDD"/>
        </patternFill>
      </fill>
    </dxf>
    <dxf>
      <font>
        <b/>
        <sz val="10"/>
        <color rgb="FF93262B"/>
        <name val="Calibri"/>
        <charset val="1"/>
      </font>
      <fill>
        <patternFill>
          <bgColor rgb="FFEACFCF"/>
        </patternFill>
      </fill>
    </dxf>
    <dxf>
      <font>
        <b/>
        <sz val="10"/>
        <color rgb="FF9C531B"/>
        <name val="Calibri"/>
        <charset val="1"/>
      </font>
      <fill>
        <patternFill>
          <bgColor rgb="FFF1DAC4"/>
        </patternFill>
      </fill>
    </dxf>
    <dxf>
      <font>
        <b/>
        <sz val="10"/>
        <color rgb="FF876412"/>
        <name val="Calibri"/>
        <charset val="1"/>
      </font>
      <fill>
        <patternFill>
          <bgColor rgb="FFF6E8C6"/>
        </patternFill>
      </fill>
    </dxf>
    <dxf>
      <font>
        <b/>
        <sz val="10"/>
        <color rgb="FF2E6B33"/>
        <name val="Calibri"/>
        <charset val="1"/>
      </font>
      <fill>
        <patternFill>
          <bgColor rgb="FFDDEBDD"/>
        </patternFill>
      </fill>
    </dxf>
    <dxf>
      <font>
        <b/>
        <sz val="10"/>
        <color rgb="FF93262B"/>
        <name val="Calibri"/>
        <charset val="1"/>
      </font>
      <fill>
        <patternFill>
          <bgColor rgb="FFEACFCF"/>
        </patternFill>
      </fill>
    </dxf>
    <dxf>
      <font>
        <b/>
        <sz val="10"/>
        <color rgb="FF9C531B"/>
        <name val="Calibri"/>
        <charset val="1"/>
      </font>
      <fill>
        <patternFill>
          <bgColor rgb="FFF1DAC4"/>
        </patternFill>
      </fill>
    </dxf>
    <dxf>
      <font>
        <b/>
        <sz val="10"/>
        <color rgb="FF876412"/>
        <name val="Calibri"/>
        <charset val="1"/>
      </font>
      <fill>
        <patternFill>
          <bgColor rgb="FFF6E8C6"/>
        </patternFill>
      </fill>
    </dxf>
    <dxf>
      <font>
        <b/>
        <sz val="10"/>
        <color rgb="FF2E6B33"/>
        <name val="Calibri"/>
        <charset val="1"/>
      </font>
      <fill>
        <patternFill>
          <bgColor rgb="FFDDEB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33"/>
      <rgbColor rgb="FF000080"/>
      <rgbColor rgb="FF876412"/>
      <rgbColor rgb="FF800080"/>
      <rgbColor rgb="FF008080"/>
      <rgbColor rgb="FFD9D9D9"/>
      <rgbColor rgb="FF878787"/>
      <rgbColor rgb="FF9999FF"/>
      <rgbColor rgb="FF9C531B"/>
      <rgbColor rgb="FFF6EED9"/>
      <rgbColor rgb="FFEDF1F5"/>
      <rgbColor rgb="FF660066"/>
      <rgbColor rgb="FFFF8080"/>
      <rgbColor rgb="FF33507A"/>
      <rgbColor rgb="FFC7D2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EF3"/>
      <rgbColor rgb="FFDDEBDD"/>
      <rgbColor rgb="FFF6E8C6"/>
      <rgbColor rgb="FFD9E1E9"/>
      <rgbColor rgb="FFEACFCF"/>
      <rgbColor rgb="FFF4F7FA"/>
      <rgbColor rgb="FFF1DAC4"/>
      <rgbColor rgb="FF4F81BD"/>
      <rgbColor rgb="FF33CCCC"/>
      <rgbColor rgb="FF99CC00"/>
      <rgbColor rgb="FFFFCC00"/>
      <rgbColor rgb="FFFF9900"/>
      <rgbColor rgb="FFFF6600"/>
      <rgbColor rgb="FF6B7A8D"/>
      <rgbColor rgb="FFB8912F"/>
      <rgbColor rgb="FF16243C"/>
      <rgbColor rgb="FF339966"/>
      <rgbColor rgb="FF003300"/>
      <rgbColor rgb="FF1C2733"/>
      <rgbColor rgb="FF93262B"/>
      <rgbColor rgb="FF993366"/>
      <rgbColor rgb="FF2E4262"/>
      <rgbColor rgb="FF2231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Risikoklassen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Dashboard!$C$12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Dashboard!$B$13:$B$16</c:f>
              <c:strCache>
                <c:ptCount val="4"/>
                <c:pt idx="0">
                  <c:v>Gering</c:v>
                </c:pt>
                <c:pt idx="1">
                  <c:v>Mittel</c:v>
                </c:pt>
                <c:pt idx="2">
                  <c:v>Hoch</c:v>
                </c:pt>
                <c:pt idx="3">
                  <c:v>Kritisch</c:v>
                </c:pt>
              </c:strCache>
            </c:strRef>
          </c:cat>
          <c:val>
            <c:numRef>
              <c:f>Dashboard!$C$13:$C$16</c:f>
              <c:numCache>
                <c:formatCode>General</c:formatCode>
                <c:ptCount val="4"/>
                <c:pt idx="0">
                  <c:v>4</c:v>
                </c:pt>
                <c:pt idx="1">
                  <c:v>8</c:v>
                </c:pt>
                <c:pt idx="2">
                  <c:v>4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0-4299-AC4B-6FCA9F76B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62607"/>
        <c:axId val="44301090"/>
      </c:barChart>
      <c:catAx>
        <c:axId val="2962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4301090"/>
        <c:crosses val="autoZero"/>
        <c:auto val="1"/>
        <c:lblAlgn val="ctr"/>
        <c:lblOffset val="100"/>
        <c:noMultiLvlLbl val="0"/>
      </c:catAx>
      <c:valAx>
        <c:axId val="4430109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96260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8</xdr:col>
      <xdr:colOff>274680</xdr:colOff>
      <xdr:row>22</xdr:row>
      <xdr:rowOff>89640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507A"/>
    <pageSetUpPr fitToPage="1"/>
  </sheetPr>
  <dimension ref="A1:X30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:X2"/>
    </sheetView>
  </sheetViews>
  <sheetFormatPr baseColWidth="10" defaultColWidth="8.7109375" defaultRowHeight="15" x14ac:dyDescent="0.25"/>
  <cols>
    <col min="1" max="1" width="6" customWidth="1"/>
    <col min="2" max="2" width="27" customWidth="1"/>
    <col min="3" max="3" width="21" customWidth="1"/>
    <col min="4" max="6" width="13" customWidth="1"/>
    <col min="7" max="7" width="12" customWidth="1"/>
    <col min="8" max="8" width="9" customWidth="1"/>
    <col min="9" max="9" width="11" customWidth="1"/>
    <col min="10" max="11" width="10" customWidth="1"/>
    <col min="12" max="14" width="11" customWidth="1"/>
    <col min="15" max="15" width="9" customWidth="1"/>
    <col min="16" max="16" width="11" customWidth="1"/>
    <col min="17" max="17" width="7" customWidth="1"/>
    <col min="18" max="18" width="11" customWidth="1"/>
    <col min="19" max="19" width="34" customWidth="1"/>
    <col min="20" max="20" width="20" customWidth="1"/>
    <col min="21" max="21" width="12" customWidth="1"/>
    <col min="22" max="22" width="15" customWidth="1"/>
    <col min="23" max="23" width="10" customWidth="1"/>
    <col min="24" max="24" width="10" hidden="1" customWidth="1"/>
  </cols>
  <sheetData>
    <row r="1" spans="1:24" ht="27.75" customHeight="1" x14ac:dyDescent="0.25">
      <c r="A1" s="64" t="s">
        <v>188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</row>
    <row r="2" spans="1:24" ht="15.75" customHeight="1" x14ac:dyDescent="0.25">
      <c r="A2" s="65" t="s">
        <v>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</row>
    <row r="3" spans="1:24" ht="3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5" spans="1:24" ht="18" customHeight="1" x14ac:dyDescent="0.25">
      <c r="A5" s="66" t="s">
        <v>72</v>
      </c>
      <c r="B5" s="66"/>
      <c r="C5" s="66"/>
      <c r="D5" s="66"/>
      <c r="E5" s="66"/>
      <c r="F5" s="66"/>
      <c r="G5" s="66"/>
      <c r="H5" s="66" t="s">
        <v>73</v>
      </c>
      <c r="I5" s="66"/>
      <c r="J5" s="66"/>
      <c r="K5" s="66"/>
      <c r="L5" s="66"/>
      <c r="M5" s="66"/>
      <c r="N5" s="66" t="s">
        <v>74</v>
      </c>
      <c r="O5" s="66"/>
      <c r="P5" s="66"/>
      <c r="Q5" s="66"/>
      <c r="R5" s="66"/>
      <c r="S5" s="66" t="s">
        <v>75</v>
      </c>
      <c r="T5" s="66"/>
      <c r="U5" s="66"/>
      <c r="V5" s="66"/>
      <c r="W5" s="66"/>
      <c r="X5" s="32"/>
    </row>
    <row r="6" spans="1:24" ht="30" customHeight="1" x14ac:dyDescent="0.25">
      <c r="A6" s="23" t="s">
        <v>76</v>
      </c>
      <c r="B6" s="23" t="s">
        <v>77</v>
      </c>
      <c r="C6" s="23" t="s">
        <v>78</v>
      </c>
      <c r="D6" s="23" t="s">
        <v>79</v>
      </c>
      <c r="E6" s="23" t="s">
        <v>80</v>
      </c>
      <c r="F6" s="23" t="s">
        <v>81</v>
      </c>
      <c r="G6" s="33" t="s">
        <v>82</v>
      </c>
      <c r="H6" s="23" t="s">
        <v>42</v>
      </c>
      <c r="I6" s="23" t="s">
        <v>83</v>
      </c>
      <c r="J6" s="23" t="s">
        <v>84</v>
      </c>
      <c r="K6" s="23" t="s">
        <v>85</v>
      </c>
      <c r="L6" s="23" t="s">
        <v>86</v>
      </c>
      <c r="M6" s="33" t="s">
        <v>87</v>
      </c>
      <c r="N6" s="23" t="s">
        <v>88</v>
      </c>
      <c r="O6" s="23" t="s">
        <v>89</v>
      </c>
      <c r="P6" s="23" t="s">
        <v>90</v>
      </c>
      <c r="Q6" s="23" t="s">
        <v>91</v>
      </c>
      <c r="R6" s="33" t="s">
        <v>92</v>
      </c>
      <c r="S6" s="23" t="s">
        <v>93</v>
      </c>
      <c r="T6" s="23" t="s">
        <v>94</v>
      </c>
      <c r="U6" s="23" t="s">
        <v>95</v>
      </c>
      <c r="V6" s="23" t="s">
        <v>61</v>
      </c>
      <c r="W6" s="23" t="s">
        <v>96</v>
      </c>
      <c r="X6" s="23" t="s">
        <v>97</v>
      </c>
    </row>
    <row r="7" spans="1:24" ht="27.75" customHeight="1" x14ac:dyDescent="0.25">
      <c r="A7" s="34">
        <v>1</v>
      </c>
      <c r="B7" s="20" t="s">
        <v>98</v>
      </c>
      <c r="C7" s="35" t="s">
        <v>99</v>
      </c>
      <c r="D7" s="35" t="s">
        <v>100</v>
      </c>
      <c r="E7" s="36">
        <v>520000</v>
      </c>
      <c r="F7" s="37" t="s">
        <v>66</v>
      </c>
      <c r="G7" s="38">
        <v>46034</v>
      </c>
      <c r="H7" s="39">
        <v>2</v>
      </c>
      <c r="I7" s="39">
        <v>2</v>
      </c>
      <c r="J7" s="39">
        <v>2</v>
      </c>
      <c r="K7" s="39">
        <v>3</v>
      </c>
      <c r="L7" s="39">
        <v>1</v>
      </c>
      <c r="M7" s="40">
        <v>2</v>
      </c>
      <c r="N7" s="41">
        <f>IF(COUNT(H7:M7)&lt;6,"",SUMPRODUCT(H7:M7,Anleitung!$C$41:$H$41)/SUM(Anleitung!$C$41:$H$41))</f>
        <v>1.9999999999999996</v>
      </c>
      <c r="O7" s="42">
        <f t="shared" ref="O7:O30" si="0">IF(N7="","",ROUND(N7,0))</f>
        <v>2</v>
      </c>
      <c r="P7" s="27">
        <v>3</v>
      </c>
      <c r="Q7" s="43">
        <f t="shared" ref="Q7:Q30" si="1">IF(OR(O7="",P7=""),"",O7*P7)</f>
        <v>6</v>
      </c>
      <c r="R7" s="44" t="str">
        <f>IF(Q7="","",IF(Q7&lt;=Anleitung!$D$46,"Gering",IF(Q7&lt;=Anleitung!$D$47,"Mittel",IF(Q7&lt;=Anleitung!$D$48,"Hoch","Kritisch"))))</f>
        <v>Mittel</v>
      </c>
      <c r="S7" s="35" t="s">
        <v>101</v>
      </c>
      <c r="T7" s="35" t="s">
        <v>102</v>
      </c>
      <c r="U7" s="45">
        <v>46203</v>
      </c>
      <c r="V7" s="37" t="s">
        <v>65</v>
      </c>
      <c r="W7" s="46" t="s">
        <v>22</v>
      </c>
      <c r="X7" s="47">
        <f t="shared" ref="X7:X30" si="2">IF(Q7="","",Q7+ROW()/100000)</f>
        <v>6.00007</v>
      </c>
    </row>
    <row r="8" spans="1:24" ht="27.75" customHeight="1" x14ac:dyDescent="0.25">
      <c r="A8" s="48">
        <v>2</v>
      </c>
      <c r="B8" s="22" t="s">
        <v>103</v>
      </c>
      <c r="C8" s="35" t="s">
        <v>104</v>
      </c>
      <c r="D8" s="35" t="s">
        <v>105</v>
      </c>
      <c r="E8" s="36">
        <v>275000</v>
      </c>
      <c r="F8" s="37" t="s">
        <v>64</v>
      </c>
      <c r="G8" s="38">
        <v>46041</v>
      </c>
      <c r="H8" s="39">
        <v>3</v>
      </c>
      <c r="I8" s="39">
        <v>3</v>
      </c>
      <c r="J8" s="39">
        <v>3</v>
      </c>
      <c r="K8" s="39">
        <v>4</v>
      </c>
      <c r="L8" s="39">
        <v>2</v>
      </c>
      <c r="M8" s="40">
        <v>2</v>
      </c>
      <c r="N8" s="41">
        <f>IF(COUNT(H8:M8)&lt;6,"",SUMPRODUCT(H8:M8,Anleitung!$C$41:$H$41)/SUM(Anleitung!$C$41:$H$41))</f>
        <v>2.8999999999999995</v>
      </c>
      <c r="O8" s="42">
        <f t="shared" si="0"/>
        <v>3</v>
      </c>
      <c r="P8" s="27">
        <v>3</v>
      </c>
      <c r="Q8" s="43">
        <f t="shared" si="1"/>
        <v>9</v>
      </c>
      <c r="R8" s="44" t="str">
        <f>IF(Q8="","",IF(Q8&lt;=Anleitung!$D$46,"Gering",IF(Q8&lt;=Anleitung!$D$47,"Mittel",IF(Q8&lt;=Anleitung!$D$48,"Hoch","Kritisch"))))</f>
        <v>Mittel</v>
      </c>
      <c r="S8" s="35" t="s">
        <v>106</v>
      </c>
      <c r="T8" s="35" t="s">
        <v>107</v>
      </c>
      <c r="U8" s="45">
        <v>46157</v>
      </c>
      <c r="V8" s="37" t="s">
        <v>63</v>
      </c>
      <c r="W8" s="46" t="s">
        <v>24</v>
      </c>
      <c r="X8" s="47">
        <f t="shared" si="2"/>
        <v>9.0000800000000005</v>
      </c>
    </row>
    <row r="9" spans="1:24" ht="27.75" customHeight="1" x14ac:dyDescent="0.25">
      <c r="A9" s="34">
        <v>3</v>
      </c>
      <c r="B9" s="20" t="s">
        <v>108</v>
      </c>
      <c r="C9" s="35" t="s">
        <v>109</v>
      </c>
      <c r="D9" s="35" t="s">
        <v>110</v>
      </c>
      <c r="E9" s="36">
        <v>410000</v>
      </c>
      <c r="F9" s="37" t="s">
        <v>64</v>
      </c>
      <c r="G9" s="38">
        <v>46048</v>
      </c>
      <c r="H9" s="39">
        <v>4</v>
      </c>
      <c r="I9" s="39">
        <v>4</v>
      </c>
      <c r="J9" s="39">
        <v>3</v>
      </c>
      <c r="K9" s="39">
        <v>5</v>
      </c>
      <c r="L9" s="39">
        <v>4</v>
      </c>
      <c r="M9" s="40">
        <v>4</v>
      </c>
      <c r="N9" s="41">
        <f>IF(COUNT(H9:M9)&lt;6,"",SUMPRODUCT(H9:M9,Anleitung!$C$41:$H$41)/SUM(Anleitung!$C$41:$H$41))</f>
        <v>3.9499999999999993</v>
      </c>
      <c r="O9" s="42">
        <f t="shared" si="0"/>
        <v>4</v>
      </c>
      <c r="P9" s="27">
        <v>4</v>
      </c>
      <c r="Q9" s="43">
        <f t="shared" si="1"/>
        <v>16</v>
      </c>
      <c r="R9" s="44" t="str">
        <f>IF(Q9="","",IF(Q9&lt;=Anleitung!$D$46,"Gering",IF(Q9&lt;=Anleitung!$D$47,"Mittel",IF(Q9&lt;=Anleitung!$D$48,"Hoch","Kritisch"))))</f>
        <v>Hoch</v>
      </c>
      <c r="S9" s="35" t="s">
        <v>111</v>
      </c>
      <c r="T9" s="35" t="s">
        <v>112</v>
      </c>
      <c r="U9" s="45">
        <v>46295</v>
      </c>
      <c r="V9" s="37" t="s">
        <v>65</v>
      </c>
      <c r="W9" s="46" t="s">
        <v>24</v>
      </c>
      <c r="X9" s="47">
        <f t="shared" si="2"/>
        <v>16.00009</v>
      </c>
    </row>
    <row r="10" spans="1:24" ht="27.75" customHeight="1" x14ac:dyDescent="0.25">
      <c r="A10" s="48">
        <v>4</v>
      </c>
      <c r="B10" s="22" t="s">
        <v>113</v>
      </c>
      <c r="C10" s="35" t="s">
        <v>114</v>
      </c>
      <c r="D10" s="35" t="s">
        <v>115</v>
      </c>
      <c r="E10" s="36">
        <v>690000</v>
      </c>
      <c r="F10" s="37" t="s">
        <v>69</v>
      </c>
      <c r="G10" s="38">
        <v>46056</v>
      </c>
      <c r="H10" s="39">
        <v>2</v>
      </c>
      <c r="I10" s="39">
        <v>2</v>
      </c>
      <c r="J10" s="39">
        <v>1</v>
      </c>
      <c r="K10" s="39">
        <v>2</v>
      </c>
      <c r="L10" s="39">
        <v>2</v>
      </c>
      <c r="M10" s="40">
        <v>3</v>
      </c>
      <c r="N10" s="41">
        <f>IF(COUNT(H10:M10)&lt;6,"",SUMPRODUCT(H10:M10,Anleitung!$C$41:$H$41)/SUM(Anleitung!$C$41:$H$41))</f>
        <v>1.8999999999999997</v>
      </c>
      <c r="O10" s="42">
        <f t="shared" si="0"/>
        <v>2</v>
      </c>
      <c r="P10" s="27">
        <v>4</v>
      </c>
      <c r="Q10" s="43">
        <f t="shared" si="1"/>
        <v>8</v>
      </c>
      <c r="R10" s="44" t="str">
        <f>IF(Q10="","",IF(Q10&lt;=Anleitung!$D$46,"Gering",IF(Q10&lt;=Anleitung!$D$47,"Mittel",IF(Q10&lt;=Anleitung!$D$48,"Hoch","Kritisch"))))</f>
        <v>Mittel</v>
      </c>
      <c r="S10" s="35" t="s">
        <v>116</v>
      </c>
      <c r="T10" s="35" t="s">
        <v>117</v>
      </c>
      <c r="U10" s="45">
        <v>46234</v>
      </c>
      <c r="V10" s="37" t="s">
        <v>68</v>
      </c>
      <c r="W10" s="46" t="s">
        <v>22</v>
      </c>
      <c r="X10" s="47">
        <f t="shared" si="2"/>
        <v>8.0000999999999998</v>
      </c>
    </row>
    <row r="11" spans="1:24" ht="27.75" customHeight="1" x14ac:dyDescent="0.25">
      <c r="A11" s="34">
        <v>5</v>
      </c>
      <c r="B11" s="20" t="s">
        <v>118</v>
      </c>
      <c r="C11" s="35" t="s">
        <v>119</v>
      </c>
      <c r="D11" s="35" t="s">
        <v>100</v>
      </c>
      <c r="E11" s="36">
        <v>185000</v>
      </c>
      <c r="F11" s="37" t="s">
        <v>66</v>
      </c>
      <c r="G11" s="38">
        <v>46062</v>
      </c>
      <c r="H11" s="39">
        <v>2</v>
      </c>
      <c r="I11" s="39">
        <v>3</v>
      </c>
      <c r="J11" s="39">
        <v>2</v>
      </c>
      <c r="K11" s="39">
        <v>3</v>
      </c>
      <c r="L11" s="39">
        <v>2</v>
      </c>
      <c r="M11" s="40">
        <v>2</v>
      </c>
      <c r="N11" s="41">
        <f>IF(COUNT(H11:M11)&lt;6,"",SUMPRODUCT(H11:M11,Anleitung!$C$41:$H$41)/SUM(Anleitung!$C$41:$H$41))</f>
        <v>2.4</v>
      </c>
      <c r="O11" s="42">
        <f t="shared" si="0"/>
        <v>2</v>
      </c>
      <c r="P11" s="27">
        <v>3</v>
      </c>
      <c r="Q11" s="43">
        <f t="shared" si="1"/>
        <v>6</v>
      </c>
      <c r="R11" s="44" t="str">
        <f>IF(Q11="","",IF(Q11&lt;=Anleitung!$D$46,"Gering",IF(Q11&lt;=Anleitung!$D$47,"Mittel",IF(Q11&lt;=Anleitung!$D$48,"Hoch","Kritisch"))))</f>
        <v>Mittel</v>
      </c>
      <c r="S11" s="35" t="s">
        <v>120</v>
      </c>
      <c r="T11" s="35" t="s">
        <v>102</v>
      </c>
      <c r="U11" s="45">
        <v>46142</v>
      </c>
      <c r="V11" s="37" t="s">
        <v>70</v>
      </c>
      <c r="W11" s="46" t="s">
        <v>22</v>
      </c>
      <c r="X11" s="47">
        <f t="shared" si="2"/>
        <v>6.0001100000000003</v>
      </c>
    </row>
    <row r="12" spans="1:24" ht="27.75" customHeight="1" x14ac:dyDescent="0.25">
      <c r="A12" s="48">
        <v>6</v>
      </c>
      <c r="B12" s="22" t="s">
        <v>121</v>
      </c>
      <c r="C12" s="35" t="s">
        <v>122</v>
      </c>
      <c r="D12" s="35" t="s">
        <v>123</v>
      </c>
      <c r="E12" s="36">
        <v>155000</v>
      </c>
      <c r="F12" s="37" t="s">
        <v>64</v>
      </c>
      <c r="G12" s="38">
        <v>46069</v>
      </c>
      <c r="H12" s="39">
        <v>4</v>
      </c>
      <c r="I12" s="39">
        <v>4</v>
      </c>
      <c r="J12" s="39">
        <v>4</v>
      </c>
      <c r="K12" s="39">
        <v>5</v>
      </c>
      <c r="L12" s="39">
        <v>5</v>
      </c>
      <c r="M12" s="40">
        <v>5</v>
      </c>
      <c r="N12" s="41">
        <f>IF(COUNT(H12:M12)&lt;6,"",SUMPRODUCT(H12:M12,Anleitung!$C$41:$H$41)/SUM(Anleitung!$C$41:$H$41))</f>
        <v>4.3999999999999995</v>
      </c>
      <c r="O12" s="42">
        <f t="shared" si="0"/>
        <v>4</v>
      </c>
      <c r="P12" s="27">
        <v>5</v>
      </c>
      <c r="Q12" s="43">
        <f t="shared" si="1"/>
        <v>20</v>
      </c>
      <c r="R12" s="44" t="str">
        <f>IF(Q12="","",IF(Q12&lt;=Anleitung!$D$46,"Gering",IF(Q12&lt;=Anleitung!$D$47,"Mittel",IF(Q12&lt;=Anleitung!$D$48,"Hoch","Kritisch"))))</f>
        <v>Kritisch</v>
      </c>
      <c r="S12" s="35" t="s">
        <v>124</v>
      </c>
      <c r="T12" s="35" t="s">
        <v>125</v>
      </c>
      <c r="U12" s="45">
        <v>46265</v>
      </c>
      <c r="V12" s="37" t="s">
        <v>63</v>
      </c>
      <c r="W12" s="46" t="s">
        <v>26</v>
      </c>
      <c r="X12" s="47">
        <f t="shared" si="2"/>
        <v>20.000119999999999</v>
      </c>
    </row>
    <row r="13" spans="1:24" ht="27.75" customHeight="1" x14ac:dyDescent="0.25">
      <c r="A13" s="34">
        <v>7</v>
      </c>
      <c r="B13" s="20" t="s">
        <v>126</v>
      </c>
      <c r="C13" s="35" t="s">
        <v>127</v>
      </c>
      <c r="D13" s="35" t="s">
        <v>128</v>
      </c>
      <c r="E13" s="36">
        <v>240000</v>
      </c>
      <c r="F13" s="37" t="s">
        <v>66</v>
      </c>
      <c r="G13" s="38">
        <v>46076</v>
      </c>
      <c r="H13" s="39">
        <v>1</v>
      </c>
      <c r="I13" s="39">
        <v>2</v>
      </c>
      <c r="J13" s="39">
        <v>2</v>
      </c>
      <c r="K13" s="39">
        <v>2</v>
      </c>
      <c r="L13" s="39">
        <v>1</v>
      </c>
      <c r="M13" s="40">
        <v>1</v>
      </c>
      <c r="N13" s="41">
        <f>IF(COUNT(H13:M13)&lt;6,"",SUMPRODUCT(H13:M13,Anleitung!$C$41:$H$41)/SUM(Anleitung!$C$41:$H$41))</f>
        <v>1.5999999999999996</v>
      </c>
      <c r="O13" s="42">
        <f t="shared" si="0"/>
        <v>2</v>
      </c>
      <c r="P13" s="27">
        <v>2</v>
      </c>
      <c r="Q13" s="43">
        <f t="shared" si="1"/>
        <v>4</v>
      </c>
      <c r="R13" s="44" t="str">
        <f>IF(Q13="","",IF(Q13&lt;=Anleitung!$D$46,"Gering",IF(Q13&lt;=Anleitung!$D$47,"Mittel",IF(Q13&lt;=Anleitung!$D$48,"Hoch","Kritisch"))))</f>
        <v>Gering</v>
      </c>
      <c r="S13" s="35" t="s">
        <v>129</v>
      </c>
      <c r="T13" s="35" t="s">
        <v>107</v>
      </c>
      <c r="U13" s="45">
        <v>46371</v>
      </c>
      <c r="V13" s="37" t="s">
        <v>68</v>
      </c>
      <c r="W13" s="46" t="s">
        <v>22</v>
      </c>
      <c r="X13" s="47">
        <f t="shared" si="2"/>
        <v>4.0001300000000004</v>
      </c>
    </row>
    <row r="14" spans="1:24" ht="27.75" customHeight="1" x14ac:dyDescent="0.25">
      <c r="A14" s="48">
        <v>8</v>
      </c>
      <c r="B14" s="22" t="s">
        <v>130</v>
      </c>
      <c r="C14" s="35" t="s">
        <v>131</v>
      </c>
      <c r="D14" s="35" t="s">
        <v>100</v>
      </c>
      <c r="E14" s="36">
        <v>120000</v>
      </c>
      <c r="F14" s="37" t="s">
        <v>64</v>
      </c>
      <c r="G14" s="38">
        <v>46083</v>
      </c>
      <c r="H14" s="39">
        <v>2</v>
      </c>
      <c r="I14" s="39">
        <v>3</v>
      </c>
      <c r="J14" s="39">
        <v>3</v>
      </c>
      <c r="K14" s="39">
        <v>5</v>
      </c>
      <c r="L14" s="39">
        <v>4</v>
      </c>
      <c r="M14" s="40">
        <v>1</v>
      </c>
      <c r="N14" s="41">
        <f>IF(COUNT(H14:M14)&lt;6,"",SUMPRODUCT(H14:M14,Anleitung!$C$41:$H$41)/SUM(Anleitung!$C$41:$H$41))</f>
        <v>3.0999999999999996</v>
      </c>
      <c r="O14" s="42">
        <f t="shared" si="0"/>
        <v>3</v>
      </c>
      <c r="P14" s="27">
        <v>4</v>
      </c>
      <c r="Q14" s="43">
        <f t="shared" si="1"/>
        <v>12</v>
      </c>
      <c r="R14" s="44" t="str">
        <f>IF(Q14="","",IF(Q14&lt;=Anleitung!$D$46,"Gering",IF(Q14&lt;=Anleitung!$D$47,"Mittel",IF(Q14&lt;=Anleitung!$D$48,"Hoch","Kritisch"))))</f>
        <v>Hoch</v>
      </c>
      <c r="S14" s="35" t="s">
        <v>132</v>
      </c>
      <c r="T14" s="35" t="s">
        <v>133</v>
      </c>
      <c r="U14" s="45">
        <v>46188</v>
      </c>
      <c r="V14" s="37" t="s">
        <v>65</v>
      </c>
      <c r="W14" s="46" t="s">
        <v>24</v>
      </c>
      <c r="X14" s="47">
        <f t="shared" si="2"/>
        <v>12.00014</v>
      </c>
    </row>
    <row r="15" spans="1:24" ht="27.75" customHeight="1" x14ac:dyDescent="0.25">
      <c r="A15" s="34">
        <v>9</v>
      </c>
      <c r="B15" s="20" t="s">
        <v>134</v>
      </c>
      <c r="C15" s="35" t="s">
        <v>135</v>
      </c>
      <c r="D15" s="35" t="s">
        <v>136</v>
      </c>
      <c r="E15" s="36">
        <v>210000</v>
      </c>
      <c r="F15" s="37" t="s">
        <v>64</v>
      </c>
      <c r="G15" s="38">
        <v>46090</v>
      </c>
      <c r="H15" s="39">
        <v>3</v>
      </c>
      <c r="I15" s="39">
        <v>4</v>
      </c>
      <c r="J15" s="39">
        <v>5</v>
      </c>
      <c r="K15" s="39">
        <v>5</v>
      </c>
      <c r="L15" s="39">
        <v>4</v>
      </c>
      <c r="M15" s="40">
        <v>3</v>
      </c>
      <c r="N15" s="41">
        <f>IF(COUNT(H15:M15)&lt;6,"",SUMPRODUCT(H15:M15,Anleitung!$C$41:$H$41)/SUM(Anleitung!$C$41:$H$41))</f>
        <v>4.0999999999999996</v>
      </c>
      <c r="O15" s="42">
        <f t="shared" si="0"/>
        <v>4</v>
      </c>
      <c r="P15" s="27">
        <v>4</v>
      </c>
      <c r="Q15" s="43">
        <f t="shared" si="1"/>
        <v>16</v>
      </c>
      <c r="R15" s="44" t="str">
        <f>IF(Q15="","",IF(Q15&lt;=Anleitung!$D$46,"Gering",IF(Q15&lt;=Anleitung!$D$47,"Mittel",IF(Q15&lt;=Anleitung!$D$48,"Hoch","Kritisch"))))</f>
        <v>Hoch</v>
      </c>
      <c r="S15" s="35" t="s">
        <v>137</v>
      </c>
      <c r="T15" s="35" t="s">
        <v>107</v>
      </c>
      <c r="U15" s="45">
        <v>46218</v>
      </c>
      <c r="V15" s="37" t="s">
        <v>63</v>
      </c>
      <c r="W15" s="46" t="s">
        <v>26</v>
      </c>
      <c r="X15" s="47">
        <f t="shared" si="2"/>
        <v>16.000150000000001</v>
      </c>
    </row>
    <row r="16" spans="1:24" ht="27.75" customHeight="1" x14ac:dyDescent="0.25">
      <c r="A16" s="48">
        <v>10</v>
      </c>
      <c r="B16" s="22" t="s">
        <v>138</v>
      </c>
      <c r="C16" s="35" t="s">
        <v>139</v>
      </c>
      <c r="D16" s="35" t="s">
        <v>100</v>
      </c>
      <c r="E16" s="36">
        <v>135000</v>
      </c>
      <c r="F16" s="37" t="s">
        <v>69</v>
      </c>
      <c r="G16" s="38">
        <v>46097</v>
      </c>
      <c r="H16" s="39">
        <v>2</v>
      </c>
      <c r="I16" s="39">
        <v>2</v>
      </c>
      <c r="J16" s="39">
        <v>2</v>
      </c>
      <c r="K16" s="39">
        <v>1</v>
      </c>
      <c r="L16" s="39">
        <v>1</v>
      </c>
      <c r="M16" s="40">
        <v>2</v>
      </c>
      <c r="N16" s="41">
        <f>IF(COUNT(H16:M16)&lt;6,"",SUMPRODUCT(H16:M16,Anleitung!$C$41:$H$41)/SUM(Anleitung!$C$41:$H$41))</f>
        <v>1.6999999999999995</v>
      </c>
      <c r="O16" s="42">
        <f t="shared" si="0"/>
        <v>2</v>
      </c>
      <c r="P16" s="27">
        <v>2</v>
      </c>
      <c r="Q16" s="43">
        <f t="shared" si="1"/>
        <v>4</v>
      </c>
      <c r="R16" s="44" t="str">
        <f>IF(Q16="","",IF(Q16&lt;=Anleitung!$D$46,"Gering",IF(Q16&lt;=Anleitung!$D$47,"Mittel",IF(Q16&lt;=Anleitung!$D$48,"Hoch","Kritisch"))))</f>
        <v>Gering</v>
      </c>
      <c r="S16" s="35" t="s">
        <v>140</v>
      </c>
      <c r="T16" s="35" t="s">
        <v>117</v>
      </c>
      <c r="U16" s="45">
        <v>46356</v>
      </c>
      <c r="V16" s="37" t="s">
        <v>70</v>
      </c>
      <c r="W16" s="46" t="s">
        <v>22</v>
      </c>
      <c r="X16" s="47">
        <f t="shared" si="2"/>
        <v>4.0001600000000002</v>
      </c>
    </row>
    <row r="17" spans="1:24" ht="27.75" customHeight="1" x14ac:dyDescent="0.25">
      <c r="A17" s="34">
        <v>11</v>
      </c>
      <c r="B17" s="20" t="s">
        <v>141</v>
      </c>
      <c r="C17" s="35" t="s">
        <v>142</v>
      </c>
      <c r="D17" s="35" t="s">
        <v>143</v>
      </c>
      <c r="E17" s="36">
        <v>360000</v>
      </c>
      <c r="F17" s="37" t="s">
        <v>66</v>
      </c>
      <c r="G17" s="38">
        <v>46104</v>
      </c>
      <c r="H17" s="39">
        <v>2</v>
      </c>
      <c r="I17" s="39">
        <v>2</v>
      </c>
      <c r="J17" s="39">
        <v>2</v>
      </c>
      <c r="K17" s="39">
        <v>3</v>
      </c>
      <c r="L17" s="39">
        <v>2</v>
      </c>
      <c r="M17" s="40">
        <v>2</v>
      </c>
      <c r="N17" s="41">
        <f>IF(COUNT(H17:M17)&lt;6,"",SUMPRODUCT(H17:M17,Anleitung!$C$41:$H$41)/SUM(Anleitung!$C$41:$H$41))</f>
        <v>2.15</v>
      </c>
      <c r="O17" s="42">
        <f t="shared" si="0"/>
        <v>2</v>
      </c>
      <c r="P17" s="27">
        <v>3</v>
      </c>
      <c r="Q17" s="43">
        <f t="shared" si="1"/>
        <v>6</v>
      </c>
      <c r="R17" s="44" t="str">
        <f>IF(Q17="","",IF(Q17&lt;=Anleitung!$D$46,"Gering",IF(Q17&lt;=Anleitung!$D$47,"Mittel",IF(Q17&lt;=Anleitung!$D$48,"Hoch","Kritisch"))))</f>
        <v>Mittel</v>
      </c>
      <c r="S17" s="35" t="s">
        <v>144</v>
      </c>
      <c r="T17" s="35" t="s">
        <v>102</v>
      </c>
      <c r="U17" s="45">
        <v>46193</v>
      </c>
      <c r="V17" s="37" t="s">
        <v>68</v>
      </c>
      <c r="W17" s="46" t="s">
        <v>22</v>
      </c>
      <c r="X17" s="47">
        <f t="shared" si="2"/>
        <v>6.0001699999999998</v>
      </c>
    </row>
    <row r="18" spans="1:24" ht="27.75" customHeight="1" x14ac:dyDescent="0.25">
      <c r="A18" s="48">
        <v>12</v>
      </c>
      <c r="B18" s="22" t="s">
        <v>145</v>
      </c>
      <c r="C18" s="35" t="s">
        <v>146</v>
      </c>
      <c r="D18" s="35" t="s">
        <v>147</v>
      </c>
      <c r="E18" s="36">
        <v>175000</v>
      </c>
      <c r="F18" s="37" t="s">
        <v>64</v>
      </c>
      <c r="G18" s="38">
        <v>46111</v>
      </c>
      <c r="H18" s="39">
        <v>4</v>
      </c>
      <c r="I18" s="39">
        <v>5</v>
      </c>
      <c r="J18" s="39">
        <v>4</v>
      </c>
      <c r="K18" s="39">
        <v>5</v>
      </c>
      <c r="L18" s="39">
        <v>5</v>
      </c>
      <c r="M18" s="40">
        <v>5</v>
      </c>
      <c r="N18" s="41">
        <f>IF(COUNT(H18:M18)&lt;6,"",SUMPRODUCT(H18:M18,Anleitung!$C$41:$H$41)/SUM(Anleitung!$C$41:$H$41))</f>
        <v>4.6499999999999995</v>
      </c>
      <c r="O18" s="42">
        <f t="shared" si="0"/>
        <v>5</v>
      </c>
      <c r="P18" s="27">
        <v>4</v>
      </c>
      <c r="Q18" s="43">
        <f t="shared" si="1"/>
        <v>20</v>
      </c>
      <c r="R18" s="44" t="str">
        <f>IF(Q18="","",IF(Q18&lt;=Anleitung!$D$46,"Gering",IF(Q18&lt;=Anleitung!$D$47,"Mittel",IF(Q18&lt;=Anleitung!$D$48,"Hoch","Kritisch"))))</f>
        <v>Kritisch</v>
      </c>
      <c r="S18" s="35" t="s">
        <v>148</v>
      </c>
      <c r="T18" s="35" t="s">
        <v>125</v>
      </c>
      <c r="U18" s="45">
        <v>46280</v>
      </c>
      <c r="V18" s="37" t="s">
        <v>63</v>
      </c>
      <c r="W18" s="46" t="s">
        <v>26</v>
      </c>
      <c r="X18" s="47">
        <f t="shared" si="2"/>
        <v>20.00018</v>
      </c>
    </row>
    <row r="19" spans="1:24" ht="27.75" customHeight="1" x14ac:dyDescent="0.25">
      <c r="A19" s="34">
        <v>13</v>
      </c>
      <c r="B19" s="20" t="s">
        <v>149</v>
      </c>
      <c r="C19" s="35" t="s">
        <v>150</v>
      </c>
      <c r="D19" s="35" t="s">
        <v>151</v>
      </c>
      <c r="E19" s="36">
        <v>200000</v>
      </c>
      <c r="F19" s="37" t="s">
        <v>66</v>
      </c>
      <c r="G19" s="38">
        <v>46119</v>
      </c>
      <c r="H19" s="39">
        <v>2</v>
      </c>
      <c r="I19" s="39">
        <v>2</v>
      </c>
      <c r="J19" s="39">
        <v>2</v>
      </c>
      <c r="K19" s="39">
        <v>2</v>
      </c>
      <c r="L19" s="39">
        <v>2</v>
      </c>
      <c r="M19" s="40">
        <v>2</v>
      </c>
      <c r="N19" s="41">
        <f>IF(COUNT(H19:M19)&lt;6,"",SUMPRODUCT(H19:M19,Anleitung!$C$41:$H$41)/SUM(Anleitung!$C$41:$H$41))</f>
        <v>2</v>
      </c>
      <c r="O19" s="42">
        <f t="shared" si="0"/>
        <v>2</v>
      </c>
      <c r="P19" s="27">
        <v>2</v>
      </c>
      <c r="Q19" s="43">
        <f t="shared" si="1"/>
        <v>4</v>
      </c>
      <c r="R19" s="44" t="str">
        <f>IF(Q19="","",IF(Q19&lt;=Anleitung!$D$46,"Gering",IF(Q19&lt;=Anleitung!$D$47,"Mittel",IF(Q19&lt;=Anleitung!$D$48,"Hoch","Kritisch"))))</f>
        <v>Gering</v>
      </c>
      <c r="S19" s="35" t="s">
        <v>152</v>
      </c>
      <c r="T19" s="35" t="s">
        <v>117</v>
      </c>
      <c r="U19" s="45">
        <v>46326</v>
      </c>
      <c r="V19" s="37" t="s">
        <v>70</v>
      </c>
      <c r="W19" s="46" t="s">
        <v>22</v>
      </c>
      <c r="X19" s="47">
        <f t="shared" si="2"/>
        <v>4.0001899999999999</v>
      </c>
    </row>
    <row r="20" spans="1:24" ht="27.75" customHeight="1" x14ac:dyDescent="0.25">
      <c r="A20" s="48">
        <v>14</v>
      </c>
      <c r="B20" s="22" t="s">
        <v>153</v>
      </c>
      <c r="C20" s="35" t="s">
        <v>154</v>
      </c>
      <c r="D20" s="35" t="s">
        <v>155</v>
      </c>
      <c r="E20" s="36">
        <v>165000</v>
      </c>
      <c r="F20" s="37" t="s">
        <v>64</v>
      </c>
      <c r="G20" s="38">
        <v>46126</v>
      </c>
      <c r="H20" s="39">
        <v>3</v>
      </c>
      <c r="I20" s="39">
        <v>3</v>
      </c>
      <c r="J20" s="39">
        <v>3</v>
      </c>
      <c r="K20" s="39">
        <v>4</v>
      </c>
      <c r="L20" s="39">
        <v>2</v>
      </c>
      <c r="M20" s="40">
        <v>2</v>
      </c>
      <c r="N20" s="41">
        <f>IF(COUNT(H20:M20)&lt;6,"",SUMPRODUCT(H20:M20,Anleitung!$C$41:$H$41)/SUM(Anleitung!$C$41:$H$41))</f>
        <v>2.8999999999999995</v>
      </c>
      <c r="O20" s="42">
        <f t="shared" si="0"/>
        <v>3</v>
      </c>
      <c r="P20" s="27">
        <v>3</v>
      </c>
      <c r="Q20" s="43">
        <f t="shared" si="1"/>
        <v>9</v>
      </c>
      <c r="R20" s="44" t="str">
        <f>IF(Q20="","",IF(Q20&lt;=Anleitung!$D$46,"Gering",IF(Q20&lt;=Anleitung!$D$47,"Mittel",IF(Q20&lt;=Anleitung!$D$48,"Hoch","Kritisch"))))</f>
        <v>Mittel</v>
      </c>
      <c r="S20" s="35" t="s">
        <v>156</v>
      </c>
      <c r="T20" s="35" t="s">
        <v>107</v>
      </c>
      <c r="U20" s="45">
        <v>46213</v>
      </c>
      <c r="V20" s="37" t="s">
        <v>65</v>
      </c>
      <c r="W20" s="46" t="s">
        <v>24</v>
      </c>
      <c r="X20" s="47">
        <f t="shared" si="2"/>
        <v>9.0001999999999995</v>
      </c>
    </row>
    <row r="21" spans="1:24" ht="27.75" customHeight="1" x14ac:dyDescent="0.25">
      <c r="A21" s="34">
        <v>15</v>
      </c>
      <c r="B21" s="20" t="s">
        <v>157</v>
      </c>
      <c r="C21" s="35" t="s">
        <v>158</v>
      </c>
      <c r="D21" s="35" t="s">
        <v>159</v>
      </c>
      <c r="E21" s="36">
        <v>300000</v>
      </c>
      <c r="F21" s="37" t="s">
        <v>66</v>
      </c>
      <c r="G21" s="38">
        <v>46133</v>
      </c>
      <c r="H21" s="39">
        <v>2</v>
      </c>
      <c r="I21" s="39">
        <v>3</v>
      </c>
      <c r="J21" s="39">
        <v>2</v>
      </c>
      <c r="K21" s="39">
        <v>3</v>
      </c>
      <c r="L21" s="39">
        <v>3</v>
      </c>
      <c r="M21" s="40">
        <v>2</v>
      </c>
      <c r="N21" s="41">
        <f>IF(COUNT(H21:M21)&lt;6,"",SUMPRODUCT(H21:M21,Anleitung!$C$41:$H$41)/SUM(Anleitung!$C$41:$H$41))</f>
        <v>2.5499999999999998</v>
      </c>
      <c r="O21" s="42">
        <f t="shared" si="0"/>
        <v>3</v>
      </c>
      <c r="P21" s="27">
        <v>3</v>
      </c>
      <c r="Q21" s="43">
        <f t="shared" si="1"/>
        <v>9</v>
      </c>
      <c r="R21" s="44" t="str">
        <f>IF(Q21="","",IF(Q21&lt;=Anleitung!$D$46,"Gering",IF(Q21&lt;=Anleitung!$D$47,"Mittel",IF(Q21&lt;=Anleitung!$D$48,"Hoch","Kritisch"))))</f>
        <v>Mittel</v>
      </c>
      <c r="S21" s="35" t="s">
        <v>160</v>
      </c>
      <c r="T21" s="35" t="s">
        <v>102</v>
      </c>
      <c r="U21" s="45">
        <v>46239</v>
      </c>
      <c r="V21" s="37" t="s">
        <v>68</v>
      </c>
      <c r="W21" s="46" t="s">
        <v>24</v>
      </c>
      <c r="X21" s="47">
        <f t="shared" si="2"/>
        <v>9.0002099999999992</v>
      </c>
    </row>
    <row r="22" spans="1:24" ht="27.75" customHeight="1" x14ac:dyDescent="0.25">
      <c r="A22" s="48">
        <v>16</v>
      </c>
      <c r="B22" s="22" t="s">
        <v>161</v>
      </c>
      <c r="C22" s="35" t="s">
        <v>162</v>
      </c>
      <c r="D22" s="35" t="s">
        <v>163</v>
      </c>
      <c r="E22" s="36">
        <v>145000</v>
      </c>
      <c r="F22" s="37" t="s">
        <v>69</v>
      </c>
      <c r="G22" s="38">
        <v>46140</v>
      </c>
      <c r="H22" s="39">
        <v>2</v>
      </c>
      <c r="I22" s="39">
        <v>2</v>
      </c>
      <c r="J22" s="39">
        <v>3</v>
      </c>
      <c r="K22" s="39">
        <v>2</v>
      </c>
      <c r="L22" s="39">
        <v>2</v>
      </c>
      <c r="M22" s="40">
        <v>3</v>
      </c>
      <c r="N22" s="41">
        <f>IF(COUNT(H22:M22)&lt;6,"",SUMPRODUCT(H22:M22,Anleitung!$C$41:$H$41)/SUM(Anleitung!$C$41:$H$41))</f>
        <v>2.2999999999999994</v>
      </c>
      <c r="O22" s="42">
        <f t="shared" si="0"/>
        <v>2</v>
      </c>
      <c r="P22" s="27">
        <v>2</v>
      </c>
      <c r="Q22" s="43">
        <f t="shared" si="1"/>
        <v>4</v>
      </c>
      <c r="R22" s="44" t="str">
        <f>IF(Q22="","",IF(Q22&lt;=Anleitung!$D$46,"Gering",IF(Q22&lt;=Anleitung!$D$47,"Mittel",IF(Q22&lt;=Anleitung!$D$48,"Hoch","Kritisch"))))</f>
        <v>Gering</v>
      </c>
      <c r="S22" s="35" t="s">
        <v>164</v>
      </c>
      <c r="T22" s="35" t="s">
        <v>117</v>
      </c>
      <c r="U22" s="45">
        <v>46285</v>
      </c>
      <c r="V22" s="37" t="s">
        <v>63</v>
      </c>
      <c r="W22" s="46" t="s">
        <v>22</v>
      </c>
      <c r="X22" s="47">
        <f t="shared" si="2"/>
        <v>4.0002199999999997</v>
      </c>
    </row>
    <row r="23" spans="1:24" ht="27.75" customHeight="1" x14ac:dyDescent="0.25">
      <c r="A23" s="34">
        <v>17</v>
      </c>
      <c r="B23" s="20" t="s">
        <v>165</v>
      </c>
      <c r="C23" s="35" t="s">
        <v>166</v>
      </c>
      <c r="D23" s="35" t="s">
        <v>167</v>
      </c>
      <c r="E23" s="36">
        <v>230000</v>
      </c>
      <c r="F23" s="37" t="s">
        <v>64</v>
      </c>
      <c r="G23" s="38">
        <v>46147</v>
      </c>
      <c r="H23" s="39">
        <v>3</v>
      </c>
      <c r="I23" s="39">
        <v>4</v>
      </c>
      <c r="J23" s="39">
        <v>4</v>
      </c>
      <c r="K23" s="39">
        <v>4</v>
      </c>
      <c r="L23" s="39">
        <v>4</v>
      </c>
      <c r="M23" s="40">
        <v>3</v>
      </c>
      <c r="N23" s="41">
        <f>IF(COUNT(H23:M23)&lt;6,"",SUMPRODUCT(H23:M23,Anleitung!$C$41:$H$41)/SUM(Anleitung!$C$41:$H$41))</f>
        <v>3.7499999999999991</v>
      </c>
      <c r="O23" s="42">
        <f t="shared" si="0"/>
        <v>4</v>
      </c>
      <c r="P23" s="27">
        <v>4</v>
      </c>
      <c r="Q23" s="43">
        <f t="shared" si="1"/>
        <v>16</v>
      </c>
      <c r="R23" s="44" t="str">
        <f>IF(Q23="","",IF(Q23&lt;=Anleitung!$D$46,"Gering",IF(Q23&lt;=Anleitung!$D$47,"Mittel",IF(Q23&lt;=Anleitung!$D$48,"Hoch","Kritisch"))))</f>
        <v>Hoch</v>
      </c>
      <c r="S23" s="35" t="s">
        <v>168</v>
      </c>
      <c r="T23" s="35" t="s">
        <v>112</v>
      </c>
      <c r="U23" s="45">
        <v>46259</v>
      </c>
      <c r="V23" s="37" t="s">
        <v>65</v>
      </c>
      <c r="W23" s="46" t="s">
        <v>26</v>
      </c>
      <c r="X23" s="47">
        <f t="shared" si="2"/>
        <v>16.000229999999998</v>
      </c>
    </row>
    <row r="24" spans="1:24" ht="27.75" customHeight="1" x14ac:dyDescent="0.25">
      <c r="A24" s="48">
        <v>18</v>
      </c>
      <c r="B24" s="22" t="s">
        <v>169</v>
      </c>
      <c r="C24" s="35" t="s">
        <v>170</v>
      </c>
      <c r="D24" s="35" t="s">
        <v>100</v>
      </c>
      <c r="E24" s="36">
        <v>280000</v>
      </c>
      <c r="F24" s="37" t="s">
        <v>66</v>
      </c>
      <c r="G24" s="38">
        <v>46154</v>
      </c>
      <c r="H24" s="39">
        <v>2</v>
      </c>
      <c r="I24" s="39">
        <v>2</v>
      </c>
      <c r="J24" s="39">
        <v>2</v>
      </c>
      <c r="K24" s="39">
        <v>4</v>
      </c>
      <c r="L24" s="39">
        <v>1</v>
      </c>
      <c r="M24" s="40">
        <v>1</v>
      </c>
      <c r="N24" s="41">
        <f>IF(COUNT(H24:M24)&lt;6,"",SUMPRODUCT(H24:M24,Anleitung!$C$41:$H$41)/SUM(Anleitung!$C$41:$H$41))</f>
        <v>2.0499999999999998</v>
      </c>
      <c r="O24" s="42">
        <f t="shared" si="0"/>
        <v>2</v>
      </c>
      <c r="P24" s="27">
        <v>3</v>
      </c>
      <c r="Q24" s="43">
        <f t="shared" si="1"/>
        <v>6</v>
      </c>
      <c r="R24" s="44" t="str">
        <f>IF(Q24="","",IF(Q24&lt;=Anleitung!$D$46,"Gering",IF(Q24&lt;=Anleitung!$D$47,"Mittel",IF(Q24&lt;=Anleitung!$D$48,"Hoch","Kritisch"))))</f>
        <v>Mittel</v>
      </c>
      <c r="S24" s="35" t="s">
        <v>171</v>
      </c>
      <c r="T24" s="35" t="s">
        <v>172</v>
      </c>
      <c r="U24" s="45">
        <v>46231</v>
      </c>
      <c r="V24" s="37" t="s">
        <v>68</v>
      </c>
      <c r="W24" s="46" t="s">
        <v>22</v>
      </c>
      <c r="X24" s="47">
        <f t="shared" si="2"/>
        <v>6.0002399999999998</v>
      </c>
    </row>
    <row r="25" spans="1:24" ht="27.75" customHeight="1" x14ac:dyDescent="0.25">
      <c r="A25" s="34"/>
      <c r="B25" s="20"/>
      <c r="C25" s="35"/>
      <c r="D25" s="35"/>
      <c r="E25" s="36"/>
      <c r="F25" s="37"/>
      <c r="G25" s="38"/>
      <c r="H25" s="49"/>
      <c r="I25" s="49"/>
      <c r="J25" s="49"/>
      <c r="K25" s="49"/>
      <c r="L25" s="49"/>
      <c r="M25" s="50"/>
      <c r="N25" s="41" t="str">
        <f>IF(COUNT(H25:M25)&lt;6,"",SUMPRODUCT(H25:M25,Anleitung!$C$41:$H$41)/SUM(Anleitung!$C$41:$H$41))</f>
        <v/>
      </c>
      <c r="O25" s="42" t="str">
        <f t="shared" si="0"/>
        <v/>
      </c>
      <c r="P25" s="27"/>
      <c r="Q25" s="43" t="str">
        <f t="shared" si="1"/>
        <v/>
      </c>
      <c r="R25" s="44" t="str">
        <f>IF(Q25="","",IF(Q25&lt;=Anleitung!$D$46,"Gering",IF(Q25&lt;=Anleitung!$D$47,"Mittel",IF(Q25&lt;=Anleitung!$D$48,"Hoch","Kritisch"))))</f>
        <v/>
      </c>
      <c r="S25" s="35"/>
      <c r="T25" s="35"/>
      <c r="U25" s="45"/>
      <c r="V25" s="37"/>
      <c r="W25" s="46"/>
      <c r="X25" s="47" t="str">
        <f t="shared" si="2"/>
        <v/>
      </c>
    </row>
    <row r="26" spans="1:24" ht="27.75" customHeight="1" x14ac:dyDescent="0.25">
      <c r="A26" s="48"/>
      <c r="B26" s="22"/>
      <c r="C26" s="35"/>
      <c r="D26" s="35"/>
      <c r="E26" s="36"/>
      <c r="F26" s="37"/>
      <c r="G26" s="38"/>
      <c r="H26" s="49"/>
      <c r="I26" s="49"/>
      <c r="J26" s="49"/>
      <c r="K26" s="49"/>
      <c r="L26" s="49"/>
      <c r="M26" s="50"/>
      <c r="N26" s="41" t="str">
        <f>IF(COUNT(H26:M26)&lt;6,"",SUMPRODUCT(H26:M26,Anleitung!$C$41:$H$41)/SUM(Anleitung!$C$41:$H$41))</f>
        <v/>
      </c>
      <c r="O26" s="42" t="str">
        <f t="shared" si="0"/>
        <v/>
      </c>
      <c r="P26" s="27"/>
      <c r="Q26" s="43" t="str">
        <f t="shared" si="1"/>
        <v/>
      </c>
      <c r="R26" s="44" t="str">
        <f>IF(Q26="","",IF(Q26&lt;=Anleitung!$D$46,"Gering",IF(Q26&lt;=Anleitung!$D$47,"Mittel",IF(Q26&lt;=Anleitung!$D$48,"Hoch","Kritisch"))))</f>
        <v/>
      </c>
      <c r="S26" s="35"/>
      <c r="T26" s="35"/>
      <c r="U26" s="45"/>
      <c r="V26" s="37"/>
      <c r="W26" s="46"/>
      <c r="X26" s="47" t="str">
        <f t="shared" si="2"/>
        <v/>
      </c>
    </row>
    <row r="27" spans="1:24" ht="27.75" customHeight="1" x14ac:dyDescent="0.25">
      <c r="A27" s="34"/>
      <c r="B27" s="20"/>
      <c r="C27" s="35"/>
      <c r="D27" s="35"/>
      <c r="E27" s="36"/>
      <c r="F27" s="37"/>
      <c r="G27" s="38"/>
      <c r="H27" s="49"/>
      <c r="I27" s="49"/>
      <c r="J27" s="49"/>
      <c r="K27" s="49"/>
      <c r="L27" s="49"/>
      <c r="M27" s="50"/>
      <c r="N27" s="41" t="str">
        <f>IF(COUNT(H27:M27)&lt;6,"",SUMPRODUCT(H27:M27,Anleitung!$C$41:$H$41)/SUM(Anleitung!$C$41:$H$41))</f>
        <v/>
      </c>
      <c r="O27" s="42" t="str">
        <f t="shared" si="0"/>
        <v/>
      </c>
      <c r="P27" s="27"/>
      <c r="Q27" s="43" t="str">
        <f t="shared" si="1"/>
        <v/>
      </c>
      <c r="R27" s="44" t="str">
        <f>IF(Q27="","",IF(Q27&lt;=Anleitung!$D$46,"Gering",IF(Q27&lt;=Anleitung!$D$47,"Mittel",IF(Q27&lt;=Anleitung!$D$48,"Hoch","Kritisch"))))</f>
        <v/>
      </c>
      <c r="S27" s="35"/>
      <c r="T27" s="35"/>
      <c r="U27" s="45"/>
      <c r="V27" s="37"/>
      <c r="W27" s="46"/>
      <c r="X27" s="47" t="str">
        <f t="shared" si="2"/>
        <v/>
      </c>
    </row>
    <row r="28" spans="1:24" ht="27.75" customHeight="1" x14ac:dyDescent="0.25">
      <c r="A28" s="48"/>
      <c r="B28" s="22"/>
      <c r="C28" s="35"/>
      <c r="D28" s="35"/>
      <c r="E28" s="36"/>
      <c r="F28" s="37"/>
      <c r="G28" s="38"/>
      <c r="H28" s="49"/>
      <c r="I28" s="49"/>
      <c r="J28" s="49"/>
      <c r="K28" s="49"/>
      <c r="L28" s="49"/>
      <c r="M28" s="50"/>
      <c r="N28" s="41" t="str">
        <f>IF(COUNT(H28:M28)&lt;6,"",SUMPRODUCT(H28:M28,Anleitung!$C$41:$H$41)/SUM(Anleitung!$C$41:$H$41))</f>
        <v/>
      </c>
      <c r="O28" s="42" t="str">
        <f t="shared" si="0"/>
        <v/>
      </c>
      <c r="P28" s="27"/>
      <c r="Q28" s="43" t="str">
        <f t="shared" si="1"/>
        <v/>
      </c>
      <c r="R28" s="44" t="str">
        <f>IF(Q28="","",IF(Q28&lt;=Anleitung!$D$46,"Gering",IF(Q28&lt;=Anleitung!$D$47,"Mittel",IF(Q28&lt;=Anleitung!$D$48,"Hoch","Kritisch"))))</f>
        <v/>
      </c>
      <c r="S28" s="35"/>
      <c r="T28" s="35"/>
      <c r="U28" s="45"/>
      <c r="V28" s="37"/>
      <c r="W28" s="46"/>
      <c r="X28" s="47" t="str">
        <f t="shared" si="2"/>
        <v/>
      </c>
    </row>
    <row r="29" spans="1:24" ht="27.75" customHeight="1" x14ac:dyDescent="0.25">
      <c r="A29" s="34"/>
      <c r="B29" s="20"/>
      <c r="C29" s="35"/>
      <c r="D29" s="35"/>
      <c r="E29" s="36"/>
      <c r="F29" s="37"/>
      <c r="G29" s="38"/>
      <c r="H29" s="49"/>
      <c r="I29" s="49"/>
      <c r="J29" s="49"/>
      <c r="K29" s="49"/>
      <c r="L29" s="49"/>
      <c r="M29" s="50"/>
      <c r="N29" s="41" t="str">
        <f>IF(COUNT(H29:M29)&lt;6,"",SUMPRODUCT(H29:M29,Anleitung!$C$41:$H$41)/SUM(Anleitung!$C$41:$H$41))</f>
        <v/>
      </c>
      <c r="O29" s="42" t="str">
        <f t="shared" si="0"/>
        <v/>
      </c>
      <c r="P29" s="27"/>
      <c r="Q29" s="43" t="str">
        <f t="shared" si="1"/>
        <v/>
      </c>
      <c r="R29" s="44" t="str">
        <f>IF(Q29="","",IF(Q29&lt;=Anleitung!$D$46,"Gering",IF(Q29&lt;=Anleitung!$D$47,"Mittel",IF(Q29&lt;=Anleitung!$D$48,"Hoch","Kritisch"))))</f>
        <v/>
      </c>
      <c r="S29" s="35"/>
      <c r="T29" s="35"/>
      <c r="U29" s="45"/>
      <c r="V29" s="37"/>
      <c r="W29" s="46"/>
      <c r="X29" s="47" t="str">
        <f t="shared" si="2"/>
        <v/>
      </c>
    </row>
    <row r="30" spans="1:24" ht="27.75" customHeight="1" x14ac:dyDescent="0.25">
      <c r="A30" s="48"/>
      <c r="B30" s="22"/>
      <c r="C30" s="35"/>
      <c r="D30" s="35"/>
      <c r="E30" s="36"/>
      <c r="F30" s="37"/>
      <c r="G30" s="38"/>
      <c r="H30" s="49"/>
      <c r="I30" s="49"/>
      <c r="J30" s="49"/>
      <c r="K30" s="49"/>
      <c r="L30" s="49"/>
      <c r="M30" s="50"/>
      <c r="N30" s="41" t="str">
        <f>IF(COUNT(H30:M30)&lt;6,"",SUMPRODUCT(H30:M30,Anleitung!$C$41:$H$41)/SUM(Anleitung!$C$41:$H$41))</f>
        <v/>
      </c>
      <c r="O30" s="42" t="str">
        <f t="shared" si="0"/>
        <v/>
      </c>
      <c r="P30" s="27"/>
      <c r="Q30" s="43" t="str">
        <f t="shared" si="1"/>
        <v/>
      </c>
      <c r="R30" s="44" t="str">
        <f>IF(Q30="","",IF(Q30&lt;=Anleitung!$D$46,"Gering",IF(Q30&lt;=Anleitung!$D$47,"Mittel",IF(Q30&lt;=Anleitung!$D$48,"Hoch","Kritisch"))))</f>
        <v/>
      </c>
      <c r="S30" s="35"/>
      <c r="T30" s="35"/>
      <c r="U30" s="45"/>
      <c r="V30" s="37"/>
      <c r="W30" s="46"/>
      <c r="X30" s="47" t="str">
        <f t="shared" si="2"/>
        <v/>
      </c>
    </row>
  </sheetData>
  <autoFilter ref="A6:W30" xr:uid="{00000000-0009-0000-0000-000001000000}"/>
  <mergeCells count="7">
    <mergeCell ref="A1:X1"/>
    <mergeCell ref="A2:X2"/>
    <mergeCell ref="A3:X3"/>
    <mergeCell ref="A5:G5"/>
    <mergeCell ref="H5:M5"/>
    <mergeCell ref="N5:R5"/>
    <mergeCell ref="S5:W5"/>
  </mergeCells>
  <conditionalFormatting sqref="H7:M30">
    <cfRule type="colorScale" priority="2">
      <colorScale>
        <cfvo type="num" val="1"/>
        <cfvo type="num" val="3"/>
        <cfvo type="num" val="5"/>
        <color rgb="FFCFE3D0"/>
        <color rgb="FFF3E4C0"/>
        <color rgb="FFE7C9C4"/>
      </colorScale>
    </cfRule>
  </conditionalFormatting>
  <conditionalFormatting sqref="Q7:Q30">
    <cfRule type="colorScale" priority="3">
      <colorScale>
        <cfvo type="num" val="1"/>
        <cfvo type="num" val="12"/>
        <cfvo type="num" val="25"/>
        <color rgb="FFCFE3D0"/>
        <color rgb="FFF3E4C0"/>
        <color rgb="FFE7C9C4"/>
      </colorScale>
    </cfRule>
  </conditionalFormatting>
  <conditionalFormatting sqref="R7:R30">
    <cfRule type="cellIs" dxfId="11" priority="4" operator="equal">
      <formula>"Gering"</formula>
    </cfRule>
    <cfRule type="cellIs" dxfId="10" priority="5" operator="equal">
      <formula>"Mittel"</formula>
    </cfRule>
    <cfRule type="cellIs" dxfId="9" priority="6" operator="equal">
      <formula>"Hoch"</formula>
    </cfRule>
    <cfRule type="cellIs" dxfId="8" priority="7" operator="equal">
      <formula>"Kritisch"</formula>
    </cfRule>
  </conditionalFormatting>
  <conditionalFormatting sqref="W7:W30">
    <cfRule type="cellIs" dxfId="7" priority="8" operator="equal">
      <formula>"Gering"</formula>
    </cfRule>
    <cfRule type="cellIs" dxfId="6" priority="9" operator="equal">
      <formula>"Mittel"</formula>
    </cfRule>
    <cfRule type="cellIs" dxfId="5" priority="10" operator="equal">
      <formula>"Hoch"</formula>
    </cfRule>
    <cfRule type="cellIs" dxfId="4" priority="11" operator="equal">
      <formula>"Kritisch"</formula>
    </cfRule>
  </conditionalFormatting>
  <dataValidations count="1">
    <dataValidation type="whole" allowBlank="1" errorTitle="Ungültiger Wert" error="Bitte einen Wert zwischen 1 und 5 eingeben." promptTitle="Bewertung" prompt="Skala 1 (sehr gering) bis 5 (sehr hoch)." sqref="H7:M30 P7:P30" xr:uid="{00000000-0002-0000-0100-000000000000}">
      <formula1>1</formula1>
      <formula2>5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&amp;RVertraulich · Interner Gebrauch · Seite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1000000}">
          <x14:formula1>
            <xm:f>Anleitung!$K$52:$K$55</xm:f>
          </x14:formula1>
          <x14:formula2>
            <xm:f>0</xm:f>
          </x14:formula2>
          <xm:sqref>V7:V30</xm:sqref>
        </x14:dataValidation>
        <x14:dataValidation type="list" allowBlank="1" xr:uid="{00000000-0002-0000-0100-000002000000}">
          <x14:formula1>
            <xm:f>Anleitung!$L$52:$L$54</xm:f>
          </x14:formula1>
          <x14:formula2>
            <xm:f>0</xm:f>
          </x14:formula2>
          <xm:sqref>F7:F30</xm:sqref>
        </x14:dataValidation>
        <x14:dataValidation type="list" allowBlank="1" xr:uid="{00000000-0002-0000-0100-000003000000}">
          <x14:formula1>
            <xm:f>Anleitung!$M$52:$M$55</xm:f>
          </x14:formula1>
          <x14:formula2>
            <xm:f>0</xm:f>
          </x14:formula2>
          <xm:sqref>W7:W30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243C"/>
  </sheetPr>
  <dimension ref="B1:M55"/>
  <sheetViews>
    <sheetView showGridLines="0" topLeftCell="A9" zoomScaleNormal="100" workbookViewId="0"/>
  </sheetViews>
  <sheetFormatPr baseColWidth="10" defaultColWidth="8.7109375" defaultRowHeight="15" x14ac:dyDescent="0.25"/>
  <cols>
    <col min="1" max="1" width="2.42578125" customWidth="1"/>
    <col min="2" max="2" width="30" customWidth="1"/>
    <col min="3" max="5" width="15" customWidth="1"/>
    <col min="6" max="6" width="26" customWidth="1"/>
    <col min="7" max="8" width="15" customWidth="1"/>
    <col min="11" max="13" width="13" hidden="1" customWidth="1"/>
  </cols>
  <sheetData>
    <row r="1" spans="2:8" ht="7.5" customHeight="1" x14ac:dyDescent="0.25"/>
    <row r="2" spans="2:8" ht="30" customHeight="1" x14ac:dyDescent="0.25">
      <c r="B2" s="14" t="s">
        <v>0</v>
      </c>
      <c r="C2" s="14"/>
      <c r="D2" s="14"/>
      <c r="E2" s="14"/>
      <c r="F2" s="14"/>
      <c r="G2" s="14"/>
      <c r="H2" s="14"/>
    </row>
    <row r="3" spans="2:8" ht="19.5" customHeight="1" x14ac:dyDescent="0.25">
      <c r="B3" s="13" t="s">
        <v>1</v>
      </c>
      <c r="C3" s="13"/>
      <c r="D3" s="13"/>
      <c r="E3" s="13"/>
      <c r="F3" s="13"/>
      <c r="G3" s="13"/>
      <c r="H3" s="13"/>
    </row>
    <row r="4" spans="2:8" ht="3.75" customHeight="1" x14ac:dyDescent="0.25">
      <c r="B4" s="12"/>
      <c r="C4" s="12"/>
      <c r="D4" s="12"/>
      <c r="E4" s="12"/>
      <c r="F4" s="12"/>
      <c r="G4" s="12"/>
      <c r="H4" s="12"/>
    </row>
    <row r="6" spans="2:8" ht="21.75" customHeight="1" x14ac:dyDescent="0.25">
      <c r="B6" s="11" t="s">
        <v>2</v>
      </c>
      <c r="C6" s="11"/>
      <c r="D6" s="11"/>
      <c r="E6" s="11"/>
      <c r="F6" s="11"/>
      <c r="G6" s="11"/>
      <c r="H6" s="11"/>
    </row>
    <row r="7" spans="2:8" ht="15" customHeight="1" x14ac:dyDescent="0.25">
      <c r="B7" s="10" t="s">
        <v>3</v>
      </c>
      <c r="C7" s="10"/>
      <c r="D7" s="10"/>
      <c r="E7" s="10"/>
      <c r="F7" s="10"/>
      <c r="G7" s="10"/>
      <c r="H7" s="10"/>
    </row>
    <row r="8" spans="2:8" ht="15" customHeight="1" x14ac:dyDescent="0.25">
      <c r="B8" s="10" t="s">
        <v>4</v>
      </c>
      <c r="C8" s="10"/>
      <c r="D8" s="10"/>
      <c r="E8" s="10"/>
      <c r="F8" s="10"/>
      <c r="G8" s="10"/>
      <c r="H8" s="10"/>
    </row>
    <row r="9" spans="2:8" ht="15" customHeight="1" x14ac:dyDescent="0.25">
      <c r="B9" s="10" t="s">
        <v>5</v>
      </c>
      <c r="C9" s="10"/>
      <c r="D9" s="10"/>
      <c r="E9" s="10"/>
      <c r="F9" s="10"/>
      <c r="G9" s="10"/>
      <c r="H9" s="10"/>
    </row>
    <row r="10" spans="2:8" ht="15" customHeight="1" x14ac:dyDescent="0.25">
      <c r="B10" s="10" t="s">
        <v>6</v>
      </c>
      <c r="C10" s="10"/>
      <c r="D10" s="10"/>
      <c r="E10" s="10"/>
      <c r="F10" s="10"/>
      <c r="G10" s="10"/>
      <c r="H10" s="10"/>
    </row>
    <row r="11" spans="2:8" ht="15" customHeight="1" x14ac:dyDescent="0.25">
      <c r="B11" s="10" t="s">
        <v>7</v>
      </c>
      <c r="C11" s="10"/>
      <c r="D11" s="10"/>
      <c r="E11" s="10"/>
      <c r="F11" s="10"/>
      <c r="G11" s="10"/>
      <c r="H11" s="10"/>
    </row>
    <row r="13" spans="2:8" ht="21.75" customHeight="1" x14ac:dyDescent="0.25">
      <c r="B13" s="11" t="s">
        <v>8</v>
      </c>
      <c r="C13" s="11"/>
      <c r="D13" s="11"/>
      <c r="E13" s="11"/>
      <c r="F13" s="11"/>
      <c r="G13" s="11"/>
      <c r="H13" s="11"/>
    </row>
    <row r="14" spans="2:8" ht="15" customHeight="1" x14ac:dyDescent="0.25">
      <c r="B14" s="10" t="s">
        <v>9</v>
      </c>
      <c r="C14" s="10"/>
      <c r="D14" s="10"/>
      <c r="E14" s="10"/>
      <c r="F14" s="10"/>
      <c r="G14" s="10"/>
      <c r="H14" s="10"/>
    </row>
    <row r="15" spans="2:8" ht="15" customHeight="1" x14ac:dyDescent="0.25">
      <c r="B15" s="10" t="s">
        <v>10</v>
      </c>
      <c r="C15" s="10"/>
      <c r="D15" s="10"/>
      <c r="E15" s="10"/>
      <c r="F15" s="10"/>
      <c r="G15" s="10"/>
      <c r="H15" s="10"/>
    </row>
    <row r="16" spans="2:8" ht="15" customHeight="1" x14ac:dyDescent="0.25">
      <c r="B16" s="9" t="s">
        <v>11</v>
      </c>
      <c r="C16" s="9"/>
      <c r="D16" s="9"/>
      <c r="E16" s="9"/>
      <c r="F16" s="9"/>
      <c r="G16" s="9"/>
      <c r="H16" s="9"/>
    </row>
    <row r="18" spans="2:8" ht="21.75" customHeight="1" x14ac:dyDescent="0.25">
      <c r="B18" s="11" t="s">
        <v>12</v>
      </c>
      <c r="C18" s="11"/>
      <c r="D18" s="11"/>
      <c r="E18" s="11"/>
      <c r="F18" s="11"/>
      <c r="G18" s="11"/>
      <c r="H18" s="11"/>
    </row>
    <row r="19" spans="2:8" ht="15" customHeight="1" x14ac:dyDescent="0.25">
      <c r="B19" s="15"/>
      <c r="C19" s="8" t="s">
        <v>13</v>
      </c>
      <c r="D19" s="8"/>
      <c r="E19" s="8"/>
      <c r="F19" s="8"/>
      <c r="G19" s="8"/>
      <c r="H19" s="8"/>
    </row>
    <row r="20" spans="2:8" ht="15" customHeight="1" x14ac:dyDescent="0.25">
      <c r="B20" s="16"/>
      <c r="C20" s="8" t="s">
        <v>14</v>
      </c>
      <c r="D20" s="8"/>
      <c r="E20" s="8"/>
      <c r="F20" s="8"/>
      <c r="G20" s="8"/>
      <c r="H20" s="8"/>
    </row>
    <row r="21" spans="2:8" ht="15" customHeight="1" x14ac:dyDescent="0.25">
      <c r="B21" s="17"/>
      <c r="C21" s="8" t="s">
        <v>15</v>
      </c>
      <c r="D21" s="8"/>
      <c r="E21" s="8"/>
      <c r="F21" s="8"/>
      <c r="G21" s="8"/>
      <c r="H21" s="8"/>
    </row>
    <row r="23" spans="2:8" ht="21.75" customHeight="1" x14ac:dyDescent="0.25">
      <c r="B23" s="11" t="s">
        <v>16</v>
      </c>
      <c r="C23" s="11"/>
      <c r="D23" s="11"/>
      <c r="E23" s="11"/>
      <c r="F23" s="11"/>
      <c r="G23" s="11"/>
      <c r="H23" s="11"/>
    </row>
    <row r="24" spans="2:8" ht="15" customHeight="1" x14ac:dyDescent="0.25">
      <c r="B24" s="18" t="s">
        <v>17</v>
      </c>
      <c r="C24" s="18" t="s">
        <v>18</v>
      </c>
      <c r="D24" s="7" t="s">
        <v>19</v>
      </c>
      <c r="E24" s="7"/>
      <c r="F24" s="7"/>
      <c r="G24" s="7"/>
      <c r="H24" s="7"/>
    </row>
    <row r="25" spans="2:8" ht="15" customHeight="1" x14ac:dyDescent="0.25">
      <c r="B25" s="19">
        <v>1</v>
      </c>
      <c r="C25" s="20" t="s">
        <v>20</v>
      </c>
      <c r="D25" s="6" t="s">
        <v>21</v>
      </c>
      <c r="E25" s="6"/>
      <c r="F25" s="6"/>
      <c r="G25" s="6"/>
      <c r="H25" s="6"/>
    </row>
    <row r="26" spans="2:8" ht="15" customHeight="1" x14ac:dyDescent="0.25">
      <c r="B26" s="21">
        <v>2</v>
      </c>
      <c r="C26" s="22" t="s">
        <v>22</v>
      </c>
      <c r="D26" s="5" t="s">
        <v>23</v>
      </c>
      <c r="E26" s="5"/>
      <c r="F26" s="5"/>
      <c r="G26" s="5"/>
      <c r="H26" s="5"/>
    </row>
    <row r="27" spans="2:8" ht="15" customHeight="1" x14ac:dyDescent="0.25">
      <c r="B27" s="19">
        <v>3</v>
      </c>
      <c r="C27" s="20" t="s">
        <v>24</v>
      </c>
      <c r="D27" s="6" t="s">
        <v>25</v>
      </c>
      <c r="E27" s="6"/>
      <c r="F27" s="6"/>
      <c r="G27" s="6"/>
      <c r="H27" s="6"/>
    </row>
    <row r="28" spans="2:8" ht="15" customHeight="1" x14ac:dyDescent="0.25">
      <c r="B28" s="21">
        <v>4</v>
      </c>
      <c r="C28" s="22" t="s">
        <v>26</v>
      </c>
      <c r="D28" s="5" t="s">
        <v>27</v>
      </c>
      <c r="E28" s="5"/>
      <c r="F28" s="5"/>
      <c r="G28" s="5"/>
      <c r="H28" s="5"/>
    </row>
    <row r="29" spans="2:8" ht="15" customHeight="1" x14ac:dyDescent="0.25">
      <c r="B29" s="19">
        <v>5</v>
      </c>
      <c r="C29" s="20" t="s">
        <v>28</v>
      </c>
      <c r="D29" s="6" t="s">
        <v>29</v>
      </c>
      <c r="E29" s="6"/>
      <c r="F29" s="6"/>
      <c r="G29" s="6"/>
      <c r="H29" s="6"/>
    </row>
    <row r="31" spans="2:8" ht="21.75" customHeight="1" x14ac:dyDescent="0.25">
      <c r="B31" s="11" t="s">
        <v>30</v>
      </c>
      <c r="C31" s="11"/>
      <c r="D31" s="11"/>
      <c r="E31" s="11"/>
      <c r="F31" s="11"/>
      <c r="G31" s="11"/>
      <c r="H31" s="11"/>
    </row>
    <row r="32" spans="2:8" ht="15" customHeight="1" x14ac:dyDescent="0.25">
      <c r="B32" s="18" t="s">
        <v>17</v>
      </c>
      <c r="C32" s="18" t="s">
        <v>18</v>
      </c>
      <c r="D32" s="7" t="s">
        <v>19</v>
      </c>
      <c r="E32" s="7"/>
      <c r="F32" s="7"/>
      <c r="G32" s="7"/>
      <c r="H32" s="7"/>
    </row>
    <row r="33" spans="2:8" ht="15" customHeight="1" x14ac:dyDescent="0.25">
      <c r="B33" s="19">
        <v>1</v>
      </c>
      <c r="C33" s="20" t="s">
        <v>31</v>
      </c>
      <c r="D33" s="6" t="s">
        <v>32</v>
      </c>
      <c r="E33" s="6"/>
      <c r="F33" s="6"/>
      <c r="G33" s="6"/>
      <c r="H33" s="6"/>
    </row>
    <row r="34" spans="2:8" ht="15" customHeight="1" x14ac:dyDescent="0.25">
      <c r="B34" s="21">
        <v>2</v>
      </c>
      <c r="C34" s="22" t="s">
        <v>22</v>
      </c>
      <c r="D34" s="5" t="s">
        <v>33</v>
      </c>
      <c r="E34" s="5"/>
      <c r="F34" s="5"/>
      <c r="G34" s="5"/>
      <c r="H34" s="5"/>
    </row>
    <row r="35" spans="2:8" ht="15" customHeight="1" x14ac:dyDescent="0.25">
      <c r="B35" s="19">
        <v>3</v>
      </c>
      <c r="C35" s="20" t="s">
        <v>34</v>
      </c>
      <c r="D35" s="6" t="s">
        <v>35</v>
      </c>
      <c r="E35" s="6"/>
      <c r="F35" s="6"/>
      <c r="G35" s="6"/>
      <c r="H35" s="6"/>
    </row>
    <row r="36" spans="2:8" ht="15" customHeight="1" x14ac:dyDescent="0.25">
      <c r="B36" s="21">
        <v>4</v>
      </c>
      <c r="C36" s="22" t="s">
        <v>36</v>
      </c>
      <c r="D36" s="5" t="s">
        <v>37</v>
      </c>
      <c r="E36" s="5"/>
      <c r="F36" s="5"/>
      <c r="G36" s="5"/>
      <c r="H36" s="5"/>
    </row>
    <row r="37" spans="2:8" ht="15" customHeight="1" x14ac:dyDescent="0.25">
      <c r="B37" s="19">
        <v>5</v>
      </c>
      <c r="C37" s="20" t="s">
        <v>38</v>
      </c>
      <c r="D37" s="6" t="s">
        <v>39</v>
      </c>
      <c r="E37" s="6"/>
      <c r="F37" s="6"/>
      <c r="G37" s="6"/>
      <c r="H37" s="6"/>
    </row>
    <row r="39" spans="2:8" ht="21.75" customHeight="1" x14ac:dyDescent="0.25">
      <c r="B39" s="11" t="s">
        <v>40</v>
      </c>
      <c r="C39" s="11"/>
      <c r="D39" s="11"/>
      <c r="E39" s="11"/>
      <c r="F39" s="11"/>
      <c r="G39" s="11"/>
      <c r="H39" s="11"/>
    </row>
    <row r="40" spans="2:8" ht="24" x14ac:dyDescent="0.25">
      <c r="B40" s="18" t="s">
        <v>41</v>
      </c>
      <c r="C40" s="23" t="s">
        <v>42</v>
      </c>
      <c r="D40" s="23" t="s">
        <v>43</v>
      </c>
      <c r="E40" s="23" t="s">
        <v>44</v>
      </c>
      <c r="F40" s="23" t="s">
        <v>45</v>
      </c>
      <c r="G40" s="23" t="s">
        <v>46</v>
      </c>
      <c r="H40" s="23" t="s">
        <v>47</v>
      </c>
    </row>
    <row r="41" spans="2:8" x14ac:dyDescent="0.25">
      <c r="B41" s="24" t="s">
        <v>48</v>
      </c>
      <c r="C41" s="25">
        <v>0.15</v>
      </c>
      <c r="D41" s="25">
        <v>0.25</v>
      </c>
      <c r="E41" s="25">
        <v>0.2</v>
      </c>
      <c r="F41" s="25">
        <v>0.15</v>
      </c>
      <c r="G41" s="25">
        <v>0.15</v>
      </c>
      <c r="H41" s="25">
        <v>0.1</v>
      </c>
    </row>
    <row r="42" spans="2:8" x14ac:dyDescent="0.25">
      <c r="B42" s="24" t="s">
        <v>49</v>
      </c>
      <c r="C42" s="4">
        <f>SUM(C41:H41)</f>
        <v>1.0000000000000002</v>
      </c>
      <c r="D42" s="4"/>
      <c r="E42" s="4"/>
      <c r="F42" s="4"/>
      <c r="G42" s="4"/>
      <c r="H42" s="4"/>
    </row>
    <row r="44" spans="2:8" ht="21.75" customHeight="1" x14ac:dyDescent="0.25">
      <c r="B44" s="11" t="s">
        <v>50</v>
      </c>
      <c r="C44" s="11"/>
      <c r="D44" s="11"/>
      <c r="E44" s="11"/>
      <c r="F44" s="11"/>
      <c r="G44" s="11"/>
      <c r="H44" s="11"/>
    </row>
    <row r="45" spans="2:8" ht="15" customHeight="1" x14ac:dyDescent="0.25">
      <c r="B45" s="18" t="s">
        <v>51</v>
      </c>
      <c r="C45" s="18" t="s">
        <v>52</v>
      </c>
      <c r="D45" s="18" t="s">
        <v>53</v>
      </c>
      <c r="E45" s="3" t="s">
        <v>54</v>
      </c>
      <c r="F45" s="3"/>
      <c r="G45" s="3"/>
      <c r="H45" s="3"/>
    </row>
    <row r="46" spans="2:8" ht="15" customHeight="1" x14ac:dyDescent="0.25">
      <c r="B46" s="26" t="s">
        <v>22</v>
      </c>
      <c r="C46" s="27">
        <v>1</v>
      </c>
      <c r="D46" s="27">
        <v>5</v>
      </c>
      <c r="E46" s="2" t="s">
        <v>55</v>
      </c>
      <c r="F46" s="2"/>
      <c r="G46" s="2"/>
      <c r="H46" s="2"/>
    </row>
    <row r="47" spans="2:8" ht="15" customHeight="1" x14ac:dyDescent="0.25">
      <c r="B47" s="28" t="s">
        <v>24</v>
      </c>
      <c r="C47" s="27">
        <v>6</v>
      </c>
      <c r="D47" s="27">
        <v>11</v>
      </c>
      <c r="E47" s="2" t="s">
        <v>56</v>
      </c>
      <c r="F47" s="2"/>
      <c r="G47" s="2"/>
      <c r="H47" s="2"/>
    </row>
    <row r="48" spans="2:8" ht="15" customHeight="1" x14ac:dyDescent="0.25">
      <c r="B48" s="29" t="s">
        <v>26</v>
      </c>
      <c r="C48" s="27">
        <v>12</v>
      </c>
      <c r="D48" s="27">
        <v>17</v>
      </c>
      <c r="E48" s="2" t="s">
        <v>57</v>
      </c>
      <c r="F48" s="2"/>
      <c r="G48" s="2"/>
      <c r="H48" s="2"/>
    </row>
    <row r="49" spans="2:13" ht="15" customHeight="1" x14ac:dyDescent="0.25">
      <c r="B49" s="30" t="s">
        <v>58</v>
      </c>
      <c r="C49" s="27">
        <v>18</v>
      </c>
      <c r="D49" s="27">
        <v>25</v>
      </c>
      <c r="E49" s="2" t="s">
        <v>59</v>
      </c>
      <c r="F49" s="2"/>
      <c r="G49" s="2"/>
      <c r="H49" s="2"/>
    </row>
    <row r="51" spans="2:13" ht="21.75" customHeight="1" x14ac:dyDescent="0.25">
      <c r="B51" s="11" t="s">
        <v>60</v>
      </c>
      <c r="C51" s="11"/>
      <c r="D51" s="11"/>
      <c r="E51" s="11"/>
      <c r="F51" s="11"/>
      <c r="G51" s="11"/>
      <c r="H51" s="11"/>
    </row>
    <row r="52" spans="2:13" ht="15" customHeight="1" x14ac:dyDescent="0.25">
      <c r="B52" s="31" t="s">
        <v>61</v>
      </c>
      <c r="C52" s="1" t="s">
        <v>62</v>
      </c>
      <c r="D52" s="1"/>
      <c r="E52" s="1"/>
      <c r="F52" s="1"/>
      <c r="G52" s="1"/>
      <c r="H52" s="1"/>
      <c r="K52" t="s">
        <v>63</v>
      </c>
      <c r="L52" t="s">
        <v>64</v>
      </c>
      <c r="M52" t="s">
        <v>22</v>
      </c>
    </row>
    <row r="53" spans="2:13" x14ac:dyDescent="0.25">
      <c r="K53" t="s">
        <v>65</v>
      </c>
      <c r="L53" t="s">
        <v>66</v>
      </c>
      <c r="M53" t="s">
        <v>24</v>
      </c>
    </row>
    <row r="54" spans="2:13" ht="25.5" customHeight="1" x14ac:dyDescent="0.25">
      <c r="B54" s="63" t="s">
        <v>67</v>
      </c>
      <c r="C54" s="63"/>
      <c r="D54" s="63"/>
      <c r="E54" s="63"/>
      <c r="F54" s="63"/>
      <c r="G54" s="63"/>
      <c r="H54" s="63"/>
      <c r="K54" t="s">
        <v>68</v>
      </c>
      <c r="L54" t="s">
        <v>69</v>
      </c>
      <c r="M54" t="s">
        <v>26</v>
      </c>
    </row>
    <row r="55" spans="2:13" x14ac:dyDescent="0.25">
      <c r="K55" t="s">
        <v>70</v>
      </c>
      <c r="M55" t="s">
        <v>58</v>
      </c>
    </row>
  </sheetData>
  <mergeCells count="42">
    <mergeCell ref="C52:H52"/>
    <mergeCell ref="B54:H54"/>
    <mergeCell ref="E46:H46"/>
    <mergeCell ref="E47:H47"/>
    <mergeCell ref="E48:H48"/>
    <mergeCell ref="E49:H49"/>
    <mergeCell ref="B51:H51"/>
    <mergeCell ref="D37:H37"/>
    <mergeCell ref="B39:H39"/>
    <mergeCell ref="C42:H42"/>
    <mergeCell ref="B44:H44"/>
    <mergeCell ref="E45:H45"/>
    <mergeCell ref="D32:H32"/>
    <mergeCell ref="D33:H33"/>
    <mergeCell ref="D34:H34"/>
    <mergeCell ref="D35:H35"/>
    <mergeCell ref="D36:H36"/>
    <mergeCell ref="D26:H26"/>
    <mergeCell ref="D27:H27"/>
    <mergeCell ref="D28:H28"/>
    <mergeCell ref="D29:H29"/>
    <mergeCell ref="B31:H31"/>
    <mergeCell ref="C20:H20"/>
    <mergeCell ref="C21:H21"/>
    <mergeCell ref="B23:H23"/>
    <mergeCell ref="D24:H24"/>
    <mergeCell ref="D25:H25"/>
    <mergeCell ref="B14:H14"/>
    <mergeCell ref="B15:H15"/>
    <mergeCell ref="B16:H16"/>
    <mergeCell ref="B18:H18"/>
    <mergeCell ref="C19:H19"/>
    <mergeCell ref="B8:H8"/>
    <mergeCell ref="B9:H9"/>
    <mergeCell ref="B10:H10"/>
    <mergeCell ref="B11:H11"/>
    <mergeCell ref="B13:H13"/>
    <mergeCell ref="B2:H2"/>
    <mergeCell ref="B3:H3"/>
    <mergeCell ref="B4:H4"/>
    <mergeCell ref="B6:H6"/>
    <mergeCell ref="B7:H7"/>
  </mergeCells>
  <pageMargins left="0.75" right="0.75" top="1" bottom="1" header="0.511811023622047" footer="0.5"/>
  <pageSetup orientation="portrait" horizontalDpi="300" verticalDpi="300"/>
  <headerFooter>
    <oddFooter>&amp;LLieferanten-Risikoanalyse · 2026&amp;RVertraulich · Interner Gebrauch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8912F"/>
    <pageSetUpPr fitToPage="1"/>
  </sheetPr>
  <dimension ref="B2:L36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22" customWidth="1"/>
    <col min="3" max="8" width="13" customWidth="1"/>
    <col min="9" max="9" width="5" customWidth="1"/>
    <col min="10" max="10" width="26" customWidth="1"/>
    <col min="11" max="11" width="9" customWidth="1"/>
    <col min="12" max="12" width="12" customWidth="1"/>
  </cols>
  <sheetData>
    <row r="2" spans="2:12" ht="27.75" customHeight="1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2:12" x14ac:dyDescent="0.25">
      <c r="B3" s="65" t="s">
        <v>173</v>
      </c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2:12" ht="3" customHeight="1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2:12" ht="3.75" customHeight="1" x14ac:dyDescent="0.25">
      <c r="B6" s="68"/>
      <c r="C6" s="68"/>
      <c r="D6" s="68"/>
      <c r="E6" s="68"/>
      <c r="F6" s="68"/>
      <c r="G6" s="68"/>
      <c r="H6" s="68"/>
      <c r="I6" s="68"/>
    </row>
    <row r="7" spans="2:12" ht="18" customHeight="1" x14ac:dyDescent="0.25">
      <c r="B7" s="69" t="s">
        <v>174</v>
      </c>
      <c r="C7" s="69"/>
      <c r="D7" s="69" t="s">
        <v>175</v>
      </c>
      <c r="E7" s="69"/>
      <c r="F7" s="69" t="s">
        <v>176</v>
      </c>
      <c r="G7" s="69"/>
      <c r="H7" s="69" t="s">
        <v>177</v>
      </c>
      <c r="I7" s="69"/>
    </row>
    <row r="8" spans="2:12" ht="36" customHeight="1" x14ac:dyDescent="0.25">
      <c r="B8" s="70">
        <f>COUNT(Risikobewertung!$Q$7:$Q$30)</f>
        <v>18</v>
      </c>
      <c r="C8" s="70"/>
      <c r="D8" s="71">
        <f>IFERROR(AVERAGE(Risikobewertung!$N$7:$N$30),0)</f>
        <v>2.7999999999999994</v>
      </c>
      <c r="E8" s="71"/>
      <c r="F8" s="70">
        <f>COUNTIF(Risikobewertung!$R$7:$R$30,"Hoch")</f>
        <v>4</v>
      </c>
      <c r="G8" s="70"/>
      <c r="H8" s="70">
        <f>COUNTIF(Risikobewertung!$R$7:$R$30,"Kritisch")</f>
        <v>2</v>
      </c>
      <c r="I8" s="70"/>
    </row>
    <row r="11" spans="2:12" ht="15.75" x14ac:dyDescent="0.25">
      <c r="B11" s="11" t="s">
        <v>178</v>
      </c>
      <c r="C11" s="11"/>
      <c r="D11" s="11"/>
    </row>
    <row r="12" spans="2:12" x14ac:dyDescent="0.25">
      <c r="B12" s="18" t="s">
        <v>51</v>
      </c>
      <c r="C12" s="18" t="s">
        <v>179</v>
      </c>
      <c r="D12" s="18" t="s">
        <v>180</v>
      </c>
    </row>
    <row r="13" spans="2:12" x14ac:dyDescent="0.25">
      <c r="B13" s="26" t="s">
        <v>22</v>
      </c>
      <c r="C13" s="51">
        <f>COUNTIF(Risikobewertung!$R$7:$R$30,"Gering")</f>
        <v>4</v>
      </c>
      <c r="D13" s="52">
        <f>IFERROR(C13/COUNT(Risikobewertung!$Q$7:$Q$30),0)</f>
        <v>0.22222222222222221</v>
      </c>
    </row>
    <row r="14" spans="2:12" x14ac:dyDescent="0.25">
      <c r="B14" s="28" t="s">
        <v>24</v>
      </c>
      <c r="C14" s="51">
        <f>COUNTIF(Risikobewertung!$R$7:$R$30,"Mittel")</f>
        <v>8</v>
      </c>
      <c r="D14" s="52">
        <f>IFERROR(C14/COUNT(Risikobewertung!$Q$7:$Q$30),0)</f>
        <v>0.44444444444444442</v>
      </c>
    </row>
    <row r="15" spans="2:12" x14ac:dyDescent="0.25">
      <c r="B15" s="29" t="s">
        <v>26</v>
      </c>
      <c r="C15" s="51">
        <f>COUNTIF(Risikobewertung!$R$7:$R$30,"Hoch")</f>
        <v>4</v>
      </c>
      <c r="D15" s="52">
        <f>IFERROR(C15/COUNT(Risikobewertung!$Q$7:$Q$30),0)</f>
        <v>0.22222222222222221</v>
      </c>
    </row>
    <row r="16" spans="2:12" x14ac:dyDescent="0.25">
      <c r="B16" s="30" t="s">
        <v>58</v>
      </c>
      <c r="C16" s="51">
        <f>COUNTIF(Risikobewertung!$R$7:$R$30,"Kritisch")</f>
        <v>2</v>
      </c>
      <c r="D16" s="52">
        <f>IFERROR(C16/COUNT(Risikobewertung!$Q$7:$Q$30),0)</f>
        <v>0.1111111111111111</v>
      </c>
    </row>
    <row r="17" spans="2:12" x14ac:dyDescent="0.25">
      <c r="B17" s="24" t="s">
        <v>49</v>
      </c>
      <c r="C17" s="46">
        <f>SUM(C13:C16)</f>
        <v>18</v>
      </c>
      <c r="D17" s="53">
        <f>IFERROR(SUM(D13:D16),0)</f>
        <v>1</v>
      </c>
    </row>
    <row r="28" spans="2:12" ht="15.75" x14ac:dyDescent="0.25">
      <c r="B28" s="11" t="s">
        <v>181</v>
      </c>
      <c r="C28" s="11"/>
      <c r="D28" s="11"/>
      <c r="E28" s="11"/>
      <c r="F28" s="11"/>
      <c r="G28" s="11"/>
      <c r="H28" s="11"/>
    </row>
    <row r="29" spans="2:12" ht="15" customHeight="1" x14ac:dyDescent="0.25">
      <c r="B29" s="54"/>
      <c r="C29" s="72" t="s">
        <v>182</v>
      </c>
      <c r="D29" s="72"/>
      <c r="E29" s="72"/>
      <c r="F29" s="72"/>
      <c r="G29" s="72"/>
      <c r="I29" s="11" t="s">
        <v>183</v>
      </c>
      <c r="J29" s="11"/>
      <c r="K29" s="11"/>
      <c r="L29" s="11"/>
    </row>
    <row r="30" spans="2:12" x14ac:dyDescent="0.25">
      <c r="B30" s="55" t="s">
        <v>184</v>
      </c>
      <c r="C30" s="56">
        <v>1</v>
      </c>
      <c r="D30" s="56">
        <v>2</v>
      </c>
      <c r="E30" s="56">
        <v>3</v>
      </c>
      <c r="F30" s="56">
        <v>4</v>
      </c>
      <c r="G30" s="56">
        <v>5</v>
      </c>
      <c r="I30" s="18" t="s">
        <v>185</v>
      </c>
      <c r="J30" s="18" t="s">
        <v>77</v>
      </c>
      <c r="K30" s="18" t="s">
        <v>91</v>
      </c>
      <c r="L30" s="18" t="s">
        <v>186</v>
      </c>
    </row>
    <row r="31" spans="2:12" ht="25.5" customHeight="1" x14ac:dyDescent="0.25">
      <c r="B31" s="56">
        <v>5</v>
      </c>
      <c r="C31" s="57">
        <f>COUNTIFS(Risikobewertung!$O$7:$O$30,1,Risikobewertung!$P$7:$P$30,5)</f>
        <v>0</v>
      </c>
      <c r="D31" s="58">
        <f>COUNTIFS(Risikobewertung!$O$7:$O$30,2,Risikobewertung!$P$7:$P$30,5)</f>
        <v>0</v>
      </c>
      <c r="E31" s="59">
        <f>COUNTIFS(Risikobewertung!$O$7:$O$30,3,Risikobewertung!$P$7:$P$30,5)</f>
        <v>0</v>
      </c>
      <c r="F31" s="60">
        <f>COUNTIFS(Risikobewertung!$O$7:$O$30,4,Risikobewertung!$P$7:$P$30,5)</f>
        <v>1</v>
      </c>
      <c r="G31" s="60">
        <f>COUNTIFS(Risikobewertung!$O$7:$O$30,5,Risikobewertung!$P$7:$P$30,5)</f>
        <v>0</v>
      </c>
      <c r="I31" s="61">
        <v>1</v>
      </c>
      <c r="J31" s="62" t="str">
        <f>IFERROR(INDEX(Risikobewertung!$B$7:$B$30,MATCH(LARGE(Risikobewertung!$X$7:$X$30,1),Risikobewertung!$X$7:$X$30,0)),"")</f>
        <v>Bengal Textile Mills Pvt Ltd</v>
      </c>
      <c r="K31" s="51">
        <f>IFERROR(INDEX(Risikobewertung!$Q$7:$Q$30,MATCH(LARGE(Risikobewertung!$X$7:$X$30,1),Risikobewertung!$X$7:$X$30,0)),"")</f>
        <v>20</v>
      </c>
      <c r="L31" s="46" t="str">
        <f>IFERROR(INDEX(Risikobewertung!$R$7:$R$30,MATCH(LARGE(Risikobewertung!$X$7:$X$30,1),Risikobewertung!$X$7:$X$30,0)),"")</f>
        <v>Kritisch</v>
      </c>
    </row>
    <row r="32" spans="2:12" ht="25.5" customHeight="1" x14ac:dyDescent="0.25">
      <c r="B32" s="56">
        <v>4</v>
      </c>
      <c r="C32" s="57">
        <f>COUNTIFS(Risikobewertung!$O$7:$O$30,1,Risikobewertung!$P$7:$P$30,4)</f>
        <v>0</v>
      </c>
      <c r="D32" s="58">
        <f>COUNTIFS(Risikobewertung!$O$7:$O$30,2,Risikobewertung!$P$7:$P$30,4)</f>
        <v>1</v>
      </c>
      <c r="E32" s="59">
        <f>COUNTIFS(Risikobewertung!$O$7:$O$30,3,Risikobewertung!$P$7:$P$30,4)</f>
        <v>1</v>
      </c>
      <c r="F32" s="59">
        <f>COUNTIFS(Risikobewertung!$O$7:$O$30,4,Risikobewertung!$P$7:$P$30,4)</f>
        <v>3</v>
      </c>
      <c r="G32" s="60">
        <f>COUNTIFS(Risikobewertung!$O$7:$O$30,5,Risikobewertung!$P$7:$P$30,4)</f>
        <v>1</v>
      </c>
      <c r="I32" s="61">
        <v>2</v>
      </c>
      <c r="J32" s="62" t="str">
        <f>IFERROR(INDEX(Risikobewertung!$B$7:$B$30,MATCH(LARGE(Risikobewertung!$X$7:$X$30,2),Risikobewertung!$X$7:$X$30,0)),"")</f>
        <v>Saigon Garment Partners Co.</v>
      </c>
      <c r="K32" s="51">
        <f>IFERROR(INDEX(Risikobewertung!$Q$7:$Q$30,MATCH(LARGE(Risikobewertung!$X$7:$X$30,2),Risikobewertung!$X$7:$X$30,0)),"")</f>
        <v>20</v>
      </c>
      <c r="L32" s="46" t="str">
        <f>IFERROR(INDEX(Risikobewertung!$R$7:$R$30,MATCH(LARGE(Risikobewertung!$X$7:$X$30,2),Risikobewertung!$X$7:$X$30,0)),"")</f>
        <v>Kritisch</v>
      </c>
    </row>
    <row r="33" spans="2:12" ht="25.5" customHeight="1" x14ac:dyDescent="0.25">
      <c r="B33" s="56">
        <v>3</v>
      </c>
      <c r="C33" s="57">
        <f>COUNTIFS(Risikobewertung!$O$7:$O$30,1,Risikobewertung!$P$7:$P$30,3)</f>
        <v>0</v>
      </c>
      <c r="D33" s="58">
        <f>COUNTIFS(Risikobewertung!$O$7:$O$30,2,Risikobewertung!$P$7:$P$30,3)</f>
        <v>4</v>
      </c>
      <c r="E33" s="58">
        <f>COUNTIFS(Risikobewertung!$O$7:$O$30,3,Risikobewertung!$P$7:$P$30,3)</f>
        <v>3</v>
      </c>
      <c r="F33" s="59">
        <f>COUNTIFS(Risikobewertung!$O$7:$O$30,4,Risikobewertung!$P$7:$P$30,3)</f>
        <v>0</v>
      </c>
      <c r="G33" s="59">
        <f>COUNTIFS(Risikobewertung!$O$7:$O$30,5,Risikobewertung!$P$7:$P$30,3)</f>
        <v>0</v>
      </c>
      <c r="I33" s="61">
        <v>3</v>
      </c>
      <c r="J33" s="62" t="str">
        <f>IFERROR(INDEX(Risikobewertung!$B$7:$B$30,MATCH(LARGE(Risikobewertung!$X$7:$X$30,3),Risikobewertung!$X$7:$X$30,0)),"")</f>
        <v>Emirates Polymer Trading LLC</v>
      </c>
      <c r="K33" s="51">
        <f>IFERROR(INDEX(Risikobewertung!$Q$7:$Q$30,MATCH(LARGE(Risikobewertung!$X$7:$X$30,3),Risikobewertung!$X$7:$X$30,0)),"")</f>
        <v>16</v>
      </c>
      <c r="L33" s="46" t="str">
        <f>IFERROR(INDEX(Risikobewertung!$R$7:$R$30,MATCH(LARGE(Risikobewertung!$X$7:$X$30,3),Risikobewertung!$X$7:$X$30,0)),"")</f>
        <v>Hoch</v>
      </c>
    </row>
    <row r="34" spans="2:12" ht="25.5" customHeight="1" x14ac:dyDescent="0.25">
      <c r="B34" s="56">
        <v>2</v>
      </c>
      <c r="C34" s="57">
        <f>COUNTIFS(Risikobewertung!$O$7:$O$30,1,Risikobewertung!$P$7:$P$30,2)</f>
        <v>0</v>
      </c>
      <c r="D34" s="57">
        <f>COUNTIFS(Risikobewertung!$O$7:$O$30,2,Risikobewertung!$P$7:$P$30,2)</f>
        <v>4</v>
      </c>
      <c r="E34" s="58">
        <f>COUNTIFS(Risikobewertung!$O$7:$O$30,3,Risikobewertung!$P$7:$P$30,2)</f>
        <v>0</v>
      </c>
      <c r="F34" s="58">
        <f>COUNTIFS(Risikobewertung!$O$7:$O$30,4,Risikobewertung!$P$7:$P$30,2)</f>
        <v>0</v>
      </c>
      <c r="G34" s="58">
        <f>COUNTIFS(Risikobewertung!$O$7:$O$30,5,Risikobewertung!$P$7:$P$30,2)</f>
        <v>0</v>
      </c>
      <c r="I34" s="61">
        <v>4</v>
      </c>
      <c r="J34" s="62" t="str">
        <f>IFERROR(INDEX(Risikobewertung!$B$7:$B$30,MATCH(LARGE(Risikobewertung!$X$7:$X$30,4),Risikobewertung!$X$7:$X$30,0)),"")</f>
        <v>Bosphorus Metal Casting A.Ş.</v>
      </c>
      <c r="K34" s="51">
        <f>IFERROR(INDEX(Risikobewertung!$Q$7:$Q$30,MATCH(LARGE(Risikobewertung!$X$7:$X$30,4),Risikobewertung!$X$7:$X$30,0)),"")</f>
        <v>16</v>
      </c>
      <c r="L34" s="46" t="str">
        <f>IFERROR(INDEX(Risikobewertung!$R$7:$R$30,MATCH(LARGE(Risikobewertung!$X$7:$X$30,4),Risikobewertung!$X$7:$X$30,0)),"")</f>
        <v>Hoch</v>
      </c>
    </row>
    <row r="35" spans="2:12" ht="25.5" customHeight="1" x14ac:dyDescent="0.25">
      <c r="B35" s="56">
        <v>1</v>
      </c>
      <c r="C35" s="57">
        <f>COUNTIFS(Risikobewertung!$O$7:$O$30,1,Risikobewertung!$P$7:$P$30,1)</f>
        <v>0</v>
      </c>
      <c r="D35" s="57">
        <f>COUNTIFS(Risikobewertung!$O$7:$O$30,2,Risikobewertung!$P$7:$P$30,1)</f>
        <v>0</v>
      </c>
      <c r="E35" s="57">
        <f>COUNTIFS(Risikobewertung!$O$7:$O$30,3,Risikobewertung!$P$7:$P$30,1)</f>
        <v>0</v>
      </c>
      <c r="F35" s="57">
        <f>COUNTIFS(Risikobewertung!$O$7:$O$30,4,Risikobewertung!$P$7:$P$30,1)</f>
        <v>0</v>
      </c>
      <c r="G35" s="57">
        <f>COUNTIFS(Risikobewertung!$O$7:$O$30,5,Risikobewertung!$P$7:$P$30,1)</f>
        <v>0</v>
      </c>
      <c r="I35" s="61">
        <v>5</v>
      </c>
      <c r="J35" s="62" t="str">
        <f>IFERROR(INDEX(Risikobewertung!$B$7:$B$30,MATCH(LARGE(Risikobewertung!$X$7:$X$30,5),Risikobewertung!$X$7:$X$30,0)),"")</f>
        <v>Golden Harbor Components Ltd.</v>
      </c>
      <c r="K35" s="51">
        <f>IFERROR(INDEX(Risikobewertung!$Q$7:$Q$30,MATCH(LARGE(Risikobewertung!$X$7:$X$30,5),Risikobewertung!$X$7:$X$30,0)),"")</f>
        <v>16</v>
      </c>
      <c r="L35" s="46" t="str">
        <f>IFERROR(INDEX(Risikobewertung!$R$7:$R$30,MATCH(LARGE(Risikobewertung!$X$7:$X$30,5),Risikobewertung!$X$7:$X$30,0)),"")</f>
        <v>Hoch</v>
      </c>
    </row>
    <row r="36" spans="2:12" ht="15" customHeight="1" x14ac:dyDescent="0.25">
      <c r="B36" s="73" t="s">
        <v>187</v>
      </c>
      <c r="C36" s="73"/>
      <c r="D36" s="73"/>
      <c r="E36" s="73"/>
      <c r="F36" s="73"/>
      <c r="G36" s="73"/>
    </row>
  </sheetData>
  <mergeCells count="20">
    <mergeCell ref="B11:D11"/>
    <mergeCell ref="B28:H28"/>
    <mergeCell ref="C29:G29"/>
    <mergeCell ref="I29:L29"/>
    <mergeCell ref="B36:G36"/>
    <mergeCell ref="B7:C7"/>
    <mergeCell ref="D7:E7"/>
    <mergeCell ref="F7:G7"/>
    <mergeCell ref="H7:I7"/>
    <mergeCell ref="B8:C8"/>
    <mergeCell ref="D8:E8"/>
    <mergeCell ref="F8:G8"/>
    <mergeCell ref="H8:I8"/>
    <mergeCell ref="B2:L2"/>
    <mergeCell ref="B3:L3"/>
    <mergeCell ref="B4:L4"/>
    <mergeCell ref="B6:C6"/>
    <mergeCell ref="D6:E6"/>
    <mergeCell ref="F6:G6"/>
    <mergeCell ref="H6:I6"/>
  </mergeCells>
  <conditionalFormatting sqref="L31:L35">
    <cfRule type="cellIs" dxfId="3" priority="2" operator="equal">
      <formula>"Gering"</formula>
    </cfRule>
    <cfRule type="cellIs" dxfId="2" priority="3" operator="equal">
      <formula>"Mittel"</formula>
    </cfRule>
    <cfRule type="cellIs" dxfId="1" priority="4" operator="equal">
      <formula>"Hoch"</formula>
    </cfRule>
    <cfRule type="cellIs" dxfId="0" priority="5" operator="equal">
      <formula>"Kritisch"</formula>
    </cfRule>
  </conditionalFormatting>
  <pageMargins left="0.75" right="0.75" top="1" bottom="1" header="0.511811023622047" footer="0.5"/>
  <pageSetup orientation="landscape" horizontalDpi="300" verticalDpi="300"/>
  <headerFooter>
    <oddFooter>&amp;RVertraulich · Interner Gebrauch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Risikobewertung</vt:lpstr>
      <vt:lpstr>Anleitung</vt:lpstr>
      <vt:lpstr>Dashboard</vt:lpstr>
      <vt:lpstr>Risikobewertung!Drucktitel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2026-08-31T17:42:17Z</dcterms:created>
  <dcterms:modified xsi:type="dcterms:W3CDTF">2026-09-02T08:36:53Z</dcterms:modified>
  <dc:language>en-US</dc:language>
</cp:coreProperties>
</file>