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BBCFB67D-F9AC-427A-B978-F4FA53C41516}" xr6:coauthVersionLast="47" xr6:coauthVersionMax="47" xr10:uidLastSave="{00000000-0000-0000-0000-000000000000}"/>
  <bookViews>
    <workbookView xWindow="690" yWindow="690" windowWidth="25500" windowHeight="13500" tabRatio="500" activeTab="1" xr2:uid="{00000000-000D-0000-FFFF-FFFF00000000}"/>
  </bookViews>
  <sheets>
    <sheet name="Übersicht" sheetId="1" r:id="rId1"/>
    <sheet name="Gruppentabellen" sheetId="2" r:id="rId2"/>
    <sheet name="Spielplan" sheetId="3" r:id="rId3"/>
    <sheet name="Finalrund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2" i="4" l="1"/>
  <c r="G14" i="4" s="1"/>
  <c r="K27" i="3"/>
  <c r="H27" i="3"/>
  <c r="G27" i="3"/>
  <c r="K26" i="3"/>
  <c r="H26" i="3"/>
  <c r="G26" i="3"/>
  <c r="K25" i="3"/>
  <c r="H25" i="3"/>
  <c r="G25" i="3"/>
  <c r="K24" i="3"/>
  <c r="H24" i="3"/>
  <c r="G24" i="3"/>
  <c r="K23" i="3"/>
  <c r="H23" i="3"/>
  <c r="G23" i="3"/>
  <c r="K22" i="3"/>
  <c r="H22" i="3"/>
  <c r="G22" i="3"/>
  <c r="K21" i="3"/>
  <c r="H21" i="3"/>
  <c r="G21" i="3"/>
  <c r="K20" i="3"/>
  <c r="H20" i="3"/>
  <c r="G20" i="3"/>
  <c r="K19" i="3"/>
  <c r="H19" i="3"/>
  <c r="G19" i="3"/>
  <c r="K18" i="3"/>
  <c r="H18" i="3"/>
  <c r="G18" i="3"/>
  <c r="K17" i="3"/>
  <c r="H17" i="3"/>
  <c r="G17" i="3"/>
  <c r="K16" i="3"/>
  <c r="H16" i="3"/>
  <c r="G16" i="3"/>
  <c r="K15" i="3"/>
  <c r="H15" i="3"/>
  <c r="G15" i="3"/>
  <c r="K14" i="3"/>
  <c r="H14" i="3"/>
  <c r="G14" i="3"/>
  <c r="K13" i="3"/>
  <c r="H13" i="3"/>
  <c r="G13" i="3"/>
  <c r="K12" i="3"/>
  <c r="H12" i="3"/>
  <c r="G12" i="3"/>
  <c r="K11" i="3"/>
  <c r="H11" i="3"/>
  <c r="G11" i="3"/>
  <c r="K10" i="3"/>
  <c r="H10" i="3"/>
  <c r="G10" i="3"/>
  <c r="K9" i="3"/>
  <c r="H9" i="3"/>
  <c r="G9" i="3"/>
  <c r="K8" i="3"/>
  <c r="H8" i="3"/>
  <c r="G8" i="3"/>
  <c r="K7" i="3"/>
  <c r="H7" i="3"/>
  <c r="G7" i="3"/>
  <c r="K6" i="3"/>
  <c r="H6" i="3"/>
  <c r="G6" i="3"/>
  <c r="K5" i="3"/>
  <c r="H5" i="3"/>
  <c r="G5" i="3"/>
  <c r="K4" i="3"/>
  <c r="H4" i="3"/>
  <c r="G4" i="3"/>
  <c r="U17" i="2"/>
  <c r="T17" i="2"/>
  <c r="V17" i="2" s="1"/>
  <c r="R17" i="2"/>
  <c r="Q17" i="2"/>
  <c r="W17" i="2" s="1"/>
  <c r="AB17" i="2" s="1"/>
  <c r="P17" i="2"/>
  <c r="S17" i="2" s="1"/>
  <c r="I17" i="2"/>
  <c r="H17" i="2"/>
  <c r="J17" i="2" s="1"/>
  <c r="F17" i="2"/>
  <c r="E17" i="2"/>
  <c r="K17" i="2" s="1"/>
  <c r="D17" i="2"/>
  <c r="G17" i="2" s="1"/>
  <c r="U16" i="2"/>
  <c r="T16" i="2"/>
  <c r="V16" i="2" s="1"/>
  <c r="R16" i="2"/>
  <c r="Q16" i="2"/>
  <c r="W16" i="2" s="1"/>
  <c r="AB16" i="2" s="1"/>
  <c r="P16" i="2"/>
  <c r="S16" i="2" s="1"/>
  <c r="I16" i="2"/>
  <c r="H16" i="2"/>
  <c r="J16" i="2" s="1"/>
  <c r="F16" i="2"/>
  <c r="E16" i="2"/>
  <c r="K16" i="2" s="1"/>
  <c r="AA16" i="2" s="1"/>
  <c r="D16" i="2"/>
  <c r="G16" i="2" s="1"/>
  <c r="U15" i="2"/>
  <c r="T15" i="2"/>
  <c r="V15" i="2" s="1"/>
  <c r="R15" i="2"/>
  <c r="Q15" i="2"/>
  <c r="W15" i="2" s="1"/>
  <c r="AB15" i="2" s="1"/>
  <c r="N15" i="2" s="1"/>
  <c r="P15" i="2"/>
  <c r="S15" i="2" s="1"/>
  <c r="I15" i="2"/>
  <c r="H15" i="2"/>
  <c r="J15" i="2" s="1"/>
  <c r="F15" i="2"/>
  <c r="E15" i="2"/>
  <c r="K15" i="2" s="1"/>
  <c r="D15" i="2"/>
  <c r="G15" i="2" s="1"/>
  <c r="U14" i="2"/>
  <c r="T14" i="2"/>
  <c r="V14" i="2" s="1"/>
  <c r="R14" i="2"/>
  <c r="Q14" i="2"/>
  <c r="W14" i="2" s="1"/>
  <c r="AB14" i="2" s="1"/>
  <c r="P14" i="2"/>
  <c r="S14" i="2" s="1"/>
  <c r="I14" i="2"/>
  <c r="H14" i="2"/>
  <c r="J14" i="2" s="1"/>
  <c r="F14" i="2"/>
  <c r="E14" i="2"/>
  <c r="K14" i="2" s="1"/>
  <c r="AA14" i="2" s="1"/>
  <c r="D14" i="2"/>
  <c r="G14" i="2" s="1"/>
  <c r="U9" i="2"/>
  <c r="T9" i="2"/>
  <c r="V9" i="2" s="1"/>
  <c r="R9" i="2"/>
  <c r="Q9" i="2"/>
  <c r="W9" i="2" s="1"/>
  <c r="AB9" i="2" s="1"/>
  <c r="N9" i="2" s="1"/>
  <c r="P9" i="2"/>
  <c r="S9" i="2" s="1"/>
  <c r="I9" i="2"/>
  <c r="H9" i="2"/>
  <c r="J9" i="2" s="1"/>
  <c r="F9" i="2"/>
  <c r="E9" i="2"/>
  <c r="K9" i="2" s="1"/>
  <c r="D9" i="2"/>
  <c r="G9" i="2" s="1"/>
  <c r="U8" i="2"/>
  <c r="T8" i="2"/>
  <c r="V8" i="2" s="1"/>
  <c r="R8" i="2"/>
  <c r="Q8" i="2"/>
  <c r="W8" i="2" s="1"/>
  <c r="AB8" i="2" s="1"/>
  <c r="P8" i="2"/>
  <c r="S8" i="2" s="1"/>
  <c r="I8" i="2"/>
  <c r="H8" i="2"/>
  <c r="J8" i="2" s="1"/>
  <c r="F8" i="2"/>
  <c r="E8" i="2"/>
  <c r="K8" i="2" s="1"/>
  <c r="AA8" i="2" s="1"/>
  <c r="D8" i="2"/>
  <c r="G8" i="2" s="1"/>
  <c r="U7" i="2"/>
  <c r="T7" i="2"/>
  <c r="V7" i="2" s="1"/>
  <c r="R7" i="2"/>
  <c r="Q7" i="2"/>
  <c r="W7" i="2" s="1"/>
  <c r="AB7" i="2" s="1"/>
  <c r="N7" i="2" s="1"/>
  <c r="P7" i="2"/>
  <c r="S7" i="2" s="1"/>
  <c r="I7" i="2"/>
  <c r="H7" i="2"/>
  <c r="J7" i="2" s="1"/>
  <c r="F7" i="2"/>
  <c r="E7" i="2"/>
  <c r="K7" i="2" s="1"/>
  <c r="D7" i="2"/>
  <c r="G7" i="2" s="1"/>
  <c r="U6" i="2"/>
  <c r="T6" i="2"/>
  <c r="V6" i="2" s="1"/>
  <c r="R6" i="2"/>
  <c r="Q6" i="2"/>
  <c r="W6" i="2" s="1"/>
  <c r="AB6" i="2" s="1"/>
  <c r="P6" i="2"/>
  <c r="S6" i="2" s="1"/>
  <c r="I6" i="2"/>
  <c r="H6" i="2"/>
  <c r="J6" i="2" s="1"/>
  <c r="F6" i="2"/>
  <c r="E6" i="2"/>
  <c r="K6" i="2" s="1"/>
  <c r="AA6" i="2" s="1"/>
  <c r="D6" i="2"/>
  <c r="G6" i="2" s="1"/>
  <c r="C18" i="1"/>
  <c r="N17" i="2" l="1"/>
  <c r="N6" i="2"/>
  <c r="N14" i="2"/>
  <c r="N16" i="2"/>
  <c r="N8" i="2"/>
  <c r="AA9" i="2"/>
  <c r="AA15" i="2"/>
  <c r="AA17" i="2"/>
  <c r="B17" i="2" s="1"/>
  <c r="AA7" i="2"/>
  <c r="B7" i="2" s="1"/>
  <c r="B16" i="2" l="1"/>
  <c r="C9" i="4"/>
  <c r="C22" i="1"/>
  <c r="C16" i="4"/>
  <c r="P16" i="4" s="1"/>
  <c r="B9" i="2"/>
  <c r="C20" i="1"/>
  <c r="C5" i="4"/>
  <c r="C12" i="4"/>
  <c r="Q12" i="4" s="1"/>
  <c r="B15" i="2"/>
  <c r="B14" i="2"/>
  <c r="B8" i="2"/>
  <c r="B6" i="2"/>
  <c r="G15" i="4" l="1"/>
  <c r="P14" i="4" s="1"/>
  <c r="C19" i="1"/>
  <c r="C4" i="4"/>
  <c r="P4" i="4" s="1"/>
  <c r="C13" i="4"/>
  <c r="C8" i="4"/>
  <c r="P8" i="4" s="1"/>
  <c r="C17" i="4"/>
  <c r="Q16" i="4" s="1"/>
  <c r="C21" i="1"/>
  <c r="G6" i="4" l="1"/>
  <c r="P6" i="4" s="1"/>
  <c r="Q4" i="4"/>
  <c r="Q14" i="4"/>
  <c r="C20" i="4" s="1"/>
  <c r="K11" i="4"/>
  <c r="Q8" i="4"/>
  <c r="G7" i="4"/>
  <c r="K10" i="4" l="1"/>
  <c r="P10" i="4" s="1"/>
  <c r="Q6" i="4"/>
  <c r="C19" i="4" s="1"/>
  <c r="P19" i="4" s="1"/>
  <c r="Q19" i="4" s="1"/>
  <c r="G19" i="4" l="1"/>
  <c r="C23" i="1"/>
  <c r="Q10" i="4"/>
</calcChain>
</file>

<file path=xl/sharedStrings.xml><?xml version="1.0" encoding="utf-8"?>
<sst xmlns="http://schemas.openxmlformats.org/spreadsheetml/2006/main" count="217" uniqueCount="107">
  <si>
    <t xml:space="preserve">  16 Mannschaften · 4 Gruppen · Gruppenphase &amp; K.-o.-Runde bis zum Finale</t>
  </si>
  <si>
    <t xml:space="preserve">  TURNIER-ECKDATEN</t>
  </si>
  <si>
    <t>Turniername</t>
  </si>
  <si>
    <t>Sommer-Cup 2026</t>
  </si>
  <si>
    <t>Datum</t>
  </si>
  <si>
    <t>Samstag, 18. Juli 2026</t>
  </si>
  <si>
    <t>Austragungsort</t>
  </si>
  <si>
    <t>Sportpark Musterstadt, Musterstraße 1</t>
  </si>
  <si>
    <t>Veranstalter</t>
  </si>
  <si>
    <t>Musterverein 2000 e. V.</t>
  </si>
  <si>
    <t>Modus</t>
  </si>
  <si>
    <t>4 Gruppen à 4 Teams · Viertel-, Halbfinale, Finale</t>
  </si>
  <si>
    <t>Anzahl Mannschaften</t>
  </si>
  <si>
    <t xml:space="preserve">  PUNKTEREGELN</t>
  </si>
  <si>
    <t>Sieg</t>
  </si>
  <si>
    <t>Unentschieden</t>
  </si>
  <si>
    <t>Niederlage</t>
  </si>
  <si>
    <t xml:space="preserve">  TURNIERSTATUS  ·  automatisch</t>
  </si>
  <si>
    <t>Gespielte Gruppenspiele</t>
  </si>
  <si>
    <t>Gruppensieger A</t>
  </si>
  <si>
    <t>Gruppensieger B</t>
  </si>
  <si>
    <t>Gruppensieger C</t>
  </si>
  <si>
    <t>Gruppensieger D</t>
  </si>
  <si>
    <t>Turniersieger</t>
  </si>
  <si>
    <t xml:space="preserve">  LEGENDE &amp; KURZANLEITUNG</t>
  </si>
  <si>
    <t>Eingabefeld</t>
  </si>
  <si>
    <t>Gelb = hier eintragen (Namen, Ergebnisse, Eckdaten).</t>
  </si>
  <si>
    <t>Automatik</t>
  </si>
  <si>
    <t>Weiß/Grün = wird berechnet – nicht überschreiben.</t>
  </si>
  <si>
    <t>1.  »Gruppentabellen«: die 16 Mannschaftsnamen in den Gruppen A–D eintragen.</t>
  </si>
  <si>
    <t>2.  »Spielplan«: Anstoßzeiten, Felder und Tore der 24 Gruppenspiele erfassen.</t>
  </si>
  <si>
    <t>3.  Tabellen berechnen Punkte, Tordifferenz und Platzierung automatisch.</t>
  </si>
  <si>
    <t>4.  »Finalrunde«: Viertelfinale bis Finale ziehen die Qualifikanten selbst.</t>
  </si>
  <si>
    <t>5.  Unentschieden im K.-o.: Sieger in der gelben Spalte »n. E.« wählen.</t>
  </si>
  <si>
    <t>Hinweis: Alle Namen, Orte und Ergebnisse sind Beispieldaten und können überschrieben werden.</t>
  </si>
  <si>
    <t xml:space="preserve">  Rangfolge automatisch nach: Punkte → Tordifferenz → erzielte Tore</t>
  </si>
  <si>
    <t xml:space="preserve">  GRUPPE A</t>
  </si>
  <si>
    <t xml:space="preserve">  GRUPPE B</t>
  </si>
  <si>
    <t>Pl.</t>
  </si>
  <si>
    <t>Mannschaft</t>
  </si>
  <si>
    <t>Sp</t>
  </si>
  <si>
    <t>S</t>
  </si>
  <si>
    <t>U</t>
  </si>
  <si>
    <t>N</t>
  </si>
  <si>
    <t>Tore</t>
  </si>
  <si>
    <t>Geg.</t>
  </si>
  <si>
    <t>Diff</t>
  </si>
  <si>
    <t>Pkt</t>
  </si>
  <si>
    <t>FC Adler</t>
  </si>
  <si>
    <t>VfL Wölfe</t>
  </si>
  <si>
    <t>SV Falken</t>
  </si>
  <si>
    <t>FC Bären</t>
  </si>
  <si>
    <t>TuS Löwen</t>
  </si>
  <si>
    <t>SG Habichte</t>
  </si>
  <si>
    <t>SC Panther</t>
  </si>
  <si>
    <t>TSV Luchse</t>
  </si>
  <si>
    <t xml:space="preserve">  GRUPPE C</t>
  </si>
  <si>
    <t xml:space="preserve">  GRUPPE D</t>
  </si>
  <si>
    <t>SV Delfine</t>
  </si>
  <si>
    <t>VfB Hirsche</t>
  </si>
  <si>
    <t>FC Kraniche</t>
  </si>
  <si>
    <t>FC Möwen</t>
  </si>
  <si>
    <t>TuS Füchse</t>
  </si>
  <si>
    <t>SpVgg Dachse</t>
  </si>
  <si>
    <t>SC Reiher</t>
  </si>
  <si>
    <t>TSV Biber</t>
  </si>
  <si>
    <t xml:space="preserve">  Nur die gelben Namensfelder ausfüllen – alle Werte und die Rangfolge berechnen sich selbst.</t>
  </si>
  <si>
    <t xml:space="preserve">  Paarungen fest hinterlegt (Jeder gegen Jeden). Nur Anstoß, Feld und Tore eintragen.</t>
  </si>
  <si>
    <t>Nr.</t>
  </si>
  <si>
    <t>Spieltag</t>
  </si>
  <si>
    <t>Anstoß</t>
  </si>
  <si>
    <t>Feld</t>
  </si>
  <si>
    <t>Gruppe</t>
  </si>
  <si>
    <t>Heim</t>
  </si>
  <si>
    <t>Gast</t>
  </si>
  <si>
    <t>Tore Heim</t>
  </si>
  <si>
    <t>Tore Gast</t>
  </si>
  <si>
    <t>Ergebnis</t>
  </si>
  <si>
    <t>1. Spieltag</t>
  </si>
  <si>
    <t>09:00</t>
  </si>
  <si>
    <t>Feld 1</t>
  </si>
  <si>
    <t>A</t>
  </si>
  <si>
    <t>Feld 2</t>
  </si>
  <si>
    <t>B</t>
  </si>
  <si>
    <t>Feld 3</t>
  </si>
  <si>
    <t>C</t>
  </si>
  <si>
    <t>Feld 4</t>
  </si>
  <si>
    <t>D</t>
  </si>
  <si>
    <t>09:30</t>
  </si>
  <si>
    <t>2. Spieltag</t>
  </si>
  <si>
    <t>10:00</t>
  </si>
  <si>
    <t>10:30</t>
  </si>
  <si>
    <t>3. Spieltag</t>
  </si>
  <si>
    <t>11:00</t>
  </si>
  <si>
    <t>11:30</t>
  </si>
  <si>
    <t xml:space="preserve">  Heim/Gast stammen aus den Gruppentabellen. Gelbe Felder = Eingabe.</t>
  </si>
  <si>
    <t xml:space="preserve">  Qualifikanten aus den Gruppentabellen · Sieger ziehen automatisch in die nächste Runde</t>
  </si>
  <si>
    <t>VIERTELFINALE</t>
  </si>
  <si>
    <t>HALBFINALE</t>
  </si>
  <si>
    <t>FINALE</t>
  </si>
  <si>
    <t xml:space="preserve">  SPIEL UM PLATZ 3</t>
  </si>
  <si>
    <t xml:space="preserve">  🏆 TURNIERSIEGER 2026</t>
  </si>
  <si>
    <t xml:space="preserve">  Bei Unentschieden im K.-o.-Spiel den Sieger nach Elfmeterschießen in der gelben Spalte »n. E.« auswählen · Gewinner werden grün markiert.</t>
  </si>
  <si>
    <t xml:space="preserve">  FUSSBALL – TURNIERPLAN</t>
  </si>
  <si>
    <t xml:space="preserve">    FUSSBALL – TURNIERPLAN – GRUPPENTABELLEN </t>
  </si>
  <si>
    <t xml:space="preserve">    FUSSBALL – TURNIERPLAN –   SPIELPLAN · GRUPPENPHASE</t>
  </si>
  <si>
    <t xml:space="preserve">      FUSSBALL – TURNIERPLAN – FINALRUNDE · K.-O.-SYSTEM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</si>
</sst>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.5"/>
      <color rgb="FFC7D6E5"/>
      <name val="Calibri"/>
      <charset val="1"/>
    </font>
    <font>
      <b/>
      <sz val="11"/>
      <color rgb="FFFFFFFF"/>
      <name val="Calibri"/>
      <charset val="1"/>
    </font>
    <font>
      <b/>
      <sz val="11"/>
      <color rgb="FF16222E"/>
      <name val="Calibri"/>
      <charset val="1"/>
    </font>
    <font>
      <sz val="11"/>
      <color rgb="FF16222E"/>
      <name val="Calibri"/>
      <charset val="1"/>
    </font>
    <font>
      <b/>
      <sz val="11"/>
      <color rgb="FF2E8B57"/>
      <name val="Calibri"/>
      <charset val="1"/>
    </font>
    <font>
      <b/>
      <sz val="10"/>
      <color rgb="FF16222E"/>
      <name val="Calibri"/>
      <charset val="1"/>
    </font>
    <font>
      <sz val="10.5"/>
      <color rgb="FF16222E"/>
      <name val="Calibri"/>
      <charset val="1"/>
    </font>
    <font>
      <b/>
      <sz val="10"/>
      <color rgb="FF2E8B57"/>
      <name val="Calibri"/>
      <charset val="1"/>
    </font>
    <font>
      <i/>
      <sz val="9.5"/>
      <color rgb="FF6B7B8C"/>
      <name val="Calibri"/>
      <charset val="1"/>
    </font>
    <font>
      <b/>
      <sz val="18"/>
      <color rgb="FFFFFFFF"/>
      <name val="Calibri"/>
      <charset val="1"/>
    </font>
    <font>
      <sz val="10"/>
      <color rgb="FFC7D6E5"/>
      <name val="Calibri"/>
      <charset val="1"/>
    </font>
    <font>
      <b/>
      <sz val="12"/>
      <color rgb="FFFFFFFF"/>
      <name val="Calibri"/>
      <charset val="1"/>
    </font>
    <font>
      <b/>
      <sz val="10.5"/>
      <color rgb="FF10263A"/>
      <name val="Calibri"/>
      <charset val="1"/>
    </font>
    <font>
      <b/>
      <sz val="11"/>
      <color rgb="FF10263A"/>
      <name val="Calibri"/>
      <charset val="1"/>
    </font>
    <font>
      <sz val="9"/>
      <color rgb="FF6B7B8C"/>
      <name val="Calibri"/>
      <charset val="1"/>
    </font>
    <font>
      <sz val="10"/>
      <color rgb="FF6B7B8C"/>
      <name val="Calibri"/>
      <charset val="1"/>
    </font>
    <font>
      <sz val="10"/>
      <color rgb="FF16222E"/>
      <name val="Calibri"/>
      <charset val="1"/>
    </font>
    <font>
      <b/>
      <sz val="12"/>
      <color rgb="FF3B2E00"/>
      <name val="Calibri"/>
      <charset val="1"/>
    </font>
    <font>
      <b/>
      <sz val="15"/>
      <color rgb="FF10263A"/>
      <name val="Calibri"/>
      <charset val="1"/>
    </font>
  </fonts>
  <fills count="18">
    <fill>
      <patternFill patternType="none"/>
    </fill>
    <fill>
      <patternFill patternType="gray125"/>
    </fill>
    <fill>
      <patternFill patternType="solid">
        <fgColor rgb="FF10263A"/>
        <bgColor rgb="FF16222E"/>
      </patternFill>
    </fill>
    <fill>
      <patternFill patternType="solid">
        <fgColor rgb="FF23486B"/>
        <bgColor rgb="FF10263A"/>
      </patternFill>
    </fill>
    <fill>
      <patternFill patternType="solid">
        <fgColor rgb="FFEAF1F7"/>
        <bgColor rgb="FFF5F8FB"/>
      </patternFill>
    </fill>
    <fill>
      <patternFill patternType="solid">
        <fgColor rgb="FFFFF6D5"/>
        <bgColor rgb="FFFBF3DA"/>
      </patternFill>
    </fill>
    <fill>
      <patternFill patternType="solid">
        <fgColor rgb="FFFFFFFF"/>
        <bgColor rgb="FFFFFBEA"/>
      </patternFill>
    </fill>
    <fill>
      <patternFill patternType="solid">
        <fgColor rgb="FFD9ECE0"/>
        <bgColor rgb="FFD7E2EE"/>
      </patternFill>
    </fill>
    <fill>
      <patternFill patternType="solid">
        <fgColor rgb="FF2C6E9B"/>
        <bgColor rgb="FF2E8B7A"/>
      </patternFill>
    </fill>
    <fill>
      <patternFill patternType="solid">
        <fgColor rgb="FF2E8B7A"/>
        <bgColor rgb="FF2E8B57"/>
      </patternFill>
    </fill>
    <fill>
      <patternFill patternType="solid">
        <fgColor rgb="FFD7E2EE"/>
        <bgColor rgb="FFD9ECE0"/>
      </patternFill>
    </fill>
    <fill>
      <patternFill patternType="solid">
        <fgColor rgb="FFF5F8FB"/>
        <bgColor rgb="FFFFFFFF"/>
      </patternFill>
    </fill>
    <fill>
      <patternFill patternType="solid">
        <fgColor rgb="FFB07A2E"/>
        <bgColor rgb="FFC69A3C"/>
      </patternFill>
    </fill>
    <fill>
      <patternFill patternType="solid">
        <fgColor rgb="FF7E5178"/>
        <bgColor rgb="FF993366"/>
      </patternFill>
    </fill>
    <fill>
      <patternFill patternType="solid">
        <fgColor rgb="FFC69A3C"/>
        <bgColor rgb="FFB07A2E"/>
      </patternFill>
    </fill>
    <fill>
      <patternFill patternType="solid">
        <fgColor rgb="FFFFFBEA"/>
        <bgColor rgb="FFFFFFFF"/>
      </patternFill>
    </fill>
    <fill>
      <patternFill patternType="solid">
        <fgColor rgb="FFFBF1D8"/>
        <bgColor rgb="FFFBF3DA"/>
      </patternFill>
    </fill>
    <fill>
      <patternFill patternType="solid">
        <fgColor rgb="FFFBF3DA"/>
        <bgColor rgb="FFFBF1D8"/>
      </patternFill>
    </fill>
  </fills>
  <borders count="6">
    <border>
      <left/>
      <right/>
      <top/>
      <bottom/>
      <diagonal/>
    </border>
    <border>
      <left style="thin">
        <color rgb="FFC4D2E0"/>
      </left>
      <right style="thin">
        <color rgb="FFC4D2E0"/>
      </right>
      <top style="thin">
        <color rgb="FFC4D2E0"/>
      </top>
      <bottom style="thin">
        <color rgb="FFC4D2E0"/>
      </bottom>
      <diagonal/>
    </border>
    <border>
      <left style="thin">
        <color rgb="FFC4D2E0"/>
      </left>
      <right style="thin">
        <color rgb="FFC4D2E0"/>
      </right>
      <top style="thin">
        <color rgb="FFC4D2E0"/>
      </top>
      <bottom/>
      <diagonal/>
    </border>
    <border>
      <left style="medium">
        <color rgb="FF23486B"/>
      </left>
      <right/>
      <top/>
      <bottom/>
      <diagonal/>
    </border>
    <border>
      <left style="thin">
        <color rgb="FFC69A3C"/>
      </left>
      <right style="thin">
        <color rgb="FFC69A3C"/>
      </right>
      <top style="thin">
        <color rgb="FFC69A3C"/>
      </top>
      <bottom style="thin">
        <color rgb="FFC69A3C"/>
      </bottom>
      <diagonal/>
    </border>
    <border>
      <left style="thin">
        <color rgb="FFC69A3C"/>
      </left>
      <right/>
      <top style="thin">
        <color rgb="FFC69A3C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1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13" borderId="0" xfId="0" applyFont="1" applyFill="1" applyAlignment="1">
      <alignment horizontal="left" vertical="center"/>
    </xf>
    <xf numFmtId="0" fontId="13" fillId="12" borderId="0" xfId="0" applyFont="1" applyFill="1" applyAlignment="1">
      <alignment horizontal="left" vertical="center"/>
    </xf>
    <xf numFmtId="0" fontId="13" fillId="9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0" borderId="0" xfId="0" applyFont="1"/>
    <xf numFmtId="0" fontId="8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16" fillId="0" borderId="0" xfId="0" applyFont="1"/>
    <xf numFmtId="0" fontId="1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0" fillId="0" borderId="3" xfId="0" applyBorder="1"/>
    <xf numFmtId="0" fontId="4" fillId="16" borderId="4" xfId="0" applyFont="1" applyFill="1" applyBorder="1" applyAlignment="1">
      <alignment horizontal="left" vertical="center"/>
    </xf>
    <xf numFmtId="0" fontId="17" fillId="15" borderId="2" xfId="0" applyFont="1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/>
    </xf>
    <xf numFmtId="0" fontId="19" fillId="14" borderId="0" xfId="0" applyFont="1" applyFill="1" applyAlignment="1">
      <alignment horizontal="left" vertical="center"/>
    </xf>
    <xf numFmtId="0" fontId="20" fillId="17" borderId="5" xfId="0" applyFont="1" applyFill="1" applyBorder="1" applyAlignment="1">
      <alignment horizontal="center" vertical="center"/>
    </xf>
  </cellXfs>
  <cellStyles count="1">
    <cellStyle name="Standard" xfId="0" builtinId="0"/>
  </cellStyles>
  <dxfs count="8"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  <dxf>
      <font>
        <b/>
        <sz val="11"/>
        <color rgb="FF2E8B57"/>
        <name val="Calibri"/>
        <charset val="1"/>
      </font>
      <fill>
        <patternFill>
          <bgColor rgb="FFD9EC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7A2E"/>
      <rgbColor rgb="FF800080"/>
      <rgbColor rgb="FF2E8B7A"/>
      <rgbColor rgb="FFC4D2E0"/>
      <rgbColor rgb="FF6B7B8C"/>
      <rgbColor rgb="FF9999FF"/>
      <rgbColor rgb="FF993366"/>
      <rgbColor rgb="FFFFF6D5"/>
      <rgbColor rgb="FFEAF1F7"/>
      <rgbColor rgb="FF660066"/>
      <rgbColor rgb="FFFF8080"/>
      <rgbColor rgb="FF0066CC"/>
      <rgbColor rgb="FFC7D6E5"/>
      <rgbColor rgb="FF000080"/>
      <rgbColor rgb="FFFF00FF"/>
      <rgbColor rgb="FFFFFF00"/>
      <rgbColor rgb="FF00FFFF"/>
      <rgbColor rgb="FF800080"/>
      <rgbColor rgb="FF800000"/>
      <rgbColor rgb="FF2C6E9B"/>
      <rgbColor rgb="FF0000FF"/>
      <rgbColor rgb="FF00CCFF"/>
      <rgbColor rgb="FFF5F8FB"/>
      <rgbColor rgb="FFD9ECE0"/>
      <rgbColor rgb="FFFBF3DA"/>
      <rgbColor rgb="FFD7E2EE"/>
      <rgbColor rgb="FFFFFBEA"/>
      <rgbColor rgb="FFCC99FF"/>
      <rgbColor rgb="FFFBF1D8"/>
      <rgbColor rgb="FF3366FF"/>
      <rgbColor rgb="FF33CCCC"/>
      <rgbColor rgb="FF99CC00"/>
      <rgbColor rgb="FFFFCC00"/>
      <rgbColor rgb="FFC69A3C"/>
      <rgbColor rgb="FFFF6600"/>
      <rgbColor rgb="FF7E5178"/>
      <rgbColor rgb="FF969696"/>
      <rgbColor rgb="FF10263A"/>
      <rgbColor rgb="FF2E8B57"/>
      <rgbColor rgb="FF003300"/>
      <rgbColor rgb="FF3B2E00"/>
      <rgbColor rgb="FF993300"/>
      <rgbColor rgb="FF993366"/>
      <rgbColor rgb="FF23486B"/>
      <rgbColor rgb="FF1622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3"/>
  <sheetViews>
    <sheetView showGridLines="0" zoomScaleNormal="100" workbookViewId="0">
      <selection activeCell="B1" sqref="B1:G1"/>
    </sheetView>
  </sheetViews>
  <sheetFormatPr baseColWidth="10" defaultColWidth="8.7109375" defaultRowHeight="15" x14ac:dyDescent="0.25"/>
  <cols>
    <col min="1" max="1" width="2" customWidth="1"/>
    <col min="2" max="2" width="26" customWidth="1"/>
    <col min="3" max="3" width="46" customWidth="1"/>
    <col min="4" max="7" width="4" customWidth="1"/>
  </cols>
  <sheetData>
    <row r="1" spans="2:7" ht="42" customHeight="1" x14ac:dyDescent="0.25">
      <c r="B1" s="14" t="s">
        <v>103</v>
      </c>
      <c r="C1" s="14"/>
      <c r="D1" s="14"/>
      <c r="E1" s="14"/>
      <c r="F1" s="14"/>
      <c r="G1" s="14"/>
    </row>
    <row r="2" spans="2:7" ht="18" customHeight="1" x14ac:dyDescent="0.25">
      <c r="B2" s="13" t="s">
        <v>0</v>
      </c>
      <c r="C2" s="13"/>
      <c r="D2" s="13"/>
      <c r="E2" s="13"/>
      <c r="F2" s="13"/>
      <c r="G2" s="13"/>
    </row>
    <row r="4" spans="2:7" ht="21.75" customHeight="1" x14ac:dyDescent="0.25">
      <c r="B4" s="12" t="s">
        <v>1</v>
      </c>
      <c r="C4" s="12"/>
      <c r="D4" s="12"/>
      <c r="E4" s="12"/>
      <c r="F4" s="12"/>
      <c r="G4" s="12"/>
    </row>
    <row r="5" spans="2:7" ht="18.75" customHeight="1" x14ac:dyDescent="0.25">
      <c r="B5" s="15" t="s">
        <v>2</v>
      </c>
      <c r="C5" s="16" t="s">
        <v>3</v>
      </c>
    </row>
    <row r="6" spans="2:7" ht="18.75" customHeight="1" x14ac:dyDescent="0.25">
      <c r="B6" s="15" t="s">
        <v>4</v>
      </c>
      <c r="C6" s="16" t="s">
        <v>5</v>
      </c>
    </row>
    <row r="7" spans="2:7" ht="18.75" customHeight="1" x14ac:dyDescent="0.25">
      <c r="B7" s="15" t="s">
        <v>6</v>
      </c>
      <c r="C7" s="16" t="s">
        <v>7</v>
      </c>
    </row>
    <row r="8" spans="2:7" ht="18.75" customHeight="1" x14ac:dyDescent="0.25">
      <c r="B8" s="15" t="s">
        <v>8</v>
      </c>
      <c r="C8" s="16" t="s">
        <v>9</v>
      </c>
    </row>
    <row r="9" spans="2:7" ht="18.75" customHeight="1" x14ac:dyDescent="0.25">
      <c r="B9" s="15" t="s">
        <v>10</v>
      </c>
      <c r="C9" s="16" t="s">
        <v>11</v>
      </c>
    </row>
    <row r="10" spans="2:7" ht="18.75" customHeight="1" x14ac:dyDescent="0.25">
      <c r="B10" s="15" t="s">
        <v>12</v>
      </c>
      <c r="C10" s="16">
        <v>16</v>
      </c>
    </row>
    <row r="12" spans="2:7" ht="21.75" customHeight="1" x14ac:dyDescent="0.25">
      <c r="B12" s="12" t="s">
        <v>13</v>
      </c>
      <c r="C12" s="12"/>
      <c r="D12" s="12"/>
      <c r="E12" s="12"/>
      <c r="F12" s="12"/>
      <c r="G12" s="12"/>
    </row>
    <row r="13" spans="2:7" ht="18.75" customHeight="1" x14ac:dyDescent="0.25">
      <c r="B13" s="15" t="s">
        <v>14</v>
      </c>
      <c r="C13" s="16">
        <v>3</v>
      </c>
    </row>
    <row r="14" spans="2:7" ht="18.75" customHeight="1" x14ac:dyDescent="0.25">
      <c r="B14" s="15" t="s">
        <v>15</v>
      </c>
      <c r="C14" s="16">
        <v>1</v>
      </c>
    </row>
    <row r="15" spans="2:7" ht="18.75" customHeight="1" x14ac:dyDescent="0.25">
      <c r="B15" s="15" t="s">
        <v>16</v>
      </c>
      <c r="C15" s="16">
        <v>0</v>
      </c>
    </row>
    <row r="17" spans="2:7" ht="21.75" customHeight="1" x14ac:dyDescent="0.25">
      <c r="B17" s="12" t="s">
        <v>17</v>
      </c>
      <c r="C17" s="12"/>
      <c r="D17" s="12"/>
      <c r="E17" s="12"/>
      <c r="F17" s="12"/>
      <c r="G17" s="12"/>
    </row>
    <row r="18" spans="2:7" ht="18.75" customHeight="1" x14ac:dyDescent="0.25">
      <c r="B18" s="15" t="s">
        <v>18</v>
      </c>
      <c r="C18" s="17" t="str">
        <f>SUMPRODUCT(ISNUMBER(Spielplan!$I$4:$I$27)*ISNUMBER(Spielplan!$J$4:$J$27))&amp;" von 24"</f>
        <v>24 von 24</v>
      </c>
    </row>
    <row r="19" spans="2:7" ht="18.75" customHeight="1" x14ac:dyDescent="0.25">
      <c r="B19" s="15" t="s">
        <v>19</v>
      </c>
      <c r="C19" s="17" t="str">
        <f>INDEX(Gruppentabellen!$C$6:$C$9,MATCH(1,Gruppentabellen!$B$6:$B$9,0))</f>
        <v>FC Adler</v>
      </c>
    </row>
    <row r="20" spans="2:7" ht="18.75" customHeight="1" x14ac:dyDescent="0.25">
      <c r="B20" s="15" t="s">
        <v>20</v>
      </c>
      <c r="C20" s="17" t="str">
        <f>INDEX(Gruppentabellen!$O$6:$O$9,MATCH(1,Gruppentabellen!$N$6:$N$9,0))</f>
        <v>FC Bären</v>
      </c>
    </row>
    <row r="21" spans="2:7" ht="18.75" customHeight="1" x14ac:dyDescent="0.25">
      <c r="B21" s="15" t="s">
        <v>21</v>
      </c>
      <c r="C21" s="17" t="str">
        <f>INDEX(Gruppentabellen!$C$14:$C$17,MATCH(1,Gruppentabellen!$B$14:$B$17,0))</f>
        <v>SV Delfine</v>
      </c>
    </row>
    <row r="22" spans="2:7" ht="18.75" customHeight="1" x14ac:dyDescent="0.25">
      <c r="B22" s="15" t="s">
        <v>22</v>
      </c>
      <c r="C22" s="17" t="str">
        <f>INDEX(Gruppentabellen!$O$14:$O$17,MATCH(1,Gruppentabellen!$N$14:$N$17,0))</f>
        <v>FC Möwen</v>
      </c>
    </row>
    <row r="23" spans="2:7" ht="18.75" customHeight="1" x14ac:dyDescent="0.25">
      <c r="B23" s="15" t="s">
        <v>23</v>
      </c>
      <c r="C23" s="18" t="str">
        <f>IF(Finalrunde!$P$10="","noch offen",Finalrunde!$P$10)</f>
        <v>FC Adler</v>
      </c>
    </row>
    <row r="25" spans="2:7" ht="21.75" customHeight="1" x14ac:dyDescent="0.25">
      <c r="B25" s="12" t="s">
        <v>24</v>
      </c>
      <c r="C25" s="12"/>
      <c r="D25" s="12"/>
      <c r="E25" s="12"/>
      <c r="F25" s="12"/>
      <c r="G25" s="12"/>
    </row>
    <row r="26" spans="2:7" x14ac:dyDescent="0.25">
      <c r="B26" s="19" t="s">
        <v>25</v>
      </c>
      <c r="C26" s="11" t="s">
        <v>26</v>
      </c>
      <c r="D26" s="11"/>
      <c r="E26" s="11"/>
      <c r="F26" s="11"/>
      <c r="G26" s="11"/>
    </row>
    <row r="27" spans="2:7" x14ac:dyDescent="0.25">
      <c r="B27" s="20" t="s">
        <v>27</v>
      </c>
      <c r="C27" s="11" t="s">
        <v>28</v>
      </c>
      <c r="D27" s="11"/>
      <c r="E27" s="11"/>
      <c r="F27" s="11"/>
      <c r="G27" s="11"/>
    </row>
    <row r="28" spans="2:7" ht="16.5" customHeight="1" x14ac:dyDescent="0.25">
      <c r="B28" s="11" t="s">
        <v>29</v>
      </c>
      <c r="C28" s="11"/>
      <c r="D28" s="11"/>
      <c r="E28" s="11"/>
      <c r="F28" s="11"/>
      <c r="G28" s="11"/>
    </row>
    <row r="29" spans="2:7" ht="16.5" customHeight="1" x14ac:dyDescent="0.25">
      <c r="B29" s="11" t="s">
        <v>30</v>
      </c>
      <c r="C29" s="11"/>
      <c r="D29" s="11"/>
      <c r="E29" s="11"/>
      <c r="F29" s="11"/>
      <c r="G29" s="11"/>
    </row>
    <row r="30" spans="2:7" ht="16.5" customHeight="1" x14ac:dyDescent="0.25">
      <c r="B30" s="11" t="s">
        <v>31</v>
      </c>
      <c r="C30" s="11"/>
      <c r="D30" s="11"/>
      <c r="E30" s="11"/>
      <c r="F30" s="11"/>
      <c r="G30" s="11"/>
    </row>
    <row r="31" spans="2:7" ht="16.5" customHeight="1" x14ac:dyDescent="0.25">
      <c r="B31" s="11" t="s">
        <v>32</v>
      </c>
      <c r="C31" s="11"/>
      <c r="D31" s="11"/>
      <c r="E31" s="11"/>
      <c r="F31" s="11"/>
      <c r="G31" s="11"/>
    </row>
    <row r="32" spans="2:7" ht="16.5" customHeight="1" x14ac:dyDescent="0.25">
      <c r="B32" s="11" t="s">
        <v>33</v>
      </c>
      <c r="C32" s="11"/>
      <c r="D32" s="11"/>
      <c r="E32" s="11"/>
      <c r="F32" s="11"/>
      <c r="G32" s="11"/>
    </row>
    <row r="33" spans="2:7" x14ac:dyDescent="0.25">
      <c r="B33" s="10" t="s">
        <v>34</v>
      </c>
      <c r="C33" s="10"/>
      <c r="D33" s="10"/>
      <c r="E33" s="10"/>
      <c r="F33" s="10"/>
      <c r="G33" s="10"/>
    </row>
  </sheetData>
  <mergeCells count="14">
    <mergeCell ref="B30:G30"/>
    <mergeCell ref="B31:G31"/>
    <mergeCell ref="B32:G32"/>
    <mergeCell ref="B33:G33"/>
    <mergeCell ref="B25:G25"/>
    <mergeCell ref="C26:G26"/>
    <mergeCell ref="C27:G27"/>
    <mergeCell ref="B28:G28"/>
    <mergeCell ref="B29:G29"/>
    <mergeCell ref="B1:G1"/>
    <mergeCell ref="B2:G2"/>
    <mergeCell ref="B4:G4"/>
    <mergeCell ref="B12:G12"/>
    <mergeCell ref="B17:G17"/>
  </mergeCells>
  <pageMargins left="0.75" right="0.75" top="1" bottom="1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1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54" sqref="I54"/>
    </sheetView>
  </sheetViews>
  <sheetFormatPr baseColWidth="10" defaultColWidth="8.7109375" defaultRowHeight="15" x14ac:dyDescent="0.25"/>
  <cols>
    <col min="1" max="1" width="2" customWidth="1"/>
    <col min="2" max="2" width="5" customWidth="1"/>
    <col min="3" max="3" width="22" customWidth="1"/>
    <col min="4" max="7" width="5" customWidth="1"/>
    <col min="8" max="8" width="6.5703125" customWidth="1"/>
    <col min="9" max="9" width="8.42578125" customWidth="1"/>
    <col min="10" max="11" width="6" customWidth="1"/>
    <col min="13" max="13" width="2.42578125" customWidth="1"/>
    <col min="14" max="14" width="5" customWidth="1"/>
    <col min="15" max="15" width="22" customWidth="1"/>
    <col min="16" max="19" width="5" customWidth="1"/>
    <col min="20" max="20" width="6.5703125" customWidth="1"/>
    <col min="21" max="21" width="8.42578125" customWidth="1"/>
    <col min="22" max="23" width="6" customWidth="1"/>
    <col min="27" max="28" width="10" hidden="1" customWidth="1"/>
  </cols>
  <sheetData>
    <row r="1" spans="2:28" ht="31.5" customHeight="1" x14ac:dyDescent="0.25">
      <c r="B1" s="9" t="s">
        <v>104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2:28" ht="16.5" customHeight="1" x14ac:dyDescent="0.25"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4" spans="2:28" ht="19.5" customHeight="1" x14ac:dyDescent="0.25">
      <c r="B4" s="7" t="s">
        <v>36</v>
      </c>
      <c r="C4" s="7"/>
      <c r="D4" s="7"/>
      <c r="E4" s="7"/>
      <c r="F4" s="7"/>
      <c r="G4" s="7"/>
      <c r="H4" s="7"/>
      <c r="I4" s="7"/>
      <c r="J4" s="7"/>
      <c r="K4" s="7"/>
      <c r="N4" s="6" t="s">
        <v>37</v>
      </c>
      <c r="O4" s="6"/>
      <c r="P4" s="6"/>
      <c r="Q4" s="6"/>
      <c r="R4" s="6"/>
      <c r="S4" s="6"/>
      <c r="T4" s="6"/>
      <c r="U4" s="6"/>
      <c r="V4" s="6"/>
      <c r="W4" s="6"/>
    </row>
    <row r="5" spans="2:28" ht="18" customHeight="1" x14ac:dyDescent="0.25">
      <c r="B5" s="21" t="s">
        <v>38</v>
      </c>
      <c r="C5" s="21" t="s">
        <v>39</v>
      </c>
      <c r="D5" s="21" t="s">
        <v>40</v>
      </c>
      <c r="E5" s="21" t="s">
        <v>41</v>
      </c>
      <c r="F5" s="21" t="s">
        <v>42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47</v>
      </c>
      <c r="N5" s="21" t="s">
        <v>38</v>
      </c>
      <c r="O5" s="21" t="s">
        <v>39</v>
      </c>
      <c r="P5" s="21" t="s">
        <v>40</v>
      </c>
      <c r="Q5" s="21" t="s">
        <v>41</v>
      </c>
      <c r="R5" s="21" t="s">
        <v>42</v>
      </c>
      <c r="S5" s="21" t="s">
        <v>43</v>
      </c>
      <c r="T5" s="21" t="s">
        <v>44</v>
      </c>
      <c r="U5" s="21" t="s">
        <v>45</v>
      </c>
      <c r="V5" s="21" t="s">
        <v>46</v>
      </c>
      <c r="W5" s="21" t="s">
        <v>47</v>
      </c>
    </row>
    <row r="6" spans="2:28" x14ac:dyDescent="0.25">
      <c r="B6" s="22">
        <f>RANK(AA6,$AA$6:$AA$9,0)</f>
        <v>1</v>
      </c>
      <c r="C6" s="23" t="s">
        <v>48</v>
      </c>
      <c r="D6" s="24">
        <f>COUNTIFS(Spielplan!$G$4:$G$27,$C$6,Spielplan!$I$4:$I$27,"&gt;=0",Spielplan!$J$4:$J$27,"&gt;=0")+COUNTIFS(Spielplan!$H$4:$H$27,$C$6,Spielplan!$I$4:$I$27,"&gt;=0",Spielplan!$J$4:$J$27,"&gt;=0")</f>
        <v>3</v>
      </c>
      <c r="E6" s="24">
        <f>SUMPRODUCT((Spielplan!$G$4:$G$27=$C$6)*ISNUMBER(Spielplan!$I$4:$I$27)*ISNUMBER(Spielplan!$J$4:$J$27)*(Spielplan!$I$4:$I$27&gt;Spielplan!$J$4:$J$27))+SUMPRODUCT((Spielplan!$H$4:$H$27=$C$6)*ISNUMBER(Spielplan!$I$4:$I$27)*ISNUMBER(Spielplan!$J$4:$J$27)*(Spielplan!$J$4:$J$27&gt;Spielplan!$I$4:$I$27))</f>
        <v>3</v>
      </c>
      <c r="F6" s="24">
        <f>SUMPRODUCT(((Spielplan!$G$4:$G$27=$C$6)+(Spielplan!$H$4:$H$27=$C$6))*ISNUMBER(Spielplan!$I$4:$I$27)*ISNUMBER(Spielplan!$J$4:$J$27)*(Spielplan!$I$4:$I$27=Spielplan!$J$4:$J$27))</f>
        <v>0</v>
      </c>
      <c r="G6" s="24">
        <f>D6-E6-F6</f>
        <v>0</v>
      </c>
      <c r="H6" s="24">
        <f>SUMIFS(Spielplan!$I$4:$I$27,Spielplan!$G$4:$G$27,$C$6)+SUMIFS(Spielplan!$J$4:$J$27,Spielplan!$H$4:$H$27,$C$6)</f>
        <v>7</v>
      </c>
      <c r="I6" s="24">
        <f>SUMIFS(Spielplan!$J$4:$J$27,Spielplan!$G$4:$G$27,$C$6)+SUMIFS(Spielplan!$I$4:$I$27,Spielplan!$H$4:$H$27,$C$6)</f>
        <v>2</v>
      </c>
      <c r="J6" s="24">
        <f>H6-I6</f>
        <v>5</v>
      </c>
      <c r="K6" s="22">
        <f>E6*Übersicht!$C$13+F6*Übersicht!$C$14</f>
        <v>9</v>
      </c>
      <c r="N6" s="22">
        <f>RANK(AB6,$AB$6:$AB$9,0)</f>
        <v>2</v>
      </c>
      <c r="O6" s="23" t="s">
        <v>49</v>
      </c>
      <c r="P6" s="24">
        <f>COUNTIFS(Spielplan!$G$4:$G$27,$O$6,Spielplan!$I$4:$I$27,"&gt;=0",Spielplan!$J$4:$J$27,"&gt;=0")+COUNTIFS(Spielplan!$H$4:$H$27,$O$6,Spielplan!$I$4:$I$27,"&gt;=0",Spielplan!$J$4:$J$27,"&gt;=0")</f>
        <v>3</v>
      </c>
      <c r="Q6" s="24">
        <f>SUMPRODUCT((Spielplan!$G$4:$G$27=$O$6)*ISNUMBER(Spielplan!$I$4:$I$27)*ISNUMBER(Spielplan!$J$4:$J$27)*(Spielplan!$I$4:$I$27&gt;Spielplan!$J$4:$J$27))+SUMPRODUCT((Spielplan!$H$4:$H$27=$O$6)*ISNUMBER(Spielplan!$I$4:$I$27)*ISNUMBER(Spielplan!$J$4:$J$27)*(Spielplan!$J$4:$J$27&gt;Spielplan!$I$4:$I$27))</f>
        <v>1</v>
      </c>
      <c r="R6" s="24">
        <f>SUMPRODUCT(((Spielplan!$G$4:$G$27=$O$6)+(Spielplan!$H$4:$H$27=$O$6))*ISNUMBER(Spielplan!$I$4:$I$27)*ISNUMBER(Spielplan!$J$4:$J$27)*(Spielplan!$I$4:$I$27=Spielplan!$J$4:$J$27))</f>
        <v>2</v>
      </c>
      <c r="S6" s="24">
        <f>P6-Q6-R6</f>
        <v>0</v>
      </c>
      <c r="T6" s="24">
        <f>SUMIFS(Spielplan!$I$4:$I$27,Spielplan!$G$4:$G$27,$O$6)+SUMIFS(Spielplan!$J$4:$J$27,Spielplan!$H$4:$H$27,$O$6)</f>
        <v>6</v>
      </c>
      <c r="U6" s="24">
        <f>SUMIFS(Spielplan!$J$4:$J$27,Spielplan!$G$4:$G$27,$O$6)+SUMIFS(Spielplan!$I$4:$I$27,Spielplan!$H$4:$H$27,$O$6)</f>
        <v>3</v>
      </c>
      <c r="V6" s="24">
        <f>T6-U6</f>
        <v>3</v>
      </c>
      <c r="W6" s="22">
        <f>Q6*Übersicht!$C$13+R6*Übersicht!$C$14</f>
        <v>5</v>
      </c>
      <c r="AA6" s="25">
        <f>K6*1000000+(J6+500)*1000+H6*10+(9-6)</f>
        <v>9505073</v>
      </c>
      <c r="AB6" s="25">
        <f>W6*1000000+(V6+500)*1000+T6*10+(9-6)</f>
        <v>5503063</v>
      </c>
    </row>
    <row r="7" spans="2:28" x14ac:dyDescent="0.25">
      <c r="B7" s="26">
        <f>RANK(AA7,$AA$6:$AA$9,0)</f>
        <v>4</v>
      </c>
      <c r="C7" s="23" t="s">
        <v>50</v>
      </c>
      <c r="D7" s="27">
        <f>COUNTIFS(Spielplan!$G$4:$G$27,$C$7,Spielplan!$I$4:$I$27,"&gt;=0",Spielplan!$J$4:$J$27,"&gt;=0")+COUNTIFS(Spielplan!$H$4:$H$27,$C$7,Spielplan!$I$4:$I$27,"&gt;=0",Spielplan!$J$4:$J$27,"&gt;=0")</f>
        <v>3</v>
      </c>
      <c r="E7" s="27">
        <f>SUMPRODUCT((Spielplan!$G$4:$G$27=$C$7)*ISNUMBER(Spielplan!$I$4:$I$27)*ISNUMBER(Spielplan!$J$4:$J$27)*(Spielplan!$I$4:$I$27&gt;Spielplan!$J$4:$J$27))+SUMPRODUCT((Spielplan!$H$4:$H$27=$C$7)*ISNUMBER(Spielplan!$I$4:$I$27)*ISNUMBER(Spielplan!$J$4:$J$27)*(Spielplan!$J$4:$J$27&gt;Spielplan!$I$4:$I$27))</f>
        <v>0</v>
      </c>
      <c r="F7" s="27">
        <f>SUMPRODUCT(((Spielplan!$G$4:$G$27=$C$7)+(Spielplan!$H$4:$H$27=$C$7))*ISNUMBER(Spielplan!$I$4:$I$27)*ISNUMBER(Spielplan!$J$4:$J$27)*(Spielplan!$I$4:$I$27=Spielplan!$J$4:$J$27))</f>
        <v>1</v>
      </c>
      <c r="G7" s="27">
        <f>D7-E7-F7</f>
        <v>2</v>
      </c>
      <c r="H7" s="27">
        <f>SUMIFS(Spielplan!$I$4:$I$27,Spielplan!$G$4:$G$27,$C$7)+SUMIFS(Spielplan!$J$4:$J$27,Spielplan!$H$4:$H$27,$C$7)</f>
        <v>1</v>
      </c>
      <c r="I7" s="27">
        <f>SUMIFS(Spielplan!$J$4:$J$27,Spielplan!$G$4:$G$27,$C$7)+SUMIFS(Spielplan!$I$4:$I$27,Spielplan!$H$4:$H$27,$C$7)</f>
        <v>5</v>
      </c>
      <c r="J7" s="27">
        <f>H7-I7</f>
        <v>-4</v>
      </c>
      <c r="K7" s="26">
        <f>E7*Übersicht!$C$13+F7*Übersicht!$C$14</f>
        <v>1</v>
      </c>
      <c r="N7" s="26">
        <f>RANK(AB7,$AB$6:$AB$9,0)</f>
        <v>1</v>
      </c>
      <c r="O7" s="23" t="s">
        <v>51</v>
      </c>
      <c r="P7" s="27">
        <f>COUNTIFS(Spielplan!$G$4:$G$27,$O$7,Spielplan!$I$4:$I$27,"&gt;=0",Spielplan!$J$4:$J$27,"&gt;=0")+COUNTIFS(Spielplan!$H$4:$H$27,$O$7,Spielplan!$I$4:$I$27,"&gt;=0",Spielplan!$J$4:$J$27,"&gt;=0")</f>
        <v>3</v>
      </c>
      <c r="Q7" s="27">
        <f>SUMPRODUCT((Spielplan!$G$4:$G$27=$O$7)*ISNUMBER(Spielplan!$I$4:$I$27)*ISNUMBER(Spielplan!$J$4:$J$27)*(Spielplan!$I$4:$I$27&gt;Spielplan!$J$4:$J$27))+SUMPRODUCT((Spielplan!$H$4:$H$27=$O$7)*ISNUMBER(Spielplan!$I$4:$I$27)*ISNUMBER(Spielplan!$J$4:$J$27)*(Spielplan!$J$4:$J$27&gt;Spielplan!$I$4:$I$27))</f>
        <v>2</v>
      </c>
      <c r="R7" s="27">
        <f>SUMPRODUCT(((Spielplan!$G$4:$G$27=$O$7)+(Spielplan!$H$4:$H$27=$O$7))*ISNUMBER(Spielplan!$I$4:$I$27)*ISNUMBER(Spielplan!$J$4:$J$27)*(Spielplan!$I$4:$I$27=Spielplan!$J$4:$J$27))</f>
        <v>1</v>
      </c>
      <c r="S7" s="27">
        <f>P7-Q7-R7</f>
        <v>0</v>
      </c>
      <c r="T7" s="27">
        <f>SUMIFS(Spielplan!$I$4:$I$27,Spielplan!$G$4:$G$27,$O$7)+SUMIFS(Spielplan!$J$4:$J$27,Spielplan!$H$4:$H$27,$O$7)</f>
        <v>4</v>
      </c>
      <c r="U7" s="27">
        <f>SUMIFS(Spielplan!$J$4:$J$27,Spielplan!$G$4:$G$27,$O$7)+SUMIFS(Spielplan!$I$4:$I$27,Spielplan!$H$4:$H$27,$O$7)</f>
        <v>2</v>
      </c>
      <c r="V7" s="27">
        <f>T7-U7</f>
        <v>2</v>
      </c>
      <c r="W7" s="26">
        <f>Q7*Übersicht!$C$13+R7*Übersicht!$C$14</f>
        <v>7</v>
      </c>
      <c r="AA7" s="25">
        <f>K7*1000000+(J7+500)*1000+H7*10+(9-7)</f>
        <v>1496012</v>
      </c>
      <c r="AB7" s="25">
        <f>W7*1000000+(V7+500)*1000+T7*10+(9-7)</f>
        <v>7502042</v>
      </c>
    </row>
    <row r="8" spans="2:28" x14ac:dyDescent="0.25">
      <c r="B8" s="22">
        <f>RANK(AA8,$AA$6:$AA$9,0)</f>
        <v>3</v>
      </c>
      <c r="C8" s="23" t="s">
        <v>52</v>
      </c>
      <c r="D8" s="24">
        <f>COUNTIFS(Spielplan!$G$4:$G$27,$C$8,Spielplan!$I$4:$I$27,"&gt;=0",Spielplan!$J$4:$J$27,"&gt;=0")+COUNTIFS(Spielplan!$H$4:$H$27,$C$8,Spielplan!$I$4:$I$27,"&gt;=0",Spielplan!$J$4:$J$27,"&gt;=0")</f>
        <v>3</v>
      </c>
      <c r="E8" s="24">
        <f>SUMPRODUCT((Spielplan!$G$4:$G$27=$C$8)*ISNUMBER(Spielplan!$I$4:$I$27)*ISNUMBER(Spielplan!$J$4:$J$27)*(Spielplan!$I$4:$I$27&gt;Spielplan!$J$4:$J$27))+SUMPRODUCT((Spielplan!$H$4:$H$27=$C$8)*ISNUMBER(Spielplan!$I$4:$I$27)*ISNUMBER(Spielplan!$J$4:$J$27)*(Spielplan!$J$4:$J$27&gt;Spielplan!$I$4:$I$27))</f>
        <v>0</v>
      </c>
      <c r="F8" s="24">
        <f>SUMPRODUCT(((Spielplan!$G$4:$G$27=$C$8)+(Spielplan!$H$4:$H$27=$C$8))*ISNUMBER(Spielplan!$I$4:$I$27)*ISNUMBER(Spielplan!$J$4:$J$27)*(Spielplan!$I$4:$I$27=Spielplan!$J$4:$J$27))</f>
        <v>2</v>
      </c>
      <c r="G8" s="24">
        <f>D8-E8-F8</f>
        <v>1</v>
      </c>
      <c r="H8" s="24">
        <f>SUMIFS(Spielplan!$I$4:$I$27,Spielplan!$G$4:$G$27,$C$8)+SUMIFS(Spielplan!$J$4:$J$27,Spielplan!$H$4:$H$27,$C$8)</f>
        <v>3</v>
      </c>
      <c r="I8" s="24">
        <f>SUMIFS(Spielplan!$J$4:$J$27,Spielplan!$G$4:$G$27,$C$8)+SUMIFS(Spielplan!$I$4:$I$27,Spielplan!$H$4:$H$27,$C$8)</f>
        <v>4</v>
      </c>
      <c r="J8" s="24">
        <f>H8-I8</f>
        <v>-1</v>
      </c>
      <c r="K8" s="22">
        <f>E8*Übersicht!$C$13+F8*Übersicht!$C$14</f>
        <v>2</v>
      </c>
      <c r="N8" s="22">
        <f>RANK(AB8,$AB$6:$AB$9,0)</f>
        <v>4</v>
      </c>
      <c r="O8" s="23" t="s">
        <v>53</v>
      </c>
      <c r="P8" s="24">
        <f>COUNTIFS(Spielplan!$G$4:$G$27,$O$8,Spielplan!$I$4:$I$27,"&gt;=0",Spielplan!$J$4:$J$27,"&gt;=0")+COUNTIFS(Spielplan!$H$4:$H$27,$O$8,Spielplan!$I$4:$I$27,"&gt;=0",Spielplan!$J$4:$J$27,"&gt;=0")</f>
        <v>3</v>
      </c>
      <c r="Q8" s="24">
        <f>SUMPRODUCT((Spielplan!$G$4:$G$27=$O$8)*ISNUMBER(Spielplan!$I$4:$I$27)*ISNUMBER(Spielplan!$J$4:$J$27)*(Spielplan!$I$4:$I$27&gt;Spielplan!$J$4:$J$27))+SUMPRODUCT((Spielplan!$H$4:$H$27=$O$8)*ISNUMBER(Spielplan!$I$4:$I$27)*ISNUMBER(Spielplan!$J$4:$J$27)*(Spielplan!$J$4:$J$27&gt;Spielplan!$I$4:$I$27))</f>
        <v>0</v>
      </c>
      <c r="R8" s="24">
        <f>SUMPRODUCT(((Spielplan!$G$4:$G$27=$O$8)+(Spielplan!$H$4:$H$27=$O$8))*ISNUMBER(Spielplan!$I$4:$I$27)*ISNUMBER(Spielplan!$J$4:$J$27)*(Spielplan!$I$4:$I$27=Spielplan!$J$4:$J$27))</f>
        <v>0</v>
      </c>
      <c r="S8" s="24">
        <f>P8-Q8-R8</f>
        <v>3</v>
      </c>
      <c r="T8" s="24">
        <f>SUMIFS(Spielplan!$I$4:$I$27,Spielplan!$G$4:$G$27,$O$8)+SUMIFS(Spielplan!$J$4:$J$27,Spielplan!$H$4:$H$27,$O$8)</f>
        <v>0</v>
      </c>
      <c r="U8" s="24">
        <f>SUMIFS(Spielplan!$J$4:$J$27,Spielplan!$G$4:$G$27,$O$8)+SUMIFS(Spielplan!$I$4:$I$27,Spielplan!$H$4:$H$27,$O$8)</f>
        <v>6</v>
      </c>
      <c r="V8" s="24">
        <f>T8-U8</f>
        <v>-6</v>
      </c>
      <c r="W8" s="22">
        <f>Q8*Übersicht!$C$13+R8*Übersicht!$C$14</f>
        <v>0</v>
      </c>
      <c r="AA8" s="25">
        <f>K8*1000000+(J8+500)*1000+H8*10+(9-8)</f>
        <v>2499031</v>
      </c>
      <c r="AB8" s="25">
        <f>W8*1000000+(V8+500)*1000+T8*10+(9-8)</f>
        <v>494001</v>
      </c>
    </row>
    <row r="9" spans="2:28" x14ac:dyDescent="0.25">
      <c r="B9" s="26">
        <f>RANK(AA9,$AA$6:$AA$9,0)</f>
        <v>2</v>
      </c>
      <c r="C9" s="23" t="s">
        <v>54</v>
      </c>
      <c r="D9" s="27">
        <f>COUNTIFS(Spielplan!$G$4:$G$27,$C$9,Spielplan!$I$4:$I$27,"&gt;=0",Spielplan!$J$4:$J$27,"&gt;=0")+COUNTIFS(Spielplan!$H$4:$H$27,$C$9,Spielplan!$I$4:$I$27,"&gt;=0",Spielplan!$J$4:$J$27,"&gt;=0")</f>
        <v>3</v>
      </c>
      <c r="E9" s="27">
        <f>SUMPRODUCT((Spielplan!$G$4:$G$27=$C$9)*ISNUMBER(Spielplan!$I$4:$I$27)*ISNUMBER(Spielplan!$J$4:$J$27)*(Spielplan!$I$4:$I$27&gt;Spielplan!$J$4:$J$27))+SUMPRODUCT((Spielplan!$H$4:$H$27=$C$9)*ISNUMBER(Spielplan!$I$4:$I$27)*ISNUMBER(Spielplan!$J$4:$J$27)*(Spielplan!$J$4:$J$27&gt;Spielplan!$I$4:$I$27))</f>
        <v>1</v>
      </c>
      <c r="F9" s="27">
        <f>SUMPRODUCT(((Spielplan!$G$4:$G$27=$C$9)+(Spielplan!$H$4:$H$27=$C$9))*ISNUMBER(Spielplan!$I$4:$I$27)*ISNUMBER(Spielplan!$J$4:$J$27)*(Spielplan!$I$4:$I$27=Spielplan!$J$4:$J$27))</f>
        <v>1</v>
      </c>
      <c r="G9" s="27">
        <f>D9-E9-F9</f>
        <v>1</v>
      </c>
      <c r="H9" s="27">
        <f>SUMIFS(Spielplan!$I$4:$I$27,Spielplan!$G$4:$G$27,$C$9)+SUMIFS(Spielplan!$J$4:$J$27,Spielplan!$H$4:$H$27,$C$9)</f>
        <v>4</v>
      </c>
      <c r="I9" s="27">
        <f>SUMIFS(Spielplan!$J$4:$J$27,Spielplan!$G$4:$G$27,$C$9)+SUMIFS(Spielplan!$I$4:$I$27,Spielplan!$H$4:$H$27,$C$9)</f>
        <v>4</v>
      </c>
      <c r="J9" s="27">
        <f>H9-I9</f>
        <v>0</v>
      </c>
      <c r="K9" s="26">
        <f>E9*Übersicht!$C$13+F9*Übersicht!$C$14</f>
        <v>4</v>
      </c>
      <c r="N9" s="26">
        <f>RANK(AB9,$AB$6:$AB$9,0)</f>
        <v>3</v>
      </c>
      <c r="O9" s="23" t="s">
        <v>55</v>
      </c>
      <c r="P9" s="27">
        <f>COUNTIFS(Spielplan!$G$4:$G$27,$O$9,Spielplan!$I$4:$I$27,"&gt;=0",Spielplan!$J$4:$J$27,"&gt;=0")+COUNTIFS(Spielplan!$H$4:$H$27,$O$9,Spielplan!$I$4:$I$27,"&gt;=0",Spielplan!$J$4:$J$27,"&gt;=0")</f>
        <v>3</v>
      </c>
      <c r="Q9" s="27">
        <f>SUMPRODUCT((Spielplan!$G$4:$G$27=$O$9)*ISNUMBER(Spielplan!$I$4:$I$27)*ISNUMBER(Spielplan!$J$4:$J$27)*(Spielplan!$I$4:$I$27&gt;Spielplan!$J$4:$J$27))+SUMPRODUCT((Spielplan!$H$4:$H$27=$O$9)*ISNUMBER(Spielplan!$I$4:$I$27)*ISNUMBER(Spielplan!$J$4:$J$27)*(Spielplan!$J$4:$J$27&gt;Spielplan!$I$4:$I$27))</f>
        <v>1</v>
      </c>
      <c r="R9" s="27">
        <f>SUMPRODUCT(((Spielplan!$G$4:$G$27=$O$9)+(Spielplan!$H$4:$H$27=$O$9))*ISNUMBER(Spielplan!$I$4:$I$27)*ISNUMBER(Spielplan!$J$4:$J$27)*(Spielplan!$I$4:$I$27=Spielplan!$J$4:$J$27))</f>
        <v>1</v>
      </c>
      <c r="S9" s="27">
        <f>P9-Q9-R9</f>
        <v>1</v>
      </c>
      <c r="T9" s="27">
        <f>SUMIFS(Spielplan!$I$4:$I$27,Spielplan!$G$4:$G$27,$O$9)+SUMIFS(Spielplan!$J$4:$J$27,Spielplan!$H$4:$H$27,$O$9)</f>
        <v>5</v>
      </c>
      <c r="U9" s="27">
        <f>SUMIFS(Spielplan!$J$4:$J$27,Spielplan!$G$4:$G$27,$O$9)+SUMIFS(Spielplan!$I$4:$I$27,Spielplan!$H$4:$H$27,$O$9)</f>
        <v>4</v>
      </c>
      <c r="V9" s="27">
        <f>T9-U9</f>
        <v>1</v>
      </c>
      <c r="W9" s="26">
        <f>Q9*Übersicht!$C$13+R9*Übersicht!$C$14</f>
        <v>4</v>
      </c>
      <c r="AA9" s="25">
        <f>K9*1000000+(J9+500)*1000+H9*10+(9-9)</f>
        <v>4500040</v>
      </c>
      <c r="AB9" s="25">
        <f>W9*1000000+(V9+500)*1000+T9*10+(9-9)</f>
        <v>4501050</v>
      </c>
    </row>
    <row r="12" spans="2:28" ht="19.5" customHeight="1" x14ac:dyDescent="0.25">
      <c r="B12" s="5" t="s">
        <v>56</v>
      </c>
      <c r="C12" s="5"/>
      <c r="D12" s="5"/>
      <c r="E12" s="5"/>
      <c r="F12" s="5"/>
      <c r="G12" s="5"/>
      <c r="H12" s="5"/>
      <c r="I12" s="5"/>
      <c r="J12" s="5"/>
      <c r="K12" s="5"/>
      <c r="N12" s="4" t="s">
        <v>57</v>
      </c>
      <c r="O12" s="4"/>
      <c r="P12" s="4"/>
      <c r="Q12" s="4"/>
      <c r="R12" s="4"/>
      <c r="S12" s="4"/>
      <c r="T12" s="4"/>
      <c r="U12" s="4"/>
      <c r="V12" s="4"/>
      <c r="W12" s="4"/>
    </row>
    <row r="13" spans="2:28" ht="18" customHeight="1" x14ac:dyDescent="0.25">
      <c r="B13" s="21" t="s">
        <v>38</v>
      </c>
      <c r="C13" s="21" t="s">
        <v>39</v>
      </c>
      <c r="D13" s="21" t="s">
        <v>40</v>
      </c>
      <c r="E13" s="21" t="s">
        <v>41</v>
      </c>
      <c r="F13" s="21" t="s">
        <v>42</v>
      </c>
      <c r="G13" s="21" t="s">
        <v>43</v>
      </c>
      <c r="H13" s="21" t="s">
        <v>44</v>
      </c>
      <c r="I13" s="21" t="s">
        <v>45</v>
      </c>
      <c r="J13" s="21" t="s">
        <v>46</v>
      </c>
      <c r="K13" s="21" t="s">
        <v>47</v>
      </c>
      <c r="N13" s="21" t="s">
        <v>38</v>
      </c>
      <c r="O13" s="21" t="s">
        <v>39</v>
      </c>
      <c r="P13" s="21" t="s">
        <v>40</v>
      </c>
      <c r="Q13" s="21" t="s">
        <v>41</v>
      </c>
      <c r="R13" s="21" t="s">
        <v>42</v>
      </c>
      <c r="S13" s="21" t="s">
        <v>43</v>
      </c>
      <c r="T13" s="21" t="s">
        <v>44</v>
      </c>
      <c r="U13" s="21" t="s">
        <v>45</v>
      </c>
      <c r="V13" s="21" t="s">
        <v>46</v>
      </c>
      <c r="W13" s="21" t="s">
        <v>47</v>
      </c>
    </row>
    <row r="14" spans="2:28" x14ac:dyDescent="0.25">
      <c r="B14" s="22">
        <f>RANK(AA14,$AA$14:$AA$17,0)</f>
        <v>1</v>
      </c>
      <c r="C14" s="23" t="s">
        <v>58</v>
      </c>
      <c r="D14" s="24">
        <f>COUNTIFS(Spielplan!$G$4:$G$27,$C$14,Spielplan!$I$4:$I$27,"&gt;=0",Spielplan!$J$4:$J$27,"&gt;=0")+COUNTIFS(Spielplan!$H$4:$H$27,$C$14,Spielplan!$I$4:$I$27,"&gt;=0",Spielplan!$J$4:$J$27,"&gt;=0")</f>
        <v>3</v>
      </c>
      <c r="E14" s="24">
        <f>SUMPRODUCT((Spielplan!$G$4:$G$27=$C$14)*ISNUMBER(Spielplan!$I$4:$I$27)*ISNUMBER(Spielplan!$J$4:$J$27)*(Spielplan!$I$4:$I$27&gt;Spielplan!$J$4:$J$27))+SUMPRODUCT((Spielplan!$H$4:$H$27=$C$14)*ISNUMBER(Spielplan!$I$4:$I$27)*ISNUMBER(Spielplan!$J$4:$J$27)*(Spielplan!$J$4:$J$27&gt;Spielplan!$I$4:$I$27))</f>
        <v>3</v>
      </c>
      <c r="F14" s="24">
        <f>SUMPRODUCT(((Spielplan!$G$4:$G$27=$C$14)+(Spielplan!$H$4:$H$27=$C$14))*ISNUMBER(Spielplan!$I$4:$I$27)*ISNUMBER(Spielplan!$J$4:$J$27)*(Spielplan!$I$4:$I$27=Spielplan!$J$4:$J$27))</f>
        <v>0</v>
      </c>
      <c r="G14" s="24">
        <f>D14-E14-F14</f>
        <v>0</v>
      </c>
      <c r="H14" s="24">
        <f>SUMIFS(Spielplan!$I$4:$I$27,Spielplan!$G$4:$G$27,$C$14)+SUMIFS(Spielplan!$J$4:$J$27,Spielplan!$H$4:$H$27,$C$14)</f>
        <v>6</v>
      </c>
      <c r="I14" s="24">
        <f>SUMIFS(Spielplan!$J$4:$J$27,Spielplan!$G$4:$G$27,$C$14)+SUMIFS(Spielplan!$I$4:$I$27,Spielplan!$H$4:$H$27,$C$14)</f>
        <v>1</v>
      </c>
      <c r="J14" s="24">
        <f>H14-I14</f>
        <v>5</v>
      </c>
      <c r="K14" s="22">
        <f>E14*Übersicht!$C$13+F14*Übersicht!$C$14</f>
        <v>9</v>
      </c>
      <c r="N14" s="22">
        <f>RANK(AB14,$AB$14:$AB$17,0)</f>
        <v>2</v>
      </c>
      <c r="O14" s="23" t="s">
        <v>59</v>
      </c>
      <c r="P14" s="24">
        <f>COUNTIFS(Spielplan!$G$4:$G$27,$O$14,Spielplan!$I$4:$I$27,"&gt;=0",Spielplan!$J$4:$J$27,"&gt;=0")+COUNTIFS(Spielplan!$H$4:$H$27,$O$14,Spielplan!$I$4:$I$27,"&gt;=0",Spielplan!$J$4:$J$27,"&gt;=0")</f>
        <v>3</v>
      </c>
      <c r="Q14" s="24">
        <f>SUMPRODUCT((Spielplan!$G$4:$G$27=$O$14)*ISNUMBER(Spielplan!$I$4:$I$27)*ISNUMBER(Spielplan!$J$4:$J$27)*(Spielplan!$I$4:$I$27&gt;Spielplan!$J$4:$J$27))+SUMPRODUCT((Spielplan!$H$4:$H$27=$O$14)*ISNUMBER(Spielplan!$I$4:$I$27)*ISNUMBER(Spielplan!$J$4:$J$27)*(Spielplan!$J$4:$J$27&gt;Spielplan!$I$4:$I$27))</f>
        <v>1</v>
      </c>
      <c r="R14" s="24">
        <f>SUMPRODUCT(((Spielplan!$G$4:$G$27=$O$14)+(Spielplan!$H$4:$H$27=$O$14))*ISNUMBER(Spielplan!$I$4:$I$27)*ISNUMBER(Spielplan!$J$4:$J$27)*(Spielplan!$I$4:$I$27=Spielplan!$J$4:$J$27))</f>
        <v>2</v>
      </c>
      <c r="S14" s="24">
        <f>P14-Q14-R14</f>
        <v>0</v>
      </c>
      <c r="T14" s="24">
        <f>SUMIFS(Spielplan!$I$4:$I$27,Spielplan!$G$4:$G$27,$O$14)+SUMIFS(Spielplan!$J$4:$J$27,Spielplan!$H$4:$H$27,$O$14)</f>
        <v>3</v>
      </c>
      <c r="U14" s="24">
        <f>SUMIFS(Spielplan!$J$4:$J$27,Spielplan!$G$4:$G$27,$O$14)+SUMIFS(Spielplan!$I$4:$I$27,Spielplan!$H$4:$H$27,$O$14)</f>
        <v>2</v>
      </c>
      <c r="V14" s="24">
        <f>T14-U14</f>
        <v>1</v>
      </c>
      <c r="W14" s="22">
        <f>Q14*Übersicht!$C$13+R14*Übersicht!$C$14</f>
        <v>5</v>
      </c>
      <c r="AA14" s="25">
        <f>K14*1000000+(J14+500)*1000+H14*10+(17-14)</f>
        <v>9505063</v>
      </c>
      <c r="AB14" s="25">
        <f>W14*1000000+(V14+500)*1000+T14*10+(17-14)</f>
        <v>5501033</v>
      </c>
    </row>
    <row r="15" spans="2:28" x14ac:dyDescent="0.25">
      <c r="B15" s="26">
        <f>RANK(AA15,$AA$14:$AA$17,0)</f>
        <v>4</v>
      </c>
      <c r="C15" s="23" t="s">
        <v>60</v>
      </c>
      <c r="D15" s="27">
        <f>COUNTIFS(Spielplan!$G$4:$G$27,$C$15,Spielplan!$I$4:$I$27,"&gt;=0",Spielplan!$J$4:$J$27,"&gt;=0")+COUNTIFS(Spielplan!$H$4:$H$27,$C$15,Spielplan!$I$4:$I$27,"&gt;=0",Spielplan!$J$4:$J$27,"&gt;=0")</f>
        <v>3</v>
      </c>
      <c r="E15" s="27">
        <f>SUMPRODUCT((Spielplan!$G$4:$G$27=$C$15)*ISNUMBER(Spielplan!$I$4:$I$27)*ISNUMBER(Spielplan!$J$4:$J$27)*(Spielplan!$I$4:$I$27&gt;Spielplan!$J$4:$J$27))+SUMPRODUCT((Spielplan!$H$4:$H$27=$C$15)*ISNUMBER(Spielplan!$I$4:$I$27)*ISNUMBER(Spielplan!$J$4:$J$27)*(Spielplan!$J$4:$J$27&gt;Spielplan!$I$4:$I$27))</f>
        <v>0</v>
      </c>
      <c r="F15" s="27">
        <f>SUMPRODUCT(((Spielplan!$G$4:$G$27=$C$15)+(Spielplan!$H$4:$H$27=$C$15))*ISNUMBER(Spielplan!$I$4:$I$27)*ISNUMBER(Spielplan!$J$4:$J$27)*(Spielplan!$I$4:$I$27=Spielplan!$J$4:$J$27))</f>
        <v>1</v>
      </c>
      <c r="G15" s="27">
        <f>D15-E15-F15</f>
        <v>2</v>
      </c>
      <c r="H15" s="27">
        <f>SUMIFS(Spielplan!$I$4:$I$27,Spielplan!$G$4:$G$27,$C$15)+SUMIFS(Spielplan!$J$4:$J$27,Spielplan!$H$4:$H$27,$C$15)</f>
        <v>2</v>
      </c>
      <c r="I15" s="27">
        <f>SUMIFS(Spielplan!$J$4:$J$27,Spielplan!$G$4:$G$27,$C$15)+SUMIFS(Spielplan!$I$4:$I$27,Spielplan!$H$4:$H$27,$C$15)</f>
        <v>6</v>
      </c>
      <c r="J15" s="27">
        <f>H15-I15</f>
        <v>-4</v>
      </c>
      <c r="K15" s="26">
        <f>E15*Übersicht!$C$13+F15*Übersicht!$C$14</f>
        <v>1</v>
      </c>
      <c r="N15" s="26">
        <f>RANK(AB15,$AB$14:$AB$17,0)</f>
        <v>1</v>
      </c>
      <c r="O15" s="23" t="s">
        <v>61</v>
      </c>
      <c r="P15" s="27">
        <f>COUNTIFS(Spielplan!$G$4:$G$27,$O$15,Spielplan!$I$4:$I$27,"&gt;=0",Spielplan!$J$4:$J$27,"&gt;=0")+COUNTIFS(Spielplan!$H$4:$H$27,$O$15,Spielplan!$I$4:$I$27,"&gt;=0",Spielplan!$J$4:$J$27,"&gt;=0")</f>
        <v>3</v>
      </c>
      <c r="Q15" s="27">
        <f>SUMPRODUCT((Spielplan!$G$4:$G$27=$O$15)*ISNUMBER(Spielplan!$I$4:$I$27)*ISNUMBER(Spielplan!$J$4:$J$27)*(Spielplan!$I$4:$I$27&gt;Spielplan!$J$4:$J$27))+SUMPRODUCT((Spielplan!$H$4:$H$27=$O$15)*ISNUMBER(Spielplan!$I$4:$I$27)*ISNUMBER(Spielplan!$J$4:$J$27)*(Spielplan!$J$4:$J$27&gt;Spielplan!$I$4:$I$27))</f>
        <v>2</v>
      </c>
      <c r="R15" s="27">
        <f>SUMPRODUCT(((Spielplan!$G$4:$G$27=$O$15)+(Spielplan!$H$4:$H$27=$O$15))*ISNUMBER(Spielplan!$I$4:$I$27)*ISNUMBER(Spielplan!$J$4:$J$27)*(Spielplan!$I$4:$I$27=Spielplan!$J$4:$J$27))</f>
        <v>1</v>
      </c>
      <c r="S15" s="27">
        <f>P15-Q15-R15</f>
        <v>0</v>
      </c>
      <c r="T15" s="27">
        <f>SUMIFS(Spielplan!$I$4:$I$27,Spielplan!$G$4:$G$27,$O$15)+SUMIFS(Spielplan!$J$4:$J$27,Spielplan!$H$4:$H$27,$O$15)</f>
        <v>7</v>
      </c>
      <c r="U15" s="27">
        <f>SUMIFS(Spielplan!$J$4:$J$27,Spielplan!$G$4:$G$27,$O$15)+SUMIFS(Spielplan!$I$4:$I$27,Spielplan!$H$4:$H$27,$O$15)</f>
        <v>4</v>
      </c>
      <c r="V15" s="27">
        <f>T15-U15</f>
        <v>3</v>
      </c>
      <c r="W15" s="26">
        <f>Q15*Übersicht!$C$13+R15*Übersicht!$C$14</f>
        <v>7</v>
      </c>
      <c r="AA15" s="25">
        <f>K15*1000000+(J15+500)*1000+H15*10+(17-15)</f>
        <v>1496022</v>
      </c>
      <c r="AB15" s="25">
        <f>W15*1000000+(V15+500)*1000+T15*10+(17-15)</f>
        <v>7503072</v>
      </c>
    </row>
    <row r="16" spans="2:28" x14ac:dyDescent="0.25">
      <c r="B16" s="22">
        <f>RANK(AA16,$AA$14:$AA$17,0)</f>
        <v>2</v>
      </c>
      <c r="C16" s="23" t="s">
        <v>62</v>
      </c>
      <c r="D16" s="24">
        <f>COUNTIFS(Spielplan!$G$4:$G$27,$C$16,Spielplan!$I$4:$I$27,"&gt;=0",Spielplan!$J$4:$J$27,"&gt;=0")+COUNTIFS(Spielplan!$H$4:$H$27,$C$16,Spielplan!$I$4:$I$27,"&gt;=0",Spielplan!$J$4:$J$27,"&gt;=0")</f>
        <v>3</v>
      </c>
      <c r="E16" s="24">
        <f>SUMPRODUCT((Spielplan!$G$4:$G$27=$C$16)*ISNUMBER(Spielplan!$I$4:$I$27)*ISNUMBER(Spielplan!$J$4:$J$27)*(Spielplan!$I$4:$I$27&gt;Spielplan!$J$4:$J$27))+SUMPRODUCT((Spielplan!$H$4:$H$27=$C$16)*ISNUMBER(Spielplan!$I$4:$I$27)*ISNUMBER(Spielplan!$J$4:$J$27)*(Spielplan!$J$4:$J$27&gt;Spielplan!$I$4:$I$27))</f>
        <v>1</v>
      </c>
      <c r="F16" s="24">
        <f>SUMPRODUCT(((Spielplan!$G$4:$G$27=$C$16)+(Spielplan!$H$4:$H$27=$C$16))*ISNUMBER(Spielplan!$I$4:$I$27)*ISNUMBER(Spielplan!$J$4:$J$27)*(Spielplan!$I$4:$I$27=Spielplan!$J$4:$J$27))</f>
        <v>1</v>
      </c>
      <c r="G16" s="24">
        <f>D16-E16-F16</f>
        <v>1</v>
      </c>
      <c r="H16" s="24">
        <f>SUMIFS(Spielplan!$I$4:$I$27,Spielplan!$G$4:$G$27,$C$16)+SUMIFS(Spielplan!$J$4:$J$27,Spielplan!$H$4:$H$27,$C$16)</f>
        <v>4</v>
      </c>
      <c r="I16" s="24">
        <f>SUMIFS(Spielplan!$J$4:$J$27,Spielplan!$G$4:$G$27,$C$16)+SUMIFS(Spielplan!$I$4:$I$27,Spielplan!$H$4:$H$27,$C$16)</f>
        <v>3</v>
      </c>
      <c r="J16" s="24">
        <f>H16-I16</f>
        <v>1</v>
      </c>
      <c r="K16" s="22">
        <f>E16*Übersicht!$C$13+F16*Übersicht!$C$14</f>
        <v>4</v>
      </c>
      <c r="N16" s="22">
        <f>RANK(AB16,$AB$14:$AB$17,0)</f>
        <v>3</v>
      </c>
      <c r="O16" s="23" t="s">
        <v>63</v>
      </c>
      <c r="P16" s="24">
        <f>COUNTIFS(Spielplan!$G$4:$G$27,$O$16,Spielplan!$I$4:$I$27,"&gt;=0",Spielplan!$J$4:$J$27,"&gt;=0")+COUNTIFS(Spielplan!$H$4:$H$27,$O$16,Spielplan!$I$4:$I$27,"&gt;=0",Spielplan!$J$4:$J$27,"&gt;=0")</f>
        <v>3</v>
      </c>
      <c r="Q16" s="24">
        <f>SUMPRODUCT((Spielplan!$G$4:$G$27=$O$16)*ISNUMBER(Spielplan!$I$4:$I$27)*ISNUMBER(Spielplan!$J$4:$J$27)*(Spielplan!$I$4:$I$27&gt;Spielplan!$J$4:$J$27))+SUMPRODUCT((Spielplan!$H$4:$H$27=$O$16)*ISNUMBER(Spielplan!$I$4:$I$27)*ISNUMBER(Spielplan!$J$4:$J$27)*(Spielplan!$J$4:$J$27&gt;Spielplan!$I$4:$I$27))</f>
        <v>1</v>
      </c>
      <c r="R16" s="24">
        <f>SUMPRODUCT(((Spielplan!$G$4:$G$27=$O$16)+(Spielplan!$H$4:$H$27=$O$16))*ISNUMBER(Spielplan!$I$4:$I$27)*ISNUMBER(Spielplan!$J$4:$J$27)*(Spielplan!$I$4:$I$27=Spielplan!$J$4:$J$27))</f>
        <v>0</v>
      </c>
      <c r="S16" s="24">
        <f>P16-Q16-R16</f>
        <v>2</v>
      </c>
      <c r="T16" s="24">
        <f>SUMIFS(Spielplan!$I$4:$I$27,Spielplan!$G$4:$G$27,$O$16)+SUMIFS(Spielplan!$J$4:$J$27,Spielplan!$H$4:$H$27,$O$16)</f>
        <v>2</v>
      </c>
      <c r="U16" s="24">
        <f>SUMIFS(Spielplan!$J$4:$J$27,Spielplan!$G$4:$G$27,$O$16)+SUMIFS(Spielplan!$I$4:$I$27,Spielplan!$H$4:$H$27,$O$16)</f>
        <v>3</v>
      </c>
      <c r="V16" s="24">
        <f>T16-U16</f>
        <v>-1</v>
      </c>
      <c r="W16" s="22">
        <f>Q16*Übersicht!$C$13+R16*Übersicht!$C$14</f>
        <v>3</v>
      </c>
      <c r="AA16" s="25">
        <f>K16*1000000+(J16+500)*1000+H16*10+(17-16)</f>
        <v>4501041</v>
      </c>
      <c r="AB16" s="25">
        <f>W16*1000000+(V16+500)*1000+T16*10+(17-16)</f>
        <v>3499021</v>
      </c>
    </row>
    <row r="17" spans="2:28" x14ac:dyDescent="0.25">
      <c r="B17" s="26">
        <f>RANK(AA17,$AA$14:$AA$17,0)</f>
        <v>3</v>
      </c>
      <c r="C17" s="23" t="s">
        <v>64</v>
      </c>
      <c r="D17" s="27">
        <f>COUNTIFS(Spielplan!$G$4:$G$27,$C$17,Spielplan!$I$4:$I$27,"&gt;=0",Spielplan!$J$4:$J$27,"&gt;=0")+COUNTIFS(Spielplan!$H$4:$H$27,$C$17,Spielplan!$I$4:$I$27,"&gt;=0",Spielplan!$J$4:$J$27,"&gt;=0")</f>
        <v>3</v>
      </c>
      <c r="E17" s="27">
        <f>SUMPRODUCT((Spielplan!$G$4:$G$27=$C$17)*ISNUMBER(Spielplan!$I$4:$I$27)*ISNUMBER(Spielplan!$J$4:$J$27)*(Spielplan!$I$4:$I$27&gt;Spielplan!$J$4:$J$27))+SUMPRODUCT((Spielplan!$H$4:$H$27=$C$17)*ISNUMBER(Spielplan!$I$4:$I$27)*ISNUMBER(Spielplan!$J$4:$J$27)*(Spielplan!$J$4:$J$27&gt;Spielplan!$I$4:$I$27))</f>
        <v>0</v>
      </c>
      <c r="F17" s="27">
        <f>SUMPRODUCT(((Spielplan!$G$4:$G$27=$C$17)+(Spielplan!$H$4:$H$27=$C$17))*ISNUMBER(Spielplan!$I$4:$I$27)*ISNUMBER(Spielplan!$J$4:$J$27)*(Spielplan!$I$4:$I$27=Spielplan!$J$4:$J$27))</f>
        <v>2</v>
      </c>
      <c r="G17" s="27">
        <f>D17-E17-F17</f>
        <v>1</v>
      </c>
      <c r="H17" s="27">
        <f>SUMIFS(Spielplan!$I$4:$I$27,Spielplan!$G$4:$G$27,$C$17)+SUMIFS(Spielplan!$J$4:$J$27,Spielplan!$H$4:$H$27,$C$17)</f>
        <v>3</v>
      </c>
      <c r="I17" s="27">
        <f>SUMIFS(Spielplan!$J$4:$J$27,Spielplan!$G$4:$G$27,$C$17)+SUMIFS(Spielplan!$I$4:$I$27,Spielplan!$H$4:$H$27,$C$17)</f>
        <v>5</v>
      </c>
      <c r="J17" s="27">
        <f>H17-I17</f>
        <v>-2</v>
      </c>
      <c r="K17" s="26">
        <f>E17*Übersicht!$C$13+F17*Übersicht!$C$14</f>
        <v>2</v>
      </c>
      <c r="N17" s="26">
        <f>RANK(AB17,$AB$14:$AB$17,0)</f>
        <v>4</v>
      </c>
      <c r="O17" s="23" t="s">
        <v>65</v>
      </c>
      <c r="P17" s="27">
        <f>COUNTIFS(Spielplan!$G$4:$G$27,$O$17,Spielplan!$I$4:$I$27,"&gt;=0",Spielplan!$J$4:$J$27,"&gt;=0")+COUNTIFS(Spielplan!$H$4:$H$27,$O$17,Spielplan!$I$4:$I$27,"&gt;=0",Spielplan!$J$4:$J$27,"&gt;=0")</f>
        <v>3</v>
      </c>
      <c r="Q17" s="27">
        <f>SUMPRODUCT((Spielplan!$G$4:$G$27=$O$17)*ISNUMBER(Spielplan!$I$4:$I$27)*ISNUMBER(Spielplan!$J$4:$J$27)*(Spielplan!$I$4:$I$27&gt;Spielplan!$J$4:$J$27))+SUMPRODUCT((Spielplan!$H$4:$H$27=$O$17)*ISNUMBER(Spielplan!$I$4:$I$27)*ISNUMBER(Spielplan!$J$4:$J$27)*(Spielplan!$J$4:$J$27&gt;Spielplan!$I$4:$I$27))</f>
        <v>0</v>
      </c>
      <c r="R17" s="27">
        <f>SUMPRODUCT(((Spielplan!$G$4:$G$27=$O$17)+(Spielplan!$H$4:$H$27=$O$17))*ISNUMBER(Spielplan!$I$4:$I$27)*ISNUMBER(Spielplan!$J$4:$J$27)*(Spielplan!$I$4:$I$27=Spielplan!$J$4:$J$27))</f>
        <v>1</v>
      </c>
      <c r="S17" s="27">
        <f>P17-Q17-R17</f>
        <v>2</v>
      </c>
      <c r="T17" s="27">
        <f>SUMIFS(Spielplan!$I$4:$I$27,Spielplan!$G$4:$G$27,$O$17)+SUMIFS(Spielplan!$J$4:$J$27,Spielplan!$H$4:$H$27,$O$17)</f>
        <v>1</v>
      </c>
      <c r="U17" s="27">
        <f>SUMIFS(Spielplan!$J$4:$J$27,Spielplan!$G$4:$G$27,$O$17)+SUMIFS(Spielplan!$I$4:$I$27,Spielplan!$H$4:$H$27,$O$17)</f>
        <v>4</v>
      </c>
      <c r="V17" s="27">
        <f>T17-U17</f>
        <v>-3</v>
      </c>
      <c r="W17" s="26">
        <f>Q17*Übersicht!$C$13+R17*Übersicht!$C$14</f>
        <v>1</v>
      </c>
      <c r="AA17" s="25">
        <f>K17*1000000+(J17+500)*1000+H17*10+(17-17)</f>
        <v>2498030</v>
      </c>
      <c r="AB17" s="25">
        <f>W17*1000000+(V17+500)*1000+T17*10+(17-17)</f>
        <v>1497010</v>
      </c>
    </row>
    <row r="19" spans="2:28" x14ac:dyDescent="0.25">
      <c r="B19" s="3" t="s">
        <v>66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</sheetData>
  <mergeCells count="7">
    <mergeCell ref="B19:W19"/>
    <mergeCell ref="B1:W1"/>
    <mergeCell ref="B2:W2"/>
    <mergeCell ref="B4:K4"/>
    <mergeCell ref="N4:W4"/>
    <mergeCell ref="B12:K12"/>
    <mergeCell ref="N12:W12"/>
  </mergeCells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4" sqref="G14"/>
    </sheetView>
  </sheetViews>
  <sheetFormatPr baseColWidth="10" defaultColWidth="8.7109375" defaultRowHeight="15" x14ac:dyDescent="0.25"/>
  <cols>
    <col min="1" max="1" width="2" customWidth="1"/>
    <col min="2" max="2" width="5" customWidth="1"/>
    <col min="3" max="3" width="10.140625" bestFit="1" customWidth="1"/>
    <col min="4" max="6" width="8" customWidth="1"/>
    <col min="7" max="8" width="21" customWidth="1"/>
    <col min="9" max="10" width="9" customWidth="1"/>
    <col min="11" max="11" width="10" customWidth="1"/>
  </cols>
  <sheetData>
    <row r="1" spans="2:11" ht="31.5" customHeight="1" x14ac:dyDescent="0.25">
      <c r="B1" s="9" t="s">
        <v>105</v>
      </c>
      <c r="C1" s="9"/>
      <c r="D1" s="9"/>
      <c r="E1" s="9"/>
      <c r="F1" s="9"/>
      <c r="G1" s="9"/>
      <c r="H1" s="9"/>
      <c r="I1" s="9"/>
      <c r="J1" s="9"/>
      <c r="K1" s="9"/>
    </row>
    <row r="2" spans="2:11" ht="16.5" customHeight="1" x14ac:dyDescent="0.25">
      <c r="B2" s="8" t="s">
        <v>67</v>
      </c>
      <c r="C2" s="8"/>
      <c r="D2" s="8"/>
      <c r="E2" s="8"/>
      <c r="F2" s="8"/>
      <c r="G2" s="8"/>
      <c r="H2" s="8"/>
      <c r="I2" s="8"/>
      <c r="J2" s="8"/>
      <c r="K2" s="8"/>
    </row>
    <row r="3" spans="2:11" ht="25.5" customHeight="1" x14ac:dyDescent="0.25">
      <c r="B3" s="28" t="s">
        <v>68</v>
      </c>
      <c r="C3" s="28" t="s">
        <v>69</v>
      </c>
      <c r="D3" s="28" t="s">
        <v>70</v>
      </c>
      <c r="E3" s="28" t="s">
        <v>71</v>
      </c>
      <c r="F3" s="28" t="s">
        <v>72</v>
      </c>
      <c r="G3" s="28" t="s">
        <v>73</v>
      </c>
      <c r="H3" s="28" t="s">
        <v>74</v>
      </c>
      <c r="I3" s="28" t="s">
        <v>75</v>
      </c>
      <c r="J3" s="28" t="s">
        <v>76</v>
      </c>
      <c r="K3" s="28" t="s">
        <v>77</v>
      </c>
    </row>
    <row r="4" spans="2:11" ht="18.75" customHeight="1" x14ac:dyDescent="0.25">
      <c r="B4" s="22">
        <v>1</v>
      </c>
      <c r="C4" s="29" t="s">
        <v>78</v>
      </c>
      <c r="D4" s="29" t="s">
        <v>79</v>
      </c>
      <c r="E4" s="24" t="s">
        <v>80</v>
      </c>
      <c r="F4" s="30" t="s">
        <v>81</v>
      </c>
      <c r="G4" s="17" t="str">
        <f>Gruppentabellen!$C$6</f>
        <v>FC Adler</v>
      </c>
      <c r="H4" s="17" t="str">
        <f>Gruppentabellen!$C$7</f>
        <v>SV Falken</v>
      </c>
      <c r="I4" s="29">
        <v>2</v>
      </c>
      <c r="J4" s="29">
        <v>0</v>
      </c>
      <c r="K4" s="22" t="str">
        <f t="shared" ref="K4:K27" si="0">IF(AND(ISNUMBER(I4),ISNUMBER(J4)),I4&amp;":"&amp;J4,"–")</f>
        <v>2:0</v>
      </c>
    </row>
    <row r="5" spans="2:11" ht="18.75" customHeight="1" x14ac:dyDescent="0.25">
      <c r="B5" s="26">
        <v>2</v>
      </c>
      <c r="C5" s="29" t="s">
        <v>78</v>
      </c>
      <c r="D5" s="29" t="s">
        <v>79</v>
      </c>
      <c r="E5" s="27" t="s">
        <v>82</v>
      </c>
      <c r="F5" s="31" t="s">
        <v>83</v>
      </c>
      <c r="G5" s="32" t="str">
        <f>Gruppentabellen!$O$6</f>
        <v>VfL Wölfe</v>
      </c>
      <c r="H5" s="32" t="str">
        <f>Gruppentabellen!$O$7</f>
        <v>FC Bären</v>
      </c>
      <c r="I5" s="29">
        <v>1</v>
      </c>
      <c r="J5" s="29">
        <v>1</v>
      </c>
      <c r="K5" s="26" t="str">
        <f t="shared" si="0"/>
        <v>1:1</v>
      </c>
    </row>
    <row r="6" spans="2:11" ht="18.75" customHeight="1" x14ac:dyDescent="0.25">
      <c r="B6" s="22">
        <v>3</v>
      </c>
      <c r="C6" s="29" t="s">
        <v>78</v>
      </c>
      <c r="D6" s="29" t="s">
        <v>79</v>
      </c>
      <c r="E6" s="24" t="s">
        <v>84</v>
      </c>
      <c r="F6" s="33" t="s">
        <v>85</v>
      </c>
      <c r="G6" s="17" t="str">
        <f>Gruppentabellen!$C$14</f>
        <v>SV Delfine</v>
      </c>
      <c r="H6" s="17" t="str">
        <f>Gruppentabellen!$C$15</f>
        <v>FC Kraniche</v>
      </c>
      <c r="I6" s="29">
        <v>3</v>
      </c>
      <c r="J6" s="29">
        <v>1</v>
      </c>
      <c r="K6" s="22" t="str">
        <f t="shared" si="0"/>
        <v>3:1</v>
      </c>
    </row>
    <row r="7" spans="2:11" ht="18.75" customHeight="1" x14ac:dyDescent="0.25">
      <c r="B7" s="26">
        <v>4</v>
      </c>
      <c r="C7" s="29" t="s">
        <v>78</v>
      </c>
      <c r="D7" s="29" t="s">
        <v>79</v>
      </c>
      <c r="E7" s="27" t="s">
        <v>86</v>
      </c>
      <c r="F7" s="34" t="s">
        <v>87</v>
      </c>
      <c r="G7" s="32" t="str">
        <f>Gruppentabellen!$O$14</f>
        <v>VfB Hirsche</v>
      </c>
      <c r="H7" s="32" t="str">
        <f>Gruppentabellen!$O$15</f>
        <v>FC Möwen</v>
      </c>
      <c r="I7" s="29">
        <v>2</v>
      </c>
      <c r="J7" s="29">
        <v>2</v>
      </c>
      <c r="K7" s="26" t="str">
        <f t="shared" si="0"/>
        <v>2:2</v>
      </c>
    </row>
    <row r="8" spans="2:11" ht="18.75" customHeight="1" x14ac:dyDescent="0.25">
      <c r="B8" s="22">
        <v>5</v>
      </c>
      <c r="C8" s="29" t="s">
        <v>78</v>
      </c>
      <c r="D8" s="29" t="s">
        <v>88</v>
      </c>
      <c r="E8" s="24" t="s">
        <v>80</v>
      </c>
      <c r="F8" s="30" t="s">
        <v>81</v>
      </c>
      <c r="G8" s="17" t="str">
        <f>Gruppentabellen!$C$8</f>
        <v>TuS Löwen</v>
      </c>
      <c r="H8" s="17" t="str">
        <f>Gruppentabellen!$C$9</f>
        <v>SC Panther</v>
      </c>
      <c r="I8" s="29">
        <v>1</v>
      </c>
      <c r="J8" s="29">
        <v>1</v>
      </c>
      <c r="K8" s="22" t="str">
        <f t="shared" si="0"/>
        <v>1:1</v>
      </c>
    </row>
    <row r="9" spans="2:11" ht="18.75" customHeight="1" x14ac:dyDescent="0.25">
      <c r="B9" s="26">
        <v>6</v>
      </c>
      <c r="C9" s="29" t="s">
        <v>78</v>
      </c>
      <c r="D9" s="29" t="s">
        <v>88</v>
      </c>
      <c r="E9" s="27" t="s">
        <v>82</v>
      </c>
      <c r="F9" s="31" t="s">
        <v>83</v>
      </c>
      <c r="G9" s="32" t="str">
        <f>Gruppentabellen!$O$8</f>
        <v>SG Habichte</v>
      </c>
      <c r="H9" s="32" t="str">
        <f>Gruppentabellen!$O$9</f>
        <v>TSV Luchse</v>
      </c>
      <c r="I9" s="29">
        <v>0</v>
      </c>
      <c r="J9" s="29">
        <v>2</v>
      </c>
      <c r="K9" s="26" t="str">
        <f t="shared" si="0"/>
        <v>0:2</v>
      </c>
    </row>
    <row r="10" spans="2:11" ht="18.75" customHeight="1" x14ac:dyDescent="0.25">
      <c r="B10" s="22">
        <v>7</v>
      </c>
      <c r="C10" s="29" t="s">
        <v>78</v>
      </c>
      <c r="D10" s="29" t="s">
        <v>88</v>
      </c>
      <c r="E10" s="24" t="s">
        <v>84</v>
      </c>
      <c r="F10" s="33" t="s">
        <v>85</v>
      </c>
      <c r="G10" s="17" t="str">
        <f>Gruppentabellen!$C$16</f>
        <v>TuS Füchse</v>
      </c>
      <c r="H10" s="17" t="str">
        <f>Gruppentabellen!$C$17</f>
        <v>SC Reiher</v>
      </c>
      <c r="I10" s="29">
        <v>2</v>
      </c>
      <c r="J10" s="29">
        <v>2</v>
      </c>
      <c r="K10" s="22" t="str">
        <f t="shared" si="0"/>
        <v>2:2</v>
      </c>
    </row>
    <row r="11" spans="2:11" ht="18.75" customHeight="1" x14ac:dyDescent="0.25">
      <c r="B11" s="26">
        <v>8</v>
      </c>
      <c r="C11" s="29" t="s">
        <v>78</v>
      </c>
      <c r="D11" s="29" t="s">
        <v>88</v>
      </c>
      <c r="E11" s="27" t="s">
        <v>86</v>
      </c>
      <c r="F11" s="34" t="s">
        <v>87</v>
      </c>
      <c r="G11" s="32" t="str">
        <f>Gruppentabellen!$O$16</f>
        <v>SpVgg Dachse</v>
      </c>
      <c r="H11" s="32" t="str">
        <f>Gruppentabellen!$O$17</f>
        <v>TSV Biber</v>
      </c>
      <c r="I11" s="29">
        <v>1</v>
      </c>
      <c r="J11" s="29">
        <v>0</v>
      </c>
      <c r="K11" s="26" t="str">
        <f t="shared" si="0"/>
        <v>1:0</v>
      </c>
    </row>
    <row r="12" spans="2:11" ht="18.75" customHeight="1" x14ac:dyDescent="0.25">
      <c r="B12" s="22">
        <v>9</v>
      </c>
      <c r="C12" s="29" t="s">
        <v>89</v>
      </c>
      <c r="D12" s="29" t="s">
        <v>90</v>
      </c>
      <c r="E12" s="24" t="s">
        <v>80</v>
      </c>
      <c r="F12" s="30" t="s">
        <v>81</v>
      </c>
      <c r="G12" s="17" t="str">
        <f>Gruppentabellen!$C$6</f>
        <v>FC Adler</v>
      </c>
      <c r="H12" s="17" t="str">
        <f>Gruppentabellen!$C$8</f>
        <v>TuS Löwen</v>
      </c>
      <c r="I12" s="29">
        <v>2</v>
      </c>
      <c r="J12" s="29">
        <v>1</v>
      </c>
      <c r="K12" s="22" t="str">
        <f t="shared" si="0"/>
        <v>2:1</v>
      </c>
    </row>
    <row r="13" spans="2:11" ht="18.75" customHeight="1" x14ac:dyDescent="0.25">
      <c r="B13" s="26">
        <v>10</v>
      </c>
      <c r="C13" s="29" t="s">
        <v>89</v>
      </c>
      <c r="D13" s="29" t="s">
        <v>90</v>
      </c>
      <c r="E13" s="27" t="s">
        <v>82</v>
      </c>
      <c r="F13" s="31" t="s">
        <v>83</v>
      </c>
      <c r="G13" s="32" t="str">
        <f>Gruppentabellen!$O$6</f>
        <v>VfL Wölfe</v>
      </c>
      <c r="H13" s="32" t="str">
        <f>Gruppentabellen!$O$8</f>
        <v>SG Habichte</v>
      </c>
      <c r="I13" s="29">
        <v>3</v>
      </c>
      <c r="J13" s="29">
        <v>0</v>
      </c>
      <c r="K13" s="26" t="str">
        <f t="shared" si="0"/>
        <v>3:0</v>
      </c>
    </row>
    <row r="14" spans="2:11" ht="18.75" customHeight="1" x14ac:dyDescent="0.25">
      <c r="B14" s="22">
        <v>11</v>
      </c>
      <c r="C14" s="29" t="s">
        <v>89</v>
      </c>
      <c r="D14" s="29" t="s">
        <v>90</v>
      </c>
      <c r="E14" s="24" t="s">
        <v>84</v>
      </c>
      <c r="F14" s="33" t="s">
        <v>85</v>
      </c>
      <c r="G14" s="17" t="str">
        <f>Gruppentabellen!$C$14</f>
        <v>SV Delfine</v>
      </c>
      <c r="H14" s="17" t="str">
        <f>Gruppentabellen!$C$16</f>
        <v>TuS Füchse</v>
      </c>
      <c r="I14" s="29">
        <v>1</v>
      </c>
      <c r="J14" s="29">
        <v>0</v>
      </c>
      <c r="K14" s="22" t="str">
        <f t="shared" si="0"/>
        <v>1:0</v>
      </c>
    </row>
    <row r="15" spans="2:11" ht="18.75" customHeight="1" x14ac:dyDescent="0.25">
      <c r="B15" s="26">
        <v>12</v>
      </c>
      <c r="C15" s="29" t="s">
        <v>89</v>
      </c>
      <c r="D15" s="29" t="s">
        <v>90</v>
      </c>
      <c r="E15" s="27" t="s">
        <v>86</v>
      </c>
      <c r="F15" s="34" t="s">
        <v>87</v>
      </c>
      <c r="G15" s="32" t="str">
        <f>Gruppentabellen!$O$14</f>
        <v>VfB Hirsche</v>
      </c>
      <c r="H15" s="32" t="str">
        <f>Gruppentabellen!$O$16</f>
        <v>SpVgg Dachse</v>
      </c>
      <c r="I15" s="29">
        <v>1</v>
      </c>
      <c r="J15" s="29">
        <v>0</v>
      </c>
      <c r="K15" s="26" t="str">
        <f t="shared" si="0"/>
        <v>1:0</v>
      </c>
    </row>
    <row r="16" spans="2:11" ht="18.75" customHeight="1" x14ac:dyDescent="0.25">
      <c r="B16" s="22">
        <v>13</v>
      </c>
      <c r="C16" s="29" t="s">
        <v>89</v>
      </c>
      <c r="D16" s="29" t="s">
        <v>91</v>
      </c>
      <c r="E16" s="24" t="s">
        <v>80</v>
      </c>
      <c r="F16" s="30" t="s">
        <v>81</v>
      </c>
      <c r="G16" s="17" t="str">
        <f>Gruppentabellen!$C$7</f>
        <v>SV Falken</v>
      </c>
      <c r="H16" s="17" t="str">
        <f>Gruppentabellen!$C$9</f>
        <v>SC Panther</v>
      </c>
      <c r="I16" s="29">
        <v>0</v>
      </c>
      <c r="J16" s="29">
        <v>2</v>
      </c>
      <c r="K16" s="22" t="str">
        <f t="shared" si="0"/>
        <v>0:2</v>
      </c>
    </row>
    <row r="17" spans="2:11" ht="18.75" customHeight="1" x14ac:dyDescent="0.25">
      <c r="B17" s="26">
        <v>14</v>
      </c>
      <c r="C17" s="29" t="s">
        <v>89</v>
      </c>
      <c r="D17" s="29" t="s">
        <v>91</v>
      </c>
      <c r="E17" s="27" t="s">
        <v>82</v>
      </c>
      <c r="F17" s="31" t="s">
        <v>83</v>
      </c>
      <c r="G17" s="32" t="str">
        <f>Gruppentabellen!$O$7</f>
        <v>FC Bären</v>
      </c>
      <c r="H17" s="32" t="str">
        <f>Gruppentabellen!$O$9</f>
        <v>TSV Luchse</v>
      </c>
      <c r="I17" s="29">
        <v>2</v>
      </c>
      <c r="J17" s="29">
        <v>1</v>
      </c>
      <c r="K17" s="26" t="str">
        <f t="shared" si="0"/>
        <v>2:1</v>
      </c>
    </row>
    <row r="18" spans="2:11" ht="18.75" customHeight="1" x14ac:dyDescent="0.25">
      <c r="B18" s="22">
        <v>15</v>
      </c>
      <c r="C18" s="29" t="s">
        <v>89</v>
      </c>
      <c r="D18" s="29" t="s">
        <v>91</v>
      </c>
      <c r="E18" s="24" t="s">
        <v>84</v>
      </c>
      <c r="F18" s="33" t="s">
        <v>85</v>
      </c>
      <c r="G18" s="17" t="str">
        <f>Gruppentabellen!$C$15</f>
        <v>FC Kraniche</v>
      </c>
      <c r="H18" s="17" t="str">
        <f>Gruppentabellen!$C$17</f>
        <v>SC Reiher</v>
      </c>
      <c r="I18" s="29">
        <v>1</v>
      </c>
      <c r="J18" s="29">
        <v>1</v>
      </c>
      <c r="K18" s="22" t="str">
        <f t="shared" si="0"/>
        <v>1:1</v>
      </c>
    </row>
    <row r="19" spans="2:11" ht="18.75" customHeight="1" x14ac:dyDescent="0.25">
      <c r="B19" s="26">
        <v>16</v>
      </c>
      <c r="C19" s="29" t="s">
        <v>89</v>
      </c>
      <c r="D19" s="29" t="s">
        <v>91</v>
      </c>
      <c r="E19" s="27" t="s">
        <v>86</v>
      </c>
      <c r="F19" s="34" t="s">
        <v>87</v>
      </c>
      <c r="G19" s="32" t="str">
        <f>Gruppentabellen!$O$15</f>
        <v>FC Möwen</v>
      </c>
      <c r="H19" s="32" t="str">
        <f>Gruppentabellen!$O$17</f>
        <v>TSV Biber</v>
      </c>
      <c r="I19" s="29">
        <v>3</v>
      </c>
      <c r="J19" s="29">
        <v>1</v>
      </c>
      <c r="K19" s="26" t="str">
        <f t="shared" si="0"/>
        <v>3:1</v>
      </c>
    </row>
    <row r="20" spans="2:11" ht="18.75" customHeight="1" x14ac:dyDescent="0.25">
      <c r="B20" s="22">
        <v>17</v>
      </c>
      <c r="C20" s="29" t="s">
        <v>92</v>
      </c>
      <c r="D20" s="29" t="s">
        <v>93</v>
      </c>
      <c r="E20" s="24" t="s">
        <v>80</v>
      </c>
      <c r="F20" s="30" t="s">
        <v>81</v>
      </c>
      <c r="G20" s="17" t="str">
        <f>Gruppentabellen!$C$6</f>
        <v>FC Adler</v>
      </c>
      <c r="H20" s="17" t="str">
        <f>Gruppentabellen!$C$9</f>
        <v>SC Panther</v>
      </c>
      <c r="I20" s="29">
        <v>3</v>
      </c>
      <c r="J20" s="29">
        <v>1</v>
      </c>
      <c r="K20" s="22" t="str">
        <f t="shared" si="0"/>
        <v>3:1</v>
      </c>
    </row>
    <row r="21" spans="2:11" ht="18.75" customHeight="1" x14ac:dyDescent="0.25">
      <c r="B21" s="26">
        <v>18</v>
      </c>
      <c r="C21" s="29" t="s">
        <v>92</v>
      </c>
      <c r="D21" s="29" t="s">
        <v>93</v>
      </c>
      <c r="E21" s="27" t="s">
        <v>82</v>
      </c>
      <c r="F21" s="31" t="s">
        <v>83</v>
      </c>
      <c r="G21" s="32" t="str">
        <f>Gruppentabellen!$O$6</f>
        <v>VfL Wölfe</v>
      </c>
      <c r="H21" s="32" t="str">
        <f>Gruppentabellen!$O$9</f>
        <v>TSV Luchse</v>
      </c>
      <c r="I21" s="29">
        <v>2</v>
      </c>
      <c r="J21" s="29">
        <v>2</v>
      </c>
      <c r="K21" s="26" t="str">
        <f t="shared" si="0"/>
        <v>2:2</v>
      </c>
    </row>
    <row r="22" spans="2:11" ht="18.75" customHeight="1" x14ac:dyDescent="0.25">
      <c r="B22" s="22">
        <v>19</v>
      </c>
      <c r="C22" s="29" t="s">
        <v>92</v>
      </c>
      <c r="D22" s="29" t="s">
        <v>93</v>
      </c>
      <c r="E22" s="24" t="s">
        <v>84</v>
      </c>
      <c r="F22" s="33" t="s">
        <v>85</v>
      </c>
      <c r="G22" s="17" t="str">
        <f>Gruppentabellen!$C$14</f>
        <v>SV Delfine</v>
      </c>
      <c r="H22" s="17" t="str">
        <f>Gruppentabellen!$C$17</f>
        <v>SC Reiher</v>
      </c>
      <c r="I22" s="29">
        <v>2</v>
      </c>
      <c r="J22" s="29">
        <v>0</v>
      </c>
      <c r="K22" s="22" t="str">
        <f t="shared" si="0"/>
        <v>2:0</v>
      </c>
    </row>
    <row r="23" spans="2:11" ht="18.75" customHeight="1" x14ac:dyDescent="0.25">
      <c r="B23" s="26">
        <v>20</v>
      </c>
      <c r="C23" s="29" t="s">
        <v>92</v>
      </c>
      <c r="D23" s="29" t="s">
        <v>93</v>
      </c>
      <c r="E23" s="27" t="s">
        <v>86</v>
      </c>
      <c r="F23" s="34" t="s">
        <v>87</v>
      </c>
      <c r="G23" s="32" t="str">
        <f>Gruppentabellen!$O$14</f>
        <v>VfB Hirsche</v>
      </c>
      <c r="H23" s="32" t="str">
        <f>Gruppentabellen!$O$17</f>
        <v>TSV Biber</v>
      </c>
      <c r="I23" s="29">
        <v>0</v>
      </c>
      <c r="J23" s="29">
        <v>0</v>
      </c>
      <c r="K23" s="26" t="str">
        <f t="shared" si="0"/>
        <v>0:0</v>
      </c>
    </row>
    <row r="24" spans="2:11" ht="18.75" customHeight="1" x14ac:dyDescent="0.25">
      <c r="B24" s="22">
        <v>21</v>
      </c>
      <c r="C24" s="29" t="s">
        <v>92</v>
      </c>
      <c r="D24" s="29" t="s">
        <v>94</v>
      </c>
      <c r="E24" s="24" t="s">
        <v>80</v>
      </c>
      <c r="F24" s="30" t="s">
        <v>81</v>
      </c>
      <c r="G24" s="17" t="str">
        <f>Gruppentabellen!$C$7</f>
        <v>SV Falken</v>
      </c>
      <c r="H24" s="17" t="str">
        <f>Gruppentabellen!$C$8</f>
        <v>TuS Löwen</v>
      </c>
      <c r="I24" s="29">
        <v>1</v>
      </c>
      <c r="J24" s="29">
        <v>1</v>
      </c>
      <c r="K24" s="22" t="str">
        <f t="shared" si="0"/>
        <v>1:1</v>
      </c>
    </row>
    <row r="25" spans="2:11" ht="18.75" customHeight="1" x14ac:dyDescent="0.25">
      <c r="B25" s="26">
        <v>22</v>
      </c>
      <c r="C25" s="29" t="s">
        <v>92</v>
      </c>
      <c r="D25" s="29" t="s">
        <v>94</v>
      </c>
      <c r="E25" s="27" t="s">
        <v>82</v>
      </c>
      <c r="F25" s="31" t="s">
        <v>83</v>
      </c>
      <c r="G25" s="32" t="str">
        <f>Gruppentabellen!$O$7</f>
        <v>FC Bären</v>
      </c>
      <c r="H25" s="32" t="str">
        <f>Gruppentabellen!$O$8</f>
        <v>SG Habichte</v>
      </c>
      <c r="I25" s="29">
        <v>1</v>
      </c>
      <c r="J25" s="29">
        <v>0</v>
      </c>
      <c r="K25" s="26" t="str">
        <f t="shared" si="0"/>
        <v>1:0</v>
      </c>
    </row>
    <row r="26" spans="2:11" ht="18.75" customHeight="1" x14ac:dyDescent="0.25">
      <c r="B26" s="22">
        <v>23</v>
      </c>
      <c r="C26" s="29" t="s">
        <v>92</v>
      </c>
      <c r="D26" s="29" t="s">
        <v>94</v>
      </c>
      <c r="E26" s="24" t="s">
        <v>84</v>
      </c>
      <c r="F26" s="33" t="s">
        <v>85</v>
      </c>
      <c r="G26" s="17" t="str">
        <f>Gruppentabellen!$C$15</f>
        <v>FC Kraniche</v>
      </c>
      <c r="H26" s="17" t="str">
        <f>Gruppentabellen!$C$16</f>
        <v>TuS Füchse</v>
      </c>
      <c r="I26" s="29">
        <v>0</v>
      </c>
      <c r="J26" s="29">
        <v>2</v>
      </c>
      <c r="K26" s="22" t="str">
        <f t="shared" si="0"/>
        <v>0:2</v>
      </c>
    </row>
    <row r="27" spans="2:11" ht="18.75" customHeight="1" x14ac:dyDescent="0.25">
      <c r="B27" s="26">
        <v>24</v>
      </c>
      <c r="C27" s="29" t="s">
        <v>92</v>
      </c>
      <c r="D27" s="29" t="s">
        <v>94</v>
      </c>
      <c r="E27" s="27" t="s">
        <v>86</v>
      </c>
      <c r="F27" s="34" t="s">
        <v>87</v>
      </c>
      <c r="G27" s="32" t="str">
        <f>Gruppentabellen!$O$15</f>
        <v>FC Möwen</v>
      </c>
      <c r="H27" s="32" t="str">
        <f>Gruppentabellen!$O$16</f>
        <v>SpVgg Dachse</v>
      </c>
      <c r="I27" s="29">
        <v>2</v>
      </c>
      <c r="J27" s="29">
        <v>1</v>
      </c>
      <c r="K27" s="26" t="str">
        <f t="shared" si="0"/>
        <v>2:1</v>
      </c>
    </row>
    <row r="29" spans="2:11" x14ac:dyDescent="0.25">
      <c r="B29" s="3" t="s">
        <v>95</v>
      </c>
      <c r="C29" s="3"/>
      <c r="D29" s="3"/>
      <c r="E29" s="3"/>
      <c r="F29" s="3"/>
      <c r="G29" s="3"/>
      <c r="H29" s="3"/>
      <c r="I29" s="3"/>
      <c r="J29" s="3"/>
      <c r="K29" s="3"/>
    </row>
  </sheetData>
  <mergeCells count="3">
    <mergeCell ref="B1:K1"/>
    <mergeCell ref="B2:K2"/>
    <mergeCell ref="B29:K29"/>
  </mergeCells>
  <dataValidations count="1">
    <dataValidation type="whole" operator="greaterThanOrEqual" allowBlank="1" errorTitle="Ungültiges Ergebnis" error="Bitte ganze Zahl ≥ 0." sqref="I4:J27" xr:uid="{00000000-0002-0000-0200-000000000000}">
      <formula1>0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23"/>
  <sheetViews>
    <sheetView showGridLines="0" zoomScaleNormal="100" workbookViewId="0">
      <selection activeCell="I32" sqref="I32"/>
    </sheetView>
  </sheetViews>
  <sheetFormatPr baseColWidth="10" defaultColWidth="8.7109375" defaultRowHeight="15" x14ac:dyDescent="0.25"/>
  <cols>
    <col min="1" max="1" width="2" customWidth="1"/>
    <col min="2" max="2" width="3" customWidth="1"/>
    <col min="3" max="3" width="19" customWidth="1"/>
    <col min="4" max="4" width="4.42578125" customWidth="1"/>
    <col min="5" max="5" width="10" customWidth="1"/>
    <col min="6" max="6" width="2.42578125" customWidth="1"/>
    <col min="7" max="7" width="19" customWidth="1"/>
    <col min="8" max="8" width="4.42578125" customWidth="1"/>
    <col min="9" max="9" width="10" customWidth="1"/>
    <col min="10" max="10" width="2.42578125" customWidth="1"/>
    <col min="11" max="11" width="19" customWidth="1"/>
    <col min="12" max="12" width="4.42578125" customWidth="1"/>
    <col min="13" max="13" width="10" customWidth="1"/>
    <col min="14" max="14" width="2" customWidth="1"/>
    <col min="16" max="17" width="18" hidden="1" customWidth="1"/>
  </cols>
  <sheetData>
    <row r="1" spans="2:17" ht="31.5" customHeight="1" x14ac:dyDescent="0.25">
      <c r="B1" s="9" t="s">
        <v>106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2:17" ht="16.5" customHeight="1" x14ac:dyDescent="0.25">
      <c r="B2" s="8" t="s">
        <v>96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7" ht="19.5" customHeight="1" x14ac:dyDescent="0.25">
      <c r="C3" s="2" t="s">
        <v>97</v>
      </c>
      <c r="D3" s="2"/>
      <c r="E3" s="2"/>
      <c r="G3" s="2" t="s">
        <v>98</v>
      </c>
      <c r="H3" s="2"/>
      <c r="I3" s="2"/>
      <c r="K3" s="1" t="s">
        <v>99</v>
      </c>
      <c r="L3" s="1"/>
      <c r="M3" s="1"/>
    </row>
    <row r="4" spans="2:17" ht="18.75" customHeight="1" x14ac:dyDescent="0.25">
      <c r="C4" s="15" t="str">
        <f>INDEX(Gruppentabellen!$C$6:$C$9,MATCH(1,Gruppentabellen!$B$6:$B$9,0))</f>
        <v>FC Adler</v>
      </c>
      <c r="D4" s="35">
        <v>2</v>
      </c>
      <c r="E4" s="38"/>
      <c r="P4" t="str">
        <f>IF(AND(ISNUMBER(D4),ISNUMBER(D5)),IF(D4&gt;D5,C4,IF(D5&gt;D4,C5,E4)),"")</f>
        <v>FC Adler</v>
      </c>
      <c r="Q4" t="str">
        <f>IF(P4="","",IF(P4=C4,C5,C4))</f>
        <v>VfL Wölfe</v>
      </c>
    </row>
    <row r="5" spans="2:17" ht="18.75" customHeight="1" x14ac:dyDescent="0.25">
      <c r="C5" s="15" t="str">
        <f>INDEX(Gruppentabellen!$O$6:$O$9,MATCH(2,Gruppentabellen!$N$6:$N$9,0))</f>
        <v>VfL Wölfe</v>
      </c>
      <c r="D5" s="35">
        <v>1</v>
      </c>
      <c r="E5" s="38"/>
      <c r="F5" s="36"/>
    </row>
    <row r="6" spans="2:17" ht="18.75" customHeight="1" x14ac:dyDescent="0.25">
      <c r="F6" s="36"/>
      <c r="G6" s="15" t="str">
        <f>P4</f>
        <v>FC Adler</v>
      </c>
      <c r="H6" s="35">
        <v>2</v>
      </c>
      <c r="I6" s="38"/>
      <c r="P6" t="str">
        <f>IF(AND(ISNUMBER(H6),ISNUMBER(H7)),IF(H6&gt;H7,G6,IF(H7&gt;H6,G7,I6)),"")</f>
        <v>FC Adler</v>
      </c>
      <c r="Q6" t="str">
        <f>IF(P6="","",IF(P6=G6,G7,G6))</f>
        <v>SV Delfine</v>
      </c>
    </row>
    <row r="7" spans="2:17" ht="18.75" customHeight="1" x14ac:dyDescent="0.25">
      <c r="F7" s="36"/>
      <c r="G7" s="15" t="str">
        <f>P8</f>
        <v>SV Delfine</v>
      </c>
      <c r="H7" s="35">
        <v>0</v>
      </c>
      <c r="I7" s="38"/>
      <c r="J7" s="36"/>
    </row>
    <row r="8" spans="2:17" ht="18.75" customHeight="1" x14ac:dyDescent="0.25">
      <c r="C8" s="15" t="str">
        <f>INDEX(Gruppentabellen!$C$14:$C$17,MATCH(1,Gruppentabellen!$B$14:$B$17,0))</f>
        <v>SV Delfine</v>
      </c>
      <c r="D8" s="35">
        <v>1</v>
      </c>
      <c r="E8" s="38"/>
      <c r="F8" s="36"/>
      <c r="J8" s="36"/>
      <c r="P8" t="str">
        <f>IF(AND(ISNUMBER(D8),ISNUMBER(D9)),IF(D8&gt;D9,C8,IF(D9&gt;D8,C9,E8)),"")</f>
        <v>SV Delfine</v>
      </c>
      <c r="Q8" t="str">
        <f>IF(P8="","",IF(P8=C8,C9,C8))</f>
        <v>VfB Hirsche</v>
      </c>
    </row>
    <row r="9" spans="2:17" ht="18.75" customHeight="1" x14ac:dyDescent="0.25">
      <c r="C9" s="15" t="str">
        <f>INDEX(Gruppentabellen!$O$14:$O$17,MATCH(2,Gruppentabellen!$N$14:$N$17,0))</f>
        <v>VfB Hirsche</v>
      </c>
      <c r="D9" s="35">
        <v>0</v>
      </c>
      <c r="E9" s="38"/>
      <c r="J9" s="36"/>
    </row>
    <row r="10" spans="2:17" ht="18.75" customHeight="1" x14ac:dyDescent="0.25">
      <c r="J10" s="36"/>
      <c r="K10" s="37" t="str">
        <f>P6</f>
        <v>FC Adler</v>
      </c>
      <c r="L10" s="35">
        <v>3</v>
      </c>
      <c r="M10" s="38"/>
      <c r="P10" t="str">
        <f>IF(AND(ISNUMBER(L10),ISNUMBER(L11)),IF(L10&gt;L11,K10,IF(L11&gt;L10,K11,M10)),"")</f>
        <v>FC Adler</v>
      </c>
      <c r="Q10" t="str">
        <f>IF(P10="","",IF(P10=K10,K11,K10))</f>
        <v>FC Möwen</v>
      </c>
    </row>
    <row r="11" spans="2:17" ht="18.75" customHeight="1" x14ac:dyDescent="0.25">
      <c r="J11" s="36"/>
      <c r="K11" s="37" t="str">
        <f>P14</f>
        <v>FC Möwen</v>
      </c>
      <c r="L11" s="35">
        <v>1</v>
      </c>
      <c r="M11" s="38"/>
    </row>
    <row r="12" spans="2:17" ht="18.75" customHeight="1" x14ac:dyDescent="0.25">
      <c r="C12" s="15" t="str">
        <f>INDEX(Gruppentabellen!$O$6:$O$9,MATCH(1,Gruppentabellen!$N$6:$N$9,0))</f>
        <v>FC Bären</v>
      </c>
      <c r="D12" s="35">
        <v>1</v>
      </c>
      <c r="E12" s="39" t="s">
        <v>54</v>
      </c>
      <c r="J12" s="36"/>
      <c r="P12" t="str">
        <f>IF(AND(ISNUMBER(D12),ISNUMBER(D13)),IF(D12&gt;D13,C12,IF(D13&gt;D12,C13,E12)),"")</f>
        <v>SC Panther</v>
      </c>
      <c r="Q12" t="str">
        <f>IF(P12="","",IF(P12=C12,C13,C12))</f>
        <v>FC Bären</v>
      </c>
    </row>
    <row r="13" spans="2:17" ht="18.75" customHeight="1" x14ac:dyDescent="0.25">
      <c r="C13" s="15" t="str">
        <f>INDEX(Gruppentabellen!$C$6:$C$9,MATCH(2,Gruppentabellen!$B$6:$B$9,0))</f>
        <v>SC Panther</v>
      </c>
      <c r="D13" s="35">
        <v>1</v>
      </c>
      <c r="E13" s="39"/>
      <c r="F13" s="36"/>
      <c r="J13" s="36"/>
    </row>
    <row r="14" spans="2:17" ht="18.75" customHeight="1" x14ac:dyDescent="0.25">
      <c r="F14" s="36"/>
      <c r="G14" s="15" t="str">
        <f>P12</f>
        <v>SC Panther</v>
      </c>
      <c r="H14" s="35">
        <v>1</v>
      </c>
      <c r="I14" s="38"/>
      <c r="J14" s="36"/>
      <c r="P14" t="str">
        <f>IF(AND(ISNUMBER(H14),ISNUMBER(H15)),IF(H14&gt;H15,G14,IF(H15&gt;H14,G15,I14)),"")</f>
        <v>FC Möwen</v>
      </c>
      <c r="Q14" t="str">
        <f>IF(P14="","",IF(P14=G14,G15,G14))</f>
        <v>SC Panther</v>
      </c>
    </row>
    <row r="15" spans="2:17" ht="18.75" customHeight="1" x14ac:dyDescent="0.25">
      <c r="F15" s="36"/>
      <c r="G15" s="15" t="str">
        <f>P16</f>
        <v>FC Möwen</v>
      </c>
      <c r="H15" s="35">
        <v>2</v>
      </c>
      <c r="I15" s="38"/>
    </row>
    <row r="16" spans="2:17" ht="18.75" customHeight="1" x14ac:dyDescent="0.25">
      <c r="C16" s="15" t="str">
        <f>INDEX(Gruppentabellen!$O$14:$O$17,MATCH(1,Gruppentabellen!$N$14:$N$17,0))</f>
        <v>FC Möwen</v>
      </c>
      <c r="D16" s="35">
        <v>3</v>
      </c>
      <c r="E16" s="38"/>
      <c r="F16" s="36"/>
      <c r="P16" t="str">
        <f>IF(AND(ISNUMBER(D16),ISNUMBER(D17)),IF(D16&gt;D17,C16,IF(D17&gt;D16,C17,E16)),"")</f>
        <v>FC Möwen</v>
      </c>
      <c r="Q16" t="str">
        <f>IF(P16="","",IF(P16=C16,C17,C16))</f>
        <v>TuS Füchse</v>
      </c>
    </row>
    <row r="17" spans="2:17" ht="18.75" customHeight="1" x14ac:dyDescent="0.25">
      <c r="C17" s="15" t="str">
        <f>INDEX(Gruppentabellen!$C$14:$C$17,MATCH(2,Gruppentabellen!$B$14:$B$17,0))</f>
        <v>TuS Füchse</v>
      </c>
      <c r="D17" s="35">
        <v>2</v>
      </c>
      <c r="E17" s="38"/>
    </row>
    <row r="18" spans="2:17" ht="18" customHeight="1" x14ac:dyDescent="0.25">
      <c r="C18" s="12" t="s">
        <v>100</v>
      </c>
      <c r="D18" s="12"/>
      <c r="E18" s="12"/>
      <c r="G18" s="40" t="s">
        <v>101</v>
      </c>
      <c r="H18" s="40"/>
      <c r="I18" s="40"/>
    </row>
    <row r="19" spans="2:17" ht="24" customHeight="1" x14ac:dyDescent="0.25">
      <c r="C19" s="15" t="str">
        <f>Q6</f>
        <v>SV Delfine</v>
      </c>
      <c r="D19" s="35">
        <v>2</v>
      </c>
      <c r="E19" s="38"/>
      <c r="G19" s="41" t="str">
        <f>IF(P10="","noch offen",P10)</f>
        <v>FC Adler</v>
      </c>
      <c r="H19" s="41"/>
      <c r="I19" s="41"/>
      <c r="P19" t="str">
        <f>IF(AND(ISNUMBER(D19),ISNUMBER(D20)),IF(D19&gt;D20,C19,IF(D20&gt;D19,C20,E19)),"")</f>
        <v>SV Delfine</v>
      </c>
      <c r="Q19" t="str">
        <f>IF(P19="","",IF(P19=C19,C20,C19))</f>
        <v>SC Panther</v>
      </c>
    </row>
    <row r="20" spans="2:17" ht="24" customHeight="1" x14ac:dyDescent="0.25">
      <c r="C20" s="15" t="str">
        <f>Q14</f>
        <v>SC Panther</v>
      </c>
      <c r="D20" s="35">
        <v>1</v>
      </c>
      <c r="E20" s="38"/>
      <c r="G20" s="41"/>
      <c r="H20" s="41"/>
      <c r="I20" s="41"/>
    </row>
    <row r="23" spans="2:17" x14ac:dyDescent="0.25">
      <c r="B23" s="3" t="s">
        <v>102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7">
    <mergeCell ref="B23:M23"/>
    <mergeCell ref="I14:I15"/>
    <mergeCell ref="E16:E17"/>
    <mergeCell ref="C18:E18"/>
    <mergeCell ref="G18:I18"/>
    <mergeCell ref="E19:E20"/>
    <mergeCell ref="G19:I20"/>
    <mergeCell ref="E4:E5"/>
    <mergeCell ref="I6:I7"/>
    <mergeCell ref="E8:E9"/>
    <mergeCell ref="M10:M11"/>
    <mergeCell ref="E12:E13"/>
    <mergeCell ref="B1:M1"/>
    <mergeCell ref="B2:M2"/>
    <mergeCell ref="C3:E3"/>
    <mergeCell ref="G3:I3"/>
    <mergeCell ref="K3:M3"/>
  </mergeCells>
  <conditionalFormatting sqref="C4:C5">
    <cfRule type="expression" dxfId="7" priority="2">
      <formula>AND($P$4&lt;&gt;"",C4=$P$4)</formula>
    </cfRule>
  </conditionalFormatting>
  <conditionalFormatting sqref="C8:C9">
    <cfRule type="expression" dxfId="6" priority="3">
      <formula>AND($P$8&lt;&gt;"",C8=$P$8)</formula>
    </cfRule>
  </conditionalFormatting>
  <conditionalFormatting sqref="C12:C13">
    <cfRule type="expression" dxfId="5" priority="4">
      <formula>AND($P$12&lt;&gt;"",C12=$P$12)</formula>
    </cfRule>
  </conditionalFormatting>
  <conditionalFormatting sqref="C16:C17">
    <cfRule type="expression" dxfId="4" priority="5">
      <formula>AND($P$16&lt;&gt;"",C16=$P$16)</formula>
    </cfRule>
  </conditionalFormatting>
  <conditionalFormatting sqref="C19:C20">
    <cfRule type="expression" dxfId="3" priority="9">
      <formula>AND($P$19&lt;&gt;"",C19=$P$19)</formula>
    </cfRule>
  </conditionalFormatting>
  <conditionalFormatting sqref="G6:G7">
    <cfRule type="expression" dxfId="2" priority="6">
      <formula>AND($P$6&lt;&gt;"",G6=$P$6)</formula>
    </cfRule>
  </conditionalFormatting>
  <conditionalFormatting sqref="G14:G15">
    <cfRule type="expression" dxfId="1" priority="7">
      <formula>AND($P$14&lt;&gt;"",G14=$P$14)</formula>
    </cfRule>
  </conditionalFormatting>
  <conditionalFormatting sqref="K10:K11">
    <cfRule type="expression" dxfId="0" priority="8">
      <formula>AND($P$10&lt;&gt;"",K10=$P$10)</formula>
    </cfRule>
  </conditionalFormatting>
  <dataValidations count="9">
    <dataValidation type="whole" operator="greaterThanOrEqual" allowBlank="1" errorTitle="Ungültiges Ergebnis" error="Bitte ganze Zahl ≥ 0." sqref="D4:D5 H6:H7 D8:D9 L10:L11 D12:D13 H14:H15 D16:D17 D19:D20" xr:uid="{00000000-0002-0000-0300-000000000000}">
      <formula1>0</formula1>
      <formula2>0</formula2>
    </dataValidation>
    <dataValidation type="list" allowBlank="1" promptTitle="Sieger n. E." prompt="Bei Unentschieden: Sieger nach Elfmeterschießen" sqref="E4" xr:uid="{00000000-0002-0000-0300-000001000000}">
      <formula1>$C$4:$C$5</formula1>
      <formula2>0</formula2>
    </dataValidation>
    <dataValidation type="list" allowBlank="1" promptTitle="Sieger n. E." prompt="Bei Unentschieden: Sieger nach Elfmeterschießen" sqref="E8" xr:uid="{00000000-0002-0000-0300-000002000000}">
      <formula1>$C$8:$C$9</formula1>
      <formula2>0</formula2>
    </dataValidation>
    <dataValidation type="list" allowBlank="1" promptTitle="Sieger n. E." prompt="Bei Unentschieden: Sieger nach Elfmeterschießen" sqref="E12" xr:uid="{00000000-0002-0000-0300-000003000000}">
      <formula1>$C$12:$C$13</formula1>
      <formula2>0</formula2>
    </dataValidation>
    <dataValidation type="list" allowBlank="1" promptTitle="Sieger n. E." prompt="Bei Unentschieden: Sieger nach Elfmeterschießen" sqref="E16" xr:uid="{00000000-0002-0000-0300-000004000000}">
      <formula1>$C$16:$C$17</formula1>
      <formula2>0</formula2>
    </dataValidation>
    <dataValidation type="list" allowBlank="1" promptTitle="Sieger n. E." prompt="Bei Unentschieden: Sieger nach Elfmeterschießen" sqref="I6" xr:uid="{00000000-0002-0000-0300-000005000000}">
      <formula1>$G$6:$G$7</formula1>
      <formula2>0</formula2>
    </dataValidation>
    <dataValidation type="list" allowBlank="1" promptTitle="Sieger n. E." prompt="Bei Unentschieden: Sieger nach Elfmeterschießen" sqref="I14" xr:uid="{00000000-0002-0000-0300-000006000000}">
      <formula1>$G$14:$G$15</formula1>
      <formula2>0</formula2>
    </dataValidation>
    <dataValidation type="list" allowBlank="1" promptTitle="Sieger n. E." prompt="Bei Unentschieden: Sieger nach Elfmeterschießen" sqref="M10" xr:uid="{00000000-0002-0000-0300-000007000000}">
      <formula1>$K$10:$K$11</formula1>
      <formula2>0</formula2>
    </dataValidation>
    <dataValidation type="list" allowBlank="1" promptTitle="Sieger n. E." prompt="Bei Unentschieden: Sieger nach Elfmeterschießen" sqref="E19" xr:uid="{00000000-0002-0000-0300-000008000000}">
      <formula1>$C$19:$C$20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</vt:lpstr>
      <vt:lpstr>Gruppentabellen</vt:lpstr>
      <vt:lpstr>Spielplan</vt:lpstr>
      <vt:lpstr>Finalrunde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2026-09-01T05:57:32Z</dcterms:created>
  <dcterms:modified xsi:type="dcterms:W3CDTF">2026-09-02T11:11:42Z</dcterms:modified>
  <dc:language>en-US</dc:language>
</cp:coreProperties>
</file>