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961D21B0-653F-4A49-A470-B38B2A7B4F8D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Dashboard" sheetId="1" r:id="rId1"/>
    <sheet name="Aufgaben" sheetId="2" r:id="rId2"/>
    <sheet name="Listen" sheetId="3" r:id="rId3"/>
  </sheets>
  <definedNames>
    <definedName name="_xlnm._FilterDatabase" localSheetId="1" hidden="1">Aufgaben!$B$6:$O$41</definedName>
    <definedName name="_xlnm.Print_Area" localSheetId="0">Dashboard!$A$1:$Z$28</definedName>
    <definedName name="_xlnm.Print_Titles" localSheetId="1">Aufgaben!$6:$6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41" i="2" l="1"/>
  <c r="B41" i="2"/>
  <c r="N40" i="2"/>
  <c r="B40" i="2"/>
  <c r="N39" i="2"/>
  <c r="B39" i="2"/>
  <c r="N38" i="2"/>
  <c r="B38" i="2"/>
  <c r="N37" i="2"/>
  <c r="B37" i="2"/>
  <c r="N36" i="2"/>
  <c r="B36" i="2"/>
  <c r="N35" i="2"/>
  <c r="B35" i="2"/>
  <c r="N34" i="2"/>
  <c r="B34" i="2"/>
  <c r="N33" i="2"/>
  <c r="B33" i="2"/>
  <c r="N32" i="2"/>
  <c r="B32" i="2"/>
  <c r="N31" i="2"/>
  <c r="B31" i="2"/>
  <c r="N30" i="2"/>
  <c r="B30" i="2"/>
  <c r="N29" i="2"/>
  <c r="B29" i="2"/>
  <c r="N28" i="2"/>
  <c r="B28" i="2"/>
  <c r="N27" i="2"/>
  <c r="B27" i="2"/>
  <c r="N26" i="2"/>
  <c r="B26" i="2"/>
  <c r="N25" i="2"/>
  <c r="B25" i="2"/>
  <c r="N24" i="2"/>
  <c r="B24" i="2"/>
  <c r="N23" i="2"/>
  <c r="B23" i="2"/>
  <c r="N22" i="2"/>
  <c r="B22" i="2"/>
  <c r="N21" i="2"/>
  <c r="B21" i="2"/>
  <c r="N20" i="2"/>
  <c r="B20" i="2"/>
  <c r="N19" i="2"/>
  <c r="B19" i="2"/>
  <c r="N18" i="2"/>
  <c r="B18" i="2"/>
  <c r="N17" i="2"/>
  <c r="B17" i="2"/>
  <c r="N16" i="2"/>
  <c r="B16" i="2"/>
  <c r="N15" i="2"/>
  <c r="B15" i="2"/>
  <c r="N14" i="2"/>
  <c r="B14" i="2"/>
  <c r="N13" i="2"/>
  <c r="B13" i="2"/>
  <c r="N12" i="2"/>
  <c r="B12" i="2"/>
  <c r="N11" i="2"/>
  <c r="B11" i="2"/>
  <c r="N10" i="2"/>
  <c r="B10" i="2"/>
  <c r="N9" i="2"/>
  <c r="B9" i="2"/>
  <c r="N8" i="2"/>
  <c r="B8" i="2"/>
  <c r="N7" i="2"/>
  <c r="B7" i="2"/>
  <c r="K3" i="2"/>
  <c r="V25" i="1"/>
  <c r="H25" i="1"/>
  <c r="Y22" i="1"/>
  <c r="T22" i="1"/>
  <c r="Y21" i="1"/>
  <c r="T21" i="1"/>
  <c r="Y20" i="1"/>
  <c r="T20" i="1"/>
  <c r="Y19" i="1"/>
  <c r="T19" i="1"/>
  <c r="L19" i="1"/>
  <c r="G19" i="1"/>
  <c r="Y18" i="1"/>
  <c r="T18" i="1"/>
  <c r="L18" i="1"/>
  <c r="G18" i="1"/>
  <c r="Y17" i="1"/>
  <c r="T17" i="1"/>
  <c r="L17" i="1"/>
  <c r="G17" i="1"/>
  <c r="Y16" i="1"/>
  <c r="T16" i="1"/>
  <c r="L16" i="1"/>
  <c r="G16" i="1"/>
  <c r="Y15" i="1"/>
  <c r="T15" i="1"/>
  <c r="L15" i="1"/>
  <c r="G15" i="1"/>
  <c r="V11" i="1"/>
  <c r="R11" i="1"/>
  <c r="N11" i="1"/>
  <c r="J11" i="1"/>
  <c r="F11" i="1"/>
  <c r="B11" i="1"/>
  <c r="V9" i="1"/>
  <c r="R9" i="1"/>
  <c r="N9" i="1"/>
  <c r="J9" i="1"/>
  <c r="F9" i="1"/>
  <c r="B9" i="1"/>
  <c r="S4" i="1"/>
  <c r="S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N6" authorId="0" shapeId="0" xr:uid="{00000000-0006-0000-0100-000001000000}">
      <text>
        <r>
          <rPr>
            <sz val="10"/>
            <rFont val="Arial"/>
            <family val="2"/>
          </rPr>
          <t>Automatisch: Tage bis zur Fälligkeit (negativ = überfällig, „–“ = erledigt).</t>
        </r>
      </text>
    </comment>
  </commentList>
</comments>
</file>

<file path=xl/sharedStrings.xml><?xml version="1.0" encoding="utf-8"?>
<sst xmlns="http://schemas.openxmlformats.org/spreadsheetml/2006/main" count="174" uniqueCount="96">
  <si>
    <t>AUFGABENPLANUNG  ·  INGENIEURBÜRO</t>
  </si>
  <si>
    <t>Projektübersicht</t>
  </si>
  <si>
    <t>Nordmann Ingenieure GmbH   ·   Neubau Produktionshalle (Beispiel)</t>
  </si>
  <si>
    <t>AUFGABEN GESAMT</t>
  </si>
  <si>
    <t>ERLEDIGT</t>
  </si>
  <si>
    <t>IN BEARBEITUNG</t>
  </si>
  <si>
    <t>ÜBERFÄLLIG</t>
  </si>
  <si>
    <t>Ø FORTSCHRITT</t>
  </si>
  <si>
    <t>AUFWAND IST (STD.)</t>
  </si>
  <si>
    <t>AUFGABEN NACH STATUS</t>
  </si>
  <si>
    <t>AUFGABEN NACH PHASE</t>
  </si>
  <si>
    <t>Offen</t>
  </si>
  <si>
    <t>Projektinitiierung</t>
  </si>
  <si>
    <t>In Bearbeitung</t>
  </si>
  <si>
    <t>Konzeptphase</t>
  </si>
  <si>
    <t>In Prüfung</t>
  </si>
  <si>
    <t>Detailplanung</t>
  </si>
  <si>
    <t>Erledigt</t>
  </si>
  <si>
    <t>Genehmigung</t>
  </si>
  <si>
    <t>Blockiert</t>
  </si>
  <si>
    <t>Ausschreibung</t>
  </si>
  <si>
    <t>Ausführung</t>
  </si>
  <si>
    <t>Abnahme &amp; Übergabe</t>
  </si>
  <si>
    <t>Dokumentation</t>
  </si>
  <si>
    <t>GESAMTFORTSCHRITT</t>
  </si>
  <si>
    <t>Alle Kennzahlen berechnen sich automatisch aus dem Blatt „Aufgaben“. Beispieldaten – bitte durch eigene Projektdaten ersetzen.</t>
  </si>
  <si>
    <t>Aufgabenregister</t>
  </si>
  <si>
    <t>Nordmann Ingenieure GmbH   ·   Neubau Produktionshalle (Beispielprojekt)</t>
  </si>
  <si>
    <t>Nr.</t>
  </si>
  <si>
    <t>Phase</t>
  </si>
  <si>
    <t>Aufgabe</t>
  </si>
  <si>
    <t>Beschreibung</t>
  </si>
  <si>
    <t>Verantwortlich</t>
  </si>
  <si>
    <t>Priorität</t>
  </si>
  <si>
    <t>Status</t>
  </si>
  <si>
    <t>Start</t>
  </si>
  <si>
    <t>Fällig am</t>
  </si>
  <si>
    <t>Fortschritt</t>
  </si>
  <si>
    <t>Aufwand
geplant</t>
  </si>
  <si>
    <t>Aufwand
Ist</t>
  </si>
  <si>
    <t>Rest-
tage</t>
  </si>
  <si>
    <t>Notizen</t>
  </si>
  <si>
    <t>Projektauftrag und Ziele definieren</t>
  </si>
  <si>
    <t>Auftragsklärung, Zieldefinition und Freigabe</t>
  </si>
  <si>
    <t>Dr. K. Haas</t>
  </si>
  <si>
    <t>Hoch</t>
  </si>
  <si>
    <t>Freigabe erteilt</t>
  </si>
  <si>
    <t>Projektteam und Rollen festlegen</t>
  </si>
  <si>
    <t>Zuständigkeiten und Kommunikationswege klären</t>
  </si>
  <si>
    <t>Mittel</t>
  </si>
  <si>
    <t>Anforderungsanalyse durchführen</t>
  </si>
  <si>
    <t>Lastenheft gemeinsam mit Auftraggeber erstellen</t>
  </si>
  <si>
    <t>N. Simon</t>
  </si>
  <si>
    <t>Lastenheft v2 final</t>
  </si>
  <si>
    <t>Machbarkeitsstudie erstellen</t>
  </si>
  <si>
    <t>Technische und wirtschaftliche Bewertung</t>
  </si>
  <si>
    <t>P. Ott</t>
  </si>
  <si>
    <t>Technische Berechnungen erstellen</t>
  </si>
  <si>
    <t>Dimensionierung und Nachweise ausarbeiten</t>
  </si>
  <si>
    <t>R. Frank</t>
  </si>
  <si>
    <t>Prüfung durch QS läuft</t>
  </si>
  <si>
    <t>Ausführungszeichnungen erstellen</t>
  </si>
  <si>
    <t>Vollständigen Zeichnungssatz erarbeiten</t>
  </si>
  <si>
    <t>Materialspezifikation festlegen</t>
  </si>
  <si>
    <t>Werkstoffe, Normen und Toleranzen definieren</t>
  </si>
  <si>
    <t>J. Weiss</t>
  </si>
  <si>
    <t>Genehmigungsantrag einreichen</t>
  </si>
  <si>
    <t>Antragsunterlagen bei Behörde einreichen</t>
  </si>
  <si>
    <t>Prüfstatik beauftragen</t>
  </si>
  <si>
    <t>Externen Prüfingenieur einbinden</t>
  </si>
  <si>
    <t>Rückläufer erwartet</t>
  </si>
  <si>
    <t>Leistungsverzeichnis erstellen</t>
  </si>
  <si>
    <t>LV nach Gewerken strukturieren</t>
  </si>
  <si>
    <t>Angebotsvergleich und Vergabe</t>
  </si>
  <si>
    <t>Preisspiegel erstellen, Vergabe vorbereiten</t>
  </si>
  <si>
    <t>Fertigungsfreigabe erteilen</t>
  </si>
  <si>
    <t>Freigabe nach Musterprüfung erteilen</t>
  </si>
  <si>
    <t>Wartet auf Freigabe Auftraggeber</t>
  </si>
  <si>
    <t>Bauüberwachung koordinieren</t>
  </si>
  <si>
    <t>Termine und Qualität vor Ort steuern</t>
  </si>
  <si>
    <t>Niedrig</t>
  </si>
  <si>
    <t>Über die Bauzeit laufend</t>
  </si>
  <si>
    <t>Abnahmeprotokoll vorbereiten</t>
  </si>
  <si>
    <t>Mängelliste und Protokoll erstellen</t>
  </si>
  <si>
    <t>Revisionsunterlagen zusammenstellen</t>
  </si>
  <si>
    <t>Bestandsdokumentation und Anleitungen bündeln</t>
  </si>
  <si>
    <t>Listen &amp; Einstellungen</t>
  </si>
  <si>
    <t>Diese Werte speisen die Auswahllisten (Dropdowns) im Blatt „Aufgaben“. Einfach anpassen, ergänzen oder löschen.</t>
  </si>
  <si>
    <t>Extern</t>
  </si>
  <si>
    <t>Kurzanleitung</t>
  </si>
  <si>
    <t>1. Neue Aufgaben ab Zeile 7 im Blatt „Aufgaben“ eintragen.</t>
  </si>
  <si>
    <t>2. Phase, Verantwortlich, Priorität und Status per Dropdown wählen.</t>
  </si>
  <si>
    <t>3. Datum im Format TT.MM.JJJJ (Start / Fällig am).</t>
  </si>
  <si>
    <t>4. Fortschritt in Prozent (0–100 %) – der Balken füllt sich automatisch.</t>
  </si>
  <si>
    <t>5. Nr., Resttage sowie alle Kennzahlen im Dashboard werden automatisch berechnet.</t>
  </si>
  <si>
    <t>6. Überfällige Aufgaben werden rot markiert; das Dashboard aktualisiert sich live.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</si>
</sst>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Stand:  &quot;dd\.mm\.yyyy"/>
    <numFmt numFmtId="165" formatCode="dd\.mm\.yyyy"/>
    <numFmt numFmtId="166" formatCode="0;[Red]\-0"/>
  </numFmts>
  <fonts count="31" x14ac:knownFonts="1">
    <font>
      <sz val="11"/>
      <color theme="1"/>
      <name val="Calibri"/>
      <family val="2"/>
      <charset val="1"/>
    </font>
    <font>
      <b/>
      <sz val="9"/>
      <color rgb="FFC29B4E"/>
      <name val="Calibri"/>
      <charset val="1"/>
    </font>
    <font>
      <sz val="27"/>
      <color rgb="FF0E1D33"/>
      <name val="Calibri"/>
      <charset val="1"/>
    </font>
    <font>
      <b/>
      <sz val="10"/>
      <color rgb="FF6B7684"/>
      <name val="Calibri"/>
      <charset val="1"/>
    </font>
    <font>
      <b/>
      <sz val="10"/>
      <color rgb="FFC29B4E"/>
      <name val="Calibri"/>
      <charset val="1"/>
    </font>
    <font>
      <sz val="10"/>
      <color rgb="FF6B7684"/>
      <name val="Calibri"/>
      <charset val="1"/>
    </font>
    <font>
      <b/>
      <sz val="23"/>
      <color rgb="FF0E1D33"/>
      <name val="Calibri"/>
      <charset val="1"/>
    </font>
    <font>
      <b/>
      <sz val="23"/>
      <color rgb="FF2E6B45"/>
      <name val="Calibri"/>
      <charset val="1"/>
    </font>
    <font>
      <b/>
      <sz val="23"/>
      <color rgb="FF1F5C8C"/>
      <name val="Calibri"/>
      <charset val="1"/>
    </font>
    <font>
      <b/>
      <sz val="23"/>
      <color rgb="FFA23A2E"/>
      <name val="Calibri"/>
      <charset val="1"/>
    </font>
    <font>
      <b/>
      <sz val="8"/>
      <color rgb="FF6B7684"/>
      <name val="Calibri"/>
      <charset val="1"/>
    </font>
    <font>
      <sz val="8"/>
      <color rgb="FF6B7684"/>
      <name val="Calibri"/>
      <charset val="1"/>
    </font>
    <font>
      <b/>
      <sz val="10"/>
      <color rgb="FF0E1D33"/>
      <name val="Calibri"/>
      <charset val="1"/>
    </font>
    <font>
      <sz val="9"/>
      <color rgb="FF1F2A38"/>
      <name val="Calibri"/>
      <charset val="1"/>
    </font>
    <font>
      <sz val="9"/>
      <color rgb="FF2C4A72"/>
      <name val="Calibri"/>
      <charset val="1"/>
    </font>
    <font>
      <b/>
      <sz val="9"/>
      <color rgb="FF16294A"/>
      <name val="Calibri"/>
      <charset val="1"/>
    </font>
    <font>
      <sz val="9"/>
      <color rgb="FFC29B4E"/>
      <name val="Calibri"/>
      <charset val="1"/>
    </font>
    <font>
      <b/>
      <sz val="9"/>
      <color rgb="FF6B7684"/>
      <name val="Calibri"/>
      <charset val="1"/>
    </font>
    <font>
      <sz val="11"/>
      <color rgb="FF2C4A72"/>
      <name val="Calibri"/>
      <charset val="1"/>
    </font>
    <font>
      <b/>
      <sz val="18"/>
      <color rgb="FF0E1D33"/>
      <name val="Calibri"/>
      <charset val="1"/>
    </font>
    <font>
      <i/>
      <sz val="8"/>
      <color rgb="FF6B7684"/>
      <name val="Calibri"/>
      <charset val="1"/>
    </font>
    <font>
      <sz val="18"/>
      <color rgb="FF0E1D33"/>
      <name val="Calibri"/>
      <charset val="1"/>
    </font>
    <font>
      <sz val="9"/>
      <color rgb="FF6B7684"/>
      <name val="Calibri"/>
      <charset val="1"/>
    </font>
    <font>
      <b/>
      <sz val="9"/>
      <color rgb="FFFFFFFF"/>
      <name val="Calibri"/>
      <charset val="1"/>
    </font>
    <font>
      <sz val="10"/>
      <color rgb="FF1F2A38"/>
      <name val="Calibri"/>
      <charset val="1"/>
    </font>
    <font>
      <sz val="10"/>
      <name val="Arial"/>
      <family val="2"/>
    </font>
    <font>
      <b/>
      <sz val="14"/>
      <color rgb="FF0E1D33"/>
      <name val="Calibri"/>
      <charset val="1"/>
    </font>
    <font>
      <i/>
      <sz val="9"/>
      <color rgb="FF6B7684"/>
      <name val="Calibri"/>
      <charset val="1"/>
    </font>
    <font>
      <b/>
      <sz val="10"/>
      <color rgb="FFFFFFFF"/>
      <name val="Calibri"/>
      <charset val="1"/>
    </font>
    <font>
      <b/>
      <sz val="12"/>
      <color rgb="FF0E1D33"/>
      <name val="Calibri"/>
      <charset val="1"/>
    </font>
    <font>
      <b/>
      <sz val="15"/>
      <color theme="9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F7F9"/>
        <bgColor rgb="FFFAFBFC"/>
      </patternFill>
    </fill>
    <fill>
      <patternFill patternType="solid">
        <fgColor rgb="FFFFFFFF"/>
        <bgColor rgb="FFFAFBFC"/>
      </patternFill>
    </fill>
    <fill>
      <patternFill patternType="solid">
        <fgColor rgb="FF16294A"/>
        <bgColor rgb="FF1F2A38"/>
      </patternFill>
    </fill>
    <fill>
      <patternFill patternType="solid">
        <fgColor rgb="FFFAFBFC"/>
        <bgColor rgb="FFF6F7F9"/>
      </patternFill>
    </fill>
  </fills>
  <borders count="26">
    <border>
      <left/>
      <right/>
      <top/>
      <bottom/>
      <diagonal/>
    </border>
    <border>
      <left/>
      <right/>
      <top style="medium">
        <color rgb="FFC29B4E"/>
      </top>
      <bottom/>
      <diagonal/>
    </border>
    <border>
      <left style="thin">
        <color rgb="FFE4E7EC"/>
      </left>
      <right/>
      <top style="thin">
        <color rgb="FFE4E7EC"/>
      </top>
      <bottom/>
      <diagonal/>
    </border>
    <border>
      <left/>
      <right/>
      <top style="thin">
        <color rgb="FFE4E7EC"/>
      </top>
      <bottom/>
      <diagonal/>
    </border>
    <border>
      <left/>
      <right style="thin">
        <color rgb="FFE4E7EC"/>
      </right>
      <top style="thin">
        <color rgb="FFE4E7EC"/>
      </top>
      <bottom/>
      <diagonal/>
    </border>
    <border>
      <left style="thin">
        <color rgb="FFE4E7EC"/>
      </left>
      <right style="thin">
        <color rgb="FFE4E7EC"/>
      </right>
      <top/>
      <bottom/>
      <diagonal/>
    </border>
    <border>
      <left/>
      <right style="thin">
        <color rgb="FFE4E7EC"/>
      </right>
      <top/>
      <bottom/>
      <diagonal/>
    </border>
    <border>
      <left style="thin">
        <color rgb="FFE4E7EC"/>
      </left>
      <right style="thin">
        <color rgb="FFE4E7EC"/>
      </right>
      <top/>
      <bottom style="thin">
        <color rgb="FFE4E7EC"/>
      </bottom>
      <diagonal/>
    </border>
    <border>
      <left/>
      <right style="thin">
        <color rgb="FFE4E7EC"/>
      </right>
      <top/>
      <bottom style="thin">
        <color rgb="FFE4E7EC"/>
      </bottom>
      <diagonal/>
    </border>
    <border>
      <left style="thin">
        <color rgb="FFE4E7EC"/>
      </left>
      <right style="thin">
        <color rgb="FFE4E7EC"/>
      </right>
      <top style="thick">
        <color rgb="FF1E3A63"/>
      </top>
      <bottom/>
      <diagonal/>
    </border>
    <border>
      <left style="thin">
        <color rgb="FFE4E7EC"/>
      </left>
      <right style="thin">
        <color rgb="FFE4E7EC"/>
      </right>
      <top style="thick">
        <color rgb="FFC29B4E"/>
      </top>
      <bottom/>
      <diagonal/>
    </border>
    <border>
      <left style="thin">
        <color rgb="FFE4E7EC"/>
      </left>
      <right/>
      <top/>
      <bottom/>
      <diagonal/>
    </border>
    <border>
      <left style="thin">
        <color rgb="FFE4E7EC"/>
      </left>
      <right/>
      <top/>
      <bottom style="thin">
        <color rgb="FFE4E7EC"/>
      </bottom>
      <diagonal/>
    </border>
    <border>
      <left/>
      <right/>
      <top/>
      <bottom style="thin">
        <color rgb="FFE4E7EC"/>
      </bottom>
      <diagonal/>
    </border>
    <border>
      <left style="thin">
        <color rgb="FFE4E7EC"/>
      </left>
      <right/>
      <top style="thick">
        <color rgb="FFC29B4E"/>
      </top>
      <bottom style="thin">
        <color rgb="FFE4E7EC"/>
      </bottom>
      <diagonal/>
    </border>
    <border>
      <left/>
      <right/>
      <top style="thick">
        <color rgb="FFC29B4E"/>
      </top>
      <bottom style="thin">
        <color rgb="FFE4E7EC"/>
      </bottom>
      <diagonal/>
    </border>
    <border>
      <left/>
      <right style="thin">
        <color rgb="FFE4E7EC"/>
      </right>
      <top style="thick">
        <color rgb="FFC29B4E"/>
      </top>
      <bottom style="thin">
        <color rgb="FFE4E7EC"/>
      </bottom>
      <diagonal/>
    </border>
    <border>
      <left style="thin">
        <color rgb="FF16294A"/>
      </left>
      <right/>
      <top style="thin">
        <color rgb="FF16294A"/>
      </top>
      <bottom style="thin">
        <color rgb="FF0E1D33"/>
      </bottom>
      <diagonal/>
    </border>
    <border>
      <left/>
      <right/>
      <top style="thin">
        <color rgb="FF16294A"/>
      </top>
      <bottom style="thin">
        <color rgb="FF0E1D33"/>
      </bottom>
      <diagonal/>
    </border>
    <border>
      <left/>
      <right style="thin">
        <color rgb="FF16294A"/>
      </right>
      <top style="thin">
        <color rgb="FF16294A"/>
      </top>
      <bottom style="thin">
        <color rgb="FF0E1D33"/>
      </bottom>
      <diagonal/>
    </border>
    <border>
      <left style="thin">
        <color rgb="FF16294A"/>
      </left>
      <right/>
      <top/>
      <bottom style="thin">
        <color rgb="FFE4E7EC"/>
      </bottom>
      <diagonal/>
    </border>
    <border>
      <left/>
      <right style="thin">
        <color rgb="FF16294A"/>
      </right>
      <top/>
      <bottom style="thin">
        <color rgb="FFE4E7EC"/>
      </bottom>
      <diagonal/>
    </border>
    <border>
      <left style="thin">
        <color rgb="FF16294A"/>
      </left>
      <right/>
      <top/>
      <bottom style="thin">
        <color rgb="FF16294A"/>
      </bottom>
      <diagonal/>
    </border>
    <border>
      <left/>
      <right/>
      <top/>
      <bottom style="thin">
        <color rgb="FF16294A"/>
      </bottom>
      <diagonal/>
    </border>
    <border>
      <left/>
      <right style="thin">
        <color rgb="FF16294A"/>
      </right>
      <top/>
      <bottom style="thin">
        <color rgb="FF16294A"/>
      </bottom>
      <diagonal/>
    </border>
    <border>
      <left/>
      <right/>
      <top/>
      <bottom style="thin">
        <color rgb="FF0E1D33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1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9" fontId="6" fillId="3" borderId="6" xfId="0" applyNumberFormat="1" applyFont="1" applyFill="1" applyBorder="1" applyAlignment="1">
      <alignment horizontal="center" vertical="center"/>
    </xf>
    <xf numFmtId="1" fontId="9" fillId="3" borderId="6" xfId="0" applyNumberFormat="1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 indent="1"/>
    </xf>
    <xf numFmtId="164" fontId="3" fillId="2" borderId="0" xfId="0" applyNumberFormat="1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1" xfId="0" applyFill="1" applyBorder="1"/>
    <xf numFmtId="0" fontId="0" fillId="3" borderId="0" xfId="0" applyFill="1"/>
    <xf numFmtId="0" fontId="0" fillId="3" borderId="6" xfId="0" applyFill="1" applyBorder="1"/>
    <xf numFmtId="0" fontId="15" fillId="3" borderId="6" xfId="0" applyFont="1" applyFill="1" applyBorder="1" applyAlignment="1">
      <alignment horizontal="center" vertical="center"/>
    </xf>
    <xf numFmtId="0" fontId="0" fillId="3" borderId="12" xfId="0" applyFill="1" applyBorder="1"/>
    <xf numFmtId="0" fontId="0" fillId="3" borderId="13" xfId="0" applyFill="1" applyBorder="1"/>
    <xf numFmtId="0" fontId="0" fillId="3" borderId="8" xfId="0" applyFill="1" applyBorder="1"/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left" vertical="center" wrapText="1" indent="1"/>
    </xf>
    <xf numFmtId="0" fontId="24" fillId="3" borderId="13" xfId="0" applyFont="1" applyFill="1" applyBorder="1" applyAlignment="1">
      <alignment horizontal="left" vertical="center" indent="1"/>
    </xf>
    <xf numFmtId="0" fontId="24" fillId="3" borderId="13" xfId="0" applyFont="1" applyFill="1" applyBorder="1" applyAlignment="1">
      <alignment horizontal="center" vertical="center"/>
    </xf>
    <xf numFmtId="165" fontId="24" fillId="3" borderId="13" xfId="0" applyNumberFormat="1" applyFont="1" applyFill="1" applyBorder="1" applyAlignment="1">
      <alignment horizontal="center" vertical="center"/>
    </xf>
    <xf numFmtId="9" fontId="24" fillId="3" borderId="13" xfId="0" applyNumberFormat="1" applyFont="1" applyFill="1" applyBorder="1" applyAlignment="1">
      <alignment horizontal="center" vertical="center"/>
    </xf>
    <xf numFmtId="166" fontId="24" fillId="3" borderId="13" xfId="0" applyNumberFormat="1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left" vertical="center" wrapText="1" indent="1"/>
    </xf>
    <xf numFmtId="0" fontId="24" fillId="5" borderId="20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left" vertical="center" wrapText="1" indent="1"/>
    </xf>
    <xf numFmtId="0" fontId="24" fillId="5" borderId="13" xfId="0" applyFont="1" applyFill="1" applyBorder="1" applyAlignment="1">
      <alignment horizontal="left" vertical="center" indent="1"/>
    </xf>
    <xf numFmtId="0" fontId="24" fillId="5" borderId="13" xfId="0" applyFont="1" applyFill="1" applyBorder="1" applyAlignment="1">
      <alignment horizontal="center" vertical="center"/>
    </xf>
    <xf numFmtId="165" fontId="24" fillId="5" borderId="13" xfId="0" applyNumberFormat="1" applyFont="1" applyFill="1" applyBorder="1" applyAlignment="1">
      <alignment horizontal="center" vertical="center"/>
    </xf>
    <xf numFmtId="9" fontId="24" fillId="5" borderId="13" xfId="0" applyNumberFormat="1" applyFont="1" applyFill="1" applyBorder="1" applyAlignment="1">
      <alignment horizontal="center" vertical="center"/>
    </xf>
    <xf numFmtId="166" fontId="24" fillId="5" borderId="13" xfId="0" applyNumberFormat="1" applyFont="1" applyFill="1" applyBorder="1" applyAlignment="1">
      <alignment horizontal="center" vertical="center"/>
    </xf>
    <xf numFmtId="0" fontId="24" fillId="5" borderId="21" xfId="0" applyFont="1" applyFill="1" applyBorder="1" applyAlignment="1">
      <alignment horizontal="left" vertical="center" wrapText="1" indent="1"/>
    </xf>
    <xf numFmtId="0" fontId="24" fillId="3" borderId="22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left" vertical="center" wrapText="1" indent="1"/>
    </xf>
    <xf numFmtId="0" fontId="24" fillId="3" borderId="23" xfId="0" applyFont="1" applyFill="1" applyBorder="1" applyAlignment="1">
      <alignment horizontal="left" vertical="center" indent="1"/>
    </xf>
    <xf numFmtId="0" fontId="24" fillId="3" borderId="23" xfId="0" applyFont="1" applyFill="1" applyBorder="1" applyAlignment="1">
      <alignment horizontal="center" vertical="center"/>
    </xf>
    <xf numFmtId="165" fontId="24" fillId="3" borderId="23" xfId="0" applyNumberFormat="1" applyFont="1" applyFill="1" applyBorder="1" applyAlignment="1">
      <alignment horizontal="center" vertical="center"/>
    </xf>
    <xf numFmtId="9" fontId="24" fillId="3" borderId="23" xfId="0" applyNumberFormat="1" applyFont="1" applyFill="1" applyBorder="1" applyAlignment="1">
      <alignment horizontal="center" vertical="center"/>
    </xf>
    <xf numFmtId="166" fontId="24" fillId="3" borderId="23" xfId="0" applyNumberFormat="1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left" vertical="center" wrapText="1" indent="1"/>
    </xf>
    <xf numFmtId="0" fontId="28" fillId="4" borderId="25" xfId="0" applyFont="1" applyFill="1" applyBorder="1" applyAlignment="1">
      <alignment horizontal="left" vertical="center" indent="1"/>
    </xf>
    <xf numFmtId="0" fontId="24" fillId="2" borderId="0" xfId="0" applyFont="1" applyFill="1"/>
    <xf numFmtId="0" fontId="11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indent="1"/>
    </xf>
    <xf numFmtId="0" fontId="12" fillId="3" borderId="10" xfId="0" applyFont="1" applyFill="1" applyBorder="1" applyAlignment="1">
      <alignment horizontal="left" vertical="center" indent="1"/>
    </xf>
    <xf numFmtId="0" fontId="13" fillId="3" borderId="11" xfId="0" applyFont="1" applyFill="1" applyBorder="1" applyAlignment="1">
      <alignment horizontal="left" vertical="center" indent="1"/>
    </xf>
    <xf numFmtId="0" fontId="14" fillId="3" borderId="0" xfId="0" applyFont="1" applyFill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17" fillId="3" borderId="14" xfId="0" applyFont="1" applyFill="1" applyBorder="1" applyAlignment="1">
      <alignment horizontal="left" vertical="center" indent="1"/>
    </xf>
    <xf numFmtId="0" fontId="18" fillId="3" borderId="15" xfId="0" applyFont="1" applyFill="1" applyBorder="1" applyAlignment="1">
      <alignment horizontal="left" vertical="center"/>
    </xf>
    <xf numFmtId="9" fontId="19" fillId="3" borderId="16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</cellXfs>
  <cellStyles count="1">
    <cellStyle name="Standard" xfId="0" builtinId="0"/>
  </cellStyles>
  <dxfs count="9">
    <dxf>
      <font>
        <b/>
        <sz val="10"/>
        <color rgb="FFA23A2E"/>
        <name val="Calibri"/>
        <charset val="1"/>
      </font>
      <fill>
        <patternFill>
          <bgColor rgb="FFF8E4E0"/>
        </patternFill>
      </fill>
    </dxf>
    <dxf>
      <font>
        <b/>
        <sz val="10"/>
        <color rgb="FF5A6672"/>
        <name val="Calibri"/>
        <charset val="1"/>
      </font>
      <fill>
        <patternFill>
          <bgColor rgb="FFEEF1F4"/>
        </patternFill>
      </fill>
    </dxf>
    <dxf>
      <font>
        <b/>
        <sz val="10"/>
        <color rgb="FFA23A2E"/>
        <name val="Calibri"/>
        <charset val="1"/>
      </font>
      <fill>
        <patternFill>
          <bgColor rgb="FFF8E4E0"/>
        </patternFill>
      </fill>
    </dxf>
    <dxf>
      <font>
        <b/>
        <sz val="10"/>
        <color rgb="FF8A6114"/>
        <name val="Calibri"/>
        <charset val="1"/>
      </font>
      <fill>
        <patternFill>
          <bgColor rgb="FFFBF1DC"/>
        </patternFill>
      </fill>
    </dxf>
    <dxf>
      <font>
        <b/>
        <sz val="10"/>
        <color rgb="FF1F5C8C"/>
        <name val="Calibri"/>
        <charset val="1"/>
      </font>
      <fill>
        <patternFill>
          <bgColor rgb="FFE1ECF7"/>
        </patternFill>
      </fill>
    </dxf>
    <dxf>
      <font>
        <b/>
        <sz val="10"/>
        <color rgb="FF2E6B45"/>
        <name val="Calibri"/>
        <charset val="1"/>
      </font>
      <fill>
        <patternFill>
          <bgColor rgb="FFE4F0E7"/>
        </patternFill>
      </fill>
    </dxf>
    <dxf>
      <font>
        <b/>
        <sz val="10"/>
        <color rgb="FF2E6B45"/>
        <name val="Calibri"/>
        <charset val="1"/>
      </font>
    </dxf>
    <dxf>
      <font>
        <b/>
        <sz val="10"/>
        <color rgb="FF8A6114"/>
        <name val="Calibri"/>
        <charset val="1"/>
      </font>
    </dxf>
    <dxf>
      <font>
        <b/>
        <sz val="10"/>
        <color rgb="FFA23A2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114"/>
      <rgbColor rgb="FF800080"/>
      <rgbColor rgb="FF2E6B45"/>
      <rgbColor rgb="FFFAFBFC"/>
      <rgbColor rgb="FF6B7684"/>
      <rgbColor rgb="FF9999FF"/>
      <rgbColor rgb="FF993366"/>
      <rgbColor rgb="FFFBF1DC"/>
      <rgbColor rgb="FFE1ECF7"/>
      <rgbColor rgb="FF660066"/>
      <rgbColor rgb="FFFF8080"/>
      <rgbColor rgb="FF1F5C8C"/>
      <rgbColor rgb="FFEEF1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F0E7"/>
      <rgbColor rgb="FFE4E7EC"/>
      <rgbColor rgb="FFF6F7F9"/>
      <rgbColor rgb="FF99CCFF"/>
      <rgbColor rgb="FFFF99CC"/>
      <rgbColor rgb="FFCC99FF"/>
      <rgbColor rgb="FFF8E4E0"/>
      <rgbColor rgb="FF3366FF"/>
      <rgbColor rgb="FF33CCCC"/>
      <rgbColor rgb="FF99CC00"/>
      <rgbColor rgb="FFFFCC00"/>
      <rgbColor rgb="FFC29B4E"/>
      <rgbColor rgb="FFFF6600"/>
      <rgbColor rgb="FF5A6672"/>
      <rgbColor rgb="FF9AA4B0"/>
      <rgbColor rgb="FF16294A"/>
      <rgbColor rgb="FF339966"/>
      <rgbColor rgb="FF0E1D33"/>
      <rgbColor rgb="FF2C4A72"/>
      <rgbColor rgb="FFA23A2E"/>
      <rgbColor rgb="FF993366"/>
      <rgbColor rgb="FF1E3A63"/>
      <rgbColor rgb="FF1F2A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294A"/>
    <pageSetUpPr fitToPage="1"/>
  </sheetPr>
  <dimension ref="A1:Z34"/>
  <sheetViews>
    <sheetView showGridLines="0" tabSelected="1" zoomScaleNormal="100" workbookViewId="0">
      <selection activeCell="AD41" sqref="AD41"/>
    </sheetView>
  </sheetViews>
  <sheetFormatPr baseColWidth="10" defaultColWidth="8.7109375" defaultRowHeight="15" x14ac:dyDescent="0.25"/>
  <cols>
    <col min="1" max="1" width="2.42578125" customWidth="1"/>
    <col min="2" max="26" width="3.5703125" customWidth="1"/>
  </cols>
  <sheetData>
    <row r="1" spans="1:26" ht="9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 x14ac:dyDescent="0.25">
      <c r="A2" s="15"/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15"/>
      <c r="S2" s="15"/>
      <c r="T2" s="15"/>
      <c r="U2" s="15"/>
      <c r="V2" s="15"/>
      <c r="W2" s="15"/>
      <c r="X2" s="15"/>
      <c r="Y2" s="15"/>
      <c r="Z2" s="15"/>
    </row>
    <row r="3" spans="1:26" ht="16.5" customHeight="1" x14ac:dyDescent="0.25">
      <c r="A3" s="15"/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5"/>
      <c r="S3" s="12">
        <f ca="1">TODAY()</f>
        <v>46267</v>
      </c>
      <c r="T3" s="12"/>
      <c r="U3" s="12"/>
      <c r="V3" s="12"/>
      <c r="W3" s="12"/>
      <c r="X3" s="12"/>
      <c r="Y3" s="12"/>
      <c r="Z3" s="12"/>
    </row>
    <row r="4" spans="1:26" ht="18.75" customHeight="1" x14ac:dyDescent="0.25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5"/>
      <c r="S4" s="11" t="str">
        <f>IFERROR(TEXT(COUNTIF(Aufgaben!$H$7:$H$41,"Erledigt")/COUNTA(Aufgaben!$D$7:$D$41),"0%"),"0%")&amp;"  abgeschlossen"</f>
        <v>27%  abgeschlossen</v>
      </c>
      <c r="T4" s="11"/>
      <c r="U4" s="11"/>
      <c r="V4" s="11"/>
      <c r="W4" s="11"/>
      <c r="X4" s="11"/>
      <c r="Y4" s="11"/>
      <c r="Z4" s="11"/>
    </row>
    <row r="5" spans="1:26" ht="15.75" customHeight="1" x14ac:dyDescent="0.25">
      <c r="A5" s="15"/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5"/>
      <c r="T5" s="15"/>
      <c r="U5" s="15"/>
      <c r="V5" s="15"/>
      <c r="W5" s="15"/>
      <c r="X5" s="15"/>
      <c r="Y5" s="15"/>
      <c r="Z5" s="15"/>
    </row>
    <row r="6" spans="1:26" ht="6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9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7.5" customHeight="1" x14ac:dyDescent="0.25">
      <c r="A8" s="15"/>
      <c r="B8" s="17"/>
      <c r="C8" s="18"/>
      <c r="D8" s="18"/>
      <c r="E8" s="19"/>
      <c r="F8" s="18"/>
      <c r="G8" s="18"/>
      <c r="H8" s="18"/>
      <c r="I8" s="19"/>
      <c r="J8" s="18"/>
      <c r="K8" s="18"/>
      <c r="L8" s="18"/>
      <c r="M8" s="19"/>
      <c r="N8" s="18"/>
      <c r="O8" s="18"/>
      <c r="P8" s="18"/>
      <c r="Q8" s="19"/>
      <c r="R8" s="18"/>
      <c r="S8" s="18"/>
      <c r="T8" s="18"/>
      <c r="U8" s="19"/>
      <c r="V8" s="18"/>
      <c r="W8" s="18"/>
      <c r="X8" s="18"/>
      <c r="Y8" s="19"/>
      <c r="Z8" s="15"/>
    </row>
    <row r="9" spans="1:26" ht="25.5" customHeight="1" x14ac:dyDescent="0.25">
      <c r="A9" s="15"/>
      <c r="B9" s="9">
        <f>COUNTA(Aufgaben!$D$7:$D$41)</f>
        <v>15</v>
      </c>
      <c r="C9" s="9"/>
      <c r="D9" s="9"/>
      <c r="E9" s="9"/>
      <c r="F9" s="8">
        <f>COUNTIF(Aufgaben!$H$7:$H$41,"Erledigt")</f>
        <v>4</v>
      </c>
      <c r="G9" s="8"/>
      <c r="H9" s="8"/>
      <c r="I9" s="8"/>
      <c r="J9" s="7">
        <f>COUNTIF(Aufgaben!$H$7:$H$41,"In Bearbeitung")</f>
        <v>3</v>
      </c>
      <c r="K9" s="7"/>
      <c r="L9" s="7"/>
      <c r="M9" s="7"/>
      <c r="N9" s="6">
        <f ca="1">COUNTIFS(Aufgaben!$J$7:$J$41,"&lt;"&amp;TODAY(),Aufgaben!$J$7:$J$41,"&gt;0",Aufgaben!$H$7:$H$41,"&lt;&gt;Erledigt")</f>
        <v>2</v>
      </c>
      <c r="O9" s="6"/>
      <c r="P9" s="6"/>
      <c r="Q9" s="6"/>
      <c r="R9" s="5">
        <f>IFERROR(AVERAGE(Aufgaben!$K$7:$K$41),0)</f>
        <v>0.4333333333333334</v>
      </c>
      <c r="S9" s="5"/>
      <c r="T9" s="5"/>
      <c r="U9" s="5"/>
      <c r="V9" s="4">
        <f>SUM(Aufgaben!$M$7:$M$41)</f>
        <v>184</v>
      </c>
      <c r="W9" s="4"/>
      <c r="X9" s="4"/>
      <c r="Y9" s="4"/>
      <c r="Z9" s="15"/>
    </row>
    <row r="10" spans="1:26" ht="13.5" customHeight="1" x14ac:dyDescent="0.25">
      <c r="A10" s="15"/>
      <c r="B10" s="3" t="s">
        <v>3</v>
      </c>
      <c r="C10" s="3"/>
      <c r="D10" s="3"/>
      <c r="E10" s="3"/>
      <c r="F10" s="2" t="s">
        <v>4</v>
      </c>
      <c r="G10" s="2"/>
      <c r="H10" s="2"/>
      <c r="I10" s="2"/>
      <c r="J10" s="2" t="s">
        <v>5</v>
      </c>
      <c r="K10" s="2"/>
      <c r="L10" s="2"/>
      <c r="M10" s="2"/>
      <c r="N10" s="2" t="s">
        <v>6</v>
      </c>
      <c r="O10" s="2"/>
      <c r="P10" s="2"/>
      <c r="Q10" s="2"/>
      <c r="R10" s="2" t="s">
        <v>7</v>
      </c>
      <c r="S10" s="2"/>
      <c r="T10" s="2"/>
      <c r="U10" s="2"/>
      <c r="V10" s="2" t="s">
        <v>8</v>
      </c>
      <c r="W10" s="2"/>
      <c r="X10" s="2"/>
      <c r="Y10" s="2"/>
      <c r="Z10" s="15"/>
    </row>
    <row r="11" spans="1:26" ht="12.75" customHeight="1" x14ac:dyDescent="0.25">
      <c r="A11" s="15"/>
      <c r="B11" s="1" t="str">
        <f>"Aufgaben im Register"</f>
        <v>Aufgaben im Register</v>
      </c>
      <c r="C11" s="1"/>
      <c r="D11" s="1"/>
      <c r="E11" s="1"/>
      <c r="F11" s="56" t="str">
        <f>IFERROR(TEXT(COUNTIF(Aufgaben!$H$7:$H$41,"Erledigt")/COUNTA(Aufgaben!$D$7:$D$41),"0%"),"0%")&amp;" abgeschlossen"</f>
        <v>27% abgeschlossen</v>
      </c>
      <c r="G11" s="56"/>
      <c r="H11" s="56"/>
      <c r="I11" s="56"/>
      <c r="J11" s="56" t="str">
        <f>"+ "&amp;COUNTIF(Aufgaben!$H$7:$H$41,"In Prüfung")&amp;" in Prüfung"</f>
        <v>+ 1 in Prüfung</v>
      </c>
      <c r="K11" s="56"/>
      <c r="L11" s="56"/>
      <c r="M11" s="56"/>
      <c r="N11" s="56" t="str">
        <f>"Termin überschritten"</f>
        <v>Termin überschritten</v>
      </c>
      <c r="O11" s="56"/>
      <c r="P11" s="56"/>
      <c r="Q11" s="56"/>
      <c r="R11" s="56" t="str">
        <f>"über alle Aufgaben"</f>
        <v>über alle Aufgaben</v>
      </c>
      <c r="S11" s="56"/>
      <c r="T11" s="56"/>
      <c r="U11" s="56"/>
      <c r="V11" s="56" t="str">
        <f>"von "&amp;SUM(Aufgaben!$L$7:$L$41)&amp;" Std. geplant"</f>
        <v>von 388 Std. geplant</v>
      </c>
      <c r="W11" s="56"/>
      <c r="X11" s="56"/>
      <c r="Y11" s="56"/>
      <c r="Z11" s="15"/>
    </row>
    <row r="12" spans="1:26" ht="12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9.5" customHeight="1" x14ac:dyDescent="0.25">
      <c r="A13" s="15"/>
      <c r="B13" s="57" t="s">
        <v>9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 t="s">
        <v>10</v>
      </c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15"/>
    </row>
    <row r="14" spans="1:26" ht="6" customHeight="1" x14ac:dyDescent="0.25">
      <c r="A14" s="15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  <c r="N14" s="20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15"/>
    </row>
    <row r="15" spans="1:26" ht="16.5" customHeight="1" x14ac:dyDescent="0.25">
      <c r="A15" s="15"/>
      <c r="B15" s="59" t="s">
        <v>11</v>
      </c>
      <c r="C15" s="59"/>
      <c r="D15" s="59"/>
      <c r="E15" s="59"/>
      <c r="F15" s="59"/>
      <c r="G15" s="60" t="str">
        <f>REPT("█",ROUND(COUNTIF(Aufgaben!$H$7:$H$41,"Offen")/MAX(1,COUNTA(Aufgaben!$D$7:$D$41))*26,0))</f>
        <v>██████████</v>
      </c>
      <c r="H15" s="60"/>
      <c r="I15" s="60"/>
      <c r="J15" s="60"/>
      <c r="K15" s="60"/>
      <c r="L15" s="61">
        <f>COUNTIF(Aufgaben!$H$7:$H$41,"Offen")</f>
        <v>6</v>
      </c>
      <c r="M15" s="61"/>
      <c r="N15" s="59" t="s">
        <v>12</v>
      </c>
      <c r="O15" s="59"/>
      <c r="P15" s="59"/>
      <c r="Q15" s="59"/>
      <c r="R15" s="59"/>
      <c r="S15" s="59"/>
      <c r="T15" s="62" t="str">
        <f>REPT("█",ROUND(COUNTIF(Aufgaben!$C$7:$C$41,"Projektinitiierung")/MAX(1,COUNTA(Aufgaben!$D$7:$D$41))*22,0))</f>
        <v>███</v>
      </c>
      <c r="U15" s="62"/>
      <c r="V15" s="62"/>
      <c r="W15" s="62"/>
      <c r="X15" s="62"/>
      <c r="Y15" s="23">
        <f>COUNTIF(Aufgaben!$C$7:$C$41,"Projektinitiierung")</f>
        <v>2</v>
      </c>
      <c r="Z15" s="15"/>
    </row>
    <row r="16" spans="1:26" ht="16.5" customHeight="1" x14ac:dyDescent="0.25">
      <c r="A16" s="15"/>
      <c r="B16" s="59" t="s">
        <v>13</v>
      </c>
      <c r="C16" s="59"/>
      <c r="D16" s="59"/>
      <c r="E16" s="59"/>
      <c r="F16" s="59"/>
      <c r="G16" s="60" t="str">
        <f>REPT("█",ROUND(COUNTIF(Aufgaben!$H$7:$H$41,"In Bearbeitung")/MAX(1,COUNTA(Aufgaben!$D$7:$D$41))*26,0))</f>
        <v>█████</v>
      </c>
      <c r="H16" s="60"/>
      <c r="I16" s="60"/>
      <c r="J16" s="60"/>
      <c r="K16" s="60"/>
      <c r="L16" s="61">
        <f>COUNTIF(Aufgaben!$H$7:$H$41,"In Bearbeitung")</f>
        <v>3</v>
      </c>
      <c r="M16" s="61"/>
      <c r="N16" s="59" t="s">
        <v>14</v>
      </c>
      <c r="O16" s="59"/>
      <c r="P16" s="59"/>
      <c r="Q16" s="59"/>
      <c r="R16" s="59"/>
      <c r="S16" s="59"/>
      <c r="T16" s="62" t="str">
        <f>REPT("█",ROUND(COUNTIF(Aufgaben!$C$7:$C$41,"Konzeptphase")/MAX(1,COUNTA(Aufgaben!$D$7:$D$41))*22,0))</f>
        <v>███</v>
      </c>
      <c r="U16" s="62"/>
      <c r="V16" s="62"/>
      <c r="W16" s="62"/>
      <c r="X16" s="62"/>
      <c r="Y16" s="23">
        <f>COUNTIF(Aufgaben!$C$7:$C$41,"Konzeptphase")</f>
        <v>2</v>
      </c>
      <c r="Z16" s="15"/>
    </row>
    <row r="17" spans="1:26" ht="16.5" customHeight="1" x14ac:dyDescent="0.25">
      <c r="A17" s="15"/>
      <c r="B17" s="59" t="s">
        <v>15</v>
      </c>
      <c r="C17" s="59"/>
      <c r="D17" s="59"/>
      <c r="E17" s="59"/>
      <c r="F17" s="59"/>
      <c r="G17" s="60" t="str">
        <f>REPT("█",ROUND(COUNTIF(Aufgaben!$H$7:$H$41,"In Prüfung")/MAX(1,COUNTA(Aufgaben!$D$7:$D$41))*26,0))</f>
        <v>██</v>
      </c>
      <c r="H17" s="60"/>
      <c r="I17" s="60"/>
      <c r="J17" s="60"/>
      <c r="K17" s="60"/>
      <c r="L17" s="61">
        <f>COUNTIF(Aufgaben!$H$7:$H$41,"In Prüfung")</f>
        <v>1</v>
      </c>
      <c r="M17" s="61"/>
      <c r="N17" s="59" t="s">
        <v>16</v>
      </c>
      <c r="O17" s="59"/>
      <c r="P17" s="59"/>
      <c r="Q17" s="59"/>
      <c r="R17" s="59"/>
      <c r="S17" s="59"/>
      <c r="T17" s="62" t="str">
        <f>REPT("█",ROUND(COUNTIF(Aufgaben!$C$7:$C$41,"Detailplanung")/MAX(1,COUNTA(Aufgaben!$D$7:$D$41))*22,0))</f>
        <v>████</v>
      </c>
      <c r="U17" s="62"/>
      <c r="V17" s="62"/>
      <c r="W17" s="62"/>
      <c r="X17" s="62"/>
      <c r="Y17" s="23">
        <f>COUNTIF(Aufgaben!$C$7:$C$41,"Detailplanung")</f>
        <v>3</v>
      </c>
      <c r="Z17" s="15"/>
    </row>
    <row r="18" spans="1:26" ht="16.5" customHeight="1" x14ac:dyDescent="0.25">
      <c r="A18" s="15"/>
      <c r="B18" s="59" t="s">
        <v>17</v>
      </c>
      <c r="C18" s="59"/>
      <c r="D18" s="59"/>
      <c r="E18" s="59"/>
      <c r="F18" s="59"/>
      <c r="G18" s="60" t="str">
        <f>REPT("█",ROUND(COUNTIF(Aufgaben!$H$7:$H$41,"Erledigt")/MAX(1,COUNTA(Aufgaben!$D$7:$D$41))*26,0))</f>
        <v>███████</v>
      </c>
      <c r="H18" s="60"/>
      <c r="I18" s="60"/>
      <c r="J18" s="60"/>
      <c r="K18" s="60"/>
      <c r="L18" s="61">
        <f>COUNTIF(Aufgaben!$H$7:$H$41,"Erledigt")</f>
        <v>4</v>
      </c>
      <c r="M18" s="61"/>
      <c r="N18" s="59" t="s">
        <v>18</v>
      </c>
      <c r="O18" s="59"/>
      <c r="P18" s="59"/>
      <c r="Q18" s="59"/>
      <c r="R18" s="59"/>
      <c r="S18" s="59"/>
      <c r="T18" s="62" t="str">
        <f>REPT("█",ROUND(COUNTIF(Aufgaben!$C$7:$C$41,"Genehmigung")/MAX(1,COUNTA(Aufgaben!$D$7:$D$41))*22,0))</f>
        <v>███</v>
      </c>
      <c r="U18" s="62"/>
      <c r="V18" s="62"/>
      <c r="W18" s="62"/>
      <c r="X18" s="62"/>
      <c r="Y18" s="23">
        <f>COUNTIF(Aufgaben!$C$7:$C$41,"Genehmigung")</f>
        <v>2</v>
      </c>
      <c r="Z18" s="15"/>
    </row>
    <row r="19" spans="1:26" ht="16.5" customHeight="1" x14ac:dyDescent="0.25">
      <c r="A19" s="15"/>
      <c r="B19" s="59" t="s">
        <v>19</v>
      </c>
      <c r="C19" s="59"/>
      <c r="D19" s="59"/>
      <c r="E19" s="59"/>
      <c r="F19" s="59"/>
      <c r="G19" s="60" t="str">
        <f>REPT("█",ROUND(COUNTIF(Aufgaben!$H$7:$H$41,"Blockiert")/MAX(1,COUNTA(Aufgaben!$D$7:$D$41))*26,0))</f>
        <v>██</v>
      </c>
      <c r="H19" s="60"/>
      <c r="I19" s="60"/>
      <c r="J19" s="60"/>
      <c r="K19" s="60"/>
      <c r="L19" s="61">
        <f>COUNTIF(Aufgaben!$H$7:$H$41,"Blockiert")</f>
        <v>1</v>
      </c>
      <c r="M19" s="61"/>
      <c r="N19" s="59" t="s">
        <v>20</v>
      </c>
      <c r="O19" s="59"/>
      <c r="P19" s="59"/>
      <c r="Q19" s="59"/>
      <c r="R19" s="59"/>
      <c r="S19" s="59"/>
      <c r="T19" s="62" t="str">
        <f>REPT("█",ROUND(COUNTIF(Aufgaben!$C$7:$C$41,"Ausschreibung")/MAX(1,COUNTA(Aufgaben!$D$7:$D$41))*22,0))</f>
        <v>███</v>
      </c>
      <c r="U19" s="62"/>
      <c r="V19" s="62"/>
      <c r="W19" s="62"/>
      <c r="X19" s="62"/>
      <c r="Y19" s="23">
        <f>COUNTIF(Aufgaben!$C$7:$C$41,"Ausschreibung")</f>
        <v>2</v>
      </c>
      <c r="Z19" s="15"/>
    </row>
    <row r="20" spans="1:26" ht="16.5" customHeight="1" x14ac:dyDescent="0.25">
      <c r="A20" s="15"/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59" t="s">
        <v>21</v>
      </c>
      <c r="O20" s="59"/>
      <c r="P20" s="59"/>
      <c r="Q20" s="59"/>
      <c r="R20" s="59"/>
      <c r="S20" s="59"/>
      <c r="T20" s="62" t="str">
        <f>REPT("█",ROUND(COUNTIF(Aufgaben!$C$7:$C$41,"Ausführung")/MAX(1,COUNTA(Aufgaben!$D$7:$D$41))*22,0))</f>
        <v>███</v>
      </c>
      <c r="U20" s="62"/>
      <c r="V20" s="62"/>
      <c r="W20" s="62"/>
      <c r="X20" s="62"/>
      <c r="Y20" s="23">
        <f>COUNTIF(Aufgaben!$C$7:$C$41,"Ausführung")</f>
        <v>2</v>
      </c>
      <c r="Z20" s="15"/>
    </row>
    <row r="21" spans="1:26" ht="16.5" customHeight="1" x14ac:dyDescent="0.25">
      <c r="A21" s="15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59" t="s">
        <v>22</v>
      </c>
      <c r="O21" s="59"/>
      <c r="P21" s="59"/>
      <c r="Q21" s="59"/>
      <c r="R21" s="59"/>
      <c r="S21" s="59"/>
      <c r="T21" s="62" t="str">
        <f>REPT("█",ROUND(COUNTIF(Aufgaben!$C$7:$C$41,"Abnahme &amp; Übergabe")/MAX(1,COUNTA(Aufgaben!$D$7:$D$41))*22,0))</f>
        <v>█</v>
      </c>
      <c r="U21" s="62"/>
      <c r="V21" s="62"/>
      <c r="W21" s="62"/>
      <c r="X21" s="62"/>
      <c r="Y21" s="23">
        <f>COUNTIF(Aufgaben!$C$7:$C$41,"Abnahme &amp; Übergabe")</f>
        <v>1</v>
      </c>
      <c r="Z21" s="15"/>
    </row>
    <row r="22" spans="1:26" ht="16.5" customHeight="1" x14ac:dyDescent="0.25">
      <c r="A22" s="15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59" t="s">
        <v>23</v>
      </c>
      <c r="O22" s="59"/>
      <c r="P22" s="59"/>
      <c r="Q22" s="59"/>
      <c r="R22" s="59"/>
      <c r="S22" s="59"/>
      <c r="T22" s="62" t="str">
        <f>REPT("█",ROUND(COUNTIF(Aufgaben!$C$7:$C$41,"Dokumentation")/MAX(1,COUNTA(Aufgaben!$D$7:$D$41))*22,0))</f>
        <v>█</v>
      </c>
      <c r="U22" s="62"/>
      <c r="V22" s="62"/>
      <c r="W22" s="62"/>
      <c r="X22" s="62"/>
      <c r="Y22" s="23">
        <f>COUNTIF(Aufgaben!$C$7:$C$41,"Dokumentation")</f>
        <v>1</v>
      </c>
      <c r="Z22" s="15"/>
    </row>
    <row r="23" spans="1:26" x14ac:dyDescent="0.25">
      <c r="A23" s="15"/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4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  <c r="Z23" s="15"/>
    </row>
    <row r="24" spans="1:26" ht="9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 x14ac:dyDescent="0.25">
      <c r="A25" s="15"/>
      <c r="B25" s="63" t="s">
        <v>24</v>
      </c>
      <c r="C25" s="63"/>
      <c r="D25" s="63"/>
      <c r="E25" s="63"/>
      <c r="F25" s="63"/>
      <c r="G25" s="63"/>
      <c r="H25" s="64" t="str">
        <f>REPT("█",ROUND(IFERROR(AVERAGE(Aufgaben!$K$7:$K$41),0)*40,0))</f>
        <v>█████████████████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5">
        <f>IFERROR(AVERAGE(Aufgaben!$K$7:$K$41),0)</f>
        <v>0.4333333333333334</v>
      </c>
      <c r="W25" s="65"/>
      <c r="X25" s="65"/>
      <c r="Y25" s="65"/>
      <c r="Z25" s="15"/>
    </row>
    <row r="26" spans="1:26" ht="15.75" customHeight="1" x14ac:dyDescent="0.25">
      <c r="A26" s="15"/>
      <c r="B26" s="63"/>
      <c r="C26" s="63"/>
      <c r="D26" s="63"/>
      <c r="E26" s="63"/>
      <c r="F26" s="63"/>
      <c r="G26" s="63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5"/>
      <c r="W26" s="65"/>
      <c r="X26" s="65"/>
      <c r="Y26" s="65"/>
      <c r="Z26" s="15"/>
    </row>
    <row r="27" spans="1:26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5" customHeight="1" x14ac:dyDescent="0.25">
      <c r="A28" s="15"/>
      <c r="B28" s="66" t="s">
        <v>25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15"/>
    </row>
    <row r="29" spans="1:26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</sheetData>
  <mergeCells count="60">
    <mergeCell ref="B25:G26"/>
    <mergeCell ref="H25:U26"/>
    <mergeCell ref="V25:Y26"/>
    <mergeCell ref="B28:Y28"/>
    <mergeCell ref="N20:S20"/>
    <mergeCell ref="T20:X20"/>
    <mergeCell ref="N21:S21"/>
    <mergeCell ref="T21:X21"/>
    <mergeCell ref="N22:S22"/>
    <mergeCell ref="T22:X22"/>
    <mergeCell ref="B19:F19"/>
    <mergeCell ref="G19:K19"/>
    <mergeCell ref="L19:M19"/>
    <mergeCell ref="N19:S19"/>
    <mergeCell ref="T19:X19"/>
    <mergeCell ref="B18:F18"/>
    <mergeCell ref="G18:K18"/>
    <mergeCell ref="L18:M18"/>
    <mergeCell ref="N18:S18"/>
    <mergeCell ref="T18:X18"/>
    <mergeCell ref="B17:F17"/>
    <mergeCell ref="G17:K17"/>
    <mergeCell ref="L17:M17"/>
    <mergeCell ref="N17:S17"/>
    <mergeCell ref="T17:X17"/>
    <mergeCell ref="B16:F16"/>
    <mergeCell ref="G16:K16"/>
    <mergeCell ref="L16:M16"/>
    <mergeCell ref="N16:S16"/>
    <mergeCell ref="T16:X16"/>
    <mergeCell ref="V11:Y11"/>
    <mergeCell ref="B13:M13"/>
    <mergeCell ref="N13:Y13"/>
    <mergeCell ref="B15:F15"/>
    <mergeCell ref="G15:K15"/>
    <mergeCell ref="L15:M15"/>
    <mergeCell ref="N15:S15"/>
    <mergeCell ref="T15:X15"/>
    <mergeCell ref="B11:E11"/>
    <mergeCell ref="F11:I11"/>
    <mergeCell ref="J11:M11"/>
    <mergeCell ref="N11:Q11"/>
    <mergeCell ref="R11:U11"/>
    <mergeCell ref="V9:Y9"/>
    <mergeCell ref="B10:E10"/>
    <mergeCell ref="F10:I10"/>
    <mergeCell ref="J10:M10"/>
    <mergeCell ref="N10:Q10"/>
    <mergeCell ref="R10:U10"/>
    <mergeCell ref="V10:Y10"/>
    <mergeCell ref="B9:E9"/>
    <mergeCell ref="F9:I9"/>
    <mergeCell ref="J9:M9"/>
    <mergeCell ref="N9:Q9"/>
    <mergeCell ref="R9:U9"/>
    <mergeCell ref="B2:Q2"/>
    <mergeCell ref="B3:Q4"/>
    <mergeCell ref="S3:Z3"/>
    <mergeCell ref="S4:Z4"/>
    <mergeCell ref="B5:R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9B4E"/>
    <pageSetUpPr fitToPage="1"/>
  </sheetPr>
  <dimension ref="A1:P6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2.42578125" customWidth="1"/>
    <col min="2" max="2" width="5" customWidth="1"/>
    <col min="3" max="3" width="20" customWidth="1"/>
    <col min="4" max="4" width="33" customWidth="1"/>
    <col min="5" max="5" width="38" customWidth="1"/>
    <col min="6" max="6" width="15" customWidth="1"/>
    <col min="7" max="7" width="12" customWidth="1"/>
    <col min="8" max="8" width="16" customWidth="1"/>
    <col min="9" max="12" width="12" customWidth="1"/>
    <col min="13" max="14" width="10" customWidth="1"/>
    <col min="15" max="15" width="28" customWidth="1"/>
  </cols>
  <sheetData>
    <row r="1" spans="1:16" ht="9.7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5.75" customHeight="1" x14ac:dyDescent="0.25">
      <c r="A2" s="15"/>
      <c r="B2" s="14" t="s">
        <v>0</v>
      </c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  <c r="N2" s="15"/>
      <c r="O2" s="15"/>
      <c r="P2" s="15"/>
    </row>
    <row r="3" spans="1:16" ht="21.75" customHeight="1" x14ac:dyDescent="0.25">
      <c r="A3" s="15"/>
      <c r="B3" s="67" t="s">
        <v>26</v>
      </c>
      <c r="C3" s="67"/>
      <c r="D3" s="67"/>
      <c r="E3" s="67"/>
      <c r="F3" s="67"/>
      <c r="G3" s="67"/>
      <c r="H3" s="67"/>
      <c r="I3" s="67"/>
      <c r="J3" s="15"/>
      <c r="K3" s="12">
        <f ca="1">TODAY()</f>
        <v>46267</v>
      </c>
      <c r="L3" s="12"/>
      <c r="M3" s="12"/>
      <c r="N3" s="12"/>
      <c r="O3" s="12"/>
      <c r="P3" s="15"/>
    </row>
    <row r="4" spans="1:16" ht="13.5" customHeight="1" x14ac:dyDescent="0.25">
      <c r="A4" s="15"/>
      <c r="B4" s="68" t="s">
        <v>27</v>
      </c>
      <c r="C4" s="68"/>
      <c r="D4" s="68"/>
      <c r="E4" s="68"/>
      <c r="F4" s="68"/>
      <c r="G4" s="68"/>
      <c r="H4" s="68"/>
      <c r="I4" s="68"/>
      <c r="J4" s="15"/>
      <c r="K4" s="12"/>
      <c r="L4" s="12"/>
      <c r="M4" s="12"/>
      <c r="N4" s="12"/>
      <c r="O4" s="12"/>
      <c r="P4" s="15"/>
    </row>
    <row r="5" spans="1:16" ht="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ht="30" customHeight="1" x14ac:dyDescent="0.25">
      <c r="A6" s="15"/>
      <c r="B6" s="27" t="s">
        <v>28</v>
      </c>
      <c r="C6" s="28" t="s">
        <v>29</v>
      </c>
      <c r="D6" s="28" t="s">
        <v>30</v>
      </c>
      <c r="E6" s="28" t="s">
        <v>31</v>
      </c>
      <c r="F6" s="28" t="s">
        <v>32</v>
      </c>
      <c r="G6" s="28" t="s">
        <v>33</v>
      </c>
      <c r="H6" s="28" t="s">
        <v>34</v>
      </c>
      <c r="I6" s="28" t="s">
        <v>35</v>
      </c>
      <c r="J6" s="28" t="s">
        <v>36</v>
      </c>
      <c r="K6" s="28" t="s">
        <v>37</v>
      </c>
      <c r="L6" s="28" t="s">
        <v>38</v>
      </c>
      <c r="M6" s="28" t="s">
        <v>39</v>
      </c>
      <c r="N6" s="28" t="s">
        <v>40</v>
      </c>
      <c r="O6" s="29" t="s">
        <v>41</v>
      </c>
      <c r="P6" s="15"/>
    </row>
    <row r="7" spans="1:16" ht="27" customHeight="1" x14ac:dyDescent="0.25">
      <c r="A7" s="15"/>
      <c r="B7" s="30">
        <f t="shared" ref="B7:B41" si="0">IF($D7&lt;&gt;"",ROW()-6,"")</f>
        <v>1</v>
      </c>
      <c r="C7" s="31" t="s">
        <v>12</v>
      </c>
      <c r="D7" s="31" t="s">
        <v>42</v>
      </c>
      <c r="E7" s="31" t="s">
        <v>43</v>
      </c>
      <c r="F7" s="32" t="s">
        <v>44</v>
      </c>
      <c r="G7" s="33" t="s">
        <v>45</v>
      </c>
      <c r="H7" s="33" t="s">
        <v>17</v>
      </c>
      <c r="I7" s="34">
        <v>46146</v>
      </c>
      <c r="J7" s="34">
        <v>46154</v>
      </c>
      <c r="K7" s="35">
        <v>1</v>
      </c>
      <c r="L7" s="33">
        <v>8</v>
      </c>
      <c r="M7" s="33">
        <v>9</v>
      </c>
      <c r="N7" s="36" t="str">
        <f t="shared" ref="N7:N41" ca="1" si="1">IF($J7="","",IF($H7="Erledigt","–",$J7-TODAY()))</f>
        <v>–</v>
      </c>
      <c r="O7" s="37" t="s">
        <v>46</v>
      </c>
      <c r="P7" s="15"/>
    </row>
    <row r="8" spans="1:16" ht="27" customHeight="1" x14ac:dyDescent="0.25">
      <c r="A8" s="15"/>
      <c r="B8" s="38">
        <f t="shared" si="0"/>
        <v>2</v>
      </c>
      <c r="C8" s="39" t="s">
        <v>12</v>
      </c>
      <c r="D8" s="39" t="s">
        <v>47</v>
      </c>
      <c r="E8" s="39" t="s">
        <v>48</v>
      </c>
      <c r="F8" s="40" t="s">
        <v>44</v>
      </c>
      <c r="G8" s="41" t="s">
        <v>49</v>
      </c>
      <c r="H8" s="41" t="s">
        <v>17</v>
      </c>
      <c r="I8" s="42">
        <v>46153</v>
      </c>
      <c r="J8" s="42">
        <v>46157</v>
      </c>
      <c r="K8" s="43">
        <v>1</v>
      </c>
      <c r="L8" s="41">
        <v>4</v>
      </c>
      <c r="M8" s="41">
        <v>4</v>
      </c>
      <c r="N8" s="44" t="str">
        <f t="shared" ca="1" si="1"/>
        <v>–</v>
      </c>
      <c r="O8" s="45"/>
      <c r="P8" s="15"/>
    </row>
    <row r="9" spans="1:16" ht="27" customHeight="1" x14ac:dyDescent="0.25">
      <c r="A9" s="15"/>
      <c r="B9" s="30">
        <f t="shared" si="0"/>
        <v>3</v>
      </c>
      <c r="C9" s="31" t="s">
        <v>14</v>
      </c>
      <c r="D9" s="31" t="s">
        <v>50</v>
      </c>
      <c r="E9" s="31" t="s">
        <v>51</v>
      </c>
      <c r="F9" s="32" t="s">
        <v>52</v>
      </c>
      <c r="G9" s="33" t="s">
        <v>45</v>
      </c>
      <c r="H9" s="33" t="s">
        <v>17</v>
      </c>
      <c r="I9" s="34">
        <v>46160</v>
      </c>
      <c r="J9" s="34">
        <v>46178</v>
      </c>
      <c r="K9" s="35">
        <v>1</v>
      </c>
      <c r="L9" s="33">
        <v>32</v>
      </c>
      <c r="M9" s="33">
        <v>30</v>
      </c>
      <c r="N9" s="36" t="str">
        <f t="shared" ca="1" si="1"/>
        <v>–</v>
      </c>
      <c r="O9" s="37" t="s">
        <v>53</v>
      </c>
      <c r="P9" s="15"/>
    </row>
    <row r="10" spans="1:16" ht="27" customHeight="1" x14ac:dyDescent="0.25">
      <c r="A10" s="15"/>
      <c r="B10" s="38">
        <f t="shared" si="0"/>
        <v>4</v>
      </c>
      <c r="C10" s="39" t="s">
        <v>14</v>
      </c>
      <c r="D10" s="39" t="s">
        <v>54</v>
      </c>
      <c r="E10" s="39" t="s">
        <v>55</v>
      </c>
      <c r="F10" s="40" t="s">
        <v>56</v>
      </c>
      <c r="G10" s="41" t="s">
        <v>45</v>
      </c>
      <c r="H10" s="41" t="s">
        <v>17</v>
      </c>
      <c r="I10" s="42">
        <v>46181</v>
      </c>
      <c r="J10" s="42">
        <v>46199</v>
      </c>
      <c r="K10" s="43">
        <v>1</v>
      </c>
      <c r="L10" s="41">
        <v>40</v>
      </c>
      <c r="M10" s="41">
        <v>46</v>
      </c>
      <c r="N10" s="44" t="str">
        <f t="shared" ca="1" si="1"/>
        <v>–</v>
      </c>
      <c r="O10" s="45"/>
      <c r="P10" s="15"/>
    </row>
    <row r="11" spans="1:16" ht="27" customHeight="1" x14ac:dyDescent="0.25">
      <c r="A11" s="15"/>
      <c r="B11" s="30">
        <f t="shared" si="0"/>
        <v>5</v>
      </c>
      <c r="C11" s="31" t="s">
        <v>16</v>
      </c>
      <c r="D11" s="31" t="s">
        <v>57</v>
      </c>
      <c r="E11" s="31" t="s">
        <v>58</v>
      </c>
      <c r="F11" s="32" t="s">
        <v>59</v>
      </c>
      <c r="G11" s="33" t="s">
        <v>45</v>
      </c>
      <c r="H11" s="33" t="s">
        <v>13</v>
      </c>
      <c r="I11" s="34">
        <v>46209</v>
      </c>
      <c r="J11" s="34">
        <v>46255</v>
      </c>
      <c r="K11" s="35">
        <v>0.65</v>
      </c>
      <c r="L11" s="33">
        <v>56</v>
      </c>
      <c r="M11" s="33">
        <v>40</v>
      </c>
      <c r="N11" s="36">
        <f t="shared" ca="1" si="1"/>
        <v>-12</v>
      </c>
      <c r="O11" s="37" t="s">
        <v>60</v>
      </c>
      <c r="P11" s="15"/>
    </row>
    <row r="12" spans="1:16" ht="27" customHeight="1" x14ac:dyDescent="0.25">
      <c r="A12" s="15"/>
      <c r="B12" s="38">
        <f t="shared" si="0"/>
        <v>6</v>
      </c>
      <c r="C12" s="39" t="s">
        <v>16</v>
      </c>
      <c r="D12" s="39" t="s">
        <v>61</v>
      </c>
      <c r="E12" s="39" t="s">
        <v>62</v>
      </c>
      <c r="F12" s="40" t="s">
        <v>52</v>
      </c>
      <c r="G12" s="41" t="s">
        <v>45</v>
      </c>
      <c r="H12" s="41" t="s">
        <v>13</v>
      </c>
      <c r="I12" s="42">
        <v>46230</v>
      </c>
      <c r="J12" s="42">
        <v>46283</v>
      </c>
      <c r="K12" s="43">
        <v>0.4</v>
      </c>
      <c r="L12" s="41">
        <v>80</v>
      </c>
      <c r="M12" s="41">
        <v>34</v>
      </c>
      <c r="N12" s="44">
        <f t="shared" ca="1" si="1"/>
        <v>16</v>
      </c>
      <c r="O12" s="45"/>
      <c r="P12" s="15"/>
    </row>
    <row r="13" spans="1:16" ht="27" customHeight="1" x14ac:dyDescent="0.25">
      <c r="A13" s="15"/>
      <c r="B13" s="30">
        <f t="shared" si="0"/>
        <v>7</v>
      </c>
      <c r="C13" s="31" t="s">
        <v>16</v>
      </c>
      <c r="D13" s="31" t="s">
        <v>63</v>
      </c>
      <c r="E13" s="31" t="s">
        <v>64</v>
      </c>
      <c r="F13" s="32" t="s">
        <v>65</v>
      </c>
      <c r="G13" s="33" t="s">
        <v>49</v>
      </c>
      <c r="H13" s="33" t="s">
        <v>13</v>
      </c>
      <c r="I13" s="34">
        <v>46237</v>
      </c>
      <c r="J13" s="34">
        <v>46269</v>
      </c>
      <c r="K13" s="35">
        <v>0.55000000000000004</v>
      </c>
      <c r="L13" s="33">
        <v>16</v>
      </c>
      <c r="M13" s="33">
        <v>9</v>
      </c>
      <c r="N13" s="36">
        <f t="shared" ca="1" si="1"/>
        <v>2</v>
      </c>
      <c r="O13" s="37"/>
      <c r="P13" s="15"/>
    </row>
    <row r="14" spans="1:16" ht="27" customHeight="1" x14ac:dyDescent="0.25">
      <c r="A14" s="15"/>
      <c r="B14" s="38">
        <f t="shared" si="0"/>
        <v>8</v>
      </c>
      <c r="C14" s="39" t="s">
        <v>18</v>
      </c>
      <c r="D14" s="39" t="s">
        <v>66</v>
      </c>
      <c r="E14" s="39" t="s">
        <v>67</v>
      </c>
      <c r="F14" s="40" t="s">
        <v>44</v>
      </c>
      <c r="G14" s="41" t="s">
        <v>45</v>
      </c>
      <c r="H14" s="41" t="s">
        <v>11</v>
      </c>
      <c r="I14" s="42">
        <v>46279</v>
      </c>
      <c r="J14" s="42">
        <v>46304</v>
      </c>
      <c r="K14" s="43">
        <v>0</v>
      </c>
      <c r="L14" s="41">
        <v>24</v>
      </c>
      <c r="M14" s="41">
        <v>0</v>
      </c>
      <c r="N14" s="44">
        <f t="shared" ca="1" si="1"/>
        <v>37</v>
      </c>
      <c r="O14" s="45"/>
      <c r="P14" s="15"/>
    </row>
    <row r="15" spans="1:16" ht="27" customHeight="1" x14ac:dyDescent="0.25">
      <c r="A15" s="15"/>
      <c r="B15" s="30">
        <f t="shared" si="0"/>
        <v>9</v>
      </c>
      <c r="C15" s="31" t="s">
        <v>18</v>
      </c>
      <c r="D15" s="31" t="s">
        <v>68</v>
      </c>
      <c r="E15" s="31" t="s">
        <v>69</v>
      </c>
      <c r="F15" s="32" t="s">
        <v>59</v>
      </c>
      <c r="G15" s="33" t="s">
        <v>49</v>
      </c>
      <c r="H15" s="33" t="s">
        <v>15</v>
      </c>
      <c r="I15" s="34">
        <v>46251</v>
      </c>
      <c r="J15" s="34">
        <v>46261</v>
      </c>
      <c r="K15" s="35">
        <v>0.75</v>
      </c>
      <c r="L15" s="33">
        <v>12</v>
      </c>
      <c r="M15" s="33">
        <v>10</v>
      </c>
      <c r="N15" s="36">
        <f t="shared" ca="1" si="1"/>
        <v>-6</v>
      </c>
      <c r="O15" s="37" t="s">
        <v>70</v>
      </c>
      <c r="P15" s="15"/>
    </row>
    <row r="16" spans="1:16" ht="27" customHeight="1" x14ac:dyDescent="0.25">
      <c r="A16" s="15"/>
      <c r="B16" s="38">
        <f t="shared" si="0"/>
        <v>10</v>
      </c>
      <c r="C16" s="39" t="s">
        <v>20</v>
      </c>
      <c r="D16" s="39" t="s">
        <v>71</v>
      </c>
      <c r="E16" s="39" t="s">
        <v>72</v>
      </c>
      <c r="F16" s="40" t="s">
        <v>56</v>
      </c>
      <c r="G16" s="41" t="s">
        <v>49</v>
      </c>
      <c r="H16" s="41" t="s">
        <v>11</v>
      </c>
      <c r="I16" s="42">
        <v>46293</v>
      </c>
      <c r="J16" s="42">
        <v>46318</v>
      </c>
      <c r="K16" s="43">
        <v>0</v>
      </c>
      <c r="L16" s="41">
        <v>20</v>
      </c>
      <c r="M16" s="41">
        <v>0</v>
      </c>
      <c r="N16" s="44">
        <f t="shared" ca="1" si="1"/>
        <v>51</v>
      </c>
      <c r="O16" s="45"/>
      <c r="P16" s="15"/>
    </row>
    <row r="17" spans="1:16" ht="27" customHeight="1" x14ac:dyDescent="0.25">
      <c r="A17" s="15"/>
      <c r="B17" s="30">
        <f t="shared" si="0"/>
        <v>11</v>
      </c>
      <c r="C17" s="31" t="s">
        <v>20</v>
      </c>
      <c r="D17" s="31" t="s">
        <v>73</v>
      </c>
      <c r="E17" s="31" t="s">
        <v>74</v>
      </c>
      <c r="F17" s="32" t="s">
        <v>44</v>
      </c>
      <c r="G17" s="33" t="s">
        <v>49</v>
      </c>
      <c r="H17" s="33" t="s">
        <v>11</v>
      </c>
      <c r="I17" s="34">
        <v>46321</v>
      </c>
      <c r="J17" s="34">
        <v>46339</v>
      </c>
      <c r="K17" s="35">
        <v>0</v>
      </c>
      <c r="L17" s="33">
        <v>14</v>
      </c>
      <c r="M17" s="33">
        <v>0</v>
      </c>
      <c r="N17" s="36">
        <f t="shared" ca="1" si="1"/>
        <v>72</v>
      </c>
      <c r="O17" s="37"/>
      <c r="P17" s="15"/>
    </row>
    <row r="18" spans="1:16" ht="27" customHeight="1" x14ac:dyDescent="0.25">
      <c r="A18" s="15"/>
      <c r="B18" s="38">
        <f t="shared" si="0"/>
        <v>12</v>
      </c>
      <c r="C18" s="39" t="s">
        <v>21</v>
      </c>
      <c r="D18" s="39" t="s">
        <v>75</v>
      </c>
      <c r="E18" s="39" t="s">
        <v>76</v>
      </c>
      <c r="F18" s="40" t="s">
        <v>65</v>
      </c>
      <c r="G18" s="41" t="s">
        <v>49</v>
      </c>
      <c r="H18" s="41" t="s">
        <v>19</v>
      </c>
      <c r="I18" s="42">
        <v>46244</v>
      </c>
      <c r="J18" s="42">
        <v>46269</v>
      </c>
      <c r="K18" s="43">
        <v>0.15</v>
      </c>
      <c r="L18" s="41">
        <v>6</v>
      </c>
      <c r="M18" s="41">
        <v>2</v>
      </c>
      <c r="N18" s="44">
        <f t="shared" ca="1" si="1"/>
        <v>2</v>
      </c>
      <c r="O18" s="45" t="s">
        <v>77</v>
      </c>
      <c r="P18" s="15"/>
    </row>
    <row r="19" spans="1:16" ht="27" customHeight="1" x14ac:dyDescent="0.25">
      <c r="A19" s="15"/>
      <c r="B19" s="30">
        <f t="shared" si="0"/>
        <v>13</v>
      </c>
      <c r="C19" s="31" t="s">
        <v>21</v>
      </c>
      <c r="D19" s="31" t="s">
        <v>78</v>
      </c>
      <c r="E19" s="31" t="s">
        <v>79</v>
      </c>
      <c r="F19" s="32" t="s">
        <v>52</v>
      </c>
      <c r="G19" s="33" t="s">
        <v>80</v>
      </c>
      <c r="H19" s="33" t="s">
        <v>11</v>
      </c>
      <c r="I19" s="34">
        <v>46335</v>
      </c>
      <c r="J19" s="34">
        <v>46374</v>
      </c>
      <c r="K19" s="35">
        <v>0</v>
      </c>
      <c r="L19" s="33">
        <v>48</v>
      </c>
      <c r="M19" s="33">
        <v>0</v>
      </c>
      <c r="N19" s="36">
        <f t="shared" ca="1" si="1"/>
        <v>107</v>
      </c>
      <c r="O19" s="37" t="s">
        <v>81</v>
      </c>
      <c r="P19" s="15"/>
    </row>
    <row r="20" spans="1:16" ht="27" customHeight="1" x14ac:dyDescent="0.25">
      <c r="A20" s="15"/>
      <c r="B20" s="38">
        <f t="shared" si="0"/>
        <v>14</v>
      </c>
      <c r="C20" s="39" t="s">
        <v>22</v>
      </c>
      <c r="D20" s="39" t="s">
        <v>82</v>
      </c>
      <c r="E20" s="39" t="s">
        <v>83</v>
      </c>
      <c r="F20" s="40" t="s">
        <v>59</v>
      </c>
      <c r="G20" s="41" t="s">
        <v>80</v>
      </c>
      <c r="H20" s="41" t="s">
        <v>11</v>
      </c>
      <c r="I20" s="42">
        <v>46363</v>
      </c>
      <c r="J20" s="42">
        <v>46377</v>
      </c>
      <c r="K20" s="43">
        <v>0</v>
      </c>
      <c r="L20" s="41">
        <v>10</v>
      </c>
      <c r="M20" s="41">
        <v>0</v>
      </c>
      <c r="N20" s="44">
        <f t="shared" ca="1" si="1"/>
        <v>110</v>
      </c>
      <c r="O20" s="45"/>
      <c r="P20" s="15"/>
    </row>
    <row r="21" spans="1:16" ht="27" customHeight="1" x14ac:dyDescent="0.25">
      <c r="A21" s="15"/>
      <c r="B21" s="30">
        <f t="shared" si="0"/>
        <v>15</v>
      </c>
      <c r="C21" s="31" t="s">
        <v>23</v>
      </c>
      <c r="D21" s="31" t="s">
        <v>84</v>
      </c>
      <c r="E21" s="31" t="s">
        <v>85</v>
      </c>
      <c r="F21" s="32" t="s">
        <v>65</v>
      </c>
      <c r="G21" s="33" t="s">
        <v>80</v>
      </c>
      <c r="H21" s="33" t="s">
        <v>11</v>
      </c>
      <c r="I21" s="34">
        <v>46370</v>
      </c>
      <c r="J21" s="34">
        <v>46396</v>
      </c>
      <c r="K21" s="35">
        <v>0</v>
      </c>
      <c r="L21" s="33">
        <v>18</v>
      </c>
      <c r="M21" s="33">
        <v>0</v>
      </c>
      <c r="N21" s="36">
        <f t="shared" ca="1" si="1"/>
        <v>129</v>
      </c>
      <c r="O21" s="37"/>
      <c r="P21" s="15"/>
    </row>
    <row r="22" spans="1:16" ht="27" customHeight="1" x14ac:dyDescent="0.25">
      <c r="A22" s="15"/>
      <c r="B22" s="38" t="str">
        <f t="shared" si="0"/>
        <v/>
      </c>
      <c r="C22" s="39"/>
      <c r="D22" s="39"/>
      <c r="E22" s="39"/>
      <c r="F22" s="40"/>
      <c r="G22" s="41"/>
      <c r="H22" s="41"/>
      <c r="I22" s="42"/>
      <c r="J22" s="42"/>
      <c r="K22" s="43"/>
      <c r="L22" s="41"/>
      <c r="M22" s="41"/>
      <c r="N22" s="44" t="str">
        <f t="shared" ca="1" si="1"/>
        <v/>
      </c>
      <c r="O22" s="45"/>
      <c r="P22" s="15"/>
    </row>
    <row r="23" spans="1:16" ht="27" customHeight="1" x14ac:dyDescent="0.25">
      <c r="A23" s="15"/>
      <c r="B23" s="30" t="str">
        <f t="shared" si="0"/>
        <v/>
      </c>
      <c r="C23" s="31"/>
      <c r="D23" s="31"/>
      <c r="E23" s="31"/>
      <c r="F23" s="32"/>
      <c r="G23" s="33"/>
      <c r="H23" s="33"/>
      <c r="I23" s="34"/>
      <c r="J23" s="34"/>
      <c r="K23" s="35"/>
      <c r="L23" s="33"/>
      <c r="M23" s="33"/>
      <c r="N23" s="36" t="str">
        <f t="shared" ca="1" si="1"/>
        <v/>
      </c>
      <c r="O23" s="37"/>
      <c r="P23" s="15"/>
    </row>
    <row r="24" spans="1:16" ht="27" customHeight="1" x14ac:dyDescent="0.25">
      <c r="A24" s="15"/>
      <c r="B24" s="38" t="str">
        <f t="shared" si="0"/>
        <v/>
      </c>
      <c r="C24" s="39"/>
      <c r="D24" s="39"/>
      <c r="E24" s="39"/>
      <c r="F24" s="40"/>
      <c r="G24" s="41"/>
      <c r="H24" s="41"/>
      <c r="I24" s="42"/>
      <c r="J24" s="42"/>
      <c r="K24" s="43"/>
      <c r="L24" s="41"/>
      <c r="M24" s="41"/>
      <c r="N24" s="44" t="str">
        <f t="shared" ca="1" si="1"/>
        <v/>
      </c>
      <c r="O24" s="45"/>
      <c r="P24" s="15"/>
    </row>
    <row r="25" spans="1:16" ht="27" customHeight="1" x14ac:dyDescent="0.25">
      <c r="A25" s="15"/>
      <c r="B25" s="30" t="str">
        <f t="shared" si="0"/>
        <v/>
      </c>
      <c r="C25" s="31"/>
      <c r="D25" s="31"/>
      <c r="E25" s="31"/>
      <c r="F25" s="32"/>
      <c r="G25" s="33"/>
      <c r="H25" s="33"/>
      <c r="I25" s="34"/>
      <c r="J25" s="34"/>
      <c r="K25" s="35"/>
      <c r="L25" s="33"/>
      <c r="M25" s="33"/>
      <c r="N25" s="36" t="str">
        <f t="shared" ca="1" si="1"/>
        <v/>
      </c>
      <c r="O25" s="37"/>
      <c r="P25" s="15"/>
    </row>
    <row r="26" spans="1:16" ht="27" customHeight="1" x14ac:dyDescent="0.25">
      <c r="A26" s="15"/>
      <c r="B26" s="38" t="str">
        <f t="shared" si="0"/>
        <v/>
      </c>
      <c r="C26" s="39"/>
      <c r="D26" s="39"/>
      <c r="E26" s="39"/>
      <c r="F26" s="40"/>
      <c r="G26" s="41"/>
      <c r="H26" s="41"/>
      <c r="I26" s="42"/>
      <c r="J26" s="42"/>
      <c r="K26" s="43"/>
      <c r="L26" s="41"/>
      <c r="M26" s="41"/>
      <c r="N26" s="44" t="str">
        <f t="shared" ca="1" si="1"/>
        <v/>
      </c>
      <c r="O26" s="45"/>
      <c r="P26" s="15"/>
    </row>
    <row r="27" spans="1:16" ht="27" customHeight="1" x14ac:dyDescent="0.25">
      <c r="A27" s="15"/>
      <c r="B27" s="30" t="str">
        <f t="shared" si="0"/>
        <v/>
      </c>
      <c r="C27" s="31"/>
      <c r="D27" s="31"/>
      <c r="E27" s="31"/>
      <c r="F27" s="32"/>
      <c r="G27" s="33"/>
      <c r="H27" s="33"/>
      <c r="I27" s="34"/>
      <c r="J27" s="34"/>
      <c r="K27" s="35"/>
      <c r="L27" s="33"/>
      <c r="M27" s="33"/>
      <c r="N27" s="36" t="str">
        <f t="shared" ca="1" si="1"/>
        <v/>
      </c>
      <c r="O27" s="37"/>
      <c r="P27" s="15"/>
    </row>
    <row r="28" spans="1:16" ht="27" customHeight="1" x14ac:dyDescent="0.25">
      <c r="A28" s="15"/>
      <c r="B28" s="38" t="str">
        <f t="shared" si="0"/>
        <v/>
      </c>
      <c r="C28" s="39"/>
      <c r="D28" s="39"/>
      <c r="E28" s="39"/>
      <c r="F28" s="40"/>
      <c r="G28" s="41"/>
      <c r="H28" s="41"/>
      <c r="I28" s="42"/>
      <c r="J28" s="42"/>
      <c r="K28" s="43"/>
      <c r="L28" s="41"/>
      <c r="M28" s="41"/>
      <c r="N28" s="44" t="str">
        <f t="shared" ca="1" si="1"/>
        <v/>
      </c>
      <c r="O28" s="45"/>
      <c r="P28" s="15"/>
    </row>
    <row r="29" spans="1:16" ht="27" customHeight="1" x14ac:dyDescent="0.25">
      <c r="A29" s="15"/>
      <c r="B29" s="30" t="str">
        <f t="shared" si="0"/>
        <v/>
      </c>
      <c r="C29" s="31"/>
      <c r="D29" s="31"/>
      <c r="E29" s="31"/>
      <c r="F29" s="32"/>
      <c r="G29" s="33"/>
      <c r="H29" s="33"/>
      <c r="I29" s="34"/>
      <c r="J29" s="34"/>
      <c r="K29" s="35"/>
      <c r="L29" s="33"/>
      <c r="M29" s="33"/>
      <c r="N29" s="36" t="str">
        <f t="shared" ca="1" si="1"/>
        <v/>
      </c>
      <c r="O29" s="37"/>
      <c r="P29" s="15"/>
    </row>
    <row r="30" spans="1:16" ht="27" customHeight="1" x14ac:dyDescent="0.25">
      <c r="A30" s="15"/>
      <c r="B30" s="38" t="str">
        <f t="shared" si="0"/>
        <v/>
      </c>
      <c r="C30" s="39"/>
      <c r="D30" s="39"/>
      <c r="E30" s="39"/>
      <c r="F30" s="40"/>
      <c r="G30" s="41"/>
      <c r="H30" s="41"/>
      <c r="I30" s="42"/>
      <c r="J30" s="42"/>
      <c r="K30" s="43"/>
      <c r="L30" s="41"/>
      <c r="M30" s="41"/>
      <c r="N30" s="44" t="str">
        <f t="shared" ca="1" si="1"/>
        <v/>
      </c>
      <c r="O30" s="45"/>
      <c r="P30" s="15"/>
    </row>
    <row r="31" spans="1:16" ht="27" customHeight="1" x14ac:dyDescent="0.25">
      <c r="A31" s="15"/>
      <c r="B31" s="30" t="str">
        <f t="shared" si="0"/>
        <v/>
      </c>
      <c r="C31" s="31"/>
      <c r="D31" s="31"/>
      <c r="E31" s="31"/>
      <c r="F31" s="32"/>
      <c r="G31" s="33"/>
      <c r="H31" s="33"/>
      <c r="I31" s="34"/>
      <c r="J31" s="34"/>
      <c r="K31" s="35"/>
      <c r="L31" s="33"/>
      <c r="M31" s="33"/>
      <c r="N31" s="36" t="str">
        <f t="shared" ca="1" si="1"/>
        <v/>
      </c>
      <c r="O31" s="37"/>
      <c r="P31" s="15"/>
    </row>
    <row r="32" spans="1:16" ht="27" customHeight="1" x14ac:dyDescent="0.25">
      <c r="A32" s="15"/>
      <c r="B32" s="38" t="str">
        <f t="shared" si="0"/>
        <v/>
      </c>
      <c r="C32" s="39"/>
      <c r="D32" s="39"/>
      <c r="E32" s="39"/>
      <c r="F32" s="40"/>
      <c r="G32" s="41"/>
      <c r="H32" s="41"/>
      <c r="I32" s="42"/>
      <c r="J32" s="42"/>
      <c r="K32" s="43"/>
      <c r="L32" s="41"/>
      <c r="M32" s="41"/>
      <c r="N32" s="44" t="str">
        <f t="shared" ca="1" si="1"/>
        <v/>
      </c>
      <c r="O32" s="45"/>
      <c r="P32" s="15"/>
    </row>
    <row r="33" spans="1:16" ht="27" customHeight="1" x14ac:dyDescent="0.25">
      <c r="A33" s="15"/>
      <c r="B33" s="30" t="str">
        <f t="shared" si="0"/>
        <v/>
      </c>
      <c r="C33" s="31"/>
      <c r="D33" s="31"/>
      <c r="E33" s="31"/>
      <c r="F33" s="32"/>
      <c r="G33" s="33"/>
      <c r="H33" s="33"/>
      <c r="I33" s="34"/>
      <c r="J33" s="34"/>
      <c r="K33" s="35"/>
      <c r="L33" s="33"/>
      <c r="M33" s="33"/>
      <c r="N33" s="36" t="str">
        <f t="shared" ca="1" si="1"/>
        <v/>
      </c>
      <c r="O33" s="37"/>
      <c r="P33" s="15"/>
    </row>
    <row r="34" spans="1:16" ht="27" customHeight="1" x14ac:dyDescent="0.25">
      <c r="A34" s="15"/>
      <c r="B34" s="38" t="str">
        <f t="shared" si="0"/>
        <v/>
      </c>
      <c r="C34" s="39"/>
      <c r="D34" s="39"/>
      <c r="E34" s="39"/>
      <c r="F34" s="40"/>
      <c r="G34" s="41"/>
      <c r="H34" s="41"/>
      <c r="I34" s="42"/>
      <c r="J34" s="42"/>
      <c r="K34" s="43"/>
      <c r="L34" s="41"/>
      <c r="M34" s="41"/>
      <c r="N34" s="44" t="str">
        <f t="shared" ca="1" si="1"/>
        <v/>
      </c>
      <c r="O34" s="45"/>
      <c r="P34" s="15"/>
    </row>
    <row r="35" spans="1:16" ht="27" customHeight="1" x14ac:dyDescent="0.25">
      <c r="A35" s="15"/>
      <c r="B35" s="30" t="str">
        <f t="shared" si="0"/>
        <v/>
      </c>
      <c r="C35" s="31"/>
      <c r="D35" s="31"/>
      <c r="E35" s="31"/>
      <c r="F35" s="32"/>
      <c r="G35" s="33"/>
      <c r="H35" s="33"/>
      <c r="I35" s="34"/>
      <c r="J35" s="34"/>
      <c r="K35" s="35"/>
      <c r="L35" s="33"/>
      <c r="M35" s="33"/>
      <c r="N35" s="36" t="str">
        <f t="shared" ca="1" si="1"/>
        <v/>
      </c>
      <c r="O35" s="37"/>
      <c r="P35" s="15"/>
    </row>
    <row r="36" spans="1:16" ht="27" customHeight="1" x14ac:dyDescent="0.25">
      <c r="A36" s="15"/>
      <c r="B36" s="38" t="str">
        <f t="shared" si="0"/>
        <v/>
      </c>
      <c r="C36" s="39"/>
      <c r="D36" s="39"/>
      <c r="E36" s="39"/>
      <c r="F36" s="40"/>
      <c r="G36" s="41"/>
      <c r="H36" s="41"/>
      <c r="I36" s="42"/>
      <c r="J36" s="42"/>
      <c r="K36" s="43"/>
      <c r="L36" s="41"/>
      <c r="M36" s="41"/>
      <c r="N36" s="44" t="str">
        <f t="shared" ca="1" si="1"/>
        <v/>
      </c>
      <c r="O36" s="45"/>
      <c r="P36" s="15"/>
    </row>
    <row r="37" spans="1:16" ht="27" customHeight="1" x14ac:dyDescent="0.25">
      <c r="A37" s="15"/>
      <c r="B37" s="30" t="str">
        <f t="shared" si="0"/>
        <v/>
      </c>
      <c r="C37" s="31"/>
      <c r="D37" s="31"/>
      <c r="E37" s="31"/>
      <c r="F37" s="32"/>
      <c r="G37" s="33"/>
      <c r="H37" s="33"/>
      <c r="I37" s="34"/>
      <c r="J37" s="34"/>
      <c r="K37" s="35"/>
      <c r="L37" s="33"/>
      <c r="M37" s="33"/>
      <c r="N37" s="36" t="str">
        <f t="shared" ca="1" si="1"/>
        <v/>
      </c>
      <c r="O37" s="37"/>
      <c r="P37" s="15"/>
    </row>
    <row r="38" spans="1:16" ht="27" customHeight="1" x14ac:dyDescent="0.25">
      <c r="A38" s="15"/>
      <c r="B38" s="38" t="str">
        <f t="shared" si="0"/>
        <v/>
      </c>
      <c r="C38" s="39"/>
      <c r="D38" s="39"/>
      <c r="E38" s="39"/>
      <c r="F38" s="40"/>
      <c r="G38" s="41"/>
      <c r="H38" s="41"/>
      <c r="I38" s="42"/>
      <c r="J38" s="42"/>
      <c r="K38" s="43"/>
      <c r="L38" s="41"/>
      <c r="M38" s="41"/>
      <c r="N38" s="44" t="str">
        <f t="shared" ca="1" si="1"/>
        <v/>
      </c>
      <c r="O38" s="45"/>
      <c r="P38" s="15"/>
    </row>
    <row r="39" spans="1:16" ht="27" customHeight="1" x14ac:dyDescent="0.25">
      <c r="A39" s="15"/>
      <c r="B39" s="30" t="str">
        <f t="shared" si="0"/>
        <v/>
      </c>
      <c r="C39" s="31"/>
      <c r="D39" s="31"/>
      <c r="E39" s="31"/>
      <c r="F39" s="32"/>
      <c r="G39" s="33"/>
      <c r="H39" s="33"/>
      <c r="I39" s="34"/>
      <c r="J39" s="34"/>
      <c r="K39" s="35"/>
      <c r="L39" s="33"/>
      <c r="M39" s="33"/>
      <c r="N39" s="36" t="str">
        <f t="shared" ca="1" si="1"/>
        <v/>
      </c>
      <c r="O39" s="37"/>
      <c r="P39" s="15"/>
    </row>
    <row r="40" spans="1:16" ht="27" customHeight="1" x14ac:dyDescent="0.25">
      <c r="A40" s="15"/>
      <c r="B40" s="38" t="str">
        <f t="shared" si="0"/>
        <v/>
      </c>
      <c r="C40" s="39"/>
      <c r="D40" s="39"/>
      <c r="E40" s="39"/>
      <c r="F40" s="40"/>
      <c r="G40" s="41"/>
      <c r="H40" s="41"/>
      <c r="I40" s="42"/>
      <c r="J40" s="42"/>
      <c r="K40" s="43"/>
      <c r="L40" s="41"/>
      <c r="M40" s="41"/>
      <c r="N40" s="44" t="str">
        <f t="shared" ca="1" si="1"/>
        <v/>
      </c>
      <c r="O40" s="45"/>
      <c r="P40" s="15"/>
    </row>
    <row r="41" spans="1:16" ht="27" customHeight="1" x14ac:dyDescent="0.25">
      <c r="A41" s="15"/>
      <c r="B41" s="46" t="str">
        <f t="shared" si="0"/>
        <v/>
      </c>
      <c r="C41" s="47"/>
      <c r="D41" s="47"/>
      <c r="E41" s="47"/>
      <c r="F41" s="48"/>
      <c r="G41" s="49"/>
      <c r="H41" s="49"/>
      <c r="I41" s="50"/>
      <c r="J41" s="50"/>
      <c r="K41" s="51"/>
      <c r="L41" s="49"/>
      <c r="M41" s="49"/>
      <c r="N41" s="52" t="str">
        <f t="shared" ca="1" si="1"/>
        <v/>
      </c>
      <c r="O41" s="53"/>
      <c r="P41" s="15"/>
    </row>
    <row r="42" spans="1:16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 spans="1:16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</row>
    <row r="55" spans="1:16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</row>
    <row r="56" spans="1:16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</row>
    <row r="59" spans="1:16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  <row r="60" spans="1:16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</sheetData>
  <autoFilter ref="B6:O41" xr:uid="{00000000-0009-0000-0000-000001000000}"/>
  <mergeCells count="4">
    <mergeCell ref="B2:I2"/>
    <mergeCell ref="B3:I3"/>
    <mergeCell ref="K3:O4"/>
    <mergeCell ref="B4:I4"/>
  </mergeCells>
  <conditionalFormatting sqref="G7:G41">
    <cfRule type="cellIs" dxfId="8" priority="7" operator="equal">
      <formula>"Hoch"</formula>
    </cfRule>
    <cfRule type="cellIs" dxfId="7" priority="8" operator="equal">
      <formula>"Mittel"</formula>
    </cfRule>
    <cfRule type="cellIs" dxfId="6" priority="9" operator="equal">
      <formula>"Niedrig"</formula>
    </cfRule>
  </conditionalFormatting>
  <conditionalFormatting sqref="H7:H41">
    <cfRule type="cellIs" dxfId="5" priority="2" operator="equal">
      <formula>"Erledigt"</formula>
    </cfRule>
    <cfRule type="cellIs" dxfId="4" priority="3" operator="equal">
      <formula>"In Bearbeitung"</formula>
    </cfRule>
    <cfRule type="cellIs" dxfId="3" priority="4" operator="equal">
      <formula>"In Prüfung"</formula>
    </cfRule>
    <cfRule type="cellIs" dxfId="2" priority="5" operator="equal">
      <formula>"Blockiert"</formula>
    </cfRule>
    <cfRule type="cellIs" dxfId="1" priority="6" operator="equal">
      <formula>"Offen"</formula>
    </cfRule>
  </conditionalFormatting>
  <conditionalFormatting sqref="J7:J41">
    <cfRule type="expression" dxfId="0" priority="10">
      <formula>AND($J7&gt;0,$J7&lt;TODAY(),$H7&lt;&gt;"Erledigt")</formula>
    </cfRule>
  </conditionalFormatting>
  <conditionalFormatting sqref="K7:K41">
    <cfRule type="dataBar" priority="11">
      <dataBar>
        <cfvo type="num" val="0"/>
        <cfvo type="num" val="1"/>
        <color rgb="FF2C4A72"/>
      </dataBar>
      <extLst>
        <ext xmlns:x14="http://schemas.microsoft.com/office/spreadsheetml/2009/9/main" uri="{B025F937-C7B1-47D3-B67F-A62EFF666E3E}">
          <x14:id>{865061A1-1057-4A54-A42C-35B070F063D7}</x14:id>
        </ext>
      </extLst>
    </cfRule>
  </conditionalFormatting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5061A1-1057-4A54-A42C-35B070F063D7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C4A72"/>
            </x14:dataBar>
          </x14:cfRule>
          <xm:sqref>K7:K41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 Eingabe" error="Bitte einen Wert aus der Liste wählen." xr:uid="{00000000-0002-0000-0100-000000000000}">
          <x14:formula1>
            <xm:f>Listen!$E$4:$E$11</xm:f>
          </x14:formula1>
          <x14:formula2>
            <xm:f>0</xm:f>
          </x14:formula2>
          <xm:sqref>C7:C41</xm:sqref>
        </x14:dataValidation>
        <x14:dataValidation type="list" allowBlank="1" showErrorMessage="1" errorTitle="Ungültige Eingabe" error="Bitte einen Wert aus der Liste wählen." xr:uid="{00000000-0002-0000-0100-000001000000}">
          <x14:formula1>
            <xm:f>Listen!$G$4:$G$9</xm:f>
          </x14:formula1>
          <x14:formula2>
            <xm:f>0</xm:f>
          </x14:formula2>
          <xm:sqref>F7:F41</xm:sqref>
        </x14:dataValidation>
        <x14:dataValidation type="list" allowBlank="1" showErrorMessage="1" errorTitle="Ungültige Eingabe" error="Bitte einen Wert aus der Liste wählen." xr:uid="{00000000-0002-0000-0100-000002000000}">
          <x14:formula1>
            <xm:f>Listen!$C$4:$C$6</xm:f>
          </x14:formula1>
          <x14:formula2>
            <xm:f>0</xm:f>
          </x14:formula2>
          <xm:sqref>G7:G41</xm:sqref>
        </x14:dataValidation>
        <x14:dataValidation type="list" allowBlank="1" showErrorMessage="1" errorTitle="Ungültige Eingabe" error="Bitte einen Wert aus der Liste wählen." xr:uid="{00000000-0002-0000-0100-000003000000}">
          <x14:formula1>
            <xm:f>Listen!$A$4:$A$8</xm:f>
          </x14:formula1>
          <x14:formula2>
            <xm:f>0</xm:f>
          </x14:formula2>
          <xm:sqref>H7:H41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AA4B0"/>
  </sheetPr>
  <dimension ref="A1:I30"/>
  <sheetViews>
    <sheetView showGridLines="0" zoomScaleNormal="100" workbookViewId="0"/>
  </sheetViews>
  <sheetFormatPr baseColWidth="10" defaultColWidth="8.7109375" defaultRowHeight="15" x14ac:dyDescent="0.25"/>
  <cols>
    <col min="1" max="1" width="22" customWidth="1"/>
    <col min="2" max="2" width="3" customWidth="1"/>
    <col min="3" max="3" width="14" customWidth="1"/>
    <col min="4" max="4" width="3" customWidth="1"/>
    <col min="5" max="5" width="22" customWidth="1"/>
    <col min="6" max="6" width="3" customWidth="1"/>
    <col min="7" max="7" width="16" customWidth="1"/>
  </cols>
  <sheetData>
    <row r="1" spans="1:9" ht="18.75" x14ac:dyDescent="0.25">
      <c r="A1" s="69" t="s">
        <v>86</v>
      </c>
      <c r="B1" s="69"/>
      <c r="C1" s="69"/>
      <c r="D1" s="69"/>
      <c r="E1" s="69"/>
      <c r="F1" s="69"/>
      <c r="G1" s="69"/>
      <c r="H1" s="15"/>
      <c r="I1" s="15"/>
    </row>
    <row r="2" spans="1:9" x14ac:dyDescent="0.25">
      <c r="A2" s="70" t="s">
        <v>87</v>
      </c>
      <c r="B2" s="70"/>
      <c r="C2" s="70"/>
      <c r="D2" s="70"/>
      <c r="E2" s="70"/>
      <c r="F2" s="70"/>
      <c r="G2" s="70"/>
      <c r="H2" s="70"/>
      <c r="I2" s="15"/>
    </row>
    <row r="3" spans="1:9" x14ac:dyDescent="0.25">
      <c r="A3" s="54" t="s">
        <v>34</v>
      </c>
      <c r="B3" s="15"/>
      <c r="C3" s="54" t="s">
        <v>33</v>
      </c>
      <c r="D3" s="15"/>
      <c r="E3" s="54" t="s">
        <v>29</v>
      </c>
      <c r="F3" s="15"/>
      <c r="G3" s="54" t="s">
        <v>32</v>
      </c>
      <c r="H3" s="15"/>
      <c r="I3" s="15"/>
    </row>
    <row r="4" spans="1:9" x14ac:dyDescent="0.25">
      <c r="A4" s="32" t="s">
        <v>11</v>
      </c>
      <c r="B4" s="15"/>
      <c r="C4" s="32" t="s">
        <v>45</v>
      </c>
      <c r="D4" s="15"/>
      <c r="E4" s="32" t="s">
        <v>12</v>
      </c>
      <c r="F4" s="15"/>
      <c r="G4" s="32" t="s">
        <v>44</v>
      </c>
      <c r="H4" s="15"/>
      <c r="I4" s="15"/>
    </row>
    <row r="5" spans="1:9" x14ac:dyDescent="0.25">
      <c r="A5" s="40" t="s">
        <v>13</v>
      </c>
      <c r="B5" s="15"/>
      <c r="C5" s="40" t="s">
        <v>49</v>
      </c>
      <c r="D5" s="15"/>
      <c r="E5" s="40" t="s">
        <v>14</v>
      </c>
      <c r="F5" s="15"/>
      <c r="G5" s="40" t="s">
        <v>52</v>
      </c>
      <c r="H5" s="15"/>
      <c r="I5" s="15"/>
    </row>
    <row r="6" spans="1:9" x14ac:dyDescent="0.25">
      <c r="A6" s="32" t="s">
        <v>15</v>
      </c>
      <c r="B6" s="15"/>
      <c r="C6" s="32" t="s">
        <v>80</v>
      </c>
      <c r="D6" s="15"/>
      <c r="E6" s="32" t="s">
        <v>16</v>
      </c>
      <c r="F6" s="15"/>
      <c r="G6" s="32" t="s">
        <v>56</v>
      </c>
      <c r="H6" s="15"/>
      <c r="I6" s="15"/>
    </row>
    <row r="7" spans="1:9" x14ac:dyDescent="0.25">
      <c r="A7" s="40" t="s">
        <v>17</v>
      </c>
      <c r="B7" s="15"/>
      <c r="C7" s="15"/>
      <c r="D7" s="15"/>
      <c r="E7" s="40" t="s">
        <v>18</v>
      </c>
      <c r="F7" s="15"/>
      <c r="G7" s="40" t="s">
        <v>59</v>
      </c>
      <c r="H7" s="15"/>
      <c r="I7" s="15"/>
    </row>
    <row r="8" spans="1:9" x14ac:dyDescent="0.25">
      <c r="A8" s="32" t="s">
        <v>19</v>
      </c>
      <c r="B8" s="15"/>
      <c r="C8" s="15"/>
      <c r="D8" s="15"/>
      <c r="E8" s="32" t="s">
        <v>20</v>
      </c>
      <c r="F8" s="15"/>
      <c r="G8" s="32" t="s">
        <v>65</v>
      </c>
      <c r="H8" s="15"/>
      <c r="I8" s="15"/>
    </row>
    <row r="9" spans="1:9" x14ac:dyDescent="0.25">
      <c r="A9" s="15"/>
      <c r="B9" s="15"/>
      <c r="C9" s="15"/>
      <c r="D9" s="15"/>
      <c r="E9" s="40" t="s">
        <v>21</v>
      </c>
      <c r="F9" s="15"/>
      <c r="G9" s="40" t="s">
        <v>88</v>
      </c>
      <c r="H9" s="15"/>
      <c r="I9" s="15"/>
    </row>
    <row r="10" spans="1:9" x14ac:dyDescent="0.25">
      <c r="A10" s="15"/>
      <c r="B10" s="15"/>
      <c r="C10" s="15"/>
      <c r="D10" s="15"/>
      <c r="E10" s="32" t="s">
        <v>22</v>
      </c>
      <c r="F10" s="15"/>
      <c r="G10" s="15"/>
      <c r="H10" s="15"/>
      <c r="I10" s="15"/>
    </row>
    <row r="11" spans="1:9" x14ac:dyDescent="0.25">
      <c r="A11" s="15"/>
      <c r="B11" s="15"/>
      <c r="C11" s="15"/>
      <c r="D11" s="15"/>
      <c r="E11" s="40" t="s">
        <v>23</v>
      </c>
      <c r="F11" s="15"/>
      <c r="G11" s="15"/>
      <c r="H11" s="15"/>
      <c r="I11" s="15"/>
    </row>
    <row r="12" spans="1:9" x14ac:dyDescent="0.25">
      <c r="A12" s="15"/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15"/>
      <c r="B13" s="15"/>
      <c r="C13" s="15"/>
      <c r="D13" s="15"/>
      <c r="E13" s="15"/>
      <c r="F13" s="15"/>
      <c r="G13" s="15"/>
      <c r="H13" s="15"/>
      <c r="I13" s="15"/>
    </row>
    <row r="14" spans="1:9" ht="15.75" x14ac:dyDescent="0.25">
      <c r="A14" s="71" t="s">
        <v>89</v>
      </c>
      <c r="B14" s="71"/>
      <c r="C14" s="71"/>
      <c r="D14" s="71"/>
      <c r="E14" s="71"/>
      <c r="F14" s="71"/>
      <c r="G14" s="71"/>
      <c r="H14" s="15"/>
      <c r="I14" s="15"/>
    </row>
    <row r="15" spans="1:9" x14ac:dyDescent="0.25">
      <c r="A15" s="55" t="s">
        <v>90</v>
      </c>
      <c r="B15" s="15"/>
      <c r="C15" s="15"/>
      <c r="D15" s="15"/>
      <c r="E15" s="15"/>
      <c r="F15" s="15"/>
      <c r="G15" s="15"/>
      <c r="H15" s="15"/>
      <c r="I15" s="15"/>
    </row>
    <row r="16" spans="1:9" x14ac:dyDescent="0.25">
      <c r="A16" s="55" t="s">
        <v>91</v>
      </c>
      <c r="B16" s="15"/>
      <c r="C16" s="15"/>
      <c r="D16" s="15"/>
      <c r="E16" s="15"/>
      <c r="F16" s="15"/>
      <c r="G16" s="15"/>
      <c r="H16" s="15"/>
      <c r="I16" s="15"/>
    </row>
    <row r="17" spans="1:9" x14ac:dyDescent="0.25">
      <c r="A17" s="55" t="s">
        <v>92</v>
      </c>
      <c r="B17" s="15"/>
      <c r="C17" s="15"/>
      <c r="D17" s="15"/>
      <c r="E17" s="15"/>
      <c r="F17" s="15"/>
      <c r="G17" s="15"/>
      <c r="H17" s="15"/>
      <c r="I17" s="15"/>
    </row>
    <row r="18" spans="1:9" x14ac:dyDescent="0.25">
      <c r="A18" s="55" t="s">
        <v>93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55" t="s">
        <v>94</v>
      </c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55" t="s">
        <v>95</v>
      </c>
      <c r="B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/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/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/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/>
      <c r="B30" s="15"/>
      <c r="C30" s="15"/>
      <c r="D30" s="15"/>
      <c r="E30" s="15"/>
      <c r="F30" s="15"/>
      <c r="G30" s="15"/>
      <c r="H30" s="15"/>
      <c r="I30" s="15"/>
    </row>
  </sheetData>
  <mergeCells count="3">
    <mergeCell ref="A1:G1"/>
    <mergeCell ref="A2:H2"/>
    <mergeCell ref="A14:G1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Dashboard</vt:lpstr>
      <vt:lpstr>Aufgaben</vt:lpstr>
      <vt:lpstr>Listen</vt:lpstr>
      <vt:lpstr>Dashboard!Druckbereich</vt:lpstr>
      <vt:lpstr>Aufgaben!Drucktitel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2026-08-31T05:48:57Z</dcterms:created>
  <dcterms:modified xsi:type="dcterms:W3CDTF">2026-09-02T11:00:05Z</dcterms:modified>
  <dc:language>en-US</dc:language>
</cp:coreProperties>
</file>