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C91D9156-B5CC-4EF8-A0D5-9D68B877EC30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Übersicht" sheetId="1" r:id="rId1"/>
    <sheet name="Zahlungsplan" sheetId="2" r:id="rId2"/>
  </sheets>
  <definedNames>
    <definedName name="_xlnm._FilterDatabase" localSheetId="1" hidden="1">Zahlungsplan!$A$7:$K$487</definedName>
    <definedName name="_xlnm.Print_Titles" localSheetId="1">Zahlungsplan!$7:$7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8" i="2" l="1"/>
  <c r="D8" i="2"/>
  <c r="B8" i="2"/>
  <c r="C8" i="2" s="1"/>
  <c r="B78" i="1"/>
  <c r="B77" i="1"/>
  <c r="B76" i="1"/>
  <c r="B75" i="1"/>
  <c r="F19" i="1"/>
  <c r="F16" i="1"/>
  <c r="I12" i="1"/>
  <c r="Q11" i="1"/>
  <c r="Q10" i="1"/>
  <c r="Q9" i="1"/>
  <c r="Q8" i="1"/>
  <c r="L8" i="1"/>
  <c r="F8" i="1"/>
  <c r="Q7" i="1"/>
  <c r="F7" i="1"/>
  <c r="Q6" i="1"/>
  <c r="B79" i="1" l="1"/>
  <c r="M8" i="2"/>
  <c r="N8" i="2" s="1"/>
  <c r="F8" i="2"/>
  <c r="Q13" i="1"/>
  <c r="B80" i="1" l="1"/>
  <c r="G8" i="2"/>
  <c r="M9" i="2"/>
  <c r="N9" i="2" s="1"/>
  <c r="L9" i="2"/>
  <c r="L10" i="2" l="1"/>
  <c r="M10" i="2"/>
  <c r="N10" i="2" s="1"/>
  <c r="H8" i="2"/>
  <c r="J8" i="2"/>
  <c r="E8" i="2"/>
  <c r="B81" i="1"/>
  <c r="M11" i="2" l="1"/>
  <c r="N11" i="2" s="1"/>
  <c r="L11" i="2"/>
  <c r="I8" i="2"/>
  <c r="B82" i="1"/>
  <c r="D9" i="2"/>
  <c r="K8" i="2"/>
  <c r="L12" i="2" l="1"/>
  <c r="M12" i="2"/>
  <c r="N12" i="2" s="1"/>
  <c r="B9" i="2"/>
  <c r="C9" i="2" s="1"/>
  <c r="F9" i="2"/>
  <c r="B83" i="1"/>
  <c r="M13" i="2" l="1"/>
  <c r="L13" i="2"/>
  <c r="N13" i="2"/>
  <c r="B84" i="1"/>
  <c r="G9" i="2"/>
  <c r="H9" i="2" l="1"/>
  <c r="J9" i="2"/>
  <c r="E9" i="2"/>
  <c r="I9" i="2" s="1"/>
  <c r="B85" i="1"/>
  <c r="M14" i="2"/>
  <c r="N14" i="2" s="1"/>
  <c r="L14" i="2"/>
  <c r="L15" i="2" l="1"/>
  <c r="M15" i="2" s="1"/>
  <c r="N15" i="2" s="1"/>
  <c r="D10" i="2"/>
  <c r="K9" i="2"/>
  <c r="B86" i="1"/>
  <c r="L16" i="2" l="1"/>
  <c r="M16" i="2"/>
  <c r="N16" i="2" s="1"/>
  <c r="B87" i="1"/>
  <c r="B10" i="2"/>
  <c r="C10" i="2" s="1"/>
  <c r="F10" i="2"/>
  <c r="L17" i="2" l="1"/>
  <c r="M17" i="2" s="1"/>
  <c r="N17" i="2" s="1"/>
  <c r="B88" i="1"/>
  <c r="G10" i="2"/>
  <c r="L18" i="2" l="1"/>
  <c r="M18" i="2"/>
  <c r="N18" i="2" s="1"/>
  <c r="B89" i="1"/>
  <c r="H10" i="2"/>
  <c r="J10" i="2" s="1"/>
  <c r="E10" i="2"/>
  <c r="D11" i="2" l="1"/>
  <c r="K10" i="2"/>
  <c r="L19" i="2"/>
  <c r="M19" i="2" s="1"/>
  <c r="N19" i="2" s="1"/>
  <c r="B90" i="1"/>
  <c r="I10" i="2"/>
  <c r="L20" i="2" l="1"/>
  <c r="M20" i="2" s="1"/>
  <c r="N20" i="2" s="1"/>
  <c r="I75" i="1"/>
  <c r="B91" i="1"/>
  <c r="B11" i="2"/>
  <c r="C11" i="2" s="1"/>
  <c r="G11" i="2"/>
  <c r="F11" i="2"/>
  <c r="L21" i="2" l="1"/>
  <c r="M21" i="2"/>
  <c r="N21" i="2" s="1"/>
  <c r="E11" i="2"/>
  <c r="H11" i="2"/>
  <c r="B92" i="1"/>
  <c r="L22" i="2" l="1"/>
  <c r="M22" i="2" s="1"/>
  <c r="N22" i="2" s="1"/>
  <c r="B93" i="1"/>
  <c r="I11" i="2"/>
  <c r="J11" i="2"/>
  <c r="L23" i="2" l="1"/>
  <c r="M23" i="2" s="1"/>
  <c r="N23" i="2" s="1"/>
  <c r="B94" i="1"/>
  <c r="D12" i="2"/>
  <c r="K11" i="2"/>
  <c r="L24" i="2" l="1"/>
  <c r="M24" i="2" s="1"/>
  <c r="N24" i="2" s="1"/>
  <c r="B95" i="1"/>
  <c r="F12" i="2"/>
  <c r="E12" i="2" s="1"/>
  <c r="G12" i="2"/>
  <c r="B12" i="2"/>
  <c r="C12" i="2" s="1"/>
  <c r="L25" i="2" l="1"/>
  <c r="M25" i="2"/>
  <c r="N25" i="2"/>
  <c r="H12" i="2"/>
  <c r="I12" i="2" s="1"/>
  <c r="B96" i="1"/>
  <c r="L26" i="2" l="1"/>
  <c r="M26" i="2"/>
  <c r="N26" i="2" s="1"/>
  <c r="B97" i="1"/>
  <c r="J12" i="2"/>
  <c r="L27" i="2" l="1"/>
  <c r="M27" i="2" s="1"/>
  <c r="N27" i="2" s="1"/>
  <c r="B98" i="1"/>
  <c r="D13" i="2"/>
  <c r="K12" i="2"/>
  <c r="L28" i="2" l="1"/>
  <c r="M28" i="2" s="1"/>
  <c r="N28" i="2" s="1"/>
  <c r="F13" i="2"/>
  <c r="G13" i="2" s="1"/>
  <c r="B13" i="2"/>
  <c r="C13" i="2" s="1"/>
  <c r="B99" i="1"/>
  <c r="H13" i="2" l="1"/>
  <c r="J13" i="2" s="1"/>
  <c r="L29" i="2"/>
  <c r="M29" i="2" s="1"/>
  <c r="N29" i="2" s="1"/>
  <c r="B100" i="1"/>
  <c r="E13" i="2"/>
  <c r="I13" i="2" s="1"/>
  <c r="L30" i="2" l="1"/>
  <c r="M30" i="2" s="1"/>
  <c r="N30" i="2" s="1"/>
  <c r="D14" i="2"/>
  <c r="K13" i="2"/>
  <c r="B101" i="1"/>
  <c r="L31" i="2" l="1"/>
  <c r="M31" i="2" s="1"/>
  <c r="N31" i="2" s="1"/>
  <c r="B102" i="1"/>
  <c r="B14" i="2"/>
  <c r="C14" i="2" s="1"/>
  <c r="G14" i="2"/>
  <c r="H14" i="2" s="1"/>
  <c r="F14" i="2"/>
  <c r="E14" i="2" s="1"/>
  <c r="I14" i="2" s="1"/>
  <c r="I76" i="1" l="1"/>
  <c r="L32" i="2"/>
  <c r="M32" i="2" s="1"/>
  <c r="N32" i="2" s="1"/>
  <c r="J14" i="2"/>
  <c r="B103" i="1"/>
  <c r="L33" i="2" l="1"/>
  <c r="M33" i="2" s="1"/>
  <c r="N33" i="2" s="1"/>
  <c r="D15" i="2"/>
  <c r="K14" i="2"/>
  <c r="B104" i="1"/>
  <c r="L34" i="2" l="1"/>
  <c r="M34" i="2" s="1"/>
  <c r="N34" i="2" s="1"/>
  <c r="G15" i="2"/>
  <c r="H15" i="2" s="1"/>
  <c r="F15" i="2"/>
  <c r="E15" i="2" s="1"/>
  <c r="I15" i="2" s="1"/>
  <c r="B15" i="2"/>
  <c r="C15" i="2" s="1"/>
  <c r="L35" i="2" l="1"/>
  <c r="M35" i="2"/>
  <c r="N35" i="2" s="1"/>
  <c r="J15" i="2"/>
  <c r="L36" i="2" l="1"/>
  <c r="M36" i="2" s="1"/>
  <c r="N36" i="2" s="1"/>
  <c r="D16" i="2"/>
  <c r="K15" i="2"/>
  <c r="L37" i="2" l="1"/>
  <c r="M37" i="2" s="1"/>
  <c r="N37" i="2" s="1"/>
  <c r="F16" i="2"/>
  <c r="B16" i="2"/>
  <c r="C16" i="2" s="1"/>
  <c r="G16" i="2"/>
  <c r="L38" i="2" l="1"/>
  <c r="M38" i="2" s="1"/>
  <c r="N38" i="2" s="1"/>
  <c r="E16" i="2"/>
  <c r="H16" i="2"/>
  <c r="J16" i="2" s="1"/>
  <c r="D17" i="2" l="1"/>
  <c r="K16" i="2"/>
  <c r="L39" i="2"/>
  <c r="M39" i="2" s="1"/>
  <c r="N39" i="2" s="1"/>
  <c r="I16" i="2"/>
  <c r="L40" i="2" l="1"/>
  <c r="M40" i="2" s="1"/>
  <c r="N40" i="2" s="1"/>
  <c r="F17" i="2"/>
  <c r="G17" i="2" s="1"/>
  <c r="B17" i="2"/>
  <c r="C17" i="2" s="1"/>
  <c r="H17" i="2" l="1"/>
  <c r="J17" i="2" s="1"/>
  <c r="L41" i="2"/>
  <c r="M41" i="2"/>
  <c r="N41" i="2" s="1"/>
  <c r="E17" i="2"/>
  <c r="I17" i="2" s="1"/>
  <c r="L42" i="2" l="1"/>
  <c r="M42" i="2" s="1"/>
  <c r="N42" i="2" s="1"/>
  <c r="D18" i="2"/>
  <c r="K17" i="2"/>
  <c r="L43" i="2" l="1"/>
  <c r="M43" i="2" s="1"/>
  <c r="N43" i="2" s="1"/>
  <c r="B18" i="2"/>
  <c r="C18" i="2" s="1"/>
  <c r="F18" i="2"/>
  <c r="G18" i="2" s="1"/>
  <c r="H18" i="2" l="1"/>
  <c r="J18" i="2" s="1"/>
  <c r="E18" i="2"/>
  <c r="I18" i="2" s="1"/>
  <c r="M44" i="2"/>
  <c r="N44" i="2" s="1"/>
  <c r="L44" i="2"/>
  <c r="I77" i="1"/>
  <c r="L45" i="2" l="1"/>
  <c r="M45" i="2" s="1"/>
  <c r="N45" i="2" s="1"/>
  <c r="D19" i="2"/>
  <c r="K18" i="2"/>
  <c r="L46" i="2" l="1"/>
  <c r="M46" i="2" s="1"/>
  <c r="N46" i="2" s="1"/>
  <c r="B19" i="2"/>
  <c r="C19" i="2" s="1"/>
  <c r="F19" i="2"/>
  <c r="E19" i="2" s="1"/>
  <c r="G19" i="2"/>
  <c r="L47" i="2" l="1"/>
  <c r="M47" i="2" s="1"/>
  <c r="N47" i="2" s="1"/>
  <c r="H19" i="2"/>
  <c r="I19" i="2" s="1"/>
  <c r="L48" i="2" l="1"/>
  <c r="M48" i="2" s="1"/>
  <c r="N48" i="2" s="1"/>
  <c r="J19" i="2"/>
  <c r="L49" i="2" l="1"/>
  <c r="M49" i="2"/>
  <c r="N49" i="2" s="1"/>
  <c r="D20" i="2"/>
  <c r="H75" i="1"/>
  <c r="K75" i="1" s="1"/>
  <c r="K19" i="2"/>
  <c r="L50" i="2" l="1"/>
  <c r="M50" i="2" s="1"/>
  <c r="N50" i="2" s="1"/>
  <c r="B20" i="2"/>
  <c r="C20" i="2" s="1"/>
  <c r="F20" i="2"/>
  <c r="L51" i="2" l="1"/>
  <c r="M51" i="2" s="1"/>
  <c r="N51" i="2" s="1"/>
  <c r="G20" i="2"/>
  <c r="L52" i="2" l="1"/>
  <c r="M52" i="2" s="1"/>
  <c r="N52" i="2" s="1"/>
  <c r="H20" i="2"/>
  <c r="J20" i="2" s="1"/>
  <c r="E20" i="2"/>
  <c r="D21" i="2" l="1"/>
  <c r="K20" i="2"/>
  <c r="L53" i="2"/>
  <c r="M53" i="2" s="1"/>
  <c r="N53" i="2" s="1"/>
  <c r="I20" i="2"/>
  <c r="L54" i="2" l="1"/>
  <c r="M54" i="2" s="1"/>
  <c r="N54" i="2" s="1"/>
  <c r="B21" i="2"/>
  <c r="C21" i="2" s="1"/>
  <c r="F21" i="2"/>
  <c r="G21" i="2" s="1"/>
  <c r="H21" i="2" l="1"/>
  <c r="J21" i="2" s="1"/>
  <c r="M55" i="2"/>
  <c r="N55" i="2" s="1"/>
  <c r="L55" i="2"/>
  <c r="E21" i="2"/>
  <c r="I21" i="2" s="1"/>
  <c r="L56" i="2" l="1"/>
  <c r="M56" i="2" s="1"/>
  <c r="N56" i="2" s="1"/>
  <c r="I78" i="1"/>
  <c r="D22" i="2"/>
  <c r="K21" i="2"/>
  <c r="L57" i="2" l="1"/>
  <c r="M57" i="2" s="1"/>
  <c r="N57" i="2" s="1"/>
  <c r="F22" i="2"/>
  <c r="G22" i="2" s="1"/>
  <c r="B22" i="2"/>
  <c r="C22" i="2" s="1"/>
  <c r="H22" i="2" l="1"/>
  <c r="J22" i="2" s="1"/>
  <c r="L58" i="2"/>
  <c r="M58" i="2" s="1"/>
  <c r="N58" i="2" s="1"/>
  <c r="E22" i="2"/>
  <c r="I22" i="2" s="1"/>
  <c r="L59" i="2" l="1"/>
  <c r="M59" i="2" s="1"/>
  <c r="N59" i="2" s="1"/>
  <c r="D23" i="2"/>
  <c r="K22" i="2"/>
  <c r="L60" i="2" l="1"/>
  <c r="M60" i="2"/>
  <c r="N60" i="2" s="1"/>
  <c r="F23" i="2"/>
  <c r="B23" i="2"/>
  <c r="C23" i="2" s="1"/>
  <c r="G23" i="2"/>
  <c r="L61" i="2" l="1"/>
  <c r="M61" i="2"/>
  <c r="N61" i="2" s="1"/>
  <c r="E23" i="2"/>
  <c r="H23" i="2"/>
  <c r="J23" i="2" s="1"/>
  <c r="D24" i="2" l="1"/>
  <c r="K23" i="2"/>
  <c r="L62" i="2"/>
  <c r="M62" i="2" s="1"/>
  <c r="N62" i="2" s="1"/>
  <c r="I23" i="2"/>
  <c r="L63" i="2" l="1"/>
  <c r="M63" i="2" s="1"/>
  <c r="N63" i="2" s="1"/>
  <c r="F24" i="2"/>
  <c r="B24" i="2"/>
  <c r="C24" i="2" s="1"/>
  <c r="L64" i="2" l="1"/>
  <c r="M64" i="2" s="1"/>
  <c r="N64" i="2" s="1"/>
  <c r="G24" i="2"/>
  <c r="L65" i="2" l="1"/>
  <c r="M65" i="2" s="1"/>
  <c r="N65" i="2" s="1"/>
  <c r="H24" i="2"/>
  <c r="J24" i="2" s="1"/>
  <c r="E24" i="2"/>
  <c r="I24" i="2" s="1"/>
  <c r="D25" i="2" l="1"/>
  <c r="K24" i="2"/>
  <c r="L66" i="2"/>
  <c r="M66" i="2" s="1"/>
  <c r="N66" i="2" s="1"/>
  <c r="L67" i="2" l="1"/>
  <c r="M67" i="2" s="1"/>
  <c r="N67" i="2" s="1"/>
  <c r="F25" i="2"/>
  <c r="G25" i="2" s="1"/>
  <c r="B25" i="2"/>
  <c r="C25" i="2" s="1"/>
  <c r="H25" i="2" l="1"/>
  <c r="J25" i="2"/>
  <c r="L68" i="2"/>
  <c r="M68" i="2" s="1"/>
  <c r="N68" i="2" s="1"/>
  <c r="I79" i="1"/>
  <c r="E25" i="2"/>
  <c r="I25" i="2" s="1"/>
  <c r="L69" i="2" l="1"/>
  <c r="M69" i="2" s="1"/>
  <c r="N69" i="2" s="1"/>
  <c r="D26" i="2"/>
  <c r="K25" i="2"/>
  <c r="L70" i="2" l="1"/>
  <c r="M70" i="2" s="1"/>
  <c r="N70" i="2" s="1"/>
  <c r="F26" i="2"/>
  <c r="G26" i="2" s="1"/>
  <c r="B26" i="2"/>
  <c r="C26" i="2" s="1"/>
  <c r="H26" i="2" l="1"/>
  <c r="J26" i="2" s="1"/>
  <c r="L71" i="2"/>
  <c r="M71" i="2" s="1"/>
  <c r="N71" i="2" s="1"/>
  <c r="E26" i="2"/>
  <c r="I26" i="2" s="1"/>
  <c r="L72" i="2" l="1"/>
  <c r="M72" i="2"/>
  <c r="N72" i="2" s="1"/>
  <c r="D27" i="2"/>
  <c r="K26" i="2"/>
  <c r="L73" i="2" l="1"/>
  <c r="M73" i="2" s="1"/>
  <c r="N73" i="2" s="1"/>
  <c r="F27" i="2"/>
  <c r="E27" i="2" s="1"/>
  <c r="G27" i="2"/>
  <c r="H27" i="2" s="1"/>
  <c r="B27" i="2"/>
  <c r="C27" i="2" s="1"/>
  <c r="I27" i="2" l="1"/>
  <c r="L74" i="2"/>
  <c r="M74" i="2" s="1"/>
  <c r="N74" i="2" s="1"/>
  <c r="J27" i="2"/>
  <c r="L75" i="2" l="1"/>
  <c r="M75" i="2" s="1"/>
  <c r="N75" i="2" s="1"/>
  <c r="D28" i="2"/>
  <c r="K27" i="2"/>
  <c r="L76" i="2" l="1"/>
  <c r="M76" i="2"/>
  <c r="N76" i="2" s="1"/>
  <c r="F28" i="2"/>
  <c r="B28" i="2"/>
  <c r="C28" i="2" s="1"/>
  <c r="L77" i="2" l="1"/>
  <c r="M77" i="2"/>
  <c r="N77" i="2" s="1"/>
  <c r="G28" i="2"/>
  <c r="L78" i="2" l="1"/>
  <c r="M78" i="2" s="1"/>
  <c r="N78" i="2" s="1"/>
  <c r="H28" i="2"/>
  <c r="J28" i="2" s="1"/>
  <c r="E28" i="2"/>
  <c r="D29" i="2" l="1"/>
  <c r="K28" i="2"/>
  <c r="M79" i="2"/>
  <c r="N79" i="2" s="1"/>
  <c r="L79" i="2"/>
  <c r="I28" i="2"/>
  <c r="L80" i="2" l="1"/>
  <c r="M80" i="2" s="1"/>
  <c r="N80" i="2" s="1"/>
  <c r="I80" i="1"/>
  <c r="F29" i="2"/>
  <c r="G29" i="2" s="1"/>
  <c r="B29" i="2"/>
  <c r="C29" i="2" s="1"/>
  <c r="H29" i="2" l="1"/>
  <c r="J29" i="2" s="1"/>
  <c r="E29" i="2"/>
  <c r="I29" i="2" s="1"/>
  <c r="L81" i="2"/>
  <c r="M81" i="2"/>
  <c r="N81" i="2" s="1"/>
  <c r="L82" i="2" l="1"/>
  <c r="M82" i="2" s="1"/>
  <c r="N82" i="2" s="1"/>
  <c r="D30" i="2"/>
  <c r="K29" i="2"/>
  <c r="L83" i="2" l="1"/>
  <c r="M83" i="2"/>
  <c r="N83" i="2" s="1"/>
  <c r="F30" i="2"/>
  <c r="E30" i="2" s="1"/>
  <c r="I30" i="2" s="1"/>
  <c r="G30" i="2"/>
  <c r="J30" i="2" s="1"/>
  <c r="B30" i="2"/>
  <c r="C30" i="2" s="1"/>
  <c r="H30" i="2"/>
  <c r="D31" i="2" l="1"/>
  <c r="K30" i="2"/>
  <c r="L84" i="2"/>
  <c r="M84" i="2" s="1"/>
  <c r="N84" i="2" s="1"/>
  <c r="L85" i="2" l="1"/>
  <c r="M85" i="2"/>
  <c r="N85" i="2" s="1"/>
  <c r="B31" i="2"/>
  <c r="C31" i="2" s="1"/>
  <c r="F31" i="2"/>
  <c r="E31" i="2" s="1"/>
  <c r="G31" i="2"/>
  <c r="H31" i="2" s="1"/>
  <c r="J31" i="2" s="1"/>
  <c r="D32" i="2" l="1"/>
  <c r="H76" i="1"/>
  <c r="K76" i="1" s="1"/>
  <c r="K31" i="2"/>
  <c r="I31" i="2"/>
  <c r="M86" i="2"/>
  <c r="N86" i="2" s="1"/>
  <c r="L86" i="2"/>
  <c r="L87" i="2" l="1"/>
  <c r="M87" i="2" s="1"/>
  <c r="N87" i="2" s="1"/>
  <c r="F32" i="2"/>
  <c r="G32" i="2" s="1"/>
  <c r="B32" i="2"/>
  <c r="C32" i="2" s="1"/>
  <c r="E32" i="2" l="1"/>
  <c r="H32" i="2"/>
  <c r="J32" i="2"/>
  <c r="L88" i="2"/>
  <c r="M88" i="2" s="1"/>
  <c r="N88" i="2" s="1"/>
  <c r="L89" i="2" l="1"/>
  <c r="M89" i="2" s="1"/>
  <c r="N89" i="2" s="1"/>
  <c r="D33" i="2"/>
  <c r="K32" i="2"/>
  <c r="I32" i="2"/>
  <c r="L90" i="2" l="1"/>
  <c r="M90" i="2" s="1"/>
  <c r="N90" i="2" s="1"/>
  <c r="B33" i="2"/>
  <c r="C33" i="2" s="1"/>
  <c r="G33" i="2"/>
  <c r="F33" i="2"/>
  <c r="L91" i="2" l="1"/>
  <c r="M91" i="2" s="1"/>
  <c r="N91" i="2" s="1"/>
  <c r="E33" i="2"/>
  <c r="H33" i="2"/>
  <c r="J33" i="2" s="1"/>
  <c r="D34" i="2" l="1"/>
  <c r="K33" i="2"/>
  <c r="L92" i="2"/>
  <c r="M92" i="2" s="1"/>
  <c r="N92" i="2" s="1"/>
  <c r="I81" i="1"/>
  <c r="I33" i="2"/>
  <c r="L93" i="2" l="1"/>
  <c r="M93" i="2" s="1"/>
  <c r="N93" i="2" s="1"/>
  <c r="B34" i="2"/>
  <c r="C34" i="2" s="1"/>
  <c r="F34" i="2"/>
  <c r="E34" i="2" s="1"/>
  <c r="I34" i="2" s="1"/>
  <c r="G34" i="2"/>
  <c r="J34" i="2" s="1"/>
  <c r="H34" i="2"/>
  <c r="D35" i="2" l="1"/>
  <c r="K34" i="2"/>
  <c r="M94" i="2"/>
  <c r="N94" i="2" s="1"/>
  <c r="L94" i="2"/>
  <c r="L95" i="2" l="1"/>
  <c r="M95" i="2"/>
  <c r="N95" i="2" s="1"/>
  <c r="B35" i="2"/>
  <c r="C35" i="2" s="1"/>
  <c r="F35" i="2"/>
  <c r="G35" i="2" s="1"/>
  <c r="H35" i="2" l="1"/>
  <c r="J35" i="2" s="1"/>
  <c r="L96" i="2"/>
  <c r="M96" i="2" s="1"/>
  <c r="N96" i="2" s="1"/>
  <c r="E35" i="2"/>
  <c r="I35" i="2" s="1"/>
  <c r="L97" i="2" l="1"/>
  <c r="M97" i="2" s="1"/>
  <c r="N97" i="2" s="1"/>
  <c r="D36" i="2"/>
  <c r="K35" i="2"/>
  <c r="L98" i="2" l="1"/>
  <c r="M98" i="2" s="1"/>
  <c r="N98" i="2" s="1"/>
  <c r="B36" i="2"/>
  <c r="C36" i="2" s="1"/>
  <c r="F36" i="2"/>
  <c r="L99" i="2" l="1"/>
  <c r="M99" i="2" s="1"/>
  <c r="N99" i="2" s="1"/>
  <c r="G36" i="2"/>
  <c r="L100" i="2" l="1"/>
  <c r="M100" i="2" s="1"/>
  <c r="N100" i="2" s="1"/>
  <c r="H36" i="2"/>
  <c r="J36" i="2" s="1"/>
  <c r="E36" i="2"/>
  <c r="I36" i="2" s="1"/>
  <c r="D37" i="2" l="1"/>
  <c r="K36" i="2"/>
  <c r="L101" i="2"/>
  <c r="M101" i="2"/>
  <c r="N101" i="2" s="1"/>
  <c r="L102" i="2" l="1"/>
  <c r="M102" i="2"/>
  <c r="N102" i="2" s="1"/>
  <c r="B37" i="2"/>
  <c r="C37" i="2" s="1"/>
  <c r="F37" i="2"/>
  <c r="G37" i="2"/>
  <c r="E37" i="2"/>
  <c r="L103" i="2" l="1"/>
  <c r="M103" i="2" s="1"/>
  <c r="N103" i="2" s="1"/>
  <c r="H37" i="2"/>
  <c r="I37" i="2" s="1"/>
  <c r="L104" i="2" l="1"/>
  <c r="M104" i="2" s="1"/>
  <c r="N104" i="2" s="1"/>
  <c r="I82" i="1"/>
  <c r="J37" i="2"/>
  <c r="L105" i="2" l="1"/>
  <c r="M105" i="2" s="1"/>
  <c r="N105" i="2" s="1"/>
  <c r="D38" i="2"/>
  <c r="K37" i="2"/>
  <c r="L106" i="2" l="1"/>
  <c r="M106" i="2" s="1"/>
  <c r="N106" i="2" s="1"/>
  <c r="B38" i="2"/>
  <c r="C38" i="2" s="1"/>
  <c r="F38" i="2"/>
  <c r="G38" i="2" s="1"/>
  <c r="H38" i="2" l="1"/>
  <c r="J38" i="2" s="1"/>
  <c r="M107" i="2"/>
  <c r="N107" i="2" s="1"/>
  <c r="L107" i="2"/>
  <c r="E38" i="2"/>
  <c r="I38" i="2" s="1"/>
  <c r="L108" i="2" l="1"/>
  <c r="M108" i="2" s="1"/>
  <c r="N108" i="2" s="1"/>
  <c r="D39" i="2"/>
  <c r="K38" i="2"/>
  <c r="L109" i="2" l="1"/>
  <c r="M109" i="2" s="1"/>
  <c r="N109" i="2" s="1"/>
  <c r="B39" i="2"/>
  <c r="C39" i="2" s="1"/>
  <c r="F39" i="2"/>
  <c r="E39" i="2" s="1"/>
  <c r="G39" i="2"/>
  <c r="H39" i="2" s="1"/>
  <c r="I39" i="2" l="1"/>
  <c r="L110" i="2"/>
  <c r="M110" i="2" s="1"/>
  <c r="N110" i="2" s="1"/>
  <c r="J39" i="2"/>
  <c r="L111" i="2" l="1"/>
  <c r="M111" i="2" s="1"/>
  <c r="N111" i="2" s="1"/>
  <c r="D40" i="2"/>
  <c r="K39" i="2"/>
  <c r="L112" i="2" l="1"/>
  <c r="M112" i="2" s="1"/>
  <c r="N112" i="2" s="1"/>
  <c r="B40" i="2"/>
  <c r="C40" i="2" s="1"/>
  <c r="F40" i="2"/>
  <c r="E40" i="2" s="1"/>
  <c r="G40" i="2"/>
  <c r="L113" i="2" l="1"/>
  <c r="M113" i="2" s="1"/>
  <c r="N113" i="2" s="1"/>
  <c r="H40" i="2"/>
  <c r="I40" i="2" s="1"/>
  <c r="L114" i="2" l="1"/>
  <c r="M114" i="2" s="1"/>
  <c r="N114" i="2" s="1"/>
  <c r="J40" i="2"/>
  <c r="L115" i="2" l="1"/>
  <c r="M115" i="2" s="1"/>
  <c r="N115" i="2" s="1"/>
  <c r="D41" i="2"/>
  <c r="K40" i="2"/>
  <c r="L116" i="2" l="1"/>
  <c r="M116" i="2"/>
  <c r="N116" i="2" s="1"/>
  <c r="I83" i="1"/>
  <c r="B41" i="2"/>
  <c r="C41" i="2" s="1"/>
  <c r="F41" i="2"/>
  <c r="G41" i="2" s="1"/>
  <c r="H41" i="2" l="1"/>
  <c r="J41" i="2" s="1"/>
  <c r="L117" i="2"/>
  <c r="M117" i="2" s="1"/>
  <c r="N117" i="2" s="1"/>
  <c r="E41" i="2"/>
  <c r="I41" i="2" s="1"/>
  <c r="L118" i="2" l="1"/>
  <c r="M118" i="2" s="1"/>
  <c r="N118" i="2" s="1"/>
  <c r="D42" i="2"/>
  <c r="K41" i="2"/>
  <c r="L119" i="2" l="1"/>
  <c r="M119" i="2"/>
  <c r="N119" i="2" s="1"/>
  <c r="B42" i="2"/>
  <c r="C42" i="2" s="1"/>
  <c r="F42" i="2"/>
  <c r="E42" i="2" s="1"/>
  <c r="G42" i="2"/>
  <c r="L120" i="2" l="1"/>
  <c r="M120" i="2"/>
  <c r="N120" i="2" s="1"/>
  <c r="H42" i="2"/>
  <c r="J42" i="2" s="1"/>
  <c r="D43" i="2" l="1"/>
  <c r="K42" i="2"/>
  <c r="L121" i="2"/>
  <c r="M121" i="2"/>
  <c r="N121" i="2" s="1"/>
  <c r="I42" i="2"/>
  <c r="L122" i="2" l="1"/>
  <c r="M122" i="2"/>
  <c r="N122" i="2" s="1"/>
  <c r="F43" i="2"/>
  <c r="E43" i="2" s="1"/>
  <c r="B43" i="2"/>
  <c r="C43" i="2" s="1"/>
  <c r="G43" i="2"/>
  <c r="H43" i="2" s="1"/>
  <c r="I43" i="2" l="1"/>
  <c r="L123" i="2"/>
  <c r="M123" i="2" s="1"/>
  <c r="N123" i="2" s="1"/>
  <c r="J43" i="2"/>
  <c r="L124" i="2" l="1"/>
  <c r="M124" i="2" s="1"/>
  <c r="N124" i="2" s="1"/>
  <c r="D44" i="2"/>
  <c r="H77" i="1"/>
  <c r="K77" i="1" s="1"/>
  <c r="K43" i="2"/>
  <c r="L125" i="2" l="1"/>
  <c r="M125" i="2" s="1"/>
  <c r="N125" i="2" s="1"/>
  <c r="G44" i="2"/>
  <c r="F44" i="2"/>
  <c r="E44" i="2" s="1"/>
  <c r="B44" i="2"/>
  <c r="C44" i="2" s="1"/>
  <c r="L126" i="2" l="1"/>
  <c r="M126" i="2" s="1"/>
  <c r="N126" i="2" s="1"/>
  <c r="H44" i="2"/>
  <c r="J44" i="2" s="1"/>
  <c r="D45" i="2" l="1"/>
  <c r="K44" i="2"/>
  <c r="M127" i="2"/>
  <c r="N127" i="2" s="1"/>
  <c r="L127" i="2"/>
  <c r="I44" i="2"/>
  <c r="I84" i="1" l="1"/>
  <c r="L128" i="2"/>
  <c r="M128" i="2"/>
  <c r="N128" i="2" s="1"/>
  <c r="B45" i="2"/>
  <c r="C45" i="2" s="1"/>
  <c r="F45" i="2"/>
  <c r="G45" i="2" s="1"/>
  <c r="E45" i="2" l="1"/>
  <c r="H45" i="2"/>
  <c r="J45" i="2"/>
  <c r="L129" i="2"/>
  <c r="M129" i="2" s="1"/>
  <c r="N129" i="2" s="1"/>
  <c r="L130" i="2" l="1"/>
  <c r="M130" i="2" s="1"/>
  <c r="N130" i="2" s="1"/>
  <c r="D46" i="2"/>
  <c r="K45" i="2"/>
  <c r="I45" i="2"/>
  <c r="L131" i="2" l="1"/>
  <c r="M131" i="2" s="1"/>
  <c r="N131" i="2" s="1"/>
  <c r="F46" i="2"/>
  <c r="G46" i="2" s="1"/>
  <c r="B46" i="2"/>
  <c r="C46" i="2" s="1"/>
  <c r="H46" i="2" l="1"/>
  <c r="J46" i="2"/>
  <c r="L132" i="2"/>
  <c r="M132" i="2"/>
  <c r="N132" i="2" s="1"/>
  <c r="E46" i="2"/>
  <c r="I46" i="2" s="1"/>
  <c r="L133" i="2" l="1"/>
  <c r="M133" i="2" s="1"/>
  <c r="N133" i="2" s="1"/>
  <c r="D47" i="2"/>
  <c r="K46" i="2"/>
  <c r="L134" i="2" l="1"/>
  <c r="M134" i="2"/>
  <c r="N134" i="2" s="1"/>
  <c r="B47" i="2"/>
  <c r="C47" i="2" s="1"/>
  <c r="F47" i="2"/>
  <c r="E47" i="2" s="1"/>
  <c r="G47" i="2"/>
  <c r="H47" i="2" s="1"/>
  <c r="I47" i="2" l="1"/>
  <c r="L135" i="2"/>
  <c r="M135" i="2" s="1"/>
  <c r="N135" i="2" s="1"/>
  <c r="J47" i="2"/>
  <c r="L136" i="2" l="1"/>
  <c r="M136" i="2" s="1"/>
  <c r="N136" i="2" s="1"/>
  <c r="D48" i="2"/>
  <c r="K47" i="2"/>
  <c r="L137" i="2" l="1"/>
  <c r="M137" i="2"/>
  <c r="N137" i="2" s="1"/>
  <c r="G48" i="2"/>
  <c r="H48" i="2" s="1"/>
  <c r="F48" i="2"/>
  <c r="B48" i="2"/>
  <c r="C48" i="2" s="1"/>
  <c r="L138" i="2" l="1"/>
  <c r="M138" i="2" s="1"/>
  <c r="N138" i="2" s="1"/>
  <c r="E48" i="2"/>
  <c r="I48" i="2" s="1"/>
  <c r="J48" i="2"/>
  <c r="L139" i="2" l="1"/>
  <c r="M139" i="2" s="1"/>
  <c r="N139" i="2" s="1"/>
  <c r="D49" i="2"/>
  <c r="K48" i="2"/>
  <c r="L140" i="2" l="1"/>
  <c r="M140" i="2" s="1"/>
  <c r="N140" i="2" s="1"/>
  <c r="I85" i="1"/>
  <c r="G49" i="2"/>
  <c r="H49" i="2" s="1"/>
  <c r="J49" i="2" s="1"/>
  <c r="F49" i="2"/>
  <c r="B49" i="2"/>
  <c r="C49" i="2" s="1"/>
  <c r="D50" i="2" l="1"/>
  <c r="K49" i="2"/>
  <c r="L141" i="2"/>
  <c r="M141" i="2"/>
  <c r="N141" i="2" s="1"/>
  <c r="E49" i="2"/>
  <c r="I49" i="2" s="1"/>
  <c r="L142" i="2" l="1"/>
  <c r="M142" i="2"/>
  <c r="N142" i="2" s="1"/>
  <c r="B50" i="2"/>
  <c r="C50" i="2" s="1"/>
  <c r="G50" i="2"/>
  <c r="F50" i="2"/>
  <c r="E50" i="2" s="1"/>
  <c r="L143" i="2" l="1"/>
  <c r="M143" i="2" s="1"/>
  <c r="N143" i="2" s="1"/>
  <c r="H50" i="2"/>
  <c r="I50" i="2" s="1"/>
  <c r="L144" i="2" l="1"/>
  <c r="M144" i="2" s="1"/>
  <c r="N144" i="2" s="1"/>
  <c r="J50" i="2"/>
  <c r="L145" i="2" l="1"/>
  <c r="M145" i="2" s="1"/>
  <c r="N145" i="2" s="1"/>
  <c r="D51" i="2"/>
  <c r="K50" i="2"/>
  <c r="L146" i="2" l="1"/>
  <c r="M146" i="2" s="1"/>
  <c r="N146" i="2" s="1"/>
  <c r="B51" i="2"/>
  <c r="C51" i="2" s="1"/>
  <c r="F51" i="2"/>
  <c r="G51" i="2" s="1"/>
  <c r="H51" i="2" l="1"/>
  <c r="J51" i="2"/>
  <c r="L147" i="2"/>
  <c r="M147" i="2" s="1"/>
  <c r="N147" i="2" s="1"/>
  <c r="E51" i="2"/>
  <c r="I51" i="2" s="1"/>
  <c r="L148" i="2" l="1"/>
  <c r="M148" i="2" s="1"/>
  <c r="N148" i="2" s="1"/>
  <c r="D52" i="2"/>
  <c r="K51" i="2"/>
  <c r="L149" i="2" l="1"/>
  <c r="M149" i="2" s="1"/>
  <c r="N149" i="2" s="1"/>
  <c r="G52" i="2"/>
  <c r="H52" i="2" s="1"/>
  <c r="F52" i="2"/>
  <c r="B52" i="2"/>
  <c r="C52" i="2" s="1"/>
  <c r="L150" i="2" l="1"/>
  <c r="M150" i="2" s="1"/>
  <c r="N150" i="2" s="1"/>
  <c r="J52" i="2"/>
  <c r="E52" i="2"/>
  <c r="I52" i="2" s="1"/>
  <c r="L151" i="2" l="1"/>
  <c r="M151" i="2" s="1"/>
  <c r="N151" i="2" s="1"/>
  <c r="D53" i="2"/>
  <c r="K52" i="2"/>
  <c r="I86" i="1" l="1"/>
  <c r="L152" i="2"/>
  <c r="M152" i="2" s="1"/>
  <c r="N152" i="2" s="1"/>
  <c r="F53" i="2"/>
  <c r="G53" i="2" s="1"/>
  <c r="B53" i="2"/>
  <c r="C53" i="2" s="1"/>
  <c r="H53" i="2" l="1"/>
  <c r="J53" i="2" s="1"/>
  <c r="L153" i="2"/>
  <c r="M153" i="2"/>
  <c r="N153" i="2" s="1"/>
  <c r="E53" i="2"/>
  <c r="I53" i="2" s="1"/>
  <c r="L154" i="2" l="1"/>
  <c r="M154" i="2" s="1"/>
  <c r="N154" i="2" s="1"/>
  <c r="D54" i="2"/>
  <c r="K53" i="2"/>
  <c r="L155" i="2" l="1"/>
  <c r="M155" i="2"/>
  <c r="N155" i="2" s="1"/>
  <c r="B54" i="2"/>
  <c r="C54" i="2" s="1"/>
  <c r="G54" i="2"/>
  <c r="F54" i="2"/>
  <c r="E54" i="2" s="1"/>
  <c r="M156" i="2" l="1"/>
  <c r="N156" i="2" s="1"/>
  <c r="L156" i="2"/>
  <c r="H54" i="2"/>
  <c r="J54" i="2" s="1"/>
  <c r="L157" i="2" l="1"/>
  <c r="M157" i="2" s="1"/>
  <c r="N157" i="2" s="1"/>
  <c r="D55" i="2"/>
  <c r="K54" i="2"/>
  <c r="I54" i="2"/>
  <c r="M158" i="2" l="1"/>
  <c r="N158" i="2" s="1"/>
  <c r="L158" i="2"/>
  <c r="B55" i="2"/>
  <c r="C55" i="2" s="1"/>
  <c r="F55" i="2"/>
  <c r="G55" i="2" s="1"/>
  <c r="H55" i="2" l="1"/>
  <c r="J55" i="2" s="1"/>
  <c r="L159" i="2"/>
  <c r="M159" i="2" s="1"/>
  <c r="N159" i="2" s="1"/>
  <c r="E55" i="2"/>
  <c r="I55" i="2" s="1"/>
  <c r="L160" i="2" l="1"/>
  <c r="M160" i="2" s="1"/>
  <c r="N160" i="2" s="1"/>
  <c r="H78" i="1"/>
  <c r="K78" i="1" s="1"/>
  <c r="D56" i="2"/>
  <c r="K55" i="2"/>
  <c r="L161" i="2" l="1"/>
  <c r="M161" i="2"/>
  <c r="N161" i="2" s="1"/>
  <c r="G56" i="2"/>
  <c r="H56" i="2" s="1"/>
  <c r="F56" i="2"/>
  <c r="B56" i="2"/>
  <c r="C56" i="2" s="1"/>
  <c r="L162" i="2" l="1"/>
  <c r="M162" i="2"/>
  <c r="N162" i="2" s="1"/>
  <c r="E56" i="2"/>
  <c r="I56" i="2" s="1"/>
  <c r="J56" i="2"/>
  <c r="L163" i="2" l="1"/>
  <c r="M163" i="2" s="1"/>
  <c r="N163" i="2" s="1"/>
  <c r="D57" i="2"/>
  <c r="K56" i="2"/>
  <c r="M164" i="2" l="1"/>
  <c r="N164" i="2" s="1"/>
  <c r="L164" i="2"/>
  <c r="I87" i="1"/>
  <c r="B57" i="2"/>
  <c r="C57" i="2" s="1"/>
  <c r="F57" i="2"/>
  <c r="G57" i="2"/>
  <c r="E57" i="2" s="1"/>
  <c r="L165" i="2" l="1"/>
  <c r="M165" i="2" s="1"/>
  <c r="N165" i="2" s="1"/>
  <c r="H57" i="2"/>
  <c r="I57" i="2" s="1"/>
  <c r="L166" i="2" l="1"/>
  <c r="M166" i="2" s="1"/>
  <c r="N166" i="2" s="1"/>
  <c r="J57" i="2"/>
  <c r="L167" i="2" l="1"/>
  <c r="M167" i="2" s="1"/>
  <c r="N167" i="2" s="1"/>
  <c r="D58" i="2"/>
  <c r="K57" i="2"/>
  <c r="L168" i="2" l="1"/>
  <c r="M168" i="2"/>
  <c r="N168" i="2" s="1"/>
  <c r="G58" i="2"/>
  <c r="F58" i="2"/>
  <c r="E58" i="2"/>
  <c r="B58" i="2"/>
  <c r="C58" i="2" s="1"/>
  <c r="M169" i="2" l="1"/>
  <c r="N169" i="2" s="1"/>
  <c r="L169" i="2"/>
  <c r="H58" i="2"/>
  <c r="I58" i="2" s="1"/>
  <c r="L170" i="2" l="1"/>
  <c r="M170" i="2" s="1"/>
  <c r="N170" i="2" s="1"/>
  <c r="J58" i="2"/>
  <c r="L171" i="2" l="1"/>
  <c r="M171" i="2" s="1"/>
  <c r="N171" i="2" s="1"/>
  <c r="D59" i="2"/>
  <c r="K58" i="2"/>
  <c r="L172" i="2" l="1"/>
  <c r="M172" i="2"/>
  <c r="N172" i="2" s="1"/>
  <c r="F59" i="2"/>
  <c r="G59" i="2"/>
  <c r="E59" i="2" s="1"/>
  <c r="B59" i="2"/>
  <c r="C59" i="2" s="1"/>
  <c r="L173" i="2" l="1"/>
  <c r="M173" i="2" s="1"/>
  <c r="N173" i="2" s="1"/>
  <c r="H59" i="2"/>
  <c r="I59" i="2" s="1"/>
  <c r="L174" i="2" l="1"/>
  <c r="M174" i="2" s="1"/>
  <c r="N174" i="2" s="1"/>
  <c r="J59" i="2"/>
  <c r="M175" i="2" l="1"/>
  <c r="N175" i="2" s="1"/>
  <c r="L175" i="2"/>
  <c r="D60" i="2"/>
  <c r="K59" i="2"/>
  <c r="L176" i="2" l="1"/>
  <c r="M176" i="2" s="1"/>
  <c r="N176" i="2" s="1"/>
  <c r="I88" i="1"/>
  <c r="B60" i="2"/>
  <c r="C60" i="2" s="1"/>
  <c r="G60" i="2"/>
  <c r="H60" i="2" s="1"/>
  <c r="J60" i="2" s="1"/>
  <c r="F60" i="2"/>
  <c r="E60" i="2" s="1"/>
  <c r="I60" i="2" l="1"/>
  <c r="D61" i="2"/>
  <c r="K60" i="2"/>
  <c r="L177" i="2"/>
  <c r="M177" i="2" s="1"/>
  <c r="N177" i="2" s="1"/>
  <c r="M178" i="2" l="1"/>
  <c r="N178" i="2" s="1"/>
  <c r="L178" i="2"/>
  <c r="F61" i="2"/>
  <c r="B61" i="2"/>
  <c r="C61" i="2" s="1"/>
  <c r="M179" i="2" l="1"/>
  <c r="N179" i="2" s="1"/>
  <c r="L179" i="2"/>
  <c r="G61" i="2"/>
  <c r="L180" i="2" l="1"/>
  <c r="M180" i="2"/>
  <c r="N180" i="2" s="1"/>
  <c r="H61" i="2"/>
  <c r="J61" i="2" s="1"/>
  <c r="E61" i="2"/>
  <c r="D62" i="2" l="1"/>
  <c r="K61" i="2"/>
  <c r="L181" i="2"/>
  <c r="M181" i="2"/>
  <c r="N181" i="2" s="1"/>
  <c r="I61" i="2"/>
  <c r="L182" i="2" l="1"/>
  <c r="M182" i="2"/>
  <c r="N182" i="2" s="1"/>
  <c r="G62" i="2"/>
  <c r="H62" i="2" s="1"/>
  <c r="J62" i="2" s="1"/>
  <c r="F62" i="2"/>
  <c r="E62" i="2" s="1"/>
  <c r="I62" i="2" s="1"/>
  <c r="B62" i="2"/>
  <c r="C62" i="2" s="1"/>
  <c r="D63" i="2" l="1"/>
  <c r="K62" i="2"/>
  <c r="M183" i="2"/>
  <c r="N183" i="2" s="1"/>
  <c r="L183" i="2"/>
  <c r="L184" i="2" l="1"/>
  <c r="M184" i="2" s="1"/>
  <c r="N184" i="2" s="1"/>
  <c r="F63" i="2"/>
  <c r="B63" i="2"/>
  <c r="C63" i="2" s="1"/>
  <c r="G63" i="2"/>
  <c r="E63" i="2" s="1"/>
  <c r="L185" i="2" l="1"/>
  <c r="M185" i="2" s="1"/>
  <c r="N185" i="2" s="1"/>
  <c r="H63" i="2"/>
  <c r="I63" i="2" s="1"/>
  <c r="M186" i="2" l="1"/>
  <c r="N186" i="2" s="1"/>
  <c r="L186" i="2"/>
  <c r="J63" i="2"/>
  <c r="L187" i="2" l="1"/>
  <c r="M187" i="2" s="1"/>
  <c r="N187" i="2" s="1"/>
  <c r="D64" i="2"/>
  <c r="K63" i="2"/>
  <c r="L188" i="2" l="1"/>
  <c r="M188" i="2" s="1"/>
  <c r="N188" i="2" s="1"/>
  <c r="I89" i="1"/>
  <c r="B64" i="2"/>
  <c r="C64" i="2" s="1"/>
  <c r="F64" i="2"/>
  <c r="L189" i="2" l="1"/>
  <c r="M189" i="2"/>
  <c r="N189" i="2" s="1"/>
  <c r="G64" i="2"/>
  <c r="L190" i="2" l="1"/>
  <c r="M190" i="2" s="1"/>
  <c r="N190" i="2" s="1"/>
  <c r="H64" i="2"/>
  <c r="J64" i="2" s="1"/>
  <c r="E64" i="2"/>
  <c r="D65" i="2" l="1"/>
  <c r="K64" i="2"/>
  <c r="M191" i="2"/>
  <c r="N191" i="2" s="1"/>
  <c r="L191" i="2"/>
  <c r="I64" i="2"/>
  <c r="L192" i="2" l="1"/>
  <c r="M192" i="2"/>
  <c r="N192" i="2" s="1"/>
  <c r="F65" i="2"/>
  <c r="G65" i="2" s="1"/>
  <c r="B65" i="2"/>
  <c r="C65" i="2" s="1"/>
  <c r="E65" i="2" l="1"/>
  <c r="H65" i="2"/>
  <c r="J65" i="2" s="1"/>
  <c r="M193" i="2"/>
  <c r="N193" i="2" s="1"/>
  <c r="L193" i="2"/>
  <c r="M194" i="2" l="1"/>
  <c r="N194" i="2" s="1"/>
  <c r="L194" i="2"/>
  <c r="D66" i="2"/>
  <c r="K65" i="2"/>
  <c r="I65" i="2"/>
  <c r="L195" i="2" l="1"/>
  <c r="M195" i="2" s="1"/>
  <c r="N195" i="2" s="1"/>
  <c r="F66" i="2"/>
  <c r="G66" i="2" s="1"/>
  <c r="B66" i="2"/>
  <c r="C66" i="2" s="1"/>
  <c r="H66" i="2" l="1"/>
  <c r="J66" i="2" s="1"/>
  <c r="L196" i="2"/>
  <c r="M196" i="2" s="1"/>
  <c r="N196" i="2" s="1"/>
  <c r="E66" i="2"/>
  <c r="I66" i="2" s="1"/>
  <c r="M197" i="2" l="1"/>
  <c r="N197" i="2" s="1"/>
  <c r="L197" i="2"/>
  <c r="D67" i="2"/>
  <c r="K66" i="2"/>
  <c r="L198" i="2" l="1"/>
  <c r="M198" i="2" s="1"/>
  <c r="N198" i="2" s="1"/>
  <c r="F67" i="2"/>
  <c r="G67" i="2" s="1"/>
  <c r="B67" i="2"/>
  <c r="C67" i="2" s="1"/>
  <c r="H67" i="2" l="1"/>
  <c r="J67" i="2" s="1"/>
  <c r="M199" i="2"/>
  <c r="N199" i="2" s="1"/>
  <c r="L199" i="2"/>
  <c r="E67" i="2"/>
  <c r="I67" i="2" s="1"/>
  <c r="I90" i="1" l="1"/>
  <c r="L200" i="2"/>
  <c r="M200" i="2" s="1"/>
  <c r="N200" i="2" s="1"/>
  <c r="D68" i="2"/>
  <c r="H79" i="1"/>
  <c r="K79" i="1" s="1"/>
  <c r="K67" i="2"/>
  <c r="L201" i="2" l="1"/>
  <c r="M201" i="2"/>
  <c r="N201" i="2" s="1"/>
  <c r="B68" i="2"/>
  <c r="C68" i="2" s="1"/>
  <c r="F68" i="2"/>
  <c r="L202" i="2" l="1"/>
  <c r="M202" i="2"/>
  <c r="N202" i="2" s="1"/>
  <c r="G68" i="2"/>
  <c r="M203" i="2" l="1"/>
  <c r="N203" i="2" s="1"/>
  <c r="L203" i="2"/>
  <c r="H68" i="2"/>
  <c r="J68" i="2" s="1"/>
  <c r="E68" i="2"/>
  <c r="D69" i="2" l="1"/>
  <c r="K68" i="2"/>
  <c r="L204" i="2"/>
  <c r="M204" i="2" s="1"/>
  <c r="N204" i="2" s="1"/>
  <c r="I68" i="2"/>
  <c r="L205" i="2" l="1"/>
  <c r="M205" i="2" s="1"/>
  <c r="N205" i="2" s="1"/>
  <c r="F69" i="2"/>
  <c r="B69" i="2"/>
  <c r="C69" i="2" s="1"/>
  <c r="L206" i="2" l="1"/>
  <c r="M206" i="2" s="1"/>
  <c r="N206" i="2" s="1"/>
  <c r="G69" i="2"/>
  <c r="L207" i="2" l="1"/>
  <c r="M207" i="2" s="1"/>
  <c r="N207" i="2" s="1"/>
  <c r="H69" i="2"/>
  <c r="J69" i="2" s="1"/>
  <c r="E69" i="2"/>
  <c r="D70" i="2" l="1"/>
  <c r="K69" i="2"/>
  <c r="M208" i="2"/>
  <c r="N208" i="2" s="1"/>
  <c r="L208" i="2"/>
  <c r="I69" i="2"/>
  <c r="L209" i="2" l="1"/>
  <c r="M209" i="2" s="1"/>
  <c r="N209" i="2" s="1"/>
  <c r="B70" i="2"/>
  <c r="C70" i="2" s="1"/>
  <c r="F70" i="2"/>
  <c r="E70" i="2" s="1"/>
  <c r="G70" i="2"/>
  <c r="M210" i="2" l="1"/>
  <c r="N210" i="2" s="1"/>
  <c r="L210" i="2"/>
  <c r="H70" i="2"/>
  <c r="J70" i="2" s="1"/>
  <c r="D71" i="2" l="1"/>
  <c r="K70" i="2"/>
  <c r="M211" i="2"/>
  <c r="N211" i="2" s="1"/>
  <c r="L211" i="2"/>
  <c r="I70" i="2"/>
  <c r="L212" i="2" l="1"/>
  <c r="M212" i="2" s="1"/>
  <c r="N212" i="2" s="1"/>
  <c r="I91" i="1"/>
  <c r="B71" i="2"/>
  <c r="C71" i="2" s="1"/>
  <c r="F71" i="2"/>
  <c r="E71" i="2" s="1"/>
  <c r="G71" i="2"/>
  <c r="L213" i="2" l="1"/>
  <c r="M213" i="2"/>
  <c r="N213" i="2" s="1"/>
  <c r="H71" i="2"/>
  <c r="J71" i="2" s="1"/>
  <c r="D72" i="2" l="1"/>
  <c r="K71" i="2"/>
  <c r="L214" i="2"/>
  <c r="M214" i="2" s="1"/>
  <c r="N214" i="2" s="1"/>
  <c r="I71" i="2"/>
  <c r="L215" i="2" l="1"/>
  <c r="M215" i="2"/>
  <c r="N215" i="2" s="1"/>
  <c r="F72" i="2"/>
  <c r="G72" i="2" s="1"/>
  <c r="B72" i="2"/>
  <c r="C72" i="2" s="1"/>
  <c r="H72" i="2" l="1"/>
  <c r="E72" i="2"/>
  <c r="I72" i="2" s="1"/>
  <c r="J72" i="2"/>
  <c r="L216" i="2"/>
  <c r="M216" i="2" s="1"/>
  <c r="N216" i="2" s="1"/>
  <c r="L217" i="2" l="1"/>
  <c r="M217" i="2" s="1"/>
  <c r="N217" i="2" s="1"/>
  <c r="D73" i="2"/>
  <c r="K72" i="2"/>
  <c r="L218" i="2" l="1"/>
  <c r="M218" i="2"/>
  <c r="N218" i="2" s="1"/>
  <c r="F73" i="2"/>
  <c r="G73" i="2" s="1"/>
  <c r="B73" i="2"/>
  <c r="C73" i="2" s="1"/>
  <c r="H73" i="2" l="1"/>
  <c r="J73" i="2" s="1"/>
  <c r="L219" i="2"/>
  <c r="M219" i="2" s="1"/>
  <c r="N219" i="2" s="1"/>
  <c r="E73" i="2"/>
  <c r="I73" i="2" s="1"/>
  <c r="L220" i="2" l="1"/>
  <c r="M220" i="2"/>
  <c r="N220" i="2" s="1"/>
  <c r="D74" i="2"/>
  <c r="K73" i="2"/>
  <c r="L221" i="2" l="1"/>
  <c r="M221" i="2"/>
  <c r="N221" i="2" s="1"/>
  <c r="B74" i="2"/>
  <c r="C74" i="2" s="1"/>
  <c r="F74" i="2"/>
  <c r="G74" i="2"/>
  <c r="H74" i="2" s="1"/>
  <c r="L222" i="2" l="1"/>
  <c r="M222" i="2"/>
  <c r="N222" i="2" s="1"/>
  <c r="E74" i="2"/>
  <c r="I74" i="2" s="1"/>
  <c r="J74" i="2"/>
  <c r="L223" i="2" l="1"/>
  <c r="M223" i="2" s="1"/>
  <c r="N223" i="2" s="1"/>
  <c r="D75" i="2"/>
  <c r="K74" i="2"/>
  <c r="L224" i="2" l="1"/>
  <c r="M224" i="2" s="1"/>
  <c r="N224" i="2" s="1"/>
  <c r="I92" i="1"/>
  <c r="F75" i="2"/>
  <c r="B75" i="2"/>
  <c r="C75" i="2" s="1"/>
  <c r="L225" i="2" l="1"/>
  <c r="M225" i="2" s="1"/>
  <c r="N225" i="2" s="1"/>
  <c r="G75" i="2"/>
  <c r="L226" i="2" l="1"/>
  <c r="M226" i="2" s="1"/>
  <c r="N226" i="2" s="1"/>
  <c r="H75" i="2"/>
  <c r="J75" i="2" s="1"/>
  <c r="E75" i="2"/>
  <c r="D76" i="2" l="1"/>
  <c r="K75" i="2"/>
  <c r="L227" i="2"/>
  <c r="M227" i="2" s="1"/>
  <c r="N227" i="2" s="1"/>
  <c r="I75" i="2"/>
  <c r="L228" i="2" l="1"/>
  <c r="M228" i="2"/>
  <c r="N228" i="2" s="1"/>
  <c r="B76" i="2"/>
  <c r="C76" i="2" s="1"/>
  <c r="F76" i="2"/>
  <c r="E76" i="2" s="1"/>
  <c r="G76" i="2"/>
  <c r="H76" i="2" s="1"/>
  <c r="I76" i="2" l="1"/>
  <c r="M229" i="2"/>
  <c r="N229" i="2" s="1"/>
  <c r="L229" i="2"/>
  <c r="J76" i="2"/>
  <c r="L230" i="2" l="1"/>
  <c r="M230" i="2" s="1"/>
  <c r="N230" i="2" s="1"/>
  <c r="D77" i="2"/>
  <c r="K76" i="2"/>
  <c r="L231" i="2" l="1"/>
  <c r="M231" i="2" s="1"/>
  <c r="N231" i="2" s="1"/>
  <c r="B77" i="2"/>
  <c r="C77" i="2" s="1"/>
  <c r="F77" i="2"/>
  <c r="G77" i="2" s="1"/>
  <c r="H77" i="2" l="1"/>
  <c r="J77" i="2" s="1"/>
  <c r="L232" i="2"/>
  <c r="M232" i="2"/>
  <c r="N232" i="2" s="1"/>
  <c r="E77" i="2"/>
  <c r="I77" i="2" s="1"/>
  <c r="L233" i="2" l="1"/>
  <c r="M233" i="2" s="1"/>
  <c r="N233" i="2" s="1"/>
  <c r="D78" i="2"/>
  <c r="K77" i="2"/>
  <c r="L234" i="2" l="1"/>
  <c r="M234" i="2" s="1"/>
  <c r="N234" i="2" s="1"/>
  <c r="F78" i="2"/>
  <c r="G78" i="2" s="1"/>
  <c r="B78" i="2"/>
  <c r="C78" i="2" s="1"/>
  <c r="H78" i="2" l="1"/>
  <c r="J78" i="2"/>
  <c r="M235" i="2"/>
  <c r="N235" i="2" s="1"/>
  <c r="L235" i="2"/>
  <c r="E78" i="2"/>
  <c r="I78" i="2" s="1"/>
  <c r="I93" i="1" l="1"/>
  <c r="L236" i="2"/>
  <c r="M236" i="2"/>
  <c r="N236" i="2" s="1"/>
  <c r="D79" i="2"/>
  <c r="K78" i="2"/>
  <c r="L237" i="2" l="1"/>
  <c r="M237" i="2"/>
  <c r="N237" i="2" s="1"/>
  <c r="G79" i="2"/>
  <c r="F79" i="2"/>
  <c r="B79" i="2"/>
  <c r="C79" i="2" s="1"/>
  <c r="L238" i="2" l="1"/>
  <c r="M238" i="2" s="1"/>
  <c r="N238" i="2" s="1"/>
  <c r="E79" i="2"/>
  <c r="H79" i="2"/>
  <c r="J79" i="2" s="1"/>
  <c r="D80" i="2" l="1"/>
  <c r="H80" i="1"/>
  <c r="K80" i="1" s="1"/>
  <c r="K79" i="2"/>
  <c r="L239" i="2"/>
  <c r="M239" i="2" s="1"/>
  <c r="N239" i="2" s="1"/>
  <c r="I79" i="2"/>
  <c r="L240" i="2" l="1"/>
  <c r="M240" i="2"/>
  <c r="N240" i="2" s="1"/>
  <c r="B80" i="2"/>
  <c r="C80" i="2" s="1"/>
  <c r="G80" i="2"/>
  <c r="F80" i="2"/>
  <c r="E80" i="2" s="1"/>
  <c r="L241" i="2" l="1"/>
  <c r="M241" i="2"/>
  <c r="N241" i="2" s="1"/>
  <c r="H80" i="2"/>
  <c r="J80" i="2" s="1"/>
  <c r="L242" i="2" l="1"/>
  <c r="M242" i="2"/>
  <c r="N242" i="2"/>
  <c r="D81" i="2"/>
  <c r="K80" i="2"/>
  <c r="I80" i="2"/>
  <c r="F81" i="2" l="1"/>
  <c r="G81" i="2" s="1"/>
  <c r="B81" i="2"/>
  <c r="C81" i="2" s="1"/>
  <c r="L243" i="2"/>
  <c r="M243" i="2" s="1"/>
  <c r="N243" i="2" s="1"/>
  <c r="M244" i="2" l="1"/>
  <c r="N244" i="2" s="1"/>
  <c r="L244" i="2"/>
  <c r="H81" i="2"/>
  <c r="J81" i="2" s="1"/>
  <c r="E81" i="2"/>
  <c r="I81" i="2" s="1"/>
  <c r="D82" i="2" l="1"/>
  <c r="K81" i="2"/>
  <c r="L245" i="2"/>
  <c r="M245" i="2" s="1"/>
  <c r="N245" i="2" s="1"/>
  <c r="L246" i="2" l="1"/>
  <c r="M246" i="2" s="1"/>
  <c r="N246" i="2" s="1"/>
  <c r="F82" i="2"/>
  <c r="E82" i="2" s="1"/>
  <c r="G82" i="2"/>
  <c r="H82" i="2" s="1"/>
  <c r="B82" i="2"/>
  <c r="C82" i="2" s="1"/>
  <c r="I82" i="2" l="1"/>
  <c r="L247" i="2"/>
  <c r="M247" i="2" s="1"/>
  <c r="N247" i="2" s="1"/>
  <c r="J82" i="2"/>
  <c r="I94" i="1" l="1"/>
  <c r="L248" i="2"/>
  <c r="M248" i="2" s="1"/>
  <c r="N248" i="2" s="1"/>
  <c r="D83" i="2"/>
  <c r="K82" i="2"/>
  <c r="M249" i="2" l="1"/>
  <c r="N249" i="2" s="1"/>
  <c r="L249" i="2"/>
  <c r="F83" i="2"/>
  <c r="G83" i="2"/>
  <c r="E83" i="2" s="1"/>
  <c r="B83" i="2"/>
  <c r="C83" i="2" s="1"/>
  <c r="M250" i="2" l="1"/>
  <c r="N250" i="2" s="1"/>
  <c r="L250" i="2"/>
  <c r="H83" i="2"/>
  <c r="I83" i="2" s="1"/>
  <c r="L251" i="2" l="1"/>
  <c r="M251" i="2" s="1"/>
  <c r="N251" i="2" s="1"/>
  <c r="J83" i="2"/>
  <c r="L252" i="2" l="1"/>
  <c r="M252" i="2"/>
  <c r="N252" i="2" s="1"/>
  <c r="D84" i="2"/>
  <c r="K83" i="2"/>
  <c r="M253" i="2" l="1"/>
  <c r="N253" i="2" s="1"/>
  <c r="L253" i="2"/>
  <c r="G84" i="2"/>
  <c r="F84" i="2"/>
  <c r="B84" i="2"/>
  <c r="C84" i="2" s="1"/>
  <c r="L254" i="2" l="1"/>
  <c r="M254" i="2" s="1"/>
  <c r="N254" i="2" s="1"/>
  <c r="E84" i="2"/>
  <c r="H84" i="2"/>
  <c r="J84" i="2" s="1"/>
  <c r="D85" i="2" l="1"/>
  <c r="K84" i="2"/>
  <c r="M255" i="2"/>
  <c r="N255" i="2" s="1"/>
  <c r="L255" i="2"/>
  <c r="I84" i="2"/>
  <c r="L256" i="2" l="1"/>
  <c r="M256" i="2" s="1"/>
  <c r="N256" i="2" s="1"/>
  <c r="F85" i="2"/>
  <c r="G85" i="2" s="1"/>
  <c r="B85" i="2"/>
  <c r="C85" i="2" s="1"/>
  <c r="H85" i="2" l="1"/>
  <c r="E85" i="2"/>
  <c r="I85" i="2" s="1"/>
  <c r="J85" i="2"/>
  <c r="L257" i="2"/>
  <c r="M257" i="2" s="1"/>
  <c r="N257" i="2" s="1"/>
  <c r="L258" i="2" l="1"/>
  <c r="M258" i="2" s="1"/>
  <c r="N258" i="2" s="1"/>
  <c r="D86" i="2"/>
  <c r="K85" i="2"/>
  <c r="M259" i="2" l="1"/>
  <c r="N259" i="2" s="1"/>
  <c r="L259" i="2"/>
  <c r="F86" i="2"/>
  <c r="G86" i="2" s="1"/>
  <c r="B86" i="2"/>
  <c r="C86" i="2" s="1"/>
  <c r="H86" i="2" l="1"/>
  <c r="E86" i="2"/>
  <c r="I86" i="2" s="1"/>
  <c r="J86" i="2"/>
  <c r="L260" i="2"/>
  <c r="M260" i="2" s="1"/>
  <c r="N260" i="2" s="1"/>
  <c r="I95" i="1"/>
  <c r="L261" i="2" l="1"/>
  <c r="M261" i="2"/>
  <c r="N261" i="2" s="1"/>
  <c r="D87" i="2"/>
  <c r="K86" i="2"/>
  <c r="L262" i="2" l="1"/>
  <c r="M262" i="2"/>
  <c r="N262" i="2" s="1"/>
  <c r="F87" i="2"/>
  <c r="E87" i="2" s="1"/>
  <c r="I87" i="2" s="1"/>
  <c r="G87" i="2"/>
  <c r="J87" i="2" s="1"/>
  <c r="B87" i="2"/>
  <c r="C87" i="2" s="1"/>
  <c r="H87" i="2"/>
  <c r="D88" i="2" l="1"/>
  <c r="K87" i="2"/>
  <c r="L263" i="2"/>
  <c r="M263" i="2" s="1"/>
  <c r="N263" i="2" s="1"/>
  <c r="L264" i="2" l="1"/>
  <c r="M264" i="2" s="1"/>
  <c r="N264" i="2" s="1"/>
  <c r="F88" i="2"/>
  <c r="E88" i="2" s="1"/>
  <c r="B88" i="2"/>
  <c r="C88" i="2" s="1"/>
  <c r="G88" i="2"/>
  <c r="L265" i="2" l="1"/>
  <c r="M265" i="2" s="1"/>
  <c r="N265" i="2" s="1"/>
  <c r="H88" i="2"/>
  <c r="J88" i="2" s="1"/>
  <c r="D89" i="2" l="1"/>
  <c r="K88" i="2"/>
  <c r="L266" i="2"/>
  <c r="M266" i="2"/>
  <c r="N266" i="2" s="1"/>
  <c r="I88" i="2"/>
  <c r="L267" i="2" l="1"/>
  <c r="M267" i="2" s="1"/>
  <c r="N267" i="2" s="1"/>
  <c r="F89" i="2"/>
  <c r="G89" i="2" s="1"/>
  <c r="B89" i="2"/>
  <c r="C89" i="2" s="1"/>
  <c r="H89" i="2" l="1"/>
  <c r="J89" i="2"/>
  <c r="L268" i="2"/>
  <c r="M268" i="2" s="1"/>
  <c r="N268" i="2" s="1"/>
  <c r="E89" i="2"/>
  <c r="I89" i="2" s="1"/>
  <c r="L269" i="2" l="1"/>
  <c r="M269" i="2" s="1"/>
  <c r="N269" i="2" s="1"/>
  <c r="D90" i="2"/>
  <c r="K89" i="2"/>
  <c r="L270" i="2" l="1"/>
  <c r="M270" i="2" s="1"/>
  <c r="N270" i="2" s="1"/>
  <c r="F90" i="2"/>
  <c r="G90" i="2" s="1"/>
  <c r="B90" i="2"/>
  <c r="C90" i="2" s="1"/>
  <c r="H90" i="2" l="1"/>
  <c r="J90" i="2" s="1"/>
  <c r="L271" i="2"/>
  <c r="M271" i="2" s="1"/>
  <c r="N271" i="2" s="1"/>
  <c r="E90" i="2"/>
  <c r="I90" i="2" s="1"/>
  <c r="L272" i="2" l="1"/>
  <c r="M272" i="2" s="1"/>
  <c r="N272" i="2" s="1"/>
  <c r="I96" i="1"/>
  <c r="D91" i="2"/>
  <c r="K90" i="2"/>
  <c r="L273" i="2" l="1"/>
  <c r="M273" i="2"/>
  <c r="N273" i="2" s="1"/>
  <c r="B91" i="2"/>
  <c r="C91" i="2" s="1"/>
  <c r="F91" i="2"/>
  <c r="G91" i="2"/>
  <c r="L274" i="2" l="1"/>
  <c r="M274" i="2" s="1"/>
  <c r="N274" i="2" s="1"/>
  <c r="E91" i="2"/>
  <c r="H91" i="2"/>
  <c r="J91" i="2" s="1"/>
  <c r="H81" i="1" l="1"/>
  <c r="K81" i="1" s="1"/>
  <c r="D92" i="2"/>
  <c r="K91" i="2"/>
  <c r="M275" i="2"/>
  <c r="N275" i="2" s="1"/>
  <c r="L275" i="2"/>
  <c r="I91" i="2"/>
  <c r="L276" i="2" l="1"/>
  <c r="M276" i="2" s="1"/>
  <c r="N276" i="2" s="1"/>
  <c r="F92" i="2"/>
  <c r="G92" i="2" s="1"/>
  <c r="B92" i="2"/>
  <c r="C92" i="2" s="1"/>
  <c r="H92" i="2" l="1"/>
  <c r="J92" i="2"/>
  <c r="E92" i="2"/>
  <c r="I92" i="2" s="1"/>
  <c r="L277" i="2"/>
  <c r="M277" i="2" s="1"/>
  <c r="N277" i="2" s="1"/>
  <c r="L278" i="2" l="1"/>
  <c r="M278" i="2" s="1"/>
  <c r="N278" i="2" s="1"/>
  <c r="D93" i="2"/>
  <c r="K92" i="2"/>
  <c r="L279" i="2" l="1"/>
  <c r="M279" i="2" s="1"/>
  <c r="N279" i="2" s="1"/>
  <c r="B93" i="2"/>
  <c r="C93" i="2" s="1"/>
  <c r="F93" i="2"/>
  <c r="G93" i="2" s="1"/>
  <c r="H93" i="2" l="1"/>
  <c r="J93" i="2" s="1"/>
  <c r="E93" i="2"/>
  <c r="I93" i="2" s="1"/>
  <c r="M280" i="2"/>
  <c r="N280" i="2" s="1"/>
  <c r="L280" i="2"/>
  <c r="L281" i="2" l="1"/>
  <c r="M281" i="2"/>
  <c r="N281" i="2" s="1"/>
  <c r="D94" i="2"/>
  <c r="K93" i="2"/>
  <c r="L282" i="2" l="1"/>
  <c r="M282" i="2"/>
  <c r="N282" i="2" s="1"/>
  <c r="B94" i="2"/>
  <c r="C94" i="2" s="1"/>
  <c r="F94" i="2"/>
  <c r="E94" i="2" s="1"/>
  <c r="G94" i="2"/>
  <c r="L283" i="2" l="1"/>
  <c r="M283" i="2" s="1"/>
  <c r="N283" i="2" s="1"/>
  <c r="H94" i="2"/>
  <c r="J94" i="2" s="1"/>
  <c r="D95" i="2" l="1"/>
  <c r="K94" i="2"/>
  <c r="L284" i="2"/>
  <c r="M284" i="2" s="1"/>
  <c r="N284" i="2" s="1"/>
  <c r="I97" i="1"/>
  <c r="I94" i="2"/>
  <c r="L285" i="2" l="1"/>
  <c r="M285" i="2" s="1"/>
  <c r="N285" i="2" s="1"/>
  <c r="G95" i="2"/>
  <c r="B95" i="2"/>
  <c r="C95" i="2" s="1"/>
  <c r="F95" i="2"/>
  <c r="L286" i="2" l="1"/>
  <c r="M286" i="2" s="1"/>
  <c r="N286" i="2" s="1"/>
  <c r="E95" i="2"/>
  <c r="H95" i="2"/>
  <c r="J95" i="2" s="1"/>
  <c r="D96" i="2" l="1"/>
  <c r="K95" i="2"/>
  <c r="L287" i="2"/>
  <c r="M287" i="2" s="1"/>
  <c r="N287" i="2" s="1"/>
  <c r="I95" i="2"/>
  <c r="L288" i="2" l="1"/>
  <c r="M288" i="2"/>
  <c r="N288" i="2" s="1"/>
  <c r="F96" i="2"/>
  <c r="G96" i="2" s="1"/>
  <c r="B96" i="2"/>
  <c r="C96" i="2" s="1"/>
  <c r="H96" i="2" l="1"/>
  <c r="J96" i="2" s="1"/>
  <c r="L289" i="2"/>
  <c r="M289" i="2"/>
  <c r="N289" i="2" s="1"/>
  <c r="E96" i="2"/>
  <c r="I96" i="2" s="1"/>
  <c r="L290" i="2" l="1"/>
  <c r="M290" i="2" s="1"/>
  <c r="N290" i="2" s="1"/>
  <c r="D97" i="2"/>
  <c r="K96" i="2"/>
  <c r="L291" i="2" l="1"/>
  <c r="M291" i="2" s="1"/>
  <c r="N291" i="2" s="1"/>
  <c r="B97" i="2"/>
  <c r="C97" i="2" s="1"/>
  <c r="F97" i="2"/>
  <c r="G97" i="2" s="1"/>
  <c r="H97" i="2" l="1"/>
  <c r="J97" i="2"/>
  <c r="L292" i="2"/>
  <c r="M292" i="2"/>
  <c r="N292" i="2" s="1"/>
  <c r="E97" i="2"/>
  <c r="I97" i="2" s="1"/>
  <c r="L293" i="2" l="1"/>
  <c r="M293" i="2" s="1"/>
  <c r="N293" i="2" s="1"/>
  <c r="D98" i="2"/>
  <c r="K97" i="2"/>
  <c r="L294" i="2" l="1"/>
  <c r="M294" i="2" s="1"/>
  <c r="N294" i="2" s="1"/>
  <c r="B98" i="2"/>
  <c r="C98" i="2" s="1"/>
  <c r="G98" i="2"/>
  <c r="F98" i="2"/>
  <c r="E98" i="2" s="1"/>
  <c r="L295" i="2" l="1"/>
  <c r="M295" i="2" s="1"/>
  <c r="N295" i="2" s="1"/>
  <c r="H98" i="2"/>
  <c r="J98" i="2" s="1"/>
  <c r="D99" i="2" l="1"/>
  <c r="K98" i="2"/>
  <c r="L296" i="2"/>
  <c r="M296" i="2" s="1"/>
  <c r="N296" i="2" s="1"/>
  <c r="I98" i="1"/>
  <c r="I98" i="2"/>
  <c r="L297" i="2" l="1"/>
  <c r="M297" i="2" s="1"/>
  <c r="N297" i="2" s="1"/>
  <c r="F99" i="2"/>
  <c r="E99" i="2" s="1"/>
  <c r="G99" i="2"/>
  <c r="B99" i="2"/>
  <c r="C99" i="2" s="1"/>
  <c r="M298" i="2" l="1"/>
  <c r="N298" i="2" s="1"/>
  <c r="L298" i="2"/>
  <c r="H99" i="2"/>
  <c r="J99" i="2" s="1"/>
  <c r="D100" i="2" l="1"/>
  <c r="K99" i="2"/>
  <c r="L299" i="2"/>
  <c r="M299" i="2" s="1"/>
  <c r="N299" i="2" s="1"/>
  <c r="I99" i="2"/>
  <c r="L300" i="2" l="1"/>
  <c r="M300" i="2"/>
  <c r="N300" i="2" s="1"/>
  <c r="B100" i="2"/>
  <c r="C100" i="2" s="1"/>
  <c r="F100" i="2"/>
  <c r="E100" i="2" s="1"/>
  <c r="G100" i="2"/>
  <c r="L301" i="2" l="1"/>
  <c r="M301" i="2"/>
  <c r="N301" i="2" s="1"/>
  <c r="H100" i="2"/>
  <c r="J100" i="2" s="1"/>
  <c r="D101" i="2" l="1"/>
  <c r="K100" i="2"/>
  <c r="L302" i="2"/>
  <c r="M302" i="2"/>
  <c r="N302" i="2" s="1"/>
  <c r="I100" i="2"/>
  <c r="L303" i="2" l="1"/>
  <c r="M303" i="2" s="1"/>
  <c r="N303" i="2" s="1"/>
  <c r="B101" i="2"/>
  <c r="C101" i="2" s="1"/>
  <c r="G101" i="2"/>
  <c r="F101" i="2"/>
  <c r="E101" i="2" s="1"/>
  <c r="L304" i="2" l="1"/>
  <c r="M304" i="2" s="1"/>
  <c r="N304" i="2" s="1"/>
  <c r="H101" i="2"/>
  <c r="J101" i="2" s="1"/>
  <c r="D102" i="2" l="1"/>
  <c r="K101" i="2"/>
  <c r="L305" i="2"/>
  <c r="M305" i="2" s="1"/>
  <c r="N305" i="2" s="1"/>
  <c r="I101" i="2"/>
  <c r="L306" i="2" l="1"/>
  <c r="M306" i="2" s="1"/>
  <c r="N306" i="2" s="1"/>
  <c r="B102" i="2"/>
  <c r="C102" i="2" s="1"/>
  <c r="F102" i="2"/>
  <c r="G102" i="2"/>
  <c r="E102" i="2" s="1"/>
  <c r="L307" i="2" l="1"/>
  <c r="M307" i="2" s="1"/>
  <c r="N307" i="2" s="1"/>
  <c r="H102" i="2"/>
  <c r="I102" i="2" s="1"/>
  <c r="J102" i="2"/>
  <c r="L308" i="2" l="1"/>
  <c r="M308" i="2" s="1"/>
  <c r="N308" i="2" s="1"/>
  <c r="I99" i="1"/>
  <c r="D103" i="2"/>
  <c r="K102" i="2"/>
  <c r="L309" i="2" l="1"/>
  <c r="M309" i="2" s="1"/>
  <c r="N309" i="2" s="1"/>
  <c r="F103" i="2"/>
  <c r="B103" i="2"/>
  <c r="C103" i="2" s="1"/>
  <c r="G103" i="2"/>
  <c r="L310" i="2" l="1"/>
  <c r="M310" i="2" s="1"/>
  <c r="N310" i="2" s="1"/>
  <c r="H103" i="2"/>
  <c r="J103" i="2" s="1"/>
  <c r="E103" i="2"/>
  <c r="D104" i="2" l="1"/>
  <c r="H82" i="1"/>
  <c r="K82" i="1" s="1"/>
  <c r="K103" i="2"/>
  <c r="L311" i="2"/>
  <c r="M311" i="2" s="1"/>
  <c r="N311" i="2" s="1"/>
  <c r="I103" i="2"/>
  <c r="L312" i="2" l="1"/>
  <c r="M312" i="2" s="1"/>
  <c r="N312" i="2" s="1"/>
  <c r="F104" i="2"/>
  <c r="E104" i="2" s="1"/>
  <c r="B104" i="2"/>
  <c r="C104" i="2" s="1"/>
  <c r="G104" i="2"/>
  <c r="L313" i="2" l="1"/>
  <c r="M313" i="2" s="1"/>
  <c r="N313" i="2" s="1"/>
  <c r="H104" i="2"/>
  <c r="J104" i="2" s="1"/>
  <c r="D105" i="2" l="1"/>
  <c r="K104" i="2"/>
  <c r="L314" i="2"/>
  <c r="M314" i="2" s="1"/>
  <c r="N314" i="2" s="1"/>
  <c r="I104" i="2"/>
  <c r="L315" i="2" l="1"/>
  <c r="M315" i="2" s="1"/>
  <c r="N315" i="2" s="1"/>
  <c r="B105" i="2"/>
  <c r="C105" i="2" s="1"/>
  <c r="F105" i="2"/>
  <c r="G105" i="2"/>
  <c r="L316" i="2" l="1"/>
  <c r="M316" i="2" s="1"/>
  <c r="N316" i="2" s="1"/>
  <c r="E105" i="2"/>
  <c r="H105" i="2"/>
  <c r="J105" i="2" s="1"/>
  <c r="D106" i="2" l="1"/>
  <c r="K105" i="2"/>
  <c r="M317" i="2"/>
  <c r="N317" i="2" s="1"/>
  <c r="L317" i="2"/>
  <c r="I105" i="2"/>
  <c r="L318" i="2" l="1"/>
  <c r="M318" i="2" s="1"/>
  <c r="N318" i="2" s="1"/>
  <c r="F106" i="2"/>
  <c r="G106" i="2" s="1"/>
  <c r="B106" i="2"/>
  <c r="C106" i="2" s="1"/>
  <c r="H106" i="2" l="1"/>
  <c r="J106" i="2"/>
  <c r="L319" i="2"/>
  <c r="M319" i="2" s="1"/>
  <c r="N319" i="2" s="1"/>
  <c r="E106" i="2"/>
  <c r="I106" i="2" s="1"/>
  <c r="L320" i="2" l="1"/>
  <c r="M320" i="2" s="1"/>
  <c r="N320" i="2" s="1"/>
  <c r="I100" i="1"/>
  <c r="D107" i="2"/>
  <c r="K106" i="2"/>
  <c r="L321" i="2" l="1"/>
  <c r="M321" i="2"/>
  <c r="N321" i="2" s="1"/>
  <c r="B107" i="2"/>
  <c r="C107" i="2" s="1"/>
  <c r="F107" i="2"/>
  <c r="G107" i="2" s="1"/>
  <c r="E107" i="2" l="1"/>
  <c r="H107" i="2"/>
  <c r="J107" i="2" s="1"/>
  <c r="L322" i="2"/>
  <c r="M322" i="2"/>
  <c r="N322" i="2" s="1"/>
  <c r="L323" i="2" l="1"/>
  <c r="M323" i="2" s="1"/>
  <c r="N323" i="2" s="1"/>
  <c r="D108" i="2"/>
  <c r="K107" i="2"/>
  <c r="I107" i="2"/>
  <c r="L324" i="2" l="1"/>
  <c r="M324" i="2" s="1"/>
  <c r="N324" i="2" s="1"/>
  <c r="F108" i="2"/>
  <c r="G108" i="2" s="1"/>
  <c r="B108" i="2"/>
  <c r="C108" i="2" s="1"/>
  <c r="E108" i="2" l="1"/>
  <c r="H108" i="2"/>
  <c r="J108" i="2" s="1"/>
  <c r="L325" i="2"/>
  <c r="M325" i="2" s="1"/>
  <c r="N325" i="2" s="1"/>
  <c r="L326" i="2" l="1"/>
  <c r="M326" i="2"/>
  <c r="N326" i="2" s="1"/>
  <c r="D109" i="2"/>
  <c r="K108" i="2"/>
  <c r="I108" i="2"/>
  <c r="L327" i="2" l="1"/>
  <c r="M327" i="2" s="1"/>
  <c r="N327" i="2" s="1"/>
  <c r="F109" i="2"/>
  <c r="G109" i="2" s="1"/>
  <c r="B109" i="2"/>
  <c r="C109" i="2" s="1"/>
  <c r="H109" i="2" l="1"/>
  <c r="J109" i="2"/>
  <c r="M328" i="2"/>
  <c r="N328" i="2" s="1"/>
  <c r="L328" i="2"/>
  <c r="E109" i="2"/>
  <c r="I109" i="2" s="1"/>
  <c r="L329" i="2" l="1"/>
  <c r="M329" i="2" s="1"/>
  <c r="N329" i="2" s="1"/>
  <c r="D110" i="2"/>
  <c r="K109" i="2"/>
  <c r="L330" i="2" l="1"/>
  <c r="M330" i="2" s="1"/>
  <c r="N330" i="2" s="1"/>
  <c r="B110" i="2"/>
  <c r="C110" i="2" s="1"/>
  <c r="F110" i="2"/>
  <c r="G110" i="2" s="1"/>
  <c r="H110" i="2" l="1"/>
  <c r="J110" i="2"/>
  <c r="L331" i="2"/>
  <c r="M331" i="2" s="1"/>
  <c r="N331" i="2" s="1"/>
  <c r="E110" i="2"/>
  <c r="I110" i="2" s="1"/>
  <c r="L332" i="2" l="1"/>
  <c r="M332" i="2" s="1"/>
  <c r="N332" i="2" s="1"/>
  <c r="I101" i="1"/>
  <c r="D111" i="2"/>
  <c r="K110" i="2"/>
  <c r="L333" i="2" l="1"/>
  <c r="M333" i="2" s="1"/>
  <c r="N333" i="2" s="1"/>
  <c r="B111" i="2"/>
  <c r="C111" i="2" s="1"/>
  <c r="F111" i="2"/>
  <c r="L334" i="2" l="1"/>
  <c r="M334" i="2" s="1"/>
  <c r="N334" i="2" s="1"/>
  <c r="G111" i="2"/>
  <c r="L335" i="2" l="1"/>
  <c r="M335" i="2" s="1"/>
  <c r="N335" i="2" s="1"/>
  <c r="H111" i="2"/>
  <c r="J111" i="2" s="1"/>
  <c r="E111" i="2"/>
  <c r="I111" i="2" s="1"/>
  <c r="D112" i="2" l="1"/>
  <c r="K111" i="2"/>
  <c r="L336" i="2"/>
  <c r="M336" i="2" s="1"/>
  <c r="N336" i="2" s="1"/>
  <c r="L337" i="2" l="1"/>
  <c r="M337" i="2"/>
  <c r="N337" i="2" s="1"/>
  <c r="B112" i="2"/>
  <c r="C112" i="2" s="1"/>
  <c r="F112" i="2"/>
  <c r="L338" i="2" l="1"/>
  <c r="M338" i="2" s="1"/>
  <c r="N338" i="2" s="1"/>
  <c r="G112" i="2"/>
  <c r="L339" i="2" l="1"/>
  <c r="M339" i="2" s="1"/>
  <c r="N339" i="2" s="1"/>
  <c r="H112" i="2"/>
  <c r="J112" i="2"/>
  <c r="E112" i="2"/>
  <c r="I112" i="2" s="1"/>
  <c r="L340" i="2" l="1"/>
  <c r="M340" i="2" s="1"/>
  <c r="N340" i="2" s="1"/>
  <c r="D113" i="2"/>
  <c r="K112" i="2"/>
  <c r="L341" i="2" l="1"/>
  <c r="M341" i="2"/>
  <c r="N341" i="2" s="1"/>
  <c r="B113" i="2"/>
  <c r="C113" i="2" s="1"/>
  <c r="F113" i="2"/>
  <c r="G113" i="2" s="1"/>
  <c r="H113" i="2" l="1"/>
  <c r="J113" i="2" s="1"/>
  <c r="L342" i="2"/>
  <c r="M342" i="2"/>
  <c r="N342" i="2" s="1"/>
  <c r="E113" i="2"/>
  <c r="I113" i="2" s="1"/>
  <c r="L343" i="2" l="1"/>
  <c r="M343" i="2" s="1"/>
  <c r="N343" i="2" s="1"/>
  <c r="D114" i="2"/>
  <c r="K113" i="2"/>
  <c r="L344" i="2" l="1"/>
  <c r="M344" i="2" s="1"/>
  <c r="N344" i="2" s="1"/>
  <c r="I102" i="1"/>
  <c r="B114" i="2"/>
  <c r="C114" i="2" s="1"/>
  <c r="F114" i="2"/>
  <c r="L345" i="2" l="1"/>
  <c r="M345" i="2" s="1"/>
  <c r="N345" i="2" s="1"/>
  <c r="G114" i="2"/>
  <c r="L346" i="2" l="1"/>
  <c r="M346" i="2" s="1"/>
  <c r="N346" i="2" s="1"/>
  <c r="H114" i="2"/>
  <c r="J114" i="2" s="1"/>
  <c r="E114" i="2"/>
  <c r="I114" i="2" s="1"/>
  <c r="D115" i="2" l="1"/>
  <c r="K114" i="2"/>
  <c r="L347" i="2"/>
  <c r="M347" i="2" s="1"/>
  <c r="N347" i="2" s="1"/>
  <c r="L348" i="2" l="1"/>
  <c r="M348" i="2"/>
  <c r="N348" i="2" s="1"/>
  <c r="B115" i="2"/>
  <c r="C115" i="2" s="1"/>
  <c r="G115" i="2"/>
  <c r="H115" i="2" s="1"/>
  <c r="F115" i="2"/>
  <c r="E115" i="2" s="1"/>
  <c r="I115" i="2" l="1"/>
  <c r="L349" i="2"/>
  <c r="M349" i="2"/>
  <c r="N349" i="2" s="1"/>
  <c r="J115" i="2"/>
  <c r="L350" i="2" l="1"/>
  <c r="M350" i="2" s="1"/>
  <c r="N350" i="2" s="1"/>
  <c r="D116" i="2"/>
  <c r="H83" i="1"/>
  <c r="K83" i="1" s="1"/>
  <c r="K115" i="2"/>
  <c r="L351" i="2" l="1"/>
  <c r="M351" i="2" s="1"/>
  <c r="N351" i="2" s="1"/>
  <c r="F116" i="2"/>
  <c r="G116" i="2" s="1"/>
  <c r="B116" i="2"/>
  <c r="C116" i="2" s="1"/>
  <c r="H116" i="2" l="1"/>
  <c r="J116" i="2" s="1"/>
  <c r="N352" i="2"/>
  <c r="M352" i="2"/>
  <c r="L352" i="2"/>
  <c r="E116" i="2"/>
  <c r="I116" i="2" s="1"/>
  <c r="D117" i="2" l="1"/>
  <c r="K116" i="2"/>
  <c r="N353" i="2"/>
  <c r="M353" i="2"/>
  <c r="L353" i="2"/>
  <c r="N354" i="2" l="1"/>
  <c r="M354" i="2"/>
  <c r="L354" i="2"/>
  <c r="B117" i="2"/>
  <c r="C117" i="2" s="1"/>
  <c r="F117" i="2"/>
  <c r="E117" i="2" s="1"/>
  <c r="G117" i="2"/>
  <c r="H117" i="2" l="1"/>
  <c r="J117" i="2" s="1"/>
  <c r="N355" i="2"/>
  <c r="M355" i="2"/>
  <c r="L355" i="2"/>
  <c r="D118" i="2" l="1"/>
  <c r="K117" i="2"/>
  <c r="N356" i="2"/>
  <c r="M356" i="2"/>
  <c r="L356" i="2"/>
  <c r="I103" i="1"/>
  <c r="I117" i="2"/>
  <c r="N357" i="2" l="1"/>
  <c r="M357" i="2"/>
  <c r="L357" i="2"/>
  <c r="F118" i="2"/>
  <c r="G118" i="2" s="1"/>
  <c r="B118" i="2"/>
  <c r="C118" i="2" s="1"/>
  <c r="H118" i="2" l="1"/>
  <c r="J118" i="2" s="1"/>
  <c r="E118" i="2"/>
  <c r="I118" i="2" s="1"/>
  <c r="N358" i="2"/>
  <c r="M358" i="2"/>
  <c r="L358" i="2"/>
  <c r="D119" i="2" l="1"/>
  <c r="K118" i="2"/>
  <c r="N359" i="2"/>
  <c r="M359" i="2"/>
  <c r="L359" i="2"/>
  <c r="N360" i="2" l="1"/>
  <c r="M360" i="2"/>
  <c r="L360" i="2"/>
  <c r="B119" i="2"/>
  <c r="C119" i="2" s="1"/>
  <c r="F119" i="2"/>
  <c r="E119" i="2" s="1"/>
  <c r="G119" i="2"/>
  <c r="H119" i="2" s="1"/>
  <c r="I119" i="2" l="1"/>
  <c r="J119" i="2"/>
  <c r="L361" i="2"/>
  <c r="N361" i="2"/>
  <c r="M361" i="2"/>
  <c r="N362" i="2" l="1"/>
  <c r="M362" i="2"/>
  <c r="L362" i="2"/>
  <c r="D120" i="2"/>
  <c r="K119" i="2"/>
  <c r="F120" i="2" l="1"/>
  <c r="B120" i="2"/>
  <c r="C120" i="2" s="1"/>
  <c r="N363" i="2"/>
  <c r="M363" i="2"/>
  <c r="L363" i="2"/>
  <c r="M364" i="2" l="1"/>
  <c r="L364" i="2"/>
  <c r="N364" i="2"/>
  <c r="G120" i="2"/>
  <c r="H120" i="2" l="1"/>
  <c r="J120" i="2"/>
  <c r="N365" i="2"/>
  <c r="M365" i="2"/>
  <c r="L365" i="2"/>
  <c r="E120" i="2"/>
  <c r="I120" i="2" s="1"/>
  <c r="N366" i="2" l="1"/>
  <c r="M366" i="2"/>
  <c r="L366" i="2"/>
  <c r="D121" i="2"/>
  <c r="K120" i="2"/>
  <c r="B121" i="2" l="1"/>
  <c r="C121" i="2" s="1"/>
  <c r="F121" i="2"/>
  <c r="N367" i="2"/>
  <c r="M367" i="2"/>
  <c r="L367" i="2"/>
  <c r="N368" i="2" l="1"/>
  <c r="M368" i="2"/>
  <c r="L368" i="2"/>
  <c r="I104" i="1"/>
  <c r="G121" i="2"/>
  <c r="H121" i="2" l="1"/>
  <c r="J121" i="2" s="1"/>
  <c r="N369" i="2"/>
  <c r="M369" i="2"/>
  <c r="L369" i="2"/>
  <c r="E121" i="2"/>
  <c r="I121" i="2" s="1"/>
  <c r="D122" i="2" l="1"/>
  <c r="K121" i="2"/>
  <c r="N370" i="2"/>
  <c r="M370" i="2"/>
  <c r="L370" i="2"/>
  <c r="N371" i="2" l="1"/>
  <c r="M371" i="2"/>
  <c r="L371" i="2"/>
  <c r="F122" i="2"/>
  <c r="G122" i="2" s="1"/>
  <c r="B122" i="2"/>
  <c r="C122" i="2" s="1"/>
  <c r="H122" i="2" l="1"/>
  <c r="J122" i="2" s="1"/>
  <c r="E122" i="2"/>
  <c r="I122" i="2" s="1"/>
  <c r="N372" i="2"/>
  <c r="M372" i="2"/>
  <c r="L372" i="2"/>
  <c r="D123" i="2" l="1"/>
  <c r="K122" i="2"/>
  <c r="N373" i="2"/>
  <c r="M373" i="2"/>
  <c r="L373" i="2"/>
  <c r="N374" i="2" l="1"/>
  <c r="M374" i="2"/>
  <c r="L374" i="2"/>
  <c r="F123" i="2"/>
  <c r="E123" i="2" s="1"/>
  <c r="G123" i="2"/>
  <c r="B123" i="2"/>
  <c r="C123" i="2" s="1"/>
  <c r="H123" i="2" l="1"/>
  <c r="J123" i="2" s="1"/>
  <c r="N375" i="2"/>
  <c r="M375" i="2"/>
  <c r="L375" i="2"/>
  <c r="D124" i="2" l="1"/>
  <c r="K123" i="2"/>
  <c r="N376" i="2"/>
  <c r="M376" i="2"/>
  <c r="L376" i="2"/>
  <c r="I123" i="2"/>
  <c r="N377" i="2" l="1"/>
  <c r="M377" i="2"/>
  <c r="L377" i="2"/>
  <c r="F124" i="2"/>
  <c r="E124" i="2" s="1"/>
  <c r="B124" i="2"/>
  <c r="C124" i="2" s="1"/>
  <c r="G124" i="2"/>
  <c r="H124" i="2" s="1"/>
  <c r="I124" i="2" l="1"/>
  <c r="J124" i="2"/>
  <c r="N378" i="2"/>
  <c r="M378" i="2"/>
  <c r="L378" i="2"/>
  <c r="N379" i="2" l="1"/>
  <c r="M379" i="2"/>
  <c r="L379" i="2"/>
  <c r="D125" i="2"/>
  <c r="K124" i="2"/>
  <c r="B125" i="2" l="1"/>
  <c r="C125" i="2" s="1"/>
  <c r="F125" i="2"/>
  <c r="N380" i="2"/>
  <c r="M380" i="2"/>
  <c r="L380" i="2"/>
  <c r="G125" i="2" l="1"/>
  <c r="L381" i="2"/>
  <c r="N381" i="2"/>
  <c r="M381" i="2"/>
  <c r="N382" i="2" l="1"/>
  <c r="M382" i="2"/>
  <c r="L382" i="2"/>
  <c r="H125" i="2"/>
  <c r="J125" i="2" s="1"/>
  <c r="E125" i="2"/>
  <c r="I125" i="2" s="1"/>
  <c r="D126" i="2" l="1"/>
  <c r="K125" i="2"/>
  <c r="N383" i="2"/>
  <c r="M383" i="2"/>
  <c r="L383" i="2"/>
  <c r="M384" i="2" l="1"/>
  <c r="L384" i="2"/>
  <c r="N384" i="2"/>
  <c r="F126" i="2"/>
  <c r="G126" i="2" s="1"/>
  <c r="B126" i="2"/>
  <c r="C126" i="2" s="1"/>
  <c r="H126" i="2" l="1"/>
  <c r="J126" i="2"/>
  <c r="E126" i="2"/>
  <c r="I126" i="2" s="1"/>
  <c r="N385" i="2"/>
  <c r="M385" i="2"/>
  <c r="L385" i="2"/>
  <c r="N386" i="2" l="1"/>
  <c r="M386" i="2"/>
  <c r="L386" i="2"/>
  <c r="D127" i="2"/>
  <c r="K126" i="2"/>
  <c r="B127" i="2" l="1"/>
  <c r="C127" i="2" s="1"/>
  <c r="F127" i="2"/>
  <c r="G127" i="2" s="1"/>
  <c r="N387" i="2"/>
  <c r="M387" i="2"/>
  <c r="L387" i="2"/>
  <c r="H127" i="2" l="1"/>
  <c r="J127" i="2" s="1"/>
  <c r="N388" i="2"/>
  <c r="M388" i="2"/>
  <c r="L388" i="2"/>
  <c r="E127" i="2"/>
  <c r="I127" i="2" s="1"/>
  <c r="D128" i="2" l="1"/>
  <c r="H84" i="1"/>
  <c r="K84" i="1" s="1"/>
  <c r="K127" i="2"/>
  <c r="N389" i="2"/>
  <c r="M389" i="2"/>
  <c r="L389" i="2"/>
  <c r="N390" i="2" l="1"/>
  <c r="M390" i="2"/>
  <c r="L390" i="2"/>
  <c r="B128" i="2"/>
  <c r="C128" i="2" s="1"/>
  <c r="G128" i="2"/>
  <c r="F128" i="2"/>
  <c r="E128" i="2" s="1"/>
  <c r="H128" i="2" l="1"/>
  <c r="I128" i="2" s="1"/>
  <c r="N391" i="2"/>
  <c r="M391" i="2"/>
  <c r="L391" i="2"/>
  <c r="N392" i="2" l="1"/>
  <c r="M392" i="2"/>
  <c r="L392" i="2"/>
  <c r="J128" i="2"/>
  <c r="D129" i="2" l="1"/>
  <c r="K128" i="2"/>
  <c r="N393" i="2"/>
  <c r="M393" i="2"/>
  <c r="L393" i="2"/>
  <c r="N394" i="2" l="1"/>
  <c r="M394" i="2"/>
  <c r="L394" i="2"/>
  <c r="F129" i="2"/>
  <c r="G129" i="2" s="1"/>
  <c r="B129" i="2"/>
  <c r="C129" i="2" s="1"/>
  <c r="H129" i="2" l="1"/>
  <c r="J129" i="2"/>
  <c r="E129" i="2"/>
  <c r="I129" i="2" s="1"/>
  <c r="N395" i="2"/>
  <c r="M395" i="2"/>
  <c r="L395" i="2"/>
  <c r="N396" i="2" l="1"/>
  <c r="M396" i="2"/>
  <c r="L396" i="2"/>
  <c r="D130" i="2"/>
  <c r="K129" i="2"/>
  <c r="B130" i="2" l="1"/>
  <c r="C130" i="2" s="1"/>
  <c r="G130" i="2"/>
  <c r="H130" i="2" s="1"/>
  <c r="F130" i="2"/>
  <c r="E130" i="2" s="1"/>
  <c r="I130" i="2" s="1"/>
  <c r="N397" i="2"/>
  <c r="M397" i="2"/>
  <c r="L397" i="2"/>
  <c r="N398" i="2" l="1"/>
  <c r="M398" i="2"/>
  <c r="L398" i="2"/>
  <c r="J130" i="2"/>
  <c r="D131" i="2" l="1"/>
  <c r="K130" i="2"/>
  <c r="N399" i="2"/>
  <c r="M399" i="2"/>
  <c r="L399" i="2"/>
  <c r="N400" i="2" l="1"/>
  <c r="M400" i="2"/>
  <c r="L400" i="2"/>
  <c r="B131" i="2"/>
  <c r="C131" i="2" s="1"/>
  <c r="F131" i="2"/>
  <c r="E131" i="2" s="1"/>
  <c r="G131" i="2"/>
  <c r="H131" i="2" l="1"/>
  <c r="J131" i="2" s="1"/>
  <c r="L401" i="2"/>
  <c r="N401" i="2"/>
  <c r="M401" i="2"/>
  <c r="D132" i="2" l="1"/>
  <c r="K131" i="2"/>
  <c r="N402" i="2"/>
  <c r="M402" i="2"/>
  <c r="L402" i="2"/>
  <c r="I131" i="2"/>
  <c r="N403" i="2" l="1"/>
  <c r="M403" i="2"/>
  <c r="L403" i="2"/>
  <c r="B132" i="2"/>
  <c r="C132" i="2" s="1"/>
  <c r="F132" i="2"/>
  <c r="G132" i="2" s="1"/>
  <c r="H132" i="2" l="1"/>
  <c r="J132" i="2"/>
  <c r="E132" i="2"/>
  <c r="I132" i="2" s="1"/>
  <c r="M404" i="2"/>
  <c r="L404" i="2"/>
  <c r="N404" i="2"/>
  <c r="N405" i="2" l="1"/>
  <c r="M405" i="2"/>
  <c r="L405" i="2"/>
  <c r="D133" i="2"/>
  <c r="K132" i="2"/>
  <c r="B133" i="2" l="1"/>
  <c r="C133" i="2" s="1"/>
  <c r="F133" i="2"/>
  <c r="G133" i="2" s="1"/>
  <c r="N406" i="2"/>
  <c r="M406" i="2"/>
  <c r="L406" i="2"/>
  <c r="H133" i="2" l="1"/>
  <c r="J133" i="2" s="1"/>
  <c r="E133" i="2"/>
  <c r="I133" i="2" s="1"/>
  <c r="N407" i="2"/>
  <c r="M407" i="2"/>
  <c r="L407" i="2"/>
  <c r="D134" i="2" l="1"/>
  <c r="K133" i="2"/>
  <c r="N408" i="2"/>
  <c r="M408" i="2"/>
  <c r="L408" i="2"/>
  <c r="N409" i="2" l="1"/>
  <c r="M409" i="2"/>
  <c r="L409" i="2"/>
  <c r="B134" i="2"/>
  <c r="C134" i="2" s="1"/>
  <c r="F134" i="2"/>
  <c r="G134" i="2" l="1"/>
  <c r="N410" i="2"/>
  <c r="M410" i="2"/>
  <c r="L410" i="2"/>
  <c r="N411" i="2" l="1"/>
  <c r="M411" i="2"/>
  <c r="L411" i="2"/>
  <c r="H134" i="2"/>
  <c r="J134" i="2" s="1"/>
  <c r="E134" i="2"/>
  <c r="I134" i="2" s="1"/>
  <c r="D135" i="2" l="1"/>
  <c r="K134" i="2"/>
  <c r="N412" i="2"/>
  <c r="M412" i="2"/>
  <c r="L412" i="2"/>
  <c r="N413" i="2" l="1"/>
  <c r="M413" i="2"/>
  <c r="L413" i="2"/>
  <c r="F135" i="2"/>
  <c r="G135" i="2" s="1"/>
  <c r="B135" i="2"/>
  <c r="C135" i="2" s="1"/>
  <c r="H135" i="2" l="1"/>
  <c r="J135" i="2" s="1"/>
  <c r="E135" i="2"/>
  <c r="I135" i="2" s="1"/>
  <c r="N414" i="2"/>
  <c r="M414" i="2"/>
  <c r="L414" i="2"/>
  <c r="D136" i="2" l="1"/>
  <c r="K135" i="2"/>
  <c r="N415" i="2"/>
  <c r="M415" i="2"/>
  <c r="L415" i="2"/>
  <c r="N416" i="2" l="1"/>
  <c r="M416" i="2"/>
  <c r="L416" i="2"/>
  <c r="B136" i="2"/>
  <c r="C136" i="2" s="1"/>
  <c r="F136" i="2"/>
  <c r="G136" i="2" s="1"/>
  <c r="H136" i="2" l="1"/>
  <c r="J136" i="2"/>
  <c r="E136" i="2"/>
  <c r="I136" i="2" s="1"/>
  <c r="N417" i="2"/>
  <c r="M417" i="2"/>
  <c r="L417" i="2"/>
  <c r="D137" i="2" l="1"/>
  <c r="K136" i="2"/>
  <c r="N418" i="2"/>
  <c r="M418" i="2"/>
  <c r="L418" i="2"/>
  <c r="N419" i="2" l="1"/>
  <c r="M419" i="2"/>
  <c r="L419" i="2"/>
  <c r="B137" i="2"/>
  <c r="C137" i="2" s="1"/>
  <c r="F137" i="2"/>
  <c r="E137" i="2" s="1"/>
  <c r="G137" i="2"/>
  <c r="H137" i="2" l="1"/>
  <c r="J137" i="2" s="1"/>
  <c r="N420" i="2"/>
  <c r="M420" i="2"/>
  <c r="L420" i="2"/>
  <c r="D138" i="2" l="1"/>
  <c r="K137" i="2"/>
  <c r="L421" i="2"/>
  <c r="N421" i="2"/>
  <c r="M421" i="2"/>
  <c r="I137" i="2"/>
  <c r="N422" i="2" l="1"/>
  <c r="M422" i="2"/>
  <c r="L422" i="2"/>
  <c r="B138" i="2"/>
  <c r="C138" i="2" s="1"/>
  <c r="F138" i="2"/>
  <c r="G138" i="2" s="1"/>
  <c r="H138" i="2" l="1"/>
  <c r="J138" i="2" s="1"/>
  <c r="E138" i="2"/>
  <c r="N423" i="2"/>
  <c r="M423" i="2"/>
  <c r="L423" i="2"/>
  <c r="D139" i="2" l="1"/>
  <c r="K138" i="2"/>
  <c r="M424" i="2"/>
  <c r="L424" i="2"/>
  <c r="N424" i="2"/>
  <c r="I138" i="2"/>
  <c r="N425" i="2" l="1"/>
  <c r="M425" i="2"/>
  <c r="L425" i="2"/>
  <c r="G139" i="2"/>
  <c r="H139" i="2" s="1"/>
  <c r="F139" i="2"/>
  <c r="E139" i="2" s="1"/>
  <c r="I139" i="2" s="1"/>
  <c r="B139" i="2"/>
  <c r="C139" i="2" s="1"/>
  <c r="J139" i="2" l="1"/>
  <c r="N426" i="2"/>
  <c r="M426" i="2"/>
  <c r="L426" i="2"/>
  <c r="N427" i="2" l="1"/>
  <c r="M427" i="2"/>
  <c r="L427" i="2"/>
  <c r="D140" i="2"/>
  <c r="H85" i="1"/>
  <c r="K85" i="1" s="1"/>
  <c r="K139" i="2"/>
  <c r="F140" i="2" l="1"/>
  <c r="B140" i="2"/>
  <c r="C140" i="2" s="1"/>
  <c r="N428" i="2"/>
  <c r="M428" i="2"/>
  <c r="L428" i="2"/>
  <c r="N429" i="2" l="1"/>
  <c r="M429" i="2"/>
  <c r="L429" i="2"/>
  <c r="G140" i="2"/>
  <c r="N430" i="2" l="1"/>
  <c r="M430" i="2"/>
  <c r="L430" i="2"/>
  <c r="H140" i="2"/>
  <c r="J140" i="2" s="1"/>
  <c r="E140" i="2"/>
  <c r="D141" i="2" l="1"/>
  <c r="K140" i="2"/>
  <c r="I140" i="2"/>
  <c r="N431" i="2"/>
  <c r="M431" i="2"/>
  <c r="L431" i="2"/>
  <c r="N432" i="2" l="1"/>
  <c r="M432" i="2"/>
  <c r="L432" i="2"/>
  <c r="G141" i="2"/>
  <c r="F141" i="2"/>
  <c r="E141" i="2" s="1"/>
  <c r="B141" i="2"/>
  <c r="C141" i="2" s="1"/>
  <c r="H141" i="2" l="1"/>
  <c r="I141" i="2" s="1"/>
  <c r="N433" i="2"/>
  <c r="M433" i="2"/>
  <c r="L433" i="2"/>
  <c r="N434" i="2" l="1"/>
  <c r="M434" i="2"/>
  <c r="L434" i="2"/>
  <c r="J141" i="2"/>
  <c r="D142" i="2" l="1"/>
  <c r="K141" i="2"/>
  <c r="N435" i="2"/>
  <c r="M435" i="2"/>
  <c r="L435" i="2"/>
  <c r="N436" i="2" l="1"/>
  <c r="M436" i="2"/>
  <c r="L436" i="2"/>
  <c r="B142" i="2"/>
  <c r="C142" i="2" s="1"/>
  <c r="F142" i="2"/>
  <c r="G142" i="2"/>
  <c r="E142" i="2" l="1"/>
  <c r="H142" i="2"/>
  <c r="J142" i="2" s="1"/>
  <c r="N437" i="2"/>
  <c r="M437" i="2"/>
  <c r="L437" i="2"/>
  <c r="D143" i="2" l="1"/>
  <c r="K142" i="2"/>
  <c r="N438" i="2"/>
  <c r="M438" i="2"/>
  <c r="L438" i="2"/>
  <c r="I142" i="2"/>
  <c r="N439" i="2" l="1"/>
  <c r="M439" i="2"/>
  <c r="L439" i="2"/>
  <c r="F143" i="2"/>
  <c r="E143" i="2" s="1"/>
  <c r="G143" i="2"/>
  <c r="B143" i="2"/>
  <c r="C143" i="2" s="1"/>
  <c r="H143" i="2" l="1"/>
  <c r="J143" i="2" s="1"/>
  <c r="N440" i="2"/>
  <c r="M440" i="2"/>
  <c r="L440" i="2"/>
  <c r="D144" i="2" l="1"/>
  <c r="K143" i="2"/>
  <c r="L441" i="2"/>
  <c r="N441" i="2"/>
  <c r="M441" i="2"/>
  <c r="I143" i="2"/>
  <c r="N442" i="2" l="1"/>
  <c r="M442" i="2"/>
  <c r="L442" i="2"/>
  <c r="F144" i="2"/>
  <c r="G144" i="2"/>
  <c r="B144" i="2"/>
  <c r="C144" i="2" s="1"/>
  <c r="H144" i="2" l="1"/>
  <c r="J144" i="2" s="1"/>
  <c r="E144" i="2"/>
  <c r="I144" i="2" s="1"/>
  <c r="N443" i="2"/>
  <c r="M443" i="2"/>
  <c r="L443" i="2"/>
  <c r="D145" i="2" l="1"/>
  <c r="K144" i="2"/>
  <c r="M444" i="2"/>
  <c r="L444" i="2"/>
  <c r="N444" i="2"/>
  <c r="N445" i="2" l="1"/>
  <c r="M445" i="2"/>
  <c r="L445" i="2"/>
  <c r="G145" i="2"/>
  <c r="H145" i="2" s="1"/>
  <c r="J145" i="2" s="1"/>
  <c r="F145" i="2"/>
  <c r="E145" i="2" s="1"/>
  <c r="I145" i="2" s="1"/>
  <c r="B145" i="2"/>
  <c r="C145" i="2" s="1"/>
  <c r="D146" i="2" l="1"/>
  <c r="K145" i="2"/>
  <c r="N446" i="2"/>
  <c r="M446" i="2"/>
  <c r="L446" i="2"/>
  <c r="N447" i="2" l="1"/>
  <c r="M447" i="2"/>
  <c r="L447" i="2"/>
  <c r="F146" i="2"/>
  <c r="G146" i="2" s="1"/>
  <c r="B146" i="2"/>
  <c r="C146" i="2" s="1"/>
  <c r="E146" i="2" l="1"/>
  <c r="H146" i="2"/>
  <c r="J146" i="2"/>
  <c r="N448" i="2"/>
  <c r="M448" i="2"/>
  <c r="L448" i="2"/>
  <c r="N449" i="2" l="1"/>
  <c r="M449" i="2"/>
  <c r="L449" i="2"/>
  <c r="D147" i="2"/>
  <c r="K146" i="2"/>
  <c r="I146" i="2"/>
  <c r="F147" i="2" l="1"/>
  <c r="G147" i="2" s="1"/>
  <c r="B147" i="2"/>
  <c r="C147" i="2" s="1"/>
  <c r="N450" i="2"/>
  <c r="M450" i="2"/>
  <c r="L450" i="2"/>
  <c r="H147" i="2" l="1"/>
  <c r="J147" i="2"/>
  <c r="E147" i="2"/>
  <c r="I147" i="2" s="1"/>
  <c r="N451" i="2"/>
  <c r="M451" i="2"/>
  <c r="L451" i="2"/>
  <c r="N452" i="2" l="1"/>
  <c r="M452" i="2"/>
  <c r="L452" i="2"/>
  <c r="D148" i="2"/>
  <c r="K147" i="2"/>
  <c r="B148" i="2" l="1"/>
  <c r="C148" i="2" s="1"/>
  <c r="F148" i="2"/>
  <c r="N453" i="2"/>
  <c r="M453" i="2"/>
  <c r="L453" i="2"/>
  <c r="G148" i="2" l="1"/>
  <c r="N454" i="2"/>
  <c r="M454" i="2"/>
  <c r="L454" i="2"/>
  <c r="N455" i="2" l="1"/>
  <c r="M455" i="2"/>
  <c r="L455" i="2"/>
  <c r="H148" i="2"/>
  <c r="J148" i="2" s="1"/>
  <c r="E148" i="2"/>
  <c r="I148" i="2" s="1"/>
  <c r="D149" i="2" l="1"/>
  <c r="K148" i="2"/>
  <c r="N456" i="2"/>
  <c r="M456" i="2"/>
  <c r="L456" i="2"/>
  <c r="N457" i="2" l="1"/>
  <c r="M457" i="2"/>
  <c r="L457" i="2"/>
  <c r="F149" i="2"/>
  <c r="G149" i="2" s="1"/>
  <c r="B149" i="2"/>
  <c r="C149" i="2" s="1"/>
  <c r="H149" i="2" l="1"/>
  <c r="J149" i="2"/>
  <c r="E149" i="2"/>
  <c r="I149" i="2" s="1"/>
  <c r="N458" i="2"/>
  <c r="M458" i="2"/>
  <c r="L458" i="2"/>
  <c r="N459" i="2" l="1"/>
  <c r="M459" i="2"/>
  <c r="L459" i="2"/>
  <c r="D150" i="2"/>
  <c r="K149" i="2"/>
  <c r="B150" i="2" l="1"/>
  <c r="C150" i="2" s="1"/>
  <c r="G150" i="2"/>
  <c r="H150" i="2" s="1"/>
  <c r="F150" i="2"/>
  <c r="E150" i="2" s="1"/>
  <c r="I150" i="2" s="1"/>
  <c r="N460" i="2"/>
  <c r="M460" i="2"/>
  <c r="L460" i="2"/>
  <c r="L461" i="2" l="1"/>
  <c r="N461" i="2"/>
  <c r="M461" i="2"/>
  <c r="J150" i="2"/>
  <c r="D151" i="2" l="1"/>
  <c r="K150" i="2"/>
  <c r="N462" i="2"/>
  <c r="M462" i="2"/>
  <c r="L462" i="2"/>
  <c r="N463" i="2" l="1"/>
  <c r="M463" i="2"/>
  <c r="L463" i="2"/>
  <c r="B151" i="2"/>
  <c r="C151" i="2" s="1"/>
  <c r="F151" i="2"/>
  <c r="E151" i="2" s="1"/>
  <c r="G151" i="2"/>
  <c r="H151" i="2" l="1"/>
  <c r="J151" i="2" s="1"/>
  <c r="M464" i="2"/>
  <c r="L464" i="2"/>
  <c r="N464" i="2"/>
  <c r="D152" i="2" l="1"/>
  <c r="H86" i="1"/>
  <c r="K86" i="1" s="1"/>
  <c r="K151" i="2"/>
  <c r="N465" i="2"/>
  <c r="M465" i="2"/>
  <c r="L465" i="2"/>
  <c r="I151" i="2"/>
  <c r="N466" i="2" l="1"/>
  <c r="M466" i="2"/>
  <c r="L466" i="2"/>
  <c r="B152" i="2"/>
  <c r="C152" i="2" s="1"/>
  <c r="F152" i="2"/>
  <c r="G152" i="2" s="1"/>
  <c r="H152" i="2" l="1"/>
  <c r="E152" i="2"/>
  <c r="I152" i="2" s="1"/>
  <c r="J152" i="2"/>
  <c r="N467" i="2"/>
  <c r="M467" i="2"/>
  <c r="L467" i="2"/>
  <c r="N468" i="2" l="1"/>
  <c r="M468" i="2"/>
  <c r="L468" i="2"/>
  <c r="D153" i="2"/>
  <c r="K152" i="2"/>
  <c r="B153" i="2" l="1"/>
  <c r="C153" i="2" s="1"/>
  <c r="G153" i="2"/>
  <c r="F153" i="2"/>
  <c r="E153" i="2" s="1"/>
  <c r="N469" i="2"/>
  <c r="M469" i="2"/>
  <c r="L469" i="2"/>
  <c r="N470" i="2" l="1"/>
  <c r="M470" i="2"/>
  <c r="L470" i="2"/>
  <c r="H153" i="2"/>
  <c r="I153" i="2" s="1"/>
  <c r="N471" i="2" l="1"/>
  <c r="M471" i="2"/>
  <c r="L471" i="2"/>
  <c r="J153" i="2"/>
  <c r="D154" i="2" l="1"/>
  <c r="K153" i="2"/>
  <c r="N472" i="2"/>
  <c r="M472" i="2"/>
  <c r="L472" i="2"/>
  <c r="N473" i="2" l="1"/>
  <c r="M473" i="2"/>
  <c r="L473" i="2"/>
  <c r="B154" i="2"/>
  <c r="C154" i="2" s="1"/>
  <c r="F154" i="2"/>
  <c r="G154" i="2" s="1"/>
  <c r="H154" i="2" l="1"/>
  <c r="J154" i="2" s="1"/>
  <c r="E154" i="2"/>
  <c r="I154" i="2" s="1"/>
  <c r="N474" i="2"/>
  <c r="M474" i="2"/>
  <c r="L474" i="2"/>
  <c r="D155" i="2" l="1"/>
  <c r="K154" i="2"/>
  <c r="N475" i="2"/>
  <c r="M475" i="2"/>
  <c r="L475" i="2"/>
  <c r="N476" i="2" l="1"/>
  <c r="M476" i="2"/>
  <c r="L476" i="2"/>
  <c r="B155" i="2"/>
  <c r="C155" i="2" s="1"/>
  <c r="F155" i="2"/>
  <c r="G155" i="2" s="1"/>
  <c r="H155" i="2" l="1"/>
  <c r="J155" i="2" s="1"/>
  <c r="E155" i="2"/>
  <c r="I155" i="2" s="1"/>
  <c r="N477" i="2"/>
  <c r="M477" i="2"/>
  <c r="L477" i="2"/>
  <c r="D156" i="2" l="1"/>
  <c r="K155" i="2"/>
  <c r="N478" i="2"/>
  <c r="M478" i="2"/>
  <c r="L478" i="2"/>
  <c r="N479" i="2" l="1"/>
  <c r="M479" i="2"/>
  <c r="L479" i="2"/>
  <c r="G156" i="2"/>
  <c r="F156" i="2"/>
  <c r="B156" i="2"/>
  <c r="C156" i="2" s="1"/>
  <c r="E156" i="2" l="1"/>
  <c r="H156" i="2"/>
  <c r="J156" i="2" s="1"/>
  <c r="N480" i="2"/>
  <c r="M480" i="2"/>
  <c r="L480" i="2"/>
  <c r="D157" i="2" l="1"/>
  <c r="K156" i="2"/>
  <c r="L481" i="2"/>
  <c r="N481" i="2"/>
  <c r="M481" i="2"/>
  <c r="I156" i="2"/>
  <c r="N482" i="2" l="1"/>
  <c r="M482" i="2"/>
  <c r="L482" i="2"/>
  <c r="B157" i="2"/>
  <c r="C157" i="2" s="1"/>
  <c r="G157" i="2"/>
  <c r="H157" i="2" s="1"/>
  <c r="F157" i="2"/>
  <c r="E157" i="2" s="1"/>
  <c r="I157" i="2" s="1"/>
  <c r="J157" i="2" l="1"/>
  <c r="N483" i="2"/>
  <c r="M483" i="2"/>
  <c r="L483" i="2"/>
  <c r="M484" i="2" l="1"/>
  <c r="L484" i="2"/>
  <c r="N484" i="2"/>
  <c r="D158" i="2"/>
  <c r="K157" i="2"/>
  <c r="B158" i="2" l="1"/>
  <c r="C158" i="2" s="1"/>
  <c r="F158" i="2"/>
  <c r="E158" i="2" s="1"/>
  <c r="G158" i="2"/>
  <c r="N485" i="2"/>
  <c r="M485" i="2"/>
  <c r="L485" i="2"/>
  <c r="N486" i="2" l="1"/>
  <c r="M486" i="2"/>
  <c r="L486" i="2"/>
  <c r="H158" i="2"/>
  <c r="J158" i="2" s="1"/>
  <c r="D159" i="2" l="1"/>
  <c r="K158" i="2"/>
  <c r="N487" i="2"/>
  <c r="Q16" i="1" s="1"/>
  <c r="M487" i="2"/>
  <c r="L487" i="2"/>
  <c r="Q15" i="1" s="1"/>
  <c r="I158" i="2"/>
  <c r="B159" i="2" l="1"/>
  <c r="C159" i="2" s="1"/>
  <c r="G159" i="2"/>
  <c r="H159" i="2" s="1"/>
  <c r="F159" i="2"/>
  <c r="E159" i="2" s="1"/>
  <c r="I159" i="2" s="1"/>
  <c r="J159" i="2" l="1"/>
  <c r="D160" i="2" l="1"/>
  <c r="K159" i="2"/>
  <c r="B160" i="2" l="1"/>
  <c r="C160" i="2" s="1"/>
  <c r="F160" i="2"/>
  <c r="G160" i="2" l="1"/>
  <c r="H160" i="2" l="1"/>
  <c r="J160" i="2" s="1"/>
  <c r="E160" i="2"/>
  <c r="D161" i="2" l="1"/>
  <c r="K160" i="2"/>
  <c r="I160" i="2"/>
  <c r="B161" i="2" l="1"/>
  <c r="C161" i="2" s="1"/>
  <c r="F161" i="2"/>
  <c r="G161" i="2" s="1"/>
  <c r="H161" i="2" l="1"/>
  <c r="J161" i="2" s="1"/>
  <c r="E161" i="2"/>
  <c r="I161" i="2" s="1"/>
  <c r="D162" i="2" l="1"/>
  <c r="K161" i="2"/>
  <c r="B162" i="2" l="1"/>
  <c r="C162" i="2" s="1"/>
  <c r="F162" i="2"/>
  <c r="G162" i="2"/>
  <c r="H162" i="2" s="1"/>
  <c r="J162" i="2" l="1"/>
  <c r="E162" i="2"/>
  <c r="I162" i="2" s="1"/>
  <c r="D163" i="2" l="1"/>
  <c r="K162" i="2"/>
  <c r="F163" i="2" l="1"/>
  <c r="B163" i="2"/>
  <c r="C163" i="2" s="1"/>
  <c r="G163" i="2"/>
  <c r="E163" i="2" s="1"/>
  <c r="H163" i="2" l="1"/>
  <c r="I163" i="2" s="1"/>
  <c r="J163" i="2" l="1"/>
  <c r="D164" i="2" l="1"/>
  <c r="H87" i="1"/>
  <c r="K87" i="1" s="1"/>
  <c r="K163" i="2"/>
  <c r="F164" i="2" l="1"/>
  <c r="G164" i="2"/>
  <c r="B164" i="2"/>
  <c r="C164" i="2" s="1"/>
  <c r="E164" i="2" l="1"/>
  <c r="H164" i="2"/>
  <c r="J164" i="2" s="1"/>
  <c r="D165" i="2" l="1"/>
  <c r="K164" i="2"/>
  <c r="I164" i="2"/>
  <c r="B165" i="2" l="1"/>
  <c r="C165" i="2" s="1"/>
  <c r="G165" i="2"/>
  <c r="F165" i="2"/>
  <c r="E165" i="2" l="1"/>
  <c r="H165" i="2"/>
  <c r="J165" i="2" s="1"/>
  <c r="D166" i="2" l="1"/>
  <c r="K165" i="2"/>
  <c r="I165" i="2"/>
  <c r="F166" i="2" l="1"/>
  <c r="G166" i="2" s="1"/>
  <c r="B166" i="2"/>
  <c r="C166" i="2" s="1"/>
  <c r="H166" i="2" l="1"/>
  <c r="J166" i="2"/>
  <c r="E166" i="2"/>
  <c r="I166" i="2" s="1"/>
  <c r="D167" i="2" l="1"/>
  <c r="K166" i="2"/>
  <c r="B167" i="2" l="1"/>
  <c r="C167" i="2" s="1"/>
  <c r="F167" i="2"/>
  <c r="G167" i="2" s="1"/>
  <c r="E167" i="2" l="1"/>
  <c r="H167" i="2"/>
  <c r="J167" i="2" s="1"/>
  <c r="D168" i="2" l="1"/>
  <c r="K167" i="2"/>
  <c r="I167" i="2"/>
  <c r="F168" i="2" l="1"/>
  <c r="G168" i="2" s="1"/>
  <c r="B168" i="2"/>
  <c r="C168" i="2" s="1"/>
  <c r="H168" i="2" l="1"/>
  <c r="J168" i="2"/>
  <c r="E168" i="2"/>
  <c r="I168" i="2" s="1"/>
  <c r="D169" i="2" l="1"/>
  <c r="K168" i="2"/>
  <c r="F169" i="2" l="1"/>
  <c r="G169" i="2" s="1"/>
  <c r="B169" i="2"/>
  <c r="C169" i="2" s="1"/>
  <c r="H169" i="2" l="1"/>
  <c r="J169" i="2"/>
  <c r="E169" i="2"/>
  <c r="I169" i="2" s="1"/>
  <c r="D170" i="2" l="1"/>
  <c r="K169" i="2"/>
  <c r="F170" i="2" l="1"/>
  <c r="G170" i="2" s="1"/>
  <c r="B170" i="2"/>
  <c r="C170" i="2" s="1"/>
  <c r="H170" i="2" l="1"/>
  <c r="J170" i="2"/>
  <c r="E170" i="2"/>
  <c r="I170" i="2" s="1"/>
  <c r="D171" i="2" l="1"/>
  <c r="K170" i="2"/>
  <c r="B171" i="2" l="1"/>
  <c r="C171" i="2" s="1"/>
  <c r="G171" i="2"/>
  <c r="F171" i="2"/>
  <c r="E171" i="2" s="1"/>
  <c r="H171" i="2" l="1"/>
  <c r="I171" i="2" s="1"/>
  <c r="J171" i="2" l="1"/>
  <c r="D172" i="2" l="1"/>
  <c r="K171" i="2"/>
  <c r="B172" i="2" l="1"/>
  <c r="C172" i="2" s="1"/>
  <c r="F172" i="2"/>
  <c r="G172" i="2" s="1"/>
  <c r="H172" i="2" l="1"/>
  <c r="J172" i="2"/>
  <c r="E172" i="2"/>
  <c r="I172" i="2" s="1"/>
  <c r="D173" i="2" l="1"/>
  <c r="K172" i="2"/>
  <c r="B173" i="2" l="1"/>
  <c r="C173" i="2" s="1"/>
  <c r="F173" i="2"/>
  <c r="G173" i="2" l="1"/>
  <c r="H173" i="2" l="1"/>
  <c r="J173" i="2" s="1"/>
  <c r="E173" i="2"/>
  <c r="I173" i="2" s="1"/>
  <c r="D174" i="2" l="1"/>
  <c r="K173" i="2"/>
  <c r="B174" i="2" l="1"/>
  <c r="C174" i="2" s="1"/>
  <c r="G174" i="2"/>
  <c r="H174" i="2" s="1"/>
  <c r="J174" i="2" s="1"/>
  <c r="F174" i="2"/>
  <c r="D175" i="2" l="1"/>
  <c r="K174" i="2"/>
  <c r="E174" i="2"/>
  <c r="I174" i="2" s="1"/>
  <c r="B175" i="2" l="1"/>
  <c r="C175" i="2" s="1"/>
  <c r="F175" i="2"/>
  <c r="G175" i="2" s="1"/>
  <c r="H175" i="2" l="1"/>
  <c r="J175" i="2" s="1"/>
  <c r="E175" i="2"/>
  <c r="I175" i="2" s="1"/>
  <c r="D176" i="2" l="1"/>
  <c r="H88" i="1"/>
  <c r="K88" i="1" s="1"/>
  <c r="K175" i="2"/>
  <c r="B176" i="2" l="1"/>
  <c r="C176" i="2" s="1"/>
  <c r="G176" i="2"/>
  <c r="F176" i="2"/>
  <c r="E176" i="2" s="1"/>
  <c r="H176" i="2" l="1"/>
  <c r="I176" i="2" s="1"/>
  <c r="J176" i="2" l="1"/>
  <c r="D177" i="2" l="1"/>
  <c r="K176" i="2"/>
  <c r="B177" i="2" l="1"/>
  <c r="C177" i="2" s="1"/>
  <c r="F177" i="2"/>
  <c r="G177" i="2"/>
  <c r="E177" i="2" l="1"/>
  <c r="H177" i="2"/>
  <c r="J177" i="2" s="1"/>
  <c r="D178" i="2" l="1"/>
  <c r="K177" i="2"/>
  <c r="I177" i="2"/>
  <c r="B178" i="2" l="1"/>
  <c r="C178" i="2" s="1"/>
  <c r="F178" i="2"/>
  <c r="G178" i="2"/>
  <c r="E178" i="2" l="1"/>
  <c r="H178" i="2"/>
  <c r="J178" i="2" s="1"/>
  <c r="D179" i="2" l="1"/>
  <c r="K178" i="2"/>
  <c r="I178" i="2"/>
  <c r="B179" i="2" l="1"/>
  <c r="C179" i="2" s="1"/>
  <c r="F179" i="2"/>
  <c r="E179" i="2" s="1"/>
  <c r="G179" i="2"/>
  <c r="H179" i="2" s="1"/>
  <c r="I179" i="2" l="1"/>
  <c r="J179" i="2"/>
  <c r="D180" i="2" l="1"/>
  <c r="K179" i="2"/>
  <c r="B180" i="2" l="1"/>
  <c r="C180" i="2" s="1"/>
  <c r="F180" i="2"/>
  <c r="E180" i="2" s="1"/>
  <c r="G180" i="2"/>
  <c r="H180" i="2" l="1"/>
  <c r="J180" i="2" s="1"/>
  <c r="D181" i="2" l="1"/>
  <c r="K180" i="2"/>
  <c r="I180" i="2"/>
  <c r="B181" i="2" l="1"/>
  <c r="C181" i="2" s="1"/>
  <c r="G181" i="2"/>
  <c r="F181" i="2"/>
  <c r="E181" i="2" s="1"/>
  <c r="H181" i="2" l="1"/>
  <c r="I181" i="2" s="1"/>
  <c r="J181" i="2" l="1"/>
  <c r="D182" i="2" l="1"/>
  <c r="K181" i="2"/>
  <c r="B182" i="2" l="1"/>
  <c r="C182" i="2" s="1"/>
  <c r="G182" i="2"/>
  <c r="E182" i="2" s="1"/>
  <c r="I182" i="2" s="1"/>
  <c r="F182" i="2"/>
  <c r="H182" i="2"/>
  <c r="J182" i="2" l="1"/>
  <c r="D183" i="2" l="1"/>
  <c r="K182" i="2"/>
  <c r="F183" i="2" l="1"/>
  <c r="G183" i="2"/>
  <c r="E183" i="2" s="1"/>
  <c r="B183" i="2"/>
  <c r="C183" i="2" s="1"/>
  <c r="H183" i="2" l="1"/>
  <c r="I183" i="2" s="1"/>
  <c r="J183" i="2" l="1"/>
  <c r="D184" i="2" l="1"/>
  <c r="K183" i="2"/>
  <c r="F184" i="2" l="1"/>
  <c r="B184" i="2"/>
  <c r="C184" i="2" s="1"/>
  <c r="G184" i="2"/>
  <c r="E184" i="2" l="1"/>
  <c r="H184" i="2"/>
  <c r="J184" i="2" s="1"/>
  <c r="D185" i="2" l="1"/>
  <c r="K184" i="2"/>
  <c r="I184" i="2"/>
  <c r="B185" i="2" l="1"/>
  <c r="C185" i="2" s="1"/>
  <c r="F185" i="2"/>
  <c r="G185" i="2" s="1"/>
  <c r="H185" i="2" l="1"/>
  <c r="J185" i="2" s="1"/>
  <c r="E185" i="2"/>
  <c r="I185" i="2" s="1"/>
  <c r="D186" i="2" l="1"/>
  <c r="K185" i="2"/>
  <c r="F186" i="2" l="1"/>
  <c r="G186" i="2" s="1"/>
  <c r="B186" i="2"/>
  <c r="C186" i="2" s="1"/>
  <c r="E186" i="2" l="1"/>
  <c r="H186" i="2"/>
  <c r="J186" i="2"/>
  <c r="D187" i="2" l="1"/>
  <c r="K186" i="2"/>
  <c r="I186" i="2"/>
  <c r="B187" i="2" l="1"/>
  <c r="C187" i="2" s="1"/>
  <c r="F187" i="2"/>
  <c r="G187" i="2" s="1"/>
  <c r="H187" i="2" l="1"/>
  <c r="J187" i="2" s="1"/>
  <c r="E187" i="2"/>
  <c r="I187" i="2" s="1"/>
  <c r="D188" i="2" l="1"/>
  <c r="H89" i="1"/>
  <c r="K89" i="1" s="1"/>
  <c r="L7" i="1"/>
  <c r="K187" i="2"/>
  <c r="F188" i="2" l="1"/>
  <c r="G188" i="2" s="1"/>
  <c r="B188" i="2"/>
  <c r="C188" i="2" s="1"/>
  <c r="H188" i="2" l="1"/>
  <c r="J188" i="2" s="1"/>
  <c r="E188" i="2"/>
  <c r="I188" i="2" s="1"/>
  <c r="D189" i="2" l="1"/>
  <c r="K188" i="2"/>
  <c r="F189" i="2" l="1"/>
  <c r="G189" i="2" s="1"/>
  <c r="B189" i="2"/>
  <c r="C189" i="2" s="1"/>
  <c r="H189" i="2" l="1"/>
  <c r="E189" i="2"/>
  <c r="I189" i="2" s="1"/>
  <c r="J189" i="2"/>
  <c r="D190" i="2" l="1"/>
  <c r="K189" i="2"/>
  <c r="B190" i="2" l="1"/>
  <c r="C190" i="2" s="1"/>
  <c r="F190" i="2"/>
  <c r="G190" i="2" l="1"/>
  <c r="H190" i="2" l="1"/>
  <c r="J190" i="2"/>
  <c r="E190" i="2"/>
  <c r="I190" i="2" s="1"/>
  <c r="D191" i="2" l="1"/>
  <c r="K190" i="2"/>
  <c r="B191" i="2" l="1"/>
  <c r="C191" i="2" s="1"/>
  <c r="F191" i="2"/>
  <c r="G191" i="2" s="1"/>
  <c r="H191" i="2" l="1"/>
  <c r="J191" i="2" s="1"/>
  <c r="E191" i="2"/>
  <c r="I191" i="2" s="1"/>
  <c r="D192" i="2" l="1"/>
  <c r="K191" i="2"/>
  <c r="B192" i="2" l="1"/>
  <c r="C192" i="2" s="1"/>
  <c r="F192" i="2"/>
  <c r="G192" i="2" s="1"/>
  <c r="H192" i="2" l="1"/>
  <c r="J192" i="2"/>
  <c r="E192" i="2"/>
  <c r="I192" i="2" s="1"/>
  <c r="D193" i="2" l="1"/>
  <c r="K192" i="2"/>
  <c r="F193" i="2" l="1"/>
  <c r="G193" i="2" s="1"/>
  <c r="B193" i="2"/>
  <c r="C193" i="2" s="1"/>
  <c r="H193" i="2" l="1"/>
  <c r="J193" i="2"/>
  <c r="E193" i="2"/>
  <c r="I193" i="2" s="1"/>
  <c r="D194" i="2" l="1"/>
  <c r="K193" i="2"/>
  <c r="B194" i="2" l="1"/>
  <c r="C194" i="2" s="1"/>
  <c r="G194" i="2"/>
  <c r="J194" i="2" s="1"/>
  <c r="F194" i="2"/>
  <c r="H194" i="2"/>
  <c r="D195" i="2" l="1"/>
  <c r="K194" i="2"/>
  <c r="E194" i="2"/>
  <c r="I194" i="2" s="1"/>
  <c r="F195" i="2" l="1"/>
  <c r="G195" i="2" s="1"/>
  <c r="B195" i="2"/>
  <c r="C195" i="2" s="1"/>
  <c r="H195" i="2" l="1"/>
  <c r="J195" i="2" s="1"/>
  <c r="E195" i="2"/>
  <c r="I195" i="2" s="1"/>
  <c r="D196" i="2" l="1"/>
  <c r="K195" i="2"/>
  <c r="B196" i="2" l="1"/>
  <c r="C196" i="2" s="1"/>
  <c r="F196" i="2"/>
  <c r="G196" i="2" s="1"/>
  <c r="H196" i="2" l="1"/>
  <c r="J196" i="2" s="1"/>
  <c r="E196" i="2"/>
  <c r="I196" i="2" s="1"/>
  <c r="D197" i="2" l="1"/>
  <c r="K196" i="2"/>
  <c r="B197" i="2" l="1"/>
  <c r="C197" i="2" s="1"/>
  <c r="G197" i="2"/>
  <c r="H197" i="2" s="1"/>
  <c r="J197" i="2" s="1"/>
  <c r="F197" i="2"/>
  <c r="E197" i="2" s="1"/>
  <c r="I197" i="2" s="1"/>
  <c r="D198" i="2" l="1"/>
  <c r="K197" i="2"/>
  <c r="B198" i="2" l="1"/>
  <c r="C198" i="2" s="1"/>
  <c r="F198" i="2"/>
  <c r="G198" i="2" s="1"/>
  <c r="H198" i="2" l="1"/>
  <c r="J198" i="2"/>
  <c r="E198" i="2"/>
  <c r="I198" i="2" s="1"/>
  <c r="D199" i="2" l="1"/>
  <c r="K198" i="2"/>
  <c r="F199" i="2" l="1"/>
  <c r="E199" i="2" s="1"/>
  <c r="G199" i="2"/>
  <c r="H199" i="2" s="1"/>
  <c r="B199" i="2"/>
  <c r="C199" i="2" s="1"/>
  <c r="I199" i="2" l="1"/>
  <c r="J199" i="2"/>
  <c r="D200" i="2" l="1"/>
  <c r="H90" i="1"/>
  <c r="K90" i="1" s="1"/>
  <c r="K199" i="2"/>
  <c r="F200" i="2" l="1"/>
  <c r="B200" i="2"/>
  <c r="C200" i="2" s="1"/>
  <c r="G200" i="2" l="1"/>
  <c r="H200" i="2" l="1"/>
  <c r="J200" i="2"/>
  <c r="E200" i="2"/>
  <c r="I200" i="2" s="1"/>
  <c r="D201" i="2" l="1"/>
  <c r="K200" i="2"/>
  <c r="B201" i="2" l="1"/>
  <c r="C201" i="2" s="1"/>
  <c r="G201" i="2"/>
  <c r="F201" i="2"/>
  <c r="E201" i="2" s="1"/>
  <c r="H201" i="2" l="1"/>
  <c r="I201" i="2" s="1"/>
  <c r="J201" i="2" l="1"/>
  <c r="D202" i="2" l="1"/>
  <c r="K201" i="2"/>
  <c r="B202" i="2" l="1"/>
  <c r="C202" i="2" s="1"/>
  <c r="F202" i="2"/>
  <c r="G202" i="2" l="1"/>
  <c r="H202" i="2" l="1"/>
  <c r="J202" i="2" s="1"/>
  <c r="E202" i="2"/>
  <c r="I202" i="2" s="1"/>
  <c r="D203" i="2" l="1"/>
  <c r="K202" i="2"/>
  <c r="F203" i="2" l="1"/>
  <c r="B203" i="2"/>
  <c r="C203" i="2" s="1"/>
  <c r="G203" i="2"/>
  <c r="E203" i="2" s="1"/>
  <c r="H203" i="2" l="1"/>
  <c r="I203" i="2" s="1"/>
  <c r="J203" i="2"/>
  <c r="D204" i="2" l="1"/>
  <c r="K203" i="2"/>
  <c r="F204" i="2" l="1"/>
  <c r="G204" i="2"/>
  <c r="H204" i="2" s="1"/>
  <c r="B204" i="2"/>
  <c r="C204" i="2" s="1"/>
  <c r="J204" i="2" l="1"/>
  <c r="E204" i="2"/>
  <c r="I204" i="2" s="1"/>
  <c r="D205" i="2" l="1"/>
  <c r="K204" i="2"/>
  <c r="B205" i="2" l="1"/>
  <c r="C205" i="2" s="1"/>
  <c r="F205" i="2"/>
  <c r="G205" i="2" s="1"/>
  <c r="H205" i="2" l="1"/>
  <c r="J205" i="2" s="1"/>
  <c r="E205" i="2"/>
  <c r="I205" i="2" s="1"/>
  <c r="D206" i="2" l="1"/>
  <c r="K205" i="2"/>
  <c r="F206" i="2" l="1"/>
  <c r="G206" i="2" s="1"/>
  <c r="B206" i="2"/>
  <c r="C206" i="2" s="1"/>
  <c r="H206" i="2" l="1"/>
  <c r="J206" i="2"/>
  <c r="E206" i="2"/>
  <c r="I206" i="2" s="1"/>
  <c r="D207" i="2" l="1"/>
  <c r="K206" i="2"/>
  <c r="B207" i="2" l="1"/>
  <c r="C207" i="2" s="1"/>
  <c r="F207" i="2"/>
  <c r="G207" i="2" s="1"/>
  <c r="H207" i="2" l="1"/>
  <c r="J207" i="2"/>
  <c r="E207" i="2"/>
  <c r="I207" i="2" s="1"/>
  <c r="D208" i="2" l="1"/>
  <c r="K207" i="2"/>
  <c r="B208" i="2" l="1"/>
  <c r="C208" i="2" s="1"/>
  <c r="F208" i="2"/>
  <c r="G208" i="2" l="1"/>
  <c r="H208" i="2" l="1"/>
  <c r="J208" i="2" s="1"/>
  <c r="E208" i="2"/>
  <c r="I208" i="2" s="1"/>
  <c r="D209" i="2" l="1"/>
  <c r="K208" i="2"/>
  <c r="F209" i="2" l="1"/>
  <c r="G209" i="2" s="1"/>
  <c r="B209" i="2"/>
  <c r="C209" i="2" s="1"/>
  <c r="H209" i="2" l="1"/>
  <c r="J209" i="2"/>
  <c r="E209" i="2"/>
  <c r="I209" i="2" s="1"/>
  <c r="D210" i="2" l="1"/>
  <c r="K209" i="2"/>
  <c r="B210" i="2" l="1"/>
  <c r="C210" i="2" s="1"/>
  <c r="F210" i="2"/>
  <c r="G210" i="2" l="1"/>
  <c r="H210" i="2" l="1"/>
  <c r="J210" i="2"/>
  <c r="E210" i="2"/>
  <c r="I210" i="2" s="1"/>
  <c r="D211" i="2" l="1"/>
  <c r="K210" i="2"/>
  <c r="B211" i="2" l="1"/>
  <c r="C211" i="2" s="1"/>
  <c r="F211" i="2"/>
  <c r="E211" i="2" s="1"/>
  <c r="G211" i="2"/>
  <c r="H211" i="2" l="1"/>
  <c r="J211" i="2" s="1"/>
  <c r="D212" i="2" l="1"/>
  <c r="H91" i="1"/>
  <c r="K91" i="1" s="1"/>
  <c r="K211" i="2"/>
  <c r="I211" i="2"/>
  <c r="B212" i="2" l="1"/>
  <c r="C212" i="2" s="1"/>
  <c r="F212" i="2"/>
  <c r="G212" i="2" s="1"/>
  <c r="H212" i="2" l="1"/>
  <c r="J212" i="2"/>
  <c r="E212" i="2"/>
  <c r="I212" i="2" s="1"/>
  <c r="D213" i="2" l="1"/>
  <c r="K212" i="2"/>
  <c r="F213" i="2" l="1"/>
  <c r="G213" i="2"/>
  <c r="B213" i="2"/>
  <c r="C213" i="2" s="1"/>
  <c r="E213" i="2" l="1"/>
  <c r="H213" i="2"/>
  <c r="J213" i="2" s="1"/>
  <c r="D214" i="2" l="1"/>
  <c r="K213" i="2"/>
  <c r="I213" i="2"/>
  <c r="B214" i="2" l="1"/>
  <c r="C214" i="2" s="1"/>
  <c r="G214" i="2"/>
  <c r="F214" i="2"/>
  <c r="H214" i="2" l="1"/>
  <c r="J214" i="2" s="1"/>
  <c r="E214" i="2"/>
  <c r="I214" i="2" s="1"/>
  <c r="D215" i="2" l="1"/>
  <c r="K214" i="2"/>
  <c r="B215" i="2" l="1"/>
  <c r="C215" i="2" s="1"/>
  <c r="F215" i="2"/>
  <c r="G215" i="2" l="1"/>
  <c r="H215" i="2" l="1"/>
  <c r="J215" i="2" s="1"/>
  <c r="E215" i="2"/>
  <c r="I215" i="2" s="1"/>
  <c r="D216" i="2" l="1"/>
  <c r="K215" i="2"/>
  <c r="F216" i="2" l="1"/>
  <c r="G216" i="2" s="1"/>
  <c r="B216" i="2"/>
  <c r="C216" i="2" s="1"/>
  <c r="H216" i="2" l="1"/>
  <c r="J216" i="2" s="1"/>
  <c r="E216" i="2"/>
  <c r="I216" i="2" s="1"/>
  <c r="D217" i="2" l="1"/>
  <c r="K216" i="2"/>
  <c r="B217" i="2" l="1"/>
  <c r="C217" i="2" s="1"/>
  <c r="F217" i="2"/>
  <c r="G217" i="2" s="1"/>
  <c r="H217" i="2" l="1"/>
  <c r="J217" i="2" s="1"/>
  <c r="E217" i="2"/>
  <c r="I217" i="2" s="1"/>
  <c r="D218" i="2" l="1"/>
  <c r="K217" i="2"/>
  <c r="F218" i="2" l="1"/>
  <c r="G218" i="2" s="1"/>
  <c r="B218" i="2"/>
  <c r="C218" i="2" s="1"/>
  <c r="H218" i="2" l="1"/>
  <c r="J218" i="2" s="1"/>
  <c r="E218" i="2"/>
  <c r="I218" i="2" s="1"/>
  <c r="D219" i="2" l="1"/>
  <c r="K218" i="2"/>
  <c r="F219" i="2" l="1"/>
  <c r="G219" i="2" s="1"/>
  <c r="B219" i="2"/>
  <c r="C219" i="2" s="1"/>
  <c r="H219" i="2" l="1"/>
  <c r="J219" i="2" s="1"/>
  <c r="E219" i="2"/>
  <c r="I219" i="2" s="1"/>
  <c r="D220" i="2" l="1"/>
  <c r="K219" i="2"/>
  <c r="F220" i="2" l="1"/>
  <c r="B220" i="2"/>
  <c r="C220" i="2" s="1"/>
  <c r="G220" i="2" l="1"/>
  <c r="H220" i="2" l="1"/>
  <c r="J220" i="2"/>
  <c r="E220" i="2"/>
  <c r="I220" i="2" s="1"/>
  <c r="D221" i="2" l="1"/>
  <c r="K220" i="2"/>
  <c r="B221" i="2" l="1"/>
  <c r="C221" i="2" s="1"/>
  <c r="F221" i="2"/>
  <c r="E221" i="2" s="1"/>
  <c r="G221" i="2"/>
  <c r="H221" i="2" l="1"/>
  <c r="J221" i="2" s="1"/>
  <c r="D222" i="2" l="1"/>
  <c r="K221" i="2"/>
  <c r="I221" i="2"/>
  <c r="F222" i="2" l="1"/>
  <c r="G222" i="2" s="1"/>
  <c r="B222" i="2"/>
  <c r="C222" i="2" s="1"/>
  <c r="H222" i="2" l="1"/>
  <c r="J222" i="2" s="1"/>
  <c r="E222" i="2"/>
  <c r="I222" i="2" s="1"/>
  <c r="D223" i="2" l="1"/>
  <c r="K222" i="2"/>
  <c r="F223" i="2" l="1"/>
  <c r="B223" i="2"/>
  <c r="C223" i="2" s="1"/>
  <c r="G223" i="2"/>
  <c r="E223" i="2" s="1"/>
  <c r="H223" i="2" l="1"/>
  <c r="I223" i="2" s="1"/>
  <c r="J223" i="2" l="1"/>
  <c r="D224" i="2" l="1"/>
  <c r="H92" i="1"/>
  <c r="K92" i="1" s="1"/>
  <c r="K223" i="2"/>
  <c r="F224" i="2" l="1"/>
  <c r="B224" i="2"/>
  <c r="C224" i="2" s="1"/>
  <c r="G224" i="2"/>
  <c r="E224" i="2" s="1"/>
  <c r="H224" i="2" l="1"/>
  <c r="I224" i="2" s="1"/>
  <c r="J224" i="2"/>
  <c r="D225" i="2" l="1"/>
  <c r="K224" i="2"/>
  <c r="B225" i="2" l="1"/>
  <c r="C225" i="2" s="1"/>
  <c r="F225" i="2"/>
  <c r="G225" i="2"/>
  <c r="H225" i="2" l="1"/>
  <c r="J225" i="2" s="1"/>
  <c r="E225" i="2"/>
  <c r="I225" i="2" s="1"/>
  <c r="D226" i="2" l="1"/>
  <c r="K225" i="2"/>
  <c r="F226" i="2" l="1"/>
  <c r="G226" i="2" s="1"/>
  <c r="B226" i="2"/>
  <c r="C226" i="2" s="1"/>
  <c r="H226" i="2" l="1"/>
  <c r="J226" i="2"/>
  <c r="E226" i="2"/>
  <c r="I226" i="2" s="1"/>
  <c r="D227" i="2" l="1"/>
  <c r="K226" i="2"/>
  <c r="B227" i="2" l="1"/>
  <c r="C227" i="2" s="1"/>
  <c r="F227" i="2"/>
  <c r="G227" i="2" s="1"/>
  <c r="E227" i="2" l="1"/>
  <c r="H227" i="2"/>
  <c r="J227" i="2" s="1"/>
  <c r="D228" i="2" l="1"/>
  <c r="K227" i="2"/>
  <c r="I227" i="2"/>
  <c r="B228" i="2" l="1"/>
  <c r="C228" i="2" s="1"/>
  <c r="F228" i="2"/>
  <c r="E228" i="2" s="1"/>
  <c r="G228" i="2"/>
  <c r="H228" i="2" l="1"/>
  <c r="J228" i="2" s="1"/>
  <c r="D229" i="2" l="1"/>
  <c r="K228" i="2"/>
  <c r="I228" i="2"/>
  <c r="F229" i="2" l="1"/>
  <c r="G229" i="2" s="1"/>
  <c r="B229" i="2"/>
  <c r="C229" i="2" s="1"/>
  <c r="H229" i="2" l="1"/>
  <c r="J229" i="2"/>
  <c r="E229" i="2"/>
  <c r="I229" i="2" s="1"/>
  <c r="D230" i="2" l="1"/>
  <c r="K229" i="2"/>
  <c r="B230" i="2" l="1"/>
  <c r="C230" i="2" s="1"/>
  <c r="F230" i="2"/>
  <c r="G230" i="2" s="1"/>
  <c r="H230" i="2" l="1"/>
  <c r="J230" i="2"/>
  <c r="E230" i="2"/>
  <c r="I230" i="2" s="1"/>
  <c r="D231" i="2" l="1"/>
  <c r="K230" i="2"/>
  <c r="B231" i="2" l="1"/>
  <c r="C231" i="2" s="1"/>
  <c r="G231" i="2"/>
  <c r="F231" i="2"/>
  <c r="E231" i="2" s="1"/>
  <c r="H231" i="2" l="1"/>
  <c r="I231" i="2" s="1"/>
  <c r="J231" i="2" l="1"/>
  <c r="D232" i="2" l="1"/>
  <c r="K231" i="2"/>
  <c r="B232" i="2" l="1"/>
  <c r="C232" i="2" s="1"/>
  <c r="F232" i="2"/>
  <c r="G232" i="2" s="1"/>
  <c r="H232" i="2" l="1"/>
  <c r="J232" i="2"/>
  <c r="E232" i="2"/>
  <c r="I232" i="2" s="1"/>
  <c r="D233" i="2" l="1"/>
  <c r="K232" i="2"/>
  <c r="B233" i="2" l="1"/>
  <c r="C233" i="2" s="1"/>
  <c r="G233" i="2"/>
  <c r="F233" i="2"/>
  <c r="E233" i="2" s="1"/>
  <c r="H233" i="2" l="1"/>
  <c r="I233" i="2" s="1"/>
  <c r="J233" i="2" l="1"/>
  <c r="D234" i="2" l="1"/>
  <c r="K233" i="2"/>
  <c r="B234" i="2" l="1"/>
  <c r="C234" i="2" s="1"/>
  <c r="G234" i="2"/>
  <c r="E234" i="2" s="1"/>
  <c r="I234" i="2" s="1"/>
  <c r="F234" i="2"/>
  <c r="H234" i="2"/>
  <c r="J234" i="2" l="1"/>
  <c r="D235" i="2" l="1"/>
  <c r="K234" i="2"/>
  <c r="B235" i="2" l="1"/>
  <c r="C235" i="2" s="1"/>
  <c r="F235" i="2"/>
  <c r="G235" i="2" l="1"/>
  <c r="H235" i="2" l="1"/>
  <c r="J235" i="2" s="1"/>
  <c r="E235" i="2"/>
  <c r="D236" i="2" l="1"/>
  <c r="H93" i="1"/>
  <c r="K93" i="1" s="1"/>
  <c r="K235" i="2"/>
  <c r="I235" i="2"/>
  <c r="G236" i="2" l="1"/>
  <c r="F236" i="2"/>
  <c r="B236" i="2"/>
  <c r="C236" i="2" s="1"/>
  <c r="E236" i="2" l="1"/>
  <c r="H236" i="2"/>
  <c r="J236" i="2" s="1"/>
  <c r="D237" i="2" l="1"/>
  <c r="K236" i="2"/>
  <c r="I236" i="2"/>
  <c r="B237" i="2" l="1"/>
  <c r="C237" i="2" s="1"/>
  <c r="F237" i="2"/>
  <c r="E237" i="2" s="1"/>
  <c r="G237" i="2"/>
  <c r="H237" i="2" l="1"/>
  <c r="J237" i="2" s="1"/>
  <c r="D238" i="2" l="1"/>
  <c r="K237" i="2"/>
  <c r="I237" i="2"/>
  <c r="B238" i="2" l="1"/>
  <c r="C238" i="2" s="1"/>
  <c r="F238" i="2"/>
  <c r="E238" i="2" s="1"/>
  <c r="G238" i="2"/>
  <c r="H238" i="2" l="1"/>
  <c r="J238" i="2" s="1"/>
  <c r="D239" i="2" l="1"/>
  <c r="K238" i="2"/>
  <c r="I238" i="2"/>
  <c r="B239" i="2" l="1"/>
  <c r="C239" i="2" s="1"/>
  <c r="F239" i="2"/>
  <c r="G239" i="2" s="1"/>
  <c r="H239" i="2" l="1"/>
  <c r="J239" i="2" s="1"/>
  <c r="E239" i="2"/>
  <c r="I239" i="2" s="1"/>
  <c r="D240" i="2" l="1"/>
  <c r="K239" i="2"/>
  <c r="G240" i="2" l="1"/>
  <c r="F240" i="2"/>
  <c r="E240" i="2" s="1"/>
  <c r="B240" i="2"/>
  <c r="C240" i="2" s="1"/>
  <c r="H240" i="2" l="1"/>
  <c r="I240" i="2" s="1"/>
  <c r="J240" i="2" l="1"/>
  <c r="D241" i="2" l="1"/>
  <c r="K240" i="2"/>
  <c r="F241" i="2" l="1"/>
  <c r="B241" i="2"/>
  <c r="C241" i="2" s="1"/>
  <c r="G241" i="2" l="1"/>
  <c r="H241" i="2" l="1"/>
  <c r="J241" i="2" s="1"/>
  <c r="E241" i="2"/>
  <c r="I241" i="2" s="1"/>
  <c r="D242" i="2" l="1"/>
  <c r="K241" i="2"/>
  <c r="F242" i="2" l="1"/>
  <c r="G242" i="2" s="1"/>
  <c r="B242" i="2"/>
  <c r="C242" i="2" s="1"/>
  <c r="E242" i="2" l="1"/>
  <c r="H242" i="2"/>
  <c r="J242" i="2" s="1"/>
  <c r="D243" i="2" l="1"/>
  <c r="K242" i="2"/>
  <c r="I242" i="2"/>
  <c r="F243" i="2" l="1"/>
  <c r="G243" i="2"/>
  <c r="E243" i="2" s="1"/>
  <c r="B243" i="2"/>
  <c r="C243" i="2" s="1"/>
  <c r="H243" i="2" l="1"/>
  <c r="I243" i="2" s="1"/>
  <c r="J243" i="2"/>
  <c r="D244" i="2" l="1"/>
  <c r="K243" i="2"/>
  <c r="F244" i="2" l="1"/>
  <c r="B244" i="2"/>
  <c r="C244" i="2" s="1"/>
  <c r="G244" i="2"/>
  <c r="H244" i="2" s="1"/>
  <c r="J244" i="2" l="1"/>
  <c r="E244" i="2"/>
  <c r="I244" i="2" s="1"/>
  <c r="D245" i="2" l="1"/>
  <c r="K244" i="2"/>
  <c r="F245" i="2" l="1"/>
  <c r="G245" i="2" s="1"/>
  <c r="B245" i="2"/>
  <c r="C245" i="2" s="1"/>
  <c r="H245" i="2" l="1"/>
  <c r="J245" i="2"/>
  <c r="E245" i="2"/>
  <c r="I245" i="2" s="1"/>
  <c r="D246" i="2" l="1"/>
  <c r="K245" i="2"/>
  <c r="F246" i="2" l="1"/>
  <c r="G246" i="2" s="1"/>
  <c r="B246" i="2"/>
  <c r="C246" i="2" s="1"/>
  <c r="H246" i="2" l="1"/>
  <c r="J246" i="2" s="1"/>
  <c r="E246" i="2"/>
  <c r="I246" i="2" s="1"/>
  <c r="D247" i="2" l="1"/>
  <c r="K246" i="2"/>
  <c r="F247" i="2" l="1"/>
  <c r="G247" i="2" s="1"/>
  <c r="B247" i="2"/>
  <c r="C247" i="2" s="1"/>
  <c r="H247" i="2" l="1"/>
  <c r="J247" i="2" s="1"/>
  <c r="E247" i="2"/>
  <c r="D248" i="2" l="1"/>
  <c r="H94" i="1"/>
  <c r="K94" i="1" s="1"/>
  <c r="K247" i="2"/>
  <c r="I247" i="2"/>
  <c r="F248" i="2" l="1"/>
  <c r="G248" i="2" s="1"/>
  <c r="B248" i="2"/>
  <c r="C248" i="2" s="1"/>
  <c r="H248" i="2" l="1"/>
  <c r="J248" i="2"/>
  <c r="E248" i="2"/>
  <c r="I248" i="2" s="1"/>
  <c r="D249" i="2" l="1"/>
  <c r="K248" i="2"/>
  <c r="F249" i="2" l="1"/>
  <c r="G249" i="2" s="1"/>
  <c r="B249" i="2"/>
  <c r="C249" i="2" s="1"/>
  <c r="H249" i="2" l="1"/>
  <c r="J249" i="2"/>
  <c r="E249" i="2"/>
  <c r="I249" i="2" s="1"/>
  <c r="D250" i="2" l="1"/>
  <c r="K249" i="2"/>
  <c r="B250" i="2" l="1"/>
  <c r="C250" i="2" s="1"/>
  <c r="F250" i="2"/>
  <c r="G250" i="2" s="1"/>
  <c r="H250" i="2" l="1"/>
  <c r="J250" i="2"/>
  <c r="E250" i="2"/>
  <c r="I250" i="2" s="1"/>
  <c r="D251" i="2" l="1"/>
  <c r="K250" i="2"/>
  <c r="B251" i="2" l="1"/>
  <c r="C251" i="2" s="1"/>
  <c r="F251" i="2"/>
  <c r="G251" i="2"/>
  <c r="E251" i="2" l="1"/>
  <c r="H251" i="2"/>
  <c r="J251" i="2" s="1"/>
  <c r="D252" i="2" l="1"/>
  <c r="K251" i="2"/>
  <c r="I251" i="2"/>
  <c r="B252" i="2" l="1"/>
  <c r="C252" i="2" s="1"/>
  <c r="F252" i="2"/>
  <c r="G252" i="2" s="1"/>
  <c r="H252" i="2" l="1"/>
  <c r="J252" i="2"/>
  <c r="E252" i="2"/>
  <c r="I252" i="2" s="1"/>
  <c r="D253" i="2" l="1"/>
  <c r="K252" i="2"/>
  <c r="B253" i="2" l="1"/>
  <c r="C253" i="2" s="1"/>
  <c r="F253" i="2"/>
  <c r="G253" i="2" s="1"/>
  <c r="H253" i="2" l="1"/>
  <c r="J253" i="2"/>
  <c r="E253" i="2"/>
  <c r="I253" i="2" s="1"/>
  <c r="D254" i="2" l="1"/>
  <c r="K253" i="2"/>
  <c r="B254" i="2" l="1"/>
  <c r="C254" i="2" s="1"/>
  <c r="F254" i="2"/>
  <c r="G254" i="2" l="1"/>
  <c r="H254" i="2" l="1"/>
  <c r="J254" i="2" s="1"/>
  <c r="E254" i="2"/>
  <c r="I254" i="2" s="1"/>
  <c r="D255" i="2" l="1"/>
  <c r="K254" i="2"/>
  <c r="B255" i="2" l="1"/>
  <c r="C255" i="2" s="1"/>
  <c r="G255" i="2"/>
  <c r="F255" i="2"/>
  <c r="E255" i="2" s="1"/>
  <c r="H255" i="2" l="1"/>
  <c r="J255" i="2" s="1"/>
  <c r="D256" i="2" l="1"/>
  <c r="K255" i="2"/>
  <c r="I255" i="2"/>
  <c r="B256" i="2" l="1"/>
  <c r="C256" i="2" s="1"/>
  <c r="G256" i="2"/>
  <c r="F256" i="2"/>
  <c r="E256" i="2" l="1"/>
  <c r="H256" i="2"/>
  <c r="J256" i="2" s="1"/>
  <c r="D257" i="2" l="1"/>
  <c r="K256" i="2"/>
  <c r="I256" i="2"/>
  <c r="B257" i="2" l="1"/>
  <c r="C257" i="2" s="1"/>
  <c r="F257" i="2"/>
  <c r="G257" i="2" s="1"/>
  <c r="H257" i="2" l="1"/>
  <c r="J257" i="2"/>
  <c r="E257" i="2"/>
  <c r="I257" i="2" s="1"/>
  <c r="D258" i="2" l="1"/>
  <c r="K257" i="2"/>
  <c r="B258" i="2" l="1"/>
  <c r="C258" i="2" s="1"/>
  <c r="G258" i="2"/>
  <c r="F258" i="2"/>
  <c r="H258" i="2" l="1"/>
  <c r="J258" i="2" s="1"/>
  <c r="E258" i="2"/>
  <c r="D259" i="2" l="1"/>
  <c r="K258" i="2"/>
  <c r="I258" i="2"/>
  <c r="B259" i="2" l="1"/>
  <c r="C259" i="2" s="1"/>
  <c r="G259" i="2"/>
  <c r="F259" i="2"/>
  <c r="E259" i="2" s="1"/>
  <c r="H259" i="2" l="1"/>
  <c r="I259" i="2" s="1"/>
  <c r="J259" i="2" l="1"/>
  <c r="D260" i="2" l="1"/>
  <c r="H95" i="1"/>
  <c r="K95" i="1" s="1"/>
  <c r="K259" i="2"/>
  <c r="F260" i="2" l="1"/>
  <c r="B260" i="2"/>
  <c r="C260" i="2" s="1"/>
  <c r="G260" i="2" l="1"/>
  <c r="H260" i="2" l="1"/>
  <c r="J260" i="2" s="1"/>
  <c r="E260" i="2"/>
  <c r="I260" i="2" s="1"/>
  <c r="D261" i="2" l="1"/>
  <c r="K260" i="2"/>
  <c r="G261" i="2" l="1"/>
  <c r="F261" i="2"/>
  <c r="E261" i="2" s="1"/>
  <c r="B261" i="2"/>
  <c r="C261" i="2" s="1"/>
  <c r="H261" i="2" l="1"/>
  <c r="I261" i="2" s="1"/>
  <c r="J261" i="2" l="1"/>
  <c r="D262" i="2" l="1"/>
  <c r="K261" i="2"/>
  <c r="B262" i="2" l="1"/>
  <c r="C262" i="2" s="1"/>
  <c r="F262" i="2"/>
  <c r="G262" i="2" s="1"/>
  <c r="H262" i="2" l="1"/>
  <c r="J262" i="2" s="1"/>
  <c r="E262" i="2"/>
  <c r="I262" i="2" s="1"/>
  <c r="D263" i="2" l="1"/>
  <c r="K262" i="2"/>
  <c r="F263" i="2" l="1"/>
  <c r="B263" i="2"/>
  <c r="C263" i="2" s="1"/>
  <c r="G263" i="2"/>
  <c r="E263" i="2" s="1"/>
  <c r="H263" i="2" l="1"/>
  <c r="I263" i="2" s="1"/>
  <c r="J263" i="2"/>
  <c r="D264" i="2" l="1"/>
  <c r="K263" i="2"/>
  <c r="F264" i="2" l="1"/>
  <c r="G264" i="2"/>
  <c r="B264" i="2"/>
  <c r="C264" i="2" s="1"/>
  <c r="E264" i="2" l="1"/>
  <c r="H264" i="2"/>
  <c r="J264" i="2" s="1"/>
  <c r="D265" i="2" l="1"/>
  <c r="K264" i="2"/>
  <c r="I264" i="2"/>
  <c r="F265" i="2" l="1"/>
  <c r="G265" i="2" s="1"/>
  <c r="B265" i="2"/>
  <c r="C265" i="2" s="1"/>
  <c r="H265" i="2" l="1"/>
  <c r="J265" i="2"/>
  <c r="E265" i="2"/>
  <c r="I265" i="2" s="1"/>
  <c r="D266" i="2" l="1"/>
  <c r="K265" i="2"/>
  <c r="F266" i="2" l="1"/>
  <c r="G266" i="2" s="1"/>
  <c r="B266" i="2"/>
  <c r="C266" i="2" s="1"/>
  <c r="H266" i="2" l="1"/>
  <c r="J266" i="2" s="1"/>
  <c r="E266" i="2"/>
  <c r="I266" i="2" s="1"/>
  <c r="D267" i="2" l="1"/>
  <c r="K266" i="2"/>
  <c r="F267" i="2" l="1"/>
  <c r="G267" i="2" s="1"/>
  <c r="B267" i="2"/>
  <c r="C267" i="2" s="1"/>
  <c r="H267" i="2" l="1"/>
  <c r="J267" i="2" s="1"/>
  <c r="E267" i="2"/>
  <c r="I267" i="2" s="1"/>
  <c r="D268" i="2" l="1"/>
  <c r="K267" i="2"/>
  <c r="F268" i="2" l="1"/>
  <c r="G268" i="2" s="1"/>
  <c r="B268" i="2"/>
  <c r="C268" i="2" s="1"/>
  <c r="H268" i="2" l="1"/>
  <c r="J268" i="2"/>
  <c r="E268" i="2"/>
  <c r="I268" i="2" s="1"/>
  <c r="D269" i="2" l="1"/>
  <c r="K268" i="2"/>
  <c r="F269" i="2" l="1"/>
  <c r="G269" i="2" s="1"/>
  <c r="B269" i="2"/>
  <c r="C269" i="2" s="1"/>
  <c r="H269" i="2" l="1"/>
  <c r="J269" i="2"/>
  <c r="E269" i="2"/>
  <c r="I269" i="2" s="1"/>
  <c r="D270" i="2" l="1"/>
  <c r="K269" i="2"/>
  <c r="F270" i="2" l="1"/>
  <c r="G270" i="2" s="1"/>
  <c r="B270" i="2"/>
  <c r="C270" i="2" s="1"/>
  <c r="H270" i="2" l="1"/>
  <c r="J270" i="2"/>
  <c r="E270" i="2"/>
  <c r="I270" i="2" s="1"/>
  <c r="D271" i="2" l="1"/>
  <c r="K270" i="2"/>
  <c r="B271" i="2" l="1"/>
  <c r="C271" i="2" s="1"/>
  <c r="F271" i="2"/>
  <c r="E271" i="2" s="1"/>
  <c r="G271" i="2"/>
  <c r="H271" i="2" s="1"/>
  <c r="I271" i="2" l="1"/>
  <c r="J271" i="2"/>
  <c r="D272" i="2" l="1"/>
  <c r="H96" i="1"/>
  <c r="K96" i="1" s="1"/>
  <c r="K271" i="2"/>
  <c r="B272" i="2" l="1"/>
  <c r="C272" i="2" s="1"/>
  <c r="F272" i="2"/>
  <c r="G272" i="2" s="1"/>
  <c r="H272" i="2" l="1"/>
  <c r="J272" i="2"/>
  <c r="E272" i="2"/>
  <c r="I272" i="2" s="1"/>
  <c r="D273" i="2" l="1"/>
  <c r="K272" i="2"/>
  <c r="I273" i="2" l="1"/>
  <c r="K273" i="2"/>
  <c r="J273" i="2"/>
  <c r="D274" i="2" s="1"/>
  <c r="G273" i="2"/>
  <c r="H273" i="2" s="1"/>
  <c r="F273" i="2"/>
  <c r="B273" i="2"/>
  <c r="C273" i="2" s="1"/>
  <c r="E273" i="2"/>
  <c r="B274" i="2" l="1"/>
  <c r="C274" i="2" s="1"/>
  <c r="G274" i="2"/>
  <c r="F274" i="2"/>
  <c r="E274" i="2"/>
  <c r="J274" i="2"/>
  <c r="D275" i="2" s="1"/>
  <c r="I274" i="2"/>
  <c r="K274" i="2"/>
  <c r="H274" i="2"/>
  <c r="J275" i="2" l="1"/>
  <c r="D276" i="2" s="1"/>
  <c r="I275" i="2"/>
  <c r="B275" i="2"/>
  <c r="C275" i="2" s="1"/>
  <c r="G275" i="2"/>
  <c r="H275" i="2" s="1"/>
  <c r="F275" i="2"/>
  <c r="E275" i="2"/>
  <c r="K275" i="2"/>
  <c r="J276" i="2" l="1"/>
  <c r="D277" i="2" s="1"/>
  <c r="E276" i="2"/>
  <c r="B276" i="2"/>
  <c r="C276" i="2" s="1"/>
  <c r="K276" i="2"/>
  <c r="I276" i="2"/>
  <c r="F276" i="2"/>
  <c r="G276" i="2"/>
  <c r="H276" i="2" s="1"/>
  <c r="B277" i="2" l="1"/>
  <c r="C277" i="2" s="1"/>
  <c r="G277" i="2"/>
  <c r="H277" i="2" s="1"/>
  <c r="F277" i="2"/>
  <c r="E277" i="2"/>
  <c r="J277" i="2"/>
  <c r="D278" i="2" s="1"/>
  <c r="K277" i="2"/>
  <c r="I277" i="2"/>
  <c r="K278" i="2" l="1"/>
  <c r="J278" i="2"/>
  <c r="D279" i="2" s="1"/>
  <c r="I278" i="2"/>
  <c r="B278" i="2"/>
  <c r="C278" i="2" s="1"/>
  <c r="G278" i="2"/>
  <c r="H278" i="2" s="1"/>
  <c r="F278" i="2"/>
  <c r="E278" i="2"/>
  <c r="K279" i="2" l="1"/>
  <c r="J279" i="2"/>
  <c r="D280" i="2" s="1"/>
  <c r="I279" i="2"/>
  <c r="G279" i="2"/>
  <c r="H279" i="2" s="1"/>
  <c r="F279" i="2"/>
  <c r="E279" i="2"/>
  <c r="B279" i="2"/>
  <c r="C279" i="2" s="1"/>
  <c r="E280" i="2" l="1"/>
  <c r="B280" i="2"/>
  <c r="C280" i="2" s="1"/>
  <c r="G280" i="2"/>
  <c r="H280" i="2" s="1"/>
  <c r="F280" i="2"/>
  <c r="K280" i="2"/>
  <c r="J280" i="2"/>
  <c r="D281" i="2" s="1"/>
  <c r="I280" i="2"/>
  <c r="K281" i="2" l="1"/>
  <c r="J281" i="2"/>
  <c r="D282" i="2" s="1"/>
  <c r="E281" i="2"/>
  <c r="B281" i="2"/>
  <c r="C281" i="2" s="1"/>
  <c r="I281" i="2"/>
  <c r="G281" i="2"/>
  <c r="H281" i="2" s="1"/>
  <c r="F281" i="2"/>
  <c r="B282" i="2" l="1"/>
  <c r="C282" i="2" s="1"/>
  <c r="G282" i="2"/>
  <c r="F282" i="2"/>
  <c r="E282" i="2"/>
  <c r="K282" i="2"/>
  <c r="J282" i="2"/>
  <c r="D283" i="2" s="1"/>
  <c r="I282" i="2"/>
  <c r="H282" i="2"/>
  <c r="F283" i="2" l="1"/>
  <c r="E283" i="2"/>
  <c r="K283" i="2"/>
  <c r="B283" i="2"/>
  <c r="C283" i="2" s="1"/>
  <c r="J283" i="2"/>
  <c r="I283" i="2"/>
  <c r="G283" i="2"/>
  <c r="H283" i="2" s="1"/>
  <c r="D284" i="2" l="1"/>
  <c r="H97" i="1"/>
  <c r="K97" i="1" s="1"/>
  <c r="K284" i="2" l="1"/>
  <c r="F284" i="2"/>
  <c r="J284" i="2"/>
  <c r="D285" i="2" s="1"/>
  <c r="I284" i="2"/>
  <c r="G284" i="2"/>
  <c r="H284" i="2" s="1"/>
  <c r="E284" i="2"/>
  <c r="B284" i="2"/>
  <c r="C284" i="2" s="1"/>
  <c r="K285" i="2" l="1"/>
  <c r="J285" i="2"/>
  <c r="D286" i="2" s="1"/>
  <c r="I285" i="2"/>
  <c r="G285" i="2"/>
  <c r="H285" i="2" s="1"/>
  <c r="B285" i="2"/>
  <c r="C285" i="2" s="1"/>
  <c r="F285" i="2"/>
  <c r="E285" i="2"/>
  <c r="G286" i="2" l="1"/>
  <c r="F286" i="2"/>
  <c r="E286" i="2"/>
  <c r="B286" i="2"/>
  <c r="C286" i="2" s="1"/>
  <c r="H286" i="2"/>
  <c r="J286" i="2"/>
  <c r="D287" i="2" s="1"/>
  <c r="K286" i="2"/>
  <c r="I286" i="2"/>
  <c r="G287" i="2" l="1"/>
  <c r="K287" i="2"/>
  <c r="J287" i="2"/>
  <c r="D288" i="2" s="1"/>
  <c r="I287" i="2"/>
  <c r="H287" i="2"/>
  <c r="B287" i="2"/>
  <c r="C287" i="2" s="1"/>
  <c r="F287" i="2"/>
  <c r="E287" i="2"/>
  <c r="K288" i="2" l="1"/>
  <c r="J288" i="2"/>
  <c r="D289" i="2" s="1"/>
  <c r="I288" i="2"/>
  <c r="G288" i="2"/>
  <c r="H288" i="2" s="1"/>
  <c r="F288" i="2"/>
  <c r="B288" i="2"/>
  <c r="C288" i="2" s="1"/>
  <c r="E288" i="2"/>
  <c r="G289" i="2" l="1"/>
  <c r="H289" i="2" s="1"/>
  <c r="F289" i="2"/>
  <c r="K289" i="2"/>
  <c r="J289" i="2"/>
  <c r="D290" i="2" s="1"/>
  <c r="I289" i="2"/>
  <c r="E289" i="2"/>
  <c r="B289" i="2"/>
  <c r="C289" i="2" s="1"/>
  <c r="G290" i="2" l="1"/>
  <c r="H290" i="2" s="1"/>
  <c r="F290" i="2"/>
  <c r="E290" i="2"/>
  <c r="K290" i="2"/>
  <c r="J290" i="2"/>
  <c r="D291" i="2" s="1"/>
  <c r="I290" i="2"/>
  <c r="B290" i="2"/>
  <c r="C290" i="2" s="1"/>
  <c r="B291" i="2" l="1"/>
  <c r="C291" i="2" s="1"/>
  <c r="J291" i="2"/>
  <c r="D292" i="2" s="1"/>
  <c r="I291" i="2"/>
  <c r="G291" i="2"/>
  <c r="H291" i="2" s="1"/>
  <c r="K291" i="2"/>
  <c r="F291" i="2"/>
  <c r="E291" i="2"/>
  <c r="I292" i="2" l="1"/>
  <c r="G292" i="2"/>
  <c r="H292" i="2" s="1"/>
  <c r="B292" i="2"/>
  <c r="C292" i="2" s="1"/>
  <c r="E292" i="2"/>
  <c r="K292" i="2"/>
  <c r="F292" i="2"/>
  <c r="J292" i="2"/>
  <c r="D293" i="2" s="1"/>
  <c r="I293" i="2" l="1"/>
  <c r="G293" i="2"/>
  <c r="H293" i="2" s="1"/>
  <c r="F293" i="2"/>
  <c r="E293" i="2"/>
  <c r="B293" i="2"/>
  <c r="C293" i="2" s="1"/>
  <c r="K293" i="2"/>
  <c r="J293" i="2"/>
  <c r="D294" i="2" s="1"/>
  <c r="B294" i="2" l="1"/>
  <c r="C294" i="2" s="1"/>
  <c r="G294" i="2"/>
  <c r="F294" i="2"/>
  <c r="E294" i="2"/>
  <c r="K294" i="2"/>
  <c r="J294" i="2"/>
  <c r="D295" i="2" s="1"/>
  <c r="I294" i="2"/>
  <c r="H294" i="2"/>
  <c r="J295" i="2" l="1"/>
  <c r="I295" i="2"/>
  <c r="G295" i="2"/>
  <c r="H295" i="2" s="1"/>
  <c r="F295" i="2"/>
  <c r="E295" i="2"/>
  <c r="K295" i="2"/>
  <c r="B295" i="2"/>
  <c r="C295" i="2" s="1"/>
  <c r="D296" i="2" l="1"/>
  <c r="H98" i="1"/>
  <c r="K98" i="1" s="1"/>
  <c r="J296" i="2" l="1"/>
  <c r="D297" i="2" s="1"/>
  <c r="I296" i="2"/>
  <c r="G296" i="2"/>
  <c r="H296" i="2" s="1"/>
  <c r="F296" i="2"/>
  <c r="E296" i="2"/>
  <c r="B296" i="2"/>
  <c r="C296" i="2" s="1"/>
  <c r="K296" i="2"/>
  <c r="B297" i="2" l="1"/>
  <c r="C297" i="2" s="1"/>
  <c r="G297" i="2"/>
  <c r="H297" i="2" s="1"/>
  <c r="F297" i="2"/>
  <c r="E297" i="2"/>
  <c r="K297" i="2"/>
  <c r="J297" i="2"/>
  <c r="D298" i="2" s="1"/>
  <c r="I297" i="2"/>
  <c r="K298" i="2" l="1"/>
  <c r="J298" i="2"/>
  <c r="D299" i="2" s="1"/>
  <c r="I298" i="2"/>
  <c r="B298" i="2"/>
  <c r="C298" i="2" s="1"/>
  <c r="G298" i="2"/>
  <c r="H298" i="2"/>
  <c r="F298" i="2"/>
  <c r="E298" i="2"/>
  <c r="K299" i="2" l="1"/>
  <c r="F299" i="2"/>
  <c r="E299" i="2"/>
  <c r="B299" i="2"/>
  <c r="C299" i="2" s="1"/>
  <c r="J299" i="2"/>
  <c r="D300" i="2" s="1"/>
  <c r="I299" i="2"/>
  <c r="G299" i="2"/>
  <c r="H299" i="2" s="1"/>
  <c r="E300" i="2" l="1"/>
  <c r="K300" i="2"/>
  <c r="J300" i="2"/>
  <c r="D301" i="2" s="1"/>
  <c r="I300" i="2"/>
  <c r="G300" i="2"/>
  <c r="H300" i="2" s="1"/>
  <c r="F300" i="2"/>
  <c r="B300" i="2"/>
  <c r="C300" i="2" s="1"/>
  <c r="K301" i="2" l="1"/>
  <c r="J301" i="2"/>
  <c r="D302" i="2" s="1"/>
  <c r="E301" i="2"/>
  <c r="B301" i="2"/>
  <c r="C301" i="2" s="1"/>
  <c r="I301" i="2"/>
  <c r="G301" i="2"/>
  <c r="H301" i="2" s="1"/>
  <c r="F301" i="2"/>
  <c r="G302" i="2" l="1"/>
  <c r="F302" i="2"/>
  <c r="E302" i="2"/>
  <c r="J302" i="2"/>
  <c r="D303" i="2" s="1"/>
  <c r="I302" i="2"/>
  <c r="K302" i="2"/>
  <c r="H302" i="2"/>
  <c r="B302" i="2"/>
  <c r="C302" i="2" s="1"/>
  <c r="F303" i="2" l="1"/>
  <c r="E303" i="2"/>
  <c r="B303" i="2"/>
  <c r="C303" i="2" s="1"/>
  <c r="K303" i="2"/>
  <c r="J303" i="2"/>
  <c r="D304" i="2" s="1"/>
  <c r="I303" i="2"/>
  <c r="G303" i="2"/>
  <c r="H303" i="2" s="1"/>
  <c r="K304" i="2" l="1"/>
  <c r="F304" i="2"/>
  <c r="B304" i="2"/>
  <c r="C304" i="2" s="1"/>
  <c r="G304" i="2"/>
  <c r="H304" i="2"/>
  <c r="E304" i="2"/>
  <c r="I304" i="2"/>
  <c r="J304" i="2"/>
  <c r="D305" i="2" s="1"/>
  <c r="B305" i="2" l="1"/>
  <c r="C305" i="2" s="1"/>
  <c r="G305" i="2"/>
  <c r="H305" i="2" s="1"/>
  <c r="F305" i="2"/>
  <c r="E305" i="2"/>
  <c r="K305" i="2"/>
  <c r="J305" i="2"/>
  <c r="D306" i="2" s="1"/>
  <c r="I305" i="2"/>
  <c r="G306" i="2" l="1"/>
  <c r="F306" i="2"/>
  <c r="E306" i="2"/>
  <c r="B306" i="2"/>
  <c r="C306" i="2" s="1"/>
  <c r="K306" i="2"/>
  <c r="H306" i="2"/>
  <c r="J306" i="2"/>
  <c r="D307" i="2" s="1"/>
  <c r="I306" i="2"/>
  <c r="G307" i="2" l="1"/>
  <c r="B307" i="2"/>
  <c r="C307" i="2" s="1"/>
  <c r="E307" i="2"/>
  <c r="K307" i="2"/>
  <c r="F307" i="2"/>
  <c r="J307" i="2"/>
  <c r="H307" i="2"/>
  <c r="I307" i="2"/>
  <c r="D308" i="2" l="1"/>
  <c r="H99" i="1"/>
  <c r="K99" i="1" s="1"/>
  <c r="K308" i="2" l="1"/>
  <c r="J308" i="2"/>
  <c r="D309" i="2" s="1"/>
  <c r="I308" i="2"/>
  <c r="G308" i="2"/>
  <c r="H308" i="2" s="1"/>
  <c r="F308" i="2"/>
  <c r="E308" i="2"/>
  <c r="B308" i="2"/>
  <c r="C308" i="2" s="1"/>
  <c r="G309" i="2" l="1"/>
  <c r="H309" i="2" s="1"/>
  <c r="F309" i="2"/>
  <c r="J309" i="2"/>
  <c r="D310" i="2" s="1"/>
  <c r="E309" i="2"/>
  <c r="K309" i="2"/>
  <c r="I309" i="2"/>
  <c r="B309" i="2"/>
  <c r="C309" i="2" s="1"/>
  <c r="K310" i="2" l="1"/>
  <c r="J310" i="2"/>
  <c r="D311" i="2" s="1"/>
  <c r="I310" i="2"/>
  <c r="B310" i="2"/>
  <c r="C310" i="2" s="1"/>
  <c r="G310" i="2"/>
  <c r="H310" i="2" s="1"/>
  <c r="F310" i="2"/>
  <c r="E310" i="2"/>
  <c r="B311" i="2" l="1"/>
  <c r="C311" i="2" s="1"/>
  <c r="F311" i="2"/>
  <c r="E311" i="2"/>
  <c r="J311" i="2"/>
  <c r="D312" i="2" s="1"/>
  <c r="I311" i="2"/>
  <c r="G311" i="2"/>
  <c r="H311" i="2" s="1"/>
  <c r="K311" i="2"/>
  <c r="I312" i="2" l="1"/>
  <c r="G312" i="2"/>
  <c r="H312" i="2" s="1"/>
  <c r="B312" i="2"/>
  <c r="C312" i="2" s="1"/>
  <c r="K312" i="2"/>
  <c r="J312" i="2"/>
  <c r="D313" i="2" s="1"/>
  <c r="F312" i="2"/>
  <c r="E312" i="2"/>
  <c r="I313" i="2" l="1"/>
  <c r="G313" i="2"/>
  <c r="H313" i="2" s="1"/>
  <c r="F313" i="2"/>
  <c r="E313" i="2"/>
  <c r="B313" i="2"/>
  <c r="C313" i="2" s="1"/>
  <c r="K313" i="2"/>
  <c r="J313" i="2"/>
  <c r="D314" i="2" s="1"/>
  <c r="B314" i="2" l="1"/>
  <c r="C314" i="2" s="1"/>
  <c r="K314" i="2"/>
  <c r="J314" i="2"/>
  <c r="D315" i="2" s="1"/>
  <c r="I314" i="2"/>
  <c r="G314" i="2"/>
  <c r="H314" i="2" s="1"/>
  <c r="F314" i="2"/>
  <c r="E314" i="2"/>
  <c r="J315" i="2" l="1"/>
  <c r="D316" i="2" s="1"/>
  <c r="I315" i="2"/>
  <c r="K315" i="2"/>
  <c r="G315" i="2"/>
  <c r="H315" i="2" s="1"/>
  <c r="F315" i="2"/>
  <c r="E315" i="2"/>
  <c r="B315" i="2"/>
  <c r="C315" i="2" s="1"/>
  <c r="J316" i="2" l="1"/>
  <c r="D317" i="2" s="1"/>
  <c r="I316" i="2"/>
  <c r="G316" i="2"/>
  <c r="H316" i="2" s="1"/>
  <c r="F316" i="2"/>
  <c r="B316" i="2"/>
  <c r="C316" i="2" s="1"/>
  <c r="E316" i="2"/>
  <c r="K316" i="2"/>
  <c r="B317" i="2" l="1"/>
  <c r="C317" i="2" s="1"/>
  <c r="G317" i="2"/>
  <c r="H317" i="2" s="1"/>
  <c r="F317" i="2"/>
  <c r="E317" i="2"/>
  <c r="I317" i="2"/>
  <c r="K317" i="2"/>
  <c r="J317" i="2"/>
  <c r="D318" i="2" s="1"/>
  <c r="K318" i="2" l="1"/>
  <c r="J318" i="2"/>
  <c r="D319" i="2" s="1"/>
  <c r="I318" i="2"/>
  <c r="G318" i="2"/>
  <c r="H318" i="2" s="1"/>
  <c r="F318" i="2"/>
  <c r="E318" i="2"/>
  <c r="B318" i="2"/>
  <c r="C318" i="2" s="1"/>
  <c r="K319" i="2" l="1"/>
  <c r="E319" i="2"/>
  <c r="B319" i="2"/>
  <c r="C319" i="2" s="1"/>
  <c r="F319" i="2"/>
  <c r="I319" i="2"/>
  <c r="G319" i="2"/>
  <c r="H319" i="2" s="1"/>
  <c r="J319" i="2"/>
  <c r="D320" i="2" l="1"/>
  <c r="H100" i="1"/>
  <c r="K100" i="1" s="1"/>
  <c r="E320" i="2" l="1"/>
  <c r="I320" i="2"/>
  <c r="G320" i="2"/>
  <c r="H320" i="2" s="1"/>
  <c r="F320" i="2"/>
  <c r="K320" i="2"/>
  <c r="J320" i="2"/>
  <c r="D321" i="2" s="1"/>
  <c r="B320" i="2"/>
  <c r="C320" i="2" s="1"/>
  <c r="K321" i="2" l="1"/>
  <c r="J321" i="2"/>
  <c r="D322" i="2" s="1"/>
  <c r="E321" i="2"/>
  <c r="I321" i="2"/>
  <c r="B321" i="2"/>
  <c r="C321" i="2" s="1"/>
  <c r="G321" i="2"/>
  <c r="H321" i="2" s="1"/>
  <c r="F321" i="2"/>
  <c r="G322" i="2" l="1"/>
  <c r="F322" i="2"/>
  <c r="E322" i="2"/>
  <c r="B322" i="2"/>
  <c r="C322" i="2" s="1"/>
  <c r="H322" i="2"/>
  <c r="K322" i="2"/>
  <c r="J322" i="2"/>
  <c r="D323" i="2" s="1"/>
  <c r="I322" i="2"/>
  <c r="F323" i="2" l="1"/>
  <c r="E323" i="2"/>
  <c r="B323" i="2"/>
  <c r="C323" i="2" s="1"/>
  <c r="J323" i="2"/>
  <c r="D324" i="2" s="1"/>
  <c r="I323" i="2"/>
  <c r="G323" i="2"/>
  <c r="H323" i="2" s="1"/>
  <c r="K323" i="2"/>
  <c r="K324" i="2" l="1"/>
  <c r="F324" i="2"/>
  <c r="E324" i="2"/>
  <c r="B324" i="2"/>
  <c r="C324" i="2" s="1"/>
  <c r="J324" i="2"/>
  <c r="D325" i="2" s="1"/>
  <c r="I324" i="2"/>
  <c r="G324" i="2"/>
  <c r="H324" i="2" s="1"/>
  <c r="G325" i="2" l="1"/>
  <c r="H325" i="2" s="1"/>
  <c r="F325" i="2"/>
  <c r="E325" i="2"/>
  <c r="B325" i="2"/>
  <c r="C325" i="2" s="1"/>
  <c r="K325" i="2"/>
  <c r="J325" i="2"/>
  <c r="D326" i="2" s="1"/>
  <c r="I325" i="2"/>
  <c r="G326" i="2" l="1"/>
  <c r="F326" i="2"/>
  <c r="E326" i="2"/>
  <c r="B326" i="2"/>
  <c r="C326" i="2" s="1"/>
  <c r="K326" i="2"/>
  <c r="J326" i="2"/>
  <c r="D327" i="2" s="1"/>
  <c r="I326" i="2"/>
  <c r="H326" i="2"/>
  <c r="G327" i="2" l="1"/>
  <c r="K327" i="2"/>
  <c r="J327" i="2"/>
  <c r="D328" i="2" s="1"/>
  <c r="I327" i="2"/>
  <c r="H327" i="2"/>
  <c r="F327" i="2"/>
  <c r="E327" i="2"/>
  <c r="B327" i="2"/>
  <c r="C327" i="2" s="1"/>
  <c r="E328" i="2" l="1"/>
  <c r="B328" i="2"/>
  <c r="C328" i="2" s="1"/>
  <c r="G328" i="2"/>
  <c r="H328" i="2" s="1"/>
  <c r="F328" i="2"/>
  <c r="K328" i="2"/>
  <c r="J328" i="2"/>
  <c r="D329" i="2" s="1"/>
  <c r="I328" i="2"/>
  <c r="G329" i="2" l="1"/>
  <c r="H329" i="2" s="1"/>
  <c r="F329" i="2"/>
  <c r="E329" i="2"/>
  <c r="B329" i="2"/>
  <c r="C329" i="2" s="1"/>
  <c r="J329" i="2"/>
  <c r="D330" i="2" s="1"/>
  <c r="K329" i="2"/>
  <c r="I329" i="2"/>
  <c r="B330" i="2" l="1"/>
  <c r="C330" i="2" s="1"/>
  <c r="G330" i="2"/>
  <c r="H330" i="2" s="1"/>
  <c r="F330" i="2"/>
  <c r="E330" i="2"/>
  <c r="K330" i="2"/>
  <c r="J330" i="2"/>
  <c r="D331" i="2" s="1"/>
  <c r="I330" i="2"/>
  <c r="B331" i="2" l="1"/>
  <c r="C331" i="2" s="1"/>
  <c r="K331" i="2"/>
  <c r="E331" i="2"/>
  <c r="F331" i="2"/>
  <c r="I331" i="2"/>
  <c r="J331" i="2"/>
  <c r="G331" i="2"/>
  <c r="H331" i="2" s="1"/>
  <c r="D332" i="2" l="1"/>
  <c r="H101" i="1"/>
  <c r="K101" i="1" s="1"/>
  <c r="I332" i="2" l="1"/>
  <c r="G332" i="2"/>
  <c r="H332" i="2" s="1"/>
  <c r="B332" i="2"/>
  <c r="C332" i="2" s="1"/>
  <c r="K332" i="2"/>
  <c r="J332" i="2"/>
  <c r="D333" i="2" s="1"/>
  <c r="F332" i="2"/>
  <c r="E332" i="2"/>
  <c r="I333" i="2" l="1"/>
  <c r="K333" i="2"/>
  <c r="J333" i="2"/>
  <c r="D334" i="2" s="1"/>
  <c r="G333" i="2"/>
  <c r="H333" i="2" s="1"/>
  <c r="B333" i="2"/>
  <c r="C333" i="2" s="1"/>
  <c r="F333" i="2"/>
  <c r="E333" i="2"/>
  <c r="B334" i="2" l="1"/>
  <c r="C334" i="2" s="1"/>
  <c r="F334" i="2"/>
  <c r="E334" i="2"/>
  <c r="I334" i="2"/>
  <c r="J334" i="2"/>
  <c r="D335" i="2" s="1"/>
  <c r="K334" i="2"/>
  <c r="G334" i="2"/>
  <c r="H334" i="2" s="1"/>
  <c r="J335" i="2" l="1"/>
  <c r="D336" i="2" s="1"/>
  <c r="I335" i="2"/>
  <c r="K335" i="2"/>
  <c r="B335" i="2"/>
  <c r="C335" i="2" s="1"/>
  <c r="G335" i="2"/>
  <c r="H335" i="2" s="1"/>
  <c r="F335" i="2"/>
  <c r="E335" i="2"/>
  <c r="J336" i="2" l="1"/>
  <c r="D337" i="2" s="1"/>
  <c r="K336" i="2"/>
  <c r="I336" i="2"/>
  <c r="E336" i="2"/>
  <c r="B336" i="2"/>
  <c r="C336" i="2" s="1"/>
  <c r="F336" i="2"/>
  <c r="G336" i="2"/>
  <c r="H336" i="2" s="1"/>
  <c r="B337" i="2" l="1"/>
  <c r="C337" i="2" s="1"/>
  <c r="K337" i="2"/>
  <c r="J337" i="2"/>
  <c r="D338" i="2" s="1"/>
  <c r="I337" i="2"/>
  <c r="G337" i="2"/>
  <c r="H337" i="2" s="1"/>
  <c r="F337" i="2"/>
  <c r="E337" i="2"/>
  <c r="K338" i="2" l="1"/>
  <c r="J338" i="2"/>
  <c r="D339" i="2" s="1"/>
  <c r="I338" i="2"/>
  <c r="G338" i="2"/>
  <c r="H338" i="2" s="1"/>
  <c r="F338" i="2"/>
  <c r="E338" i="2"/>
  <c r="B338" i="2"/>
  <c r="C338" i="2" s="1"/>
  <c r="K339" i="2" l="1"/>
  <c r="J339" i="2"/>
  <c r="D340" i="2" s="1"/>
  <c r="I339" i="2"/>
  <c r="G339" i="2"/>
  <c r="H339" i="2" s="1"/>
  <c r="F339" i="2"/>
  <c r="B339" i="2"/>
  <c r="C339" i="2" s="1"/>
  <c r="E339" i="2"/>
  <c r="E340" i="2" l="1"/>
  <c r="B340" i="2"/>
  <c r="C340" i="2" s="1"/>
  <c r="G340" i="2"/>
  <c r="H340" i="2" s="1"/>
  <c r="F340" i="2"/>
  <c r="K340" i="2"/>
  <c r="J340" i="2"/>
  <c r="D341" i="2" s="1"/>
  <c r="I340" i="2"/>
  <c r="K341" i="2" l="1"/>
  <c r="J341" i="2"/>
  <c r="D342" i="2" s="1"/>
  <c r="E341" i="2"/>
  <c r="I341" i="2"/>
  <c r="G341" i="2"/>
  <c r="H341" i="2" s="1"/>
  <c r="F341" i="2"/>
  <c r="B341" i="2"/>
  <c r="C341" i="2" s="1"/>
  <c r="G342" i="2" l="1"/>
  <c r="F342" i="2"/>
  <c r="E342" i="2"/>
  <c r="K342" i="2"/>
  <c r="I342" i="2"/>
  <c r="B342" i="2"/>
  <c r="C342" i="2" s="1"/>
  <c r="H342" i="2"/>
  <c r="J342" i="2"/>
  <c r="D343" i="2" s="1"/>
  <c r="F343" i="2" l="1"/>
  <c r="E343" i="2"/>
  <c r="J343" i="2"/>
  <c r="I343" i="2"/>
  <c r="G343" i="2"/>
  <c r="H343" i="2" s="1"/>
  <c r="B343" i="2"/>
  <c r="C343" i="2" s="1"/>
  <c r="K343" i="2"/>
  <c r="D344" i="2" l="1"/>
  <c r="H102" i="1"/>
  <c r="K102" i="1" s="1"/>
  <c r="K344" i="2" l="1"/>
  <c r="F344" i="2"/>
  <c r="J344" i="2"/>
  <c r="D345" i="2" s="1"/>
  <c r="I344" i="2"/>
  <c r="G344" i="2"/>
  <c r="H344" i="2" s="1"/>
  <c r="E344" i="2"/>
  <c r="B344" i="2"/>
  <c r="C344" i="2" s="1"/>
  <c r="G345" i="2" l="1"/>
  <c r="H345" i="2" s="1"/>
  <c r="F345" i="2"/>
  <c r="E345" i="2"/>
  <c r="K345" i="2"/>
  <c r="J345" i="2"/>
  <c r="D346" i="2" s="1"/>
  <c r="B345" i="2"/>
  <c r="C345" i="2" s="1"/>
  <c r="I345" i="2"/>
  <c r="G346" i="2" l="1"/>
  <c r="F346" i="2"/>
  <c r="E346" i="2"/>
  <c r="B346" i="2"/>
  <c r="C346" i="2" s="1"/>
  <c r="I346" i="2"/>
  <c r="K346" i="2"/>
  <c r="J346" i="2"/>
  <c r="D347" i="2" s="1"/>
  <c r="H346" i="2"/>
  <c r="G347" i="2" l="1"/>
  <c r="F347" i="2"/>
  <c r="E347" i="2"/>
  <c r="B347" i="2"/>
  <c r="C347" i="2" s="1"/>
  <c r="K347" i="2"/>
  <c r="J347" i="2"/>
  <c r="D348" i="2" s="1"/>
  <c r="I347" i="2"/>
  <c r="H347" i="2"/>
  <c r="K348" i="2" l="1"/>
  <c r="J348" i="2"/>
  <c r="D349" i="2" s="1"/>
  <c r="I348" i="2"/>
  <c r="G348" i="2"/>
  <c r="H348" i="2" s="1"/>
  <c r="F348" i="2"/>
  <c r="E348" i="2"/>
  <c r="B348" i="2"/>
  <c r="C348" i="2" s="1"/>
  <c r="G349" i="2" l="1"/>
  <c r="H349" i="2" s="1"/>
  <c r="F349" i="2"/>
  <c r="E349" i="2"/>
  <c r="B349" i="2"/>
  <c r="C349" i="2" s="1"/>
  <c r="K349" i="2"/>
  <c r="J349" i="2"/>
  <c r="D350" i="2" s="1"/>
  <c r="I349" i="2"/>
  <c r="G350" i="2" l="1"/>
  <c r="H350" i="2" s="1"/>
  <c r="F350" i="2"/>
  <c r="E350" i="2"/>
  <c r="K350" i="2"/>
  <c r="B350" i="2"/>
  <c r="C350" i="2" s="1"/>
  <c r="J350" i="2"/>
  <c r="D351" i="2" s="1"/>
  <c r="I350" i="2"/>
  <c r="B351" i="2" l="1"/>
  <c r="C351" i="2" s="1"/>
  <c r="F351" i="2"/>
  <c r="E351" i="2"/>
  <c r="K351" i="2"/>
  <c r="J351" i="2"/>
  <c r="D352" i="2" s="1"/>
  <c r="I351" i="2"/>
  <c r="G351" i="2"/>
  <c r="H351" i="2" s="1"/>
  <c r="I352" i="2" l="1"/>
  <c r="G352" i="2"/>
  <c r="H352" i="2" s="1"/>
  <c r="B352" i="2"/>
  <c r="C352" i="2" s="1"/>
  <c r="E352" i="2"/>
  <c r="F352" i="2"/>
  <c r="J352" i="2"/>
  <c r="D353" i="2" s="1"/>
  <c r="K352" i="2"/>
  <c r="I353" i="2" l="1"/>
  <c r="B353" i="2"/>
  <c r="C353" i="2" s="1"/>
  <c r="G353" i="2"/>
  <c r="H353" i="2" s="1"/>
  <c r="F353" i="2"/>
  <c r="E353" i="2"/>
  <c r="K353" i="2"/>
  <c r="J353" i="2"/>
  <c r="D354" i="2" s="1"/>
  <c r="B354" i="2" l="1"/>
  <c r="C354" i="2" s="1"/>
  <c r="G354" i="2"/>
  <c r="F354" i="2"/>
  <c r="E354" i="2"/>
  <c r="K354" i="2"/>
  <c r="J354" i="2"/>
  <c r="D355" i="2" s="1"/>
  <c r="H354" i="2"/>
  <c r="I354" i="2"/>
  <c r="J355" i="2" l="1"/>
  <c r="I355" i="2"/>
  <c r="B355" i="2"/>
  <c r="C355" i="2" s="1"/>
  <c r="F355" i="2"/>
  <c r="E355" i="2"/>
  <c r="K355" i="2"/>
  <c r="G355" i="2"/>
  <c r="H355" i="2" s="1"/>
  <c r="D356" i="2" l="1"/>
  <c r="H103" i="1"/>
  <c r="K103" i="1" s="1"/>
  <c r="J356" i="2" l="1"/>
  <c r="D357" i="2" s="1"/>
  <c r="K356" i="2"/>
  <c r="I356" i="2"/>
  <c r="G356" i="2"/>
  <c r="H356" i="2" s="1"/>
  <c r="F356" i="2"/>
  <c r="E356" i="2"/>
  <c r="B356" i="2"/>
  <c r="C356" i="2" s="1"/>
  <c r="K357" i="2" l="1"/>
  <c r="J357" i="2"/>
  <c r="D358" i="2" s="1"/>
  <c r="I357" i="2"/>
  <c r="G357" i="2"/>
  <c r="H357" i="2" s="1"/>
  <c r="F357" i="2"/>
  <c r="E357" i="2"/>
  <c r="B357" i="2"/>
  <c r="C357" i="2" s="1"/>
  <c r="K358" i="2" l="1"/>
  <c r="J358" i="2"/>
  <c r="D359" i="2" s="1"/>
  <c r="I358" i="2"/>
  <c r="G358" i="2"/>
  <c r="H358" i="2" s="1"/>
  <c r="F358" i="2"/>
  <c r="E358" i="2"/>
  <c r="B358" i="2"/>
  <c r="C358" i="2" s="1"/>
  <c r="K359" i="2" l="1"/>
  <c r="J359" i="2"/>
  <c r="D360" i="2" s="1"/>
  <c r="I359" i="2"/>
  <c r="G359" i="2"/>
  <c r="H359" i="2" s="1"/>
  <c r="F359" i="2"/>
  <c r="E359" i="2"/>
  <c r="B359" i="2"/>
  <c r="C359" i="2" s="1"/>
  <c r="E360" i="2" l="1"/>
  <c r="B360" i="2"/>
  <c r="C360" i="2" s="1"/>
  <c r="K360" i="2"/>
  <c r="J360" i="2"/>
  <c r="D361" i="2" s="1"/>
  <c r="I360" i="2"/>
  <c r="G360" i="2"/>
  <c r="H360" i="2" s="1"/>
  <c r="F360" i="2"/>
  <c r="K361" i="2" l="1"/>
  <c r="J361" i="2"/>
  <c r="D362" i="2" s="1"/>
  <c r="I361" i="2"/>
  <c r="G361" i="2"/>
  <c r="H361" i="2" s="1"/>
  <c r="F361" i="2"/>
  <c r="E361" i="2"/>
  <c r="B361" i="2"/>
  <c r="C361" i="2" s="1"/>
  <c r="K362" i="2" l="1"/>
  <c r="J362" i="2"/>
  <c r="D363" i="2" s="1"/>
  <c r="I362" i="2"/>
  <c r="G362" i="2"/>
  <c r="H362" i="2" s="1"/>
  <c r="F362" i="2"/>
  <c r="E362" i="2"/>
  <c r="B362" i="2"/>
  <c r="C362" i="2" s="1"/>
  <c r="F363" i="2" l="1"/>
  <c r="E363" i="2"/>
  <c r="B363" i="2"/>
  <c r="C363" i="2" s="1"/>
  <c r="K363" i="2"/>
  <c r="J363" i="2"/>
  <c r="D364" i="2" s="1"/>
  <c r="I363" i="2"/>
  <c r="G363" i="2"/>
  <c r="H363" i="2" s="1"/>
  <c r="K364" i="2" l="1"/>
  <c r="J364" i="2"/>
  <c r="D365" i="2" s="1"/>
  <c r="I364" i="2"/>
  <c r="G364" i="2"/>
  <c r="H364" i="2" s="1"/>
  <c r="F364" i="2"/>
  <c r="E364" i="2"/>
  <c r="B364" i="2"/>
  <c r="C364" i="2" s="1"/>
  <c r="K365" i="2" l="1"/>
  <c r="J365" i="2"/>
  <c r="D366" i="2" s="1"/>
  <c r="I365" i="2"/>
  <c r="G365" i="2"/>
  <c r="H365" i="2" s="1"/>
  <c r="F365" i="2"/>
  <c r="E365" i="2"/>
  <c r="B365" i="2"/>
  <c r="C365" i="2" s="1"/>
  <c r="G366" i="2" l="1"/>
  <c r="F366" i="2"/>
  <c r="E366" i="2"/>
  <c r="B366" i="2"/>
  <c r="C366" i="2" s="1"/>
  <c r="K366" i="2"/>
  <c r="J366" i="2"/>
  <c r="D367" i="2" s="1"/>
  <c r="I366" i="2"/>
  <c r="H366" i="2"/>
  <c r="K367" i="2" l="1"/>
  <c r="J367" i="2"/>
  <c r="I367" i="2"/>
  <c r="G367" i="2"/>
  <c r="H367" i="2" s="1"/>
  <c r="F367" i="2"/>
  <c r="E367" i="2"/>
  <c r="B367" i="2"/>
  <c r="C367" i="2" s="1"/>
  <c r="D368" i="2" l="1"/>
  <c r="H104" i="1"/>
  <c r="K104" i="1" s="1"/>
  <c r="K368" i="2" l="1"/>
  <c r="J368" i="2"/>
  <c r="D369" i="2" s="1"/>
  <c r="I368" i="2"/>
  <c r="G368" i="2"/>
  <c r="H368" i="2" s="1"/>
  <c r="F368" i="2"/>
  <c r="E368" i="2"/>
  <c r="B368" i="2"/>
  <c r="C368" i="2" s="1"/>
  <c r="G369" i="2" l="1"/>
  <c r="H369" i="2" s="1"/>
  <c r="F369" i="2"/>
  <c r="E369" i="2"/>
  <c r="B369" i="2"/>
  <c r="C369" i="2" s="1"/>
  <c r="K369" i="2"/>
  <c r="J369" i="2"/>
  <c r="D370" i="2" s="1"/>
  <c r="I369" i="2"/>
  <c r="K370" i="2" l="1"/>
  <c r="J370" i="2"/>
  <c r="D371" i="2" s="1"/>
  <c r="I370" i="2"/>
  <c r="G370" i="2"/>
  <c r="H370" i="2" s="1"/>
  <c r="F370" i="2"/>
  <c r="E370" i="2"/>
  <c r="B370" i="2"/>
  <c r="C370" i="2" s="1"/>
  <c r="B371" i="2" l="1"/>
  <c r="C371" i="2" s="1"/>
  <c r="K371" i="2"/>
  <c r="J371" i="2"/>
  <c r="D372" i="2" s="1"/>
  <c r="I371" i="2"/>
  <c r="G371" i="2"/>
  <c r="H371" i="2" s="1"/>
  <c r="F371" i="2"/>
  <c r="E371" i="2"/>
  <c r="I372" i="2" l="1"/>
  <c r="G372" i="2"/>
  <c r="H372" i="2" s="1"/>
  <c r="F372" i="2"/>
  <c r="E372" i="2"/>
  <c r="B372" i="2"/>
  <c r="C372" i="2" s="1"/>
  <c r="K372" i="2"/>
  <c r="J372" i="2"/>
  <c r="D373" i="2" s="1"/>
  <c r="K373" i="2" l="1"/>
  <c r="J373" i="2"/>
  <c r="D374" i="2" s="1"/>
  <c r="I373" i="2"/>
  <c r="G373" i="2"/>
  <c r="H373" i="2" s="1"/>
  <c r="F373" i="2"/>
  <c r="E373" i="2"/>
  <c r="B373" i="2"/>
  <c r="C373" i="2" s="1"/>
  <c r="B374" i="2" l="1"/>
  <c r="C374" i="2" s="1"/>
  <c r="K374" i="2"/>
  <c r="J374" i="2"/>
  <c r="D375" i="2" s="1"/>
  <c r="I374" i="2"/>
  <c r="H374" i="2"/>
  <c r="G374" i="2"/>
  <c r="F374" i="2"/>
  <c r="E374" i="2"/>
  <c r="J375" i="2" l="1"/>
  <c r="D376" i="2" s="1"/>
  <c r="I375" i="2"/>
  <c r="G375" i="2"/>
  <c r="H375" i="2" s="1"/>
  <c r="F375" i="2"/>
  <c r="E375" i="2"/>
  <c r="B375" i="2"/>
  <c r="C375" i="2" s="1"/>
  <c r="K375" i="2"/>
  <c r="K376" i="2" l="1"/>
  <c r="J376" i="2"/>
  <c r="D377" i="2" s="1"/>
  <c r="I376" i="2"/>
  <c r="G376" i="2"/>
  <c r="H376" i="2" s="1"/>
  <c r="F376" i="2"/>
  <c r="E376" i="2"/>
  <c r="B376" i="2"/>
  <c r="C376" i="2" s="1"/>
  <c r="B377" i="2" l="1"/>
  <c r="C377" i="2" s="1"/>
  <c r="K377" i="2"/>
  <c r="J377" i="2"/>
  <c r="D378" i="2" s="1"/>
  <c r="I377" i="2"/>
  <c r="G377" i="2"/>
  <c r="H377" i="2" s="1"/>
  <c r="F377" i="2"/>
  <c r="E377" i="2"/>
  <c r="K378" i="2" l="1"/>
  <c r="J378" i="2"/>
  <c r="D379" i="2" s="1"/>
  <c r="I378" i="2"/>
  <c r="G378" i="2"/>
  <c r="H378" i="2" s="1"/>
  <c r="F378" i="2"/>
  <c r="E378" i="2"/>
  <c r="B378" i="2"/>
  <c r="C378" i="2" s="1"/>
  <c r="K379" i="2" l="1"/>
  <c r="J379" i="2"/>
  <c r="D380" i="2" s="1"/>
  <c r="I379" i="2"/>
  <c r="G379" i="2"/>
  <c r="H379" i="2" s="1"/>
  <c r="F379" i="2"/>
  <c r="E379" i="2"/>
  <c r="B379" i="2"/>
  <c r="C379" i="2" s="1"/>
  <c r="E380" i="2" l="1"/>
  <c r="B380" i="2"/>
  <c r="C380" i="2" s="1"/>
  <c r="K380" i="2"/>
  <c r="J380" i="2"/>
  <c r="D381" i="2" s="1"/>
  <c r="I380" i="2"/>
  <c r="G380" i="2"/>
  <c r="H380" i="2" s="1"/>
  <c r="F380" i="2"/>
  <c r="K381" i="2" l="1"/>
  <c r="J381" i="2"/>
  <c r="D382" i="2" s="1"/>
  <c r="I381" i="2"/>
  <c r="G381" i="2"/>
  <c r="H381" i="2" s="1"/>
  <c r="F381" i="2"/>
  <c r="E381" i="2"/>
  <c r="B381" i="2"/>
  <c r="C381" i="2" s="1"/>
  <c r="K382" i="2" l="1"/>
  <c r="J382" i="2"/>
  <c r="D383" i="2" s="1"/>
  <c r="I382" i="2"/>
  <c r="G382" i="2"/>
  <c r="H382" i="2" s="1"/>
  <c r="F382" i="2"/>
  <c r="E382" i="2"/>
  <c r="B382" i="2"/>
  <c r="C382" i="2" s="1"/>
  <c r="F383" i="2" l="1"/>
  <c r="E383" i="2"/>
  <c r="B383" i="2"/>
  <c r="C383" i="2" s="1"/>
  <c r="K383" i="2"/>
  <c r="J383" i="2"/>
  <c r="D384" i="2" s="1"/>
  <c r="I383" i="2"/>
  <c r="G383" i="2"/>
  <c r="H383" i="2" s="1"/>
  <c r="K384" i="2" l="1"/>
  <c r="J384" i="2"/>
  <c r="D385" i="2" s="1"/>
  <c r="I384" i="2"/>
  <c r="G384" i="2"/>
  <c r="H384" i="2" s="1"/>
  <c r="F384" i="2"/>
  <c r="E384" i="2"/>
  <c r="B384" i="2"/>
  <c r="C384" i="2" s="1"/>
  <c r="K385" i="2" l="1"/>
  <c r="J385" i="2"/>
  <c r="D386" i="2" s="1"/>
  <c r="I385" i="2"/>
  <c r="G385" i="2"/>
  <c r="H385" i="2" s="1"/>
  <c r="F385" i="2"/>
  <c r="E385" i="2"/>
  <c r="B385" i="2"/>
  <c r="C385" i="2" s="1"/>
  <c r="G386" i="2" l="1"/>
  <c r="F386" i="2"/>
  <c r="E386" i="2"/>
  <c r="B386" i="2"/>
  <c r="C386" i="2" s="1"/>
  <c r="K386" i="2"/>
  <c r="J386" i="2"/>
  <c r="D387" i="2" s="1"/>
  <c r="I386" i="2"/>
  <c r="H386" i="2"/>
  <c r="K387" i="2" l="1"/>
  <c r="J387" i="2"/>
  <c r="D388" i="2" s="1"/>
  <c r="I387" i="2"/>
  <c r="G387" i="2"/>
  <c r="H387" i="2" s="1"/>
  <c r="F387" i="2"/>
  <c r="E387" i="2"/>
  <c r="B387" i="2"/>
  <c r="C387" i="2" s="1"/>
  <c r="K388" i="2" l="1"/>
  <c r="J388" i="2"/>
  <c r="D389" i="2" s="1"/>
  <c r="I388" i="2"/>
  <c r="G388" i="2"/>
  <c r="H388" i="2" s="1"/>
  <c r="F388" i="2"/>
  <c r="E388" i="2"/>
  <c r="B388" i="2"/>
  <c r="C388" i="2" s="1"/>
  <c r="G389" i="2" l="1"/>
  <c r="H389" i="2" s="1"/>
  <c r="F389" i="2"/>
  <c r="E389" i="2"/>
  <c r="B389" i="2"/>
  <c r="C389" i="2" s="1"/>
  <c r="K389" i="2"/>
  <c r="J389" i="2"/>
  <c r="D390" i="2" s="1"/>
  <c r="I389" i="2"/>
  <c r="K390" i="2" l="1"/>
  <c r="J390" i="2"/>
  <c r="D391" i="2" s="1"/>
  <c r="I390" i="2"/>
  <c r="G390" i="2"/>
  <c r="H390" i="2" s="1"/>
  <c r="F390" i="2"/>
  <c r="E390" i="2"/>
  <c r="B390" i="2"/>
  <c r="C390" i="2" s="1"/>
  <c r="B391" i="2" l="1"/>
  <c r="C391" i="2" s="1"/>
  <c r="K391" i="2"/>
  <c r="J391" i="2"/>
  <c r="D392" i="2" s="1"/>
  <c r="I391" i="2"/>
  <c r="G391" i="2"/>
  <c r="H391" i="2" s="1"/>
  <c r="F391" i="2"/>
  <c r="E391" i="2"/>
  <c r="I392" i="2" l="1"/>
  <c r="G392" i="2"/>
  <c r="H392" i="2" s="1"/>
  <c r="F392" i="2"/>
  <c r="E392" i="2"/>
  <c r="B392" i="2"/>
  <c r="C392" i="2" s="1"/>
  <c r="K392" i="2"/>
  <c r="J392" i="2"/>
  <c r="D393" i="2" s="1"/>
  <c r="K393" i="2" l="1"/>
  <c r="J393" i="2"/>
  <c r="D394" i="2" s="1"/>
  <c r="I393" i="2"/>
  <c r="G393" i="2"/>
  <c r="H393" i="2" s="1"/>
  <c r="F393" i="2"/>
  <c r="E393" i="2"/>
  <c r="B393" i="2"/>
  <c r="C393" i="2" s="1"/>
  <c r="B394" i="2" l="1"/>
  <c r="C394" i="2" s="1"/>
  <c r="K394" i="2"/>
  <c r="J394" i="2"/>
  <c r="D395" i="2" s="1"/>
  <c r="I394" i="2"/>
  <c r="G394" i="2"/>
  <c r="H394" i="2" s="1"/>
  <c r="F394" i="2"/>
  <c r="E394" i="2"/>
  <c r="J395" i="2" l="1"/>
  <c r="D396" i="2" s="1"/>
  <c r="I395" i="2"/>
  <c r="G395" i="2"/>
  <c r="H395" i="2" s="1"/>
  <c r="F395" i="2"/>
  <c r="E395" i="2"/>
  <c r="B395" i="2"/>
  <c r="C395" i="2" s="1"/>
  <c r="K395" i="2"/>
  <c r="K396" i="2" l="1"/>
  <c r="J396" i="2"/>
  <c r="D397" i="2" s="1"/>
  <c r="I396" i="2"/>
  <c r="G396" i="2"/>
  <c r="H396" i="2" s="1"/>
  <c r="F396" i="2"/>
  <c r="E396" i="2"/>
  <c r="B396" i="2"/>
  <c r="C396" i="2" s="1"/>
  <c r="B397" i="2" l="1"/>
  <c r="C397" i="2" s="1"/>
  <c r="K397" i="2"/>
  <c r="J397" i="2"/>
  <c r="D398" i="2" s="1"/>
  <c r="I397" i="2"/>
  <c r="G397" i="2"/>
  <c r="H397" i="2" s="1"/>
  <c r="F397" i="2"/>
  <c r="E397" i="2"/>
  <c r="K398" i="2" l="1"/>
  <c r="J398" i="2"/>
  <c r="D399" i="2" s="1"/>
  <c r="I398" i="2"/>
  <c r="G398" i="2"/>
  <c r="H398" i="2" s="1"/>
  <c r="F398" i="2"/>
  <c r="E398" i="2"/>
  <c r="B398" i="2"/>
  <c r="C398" i="2" s="1"/>
  <c r="K399" i="2" l="1"/>
  <c r="J399" i="2"/>
  <c r="D400" i="2" s="1"/>
  <c r="I399" i="2"/>
  <c r="G399" i="2"/>
  <c r="H399" i="2" s="1"/>
  <c r="F399" i="2"/>
  <c r="E399" i="2"/>
  <c r="B399" i="2"/>
  <c r="C399" i="2" s="1"/>
  <c r="E400" i="2" l="1"/>
  <c r="B400" i="2"/>
  <c r="C400" i="2" s="1"/>
  <c r="K400" i="2"/>
  <c r="J400" i="2"/>
  <c r="D401" i="2" s="1"/>
  <c r="I400" i="2"/>
  <c r="G400" i="2"/>
  <c r="H400" i="2" s="1"/>
  <c r="F400" i="2"/>
  <c r="K401" i="2" l="1"/>
  <c r="J401" i="2"/>
  <c r="D402" i="2" s="1"/>
  <c r="I401" i="2"/>
  <c r="G401" i="2"/>
  <c r="H401" i="2" s="1"/>
  <c r="F401" i="2"/>
  <c r="E401" i="2"/>
  <c r="B401" i="2"/>
  <c r="C401" i="2" s="1"/>
  <c r="K402" i="2" l="1"/>
  <c r="J402" i="2"/>
  <c r="D403" i="2" s="1"/>
  <c r="I402" i="2"/>
  <c r="G402" i="2"/>
  <c r="H402" i="2" s="1"/>
  <c r="F402" i="2"/>
  <c r="E402" i="2"/>
  <c r="B402" i="2"/>
  <c r="C402" i="2" s="1"/>
  <c r="F403" i="2" l="1"/>
  <c r="E403" i="2"/>
  <c r="B403" i="2"/>
  <c r="C403" i="2" s="1"/>
  <c r="K403" i="2"/>
  <c r="J403" i="2"/>
  <c r="D404" i="2" s="1"/>
  <c r="I403" i="2"/>
  <c r="G403" i="2"/>
  <c r="H403" i="2" s="1"/>
  <c r="K404" i="2" l="1"/>
  <c r="J404" i="2"/>
  <c r="D405" i="2" s="1"/>
  <c r="I404" i="2"/>
  <c r="G404" i="2"/>
  <c r="H404" i="2" s="1"/>
  <c r="F404" i="2"/>
  <c r="E404" i="2"/>
  <c r="B404" i="2"/>
  <c r="C404" i="2" s="1"/>
  <c r="K405" i="2" l="1"/>
  <c r="J405" i="2"/>
  <c r="D406" i="2" s="1"/>
  <c r="I405" i="2"/>
  <c r="G405" i="2"/>
  <c r="H405" i="2" s="1"/>
  <c r="F405" i="2"/>
  <c r="E405" i="2"/>
  <c r="B405" i="2"/>
  <c r="C405" i="2" s="1"/>
  <c r="G406" i="2" l="1"/>
  <c r="F406" i="2"/>
  <c r="E406" i="2"/>
  <c r="B406" i="2"/>
  <c r="C406" i="2" s="1"/>
  <c r="K406" i="2"/>
  <c r="J406" i="2"/>
  <c r="D407" i="2" s="1"/>
  <c r="I406" i="2"/>
  <c r="H406" i="2"/>
  <c r="K407" i="2" l="1"/>
  <c r="J407" i="2"/>
  <c r="D408" i="2" s="1"/>
  <c r="I407" i="2"/>
  <c r="G407" i="2"/>
  <c r="H407" i="2" s="1"/>
  <c r="F407" i="2"/>
  <c r="E407" i="2"/>
  <c r="B407" i="2"/>
  <c r="C407" i="2" s="1"/>
  <c r="K408" i="2" l="1"/>
  <c r="J408" i="2"/>
  <c r="D409" i="2" s="1"/>
  <c r="I408" i="2"/>
  <c r="G408" i="2"/>
  <c r="H408" i="2" s="1"/>
  <c r="F408" i="2"/>
  <c r="E408" i="2"/>
  <c r="B408" i="2"/>
  <c r="C408" i="2" s="1"/>
  <c r="G409" i="2" l="1"/>
  <c r="H409" i="2" s="1"/>
  <c r="F409" i="2"/>
  <c r="E409" i="2"/>
  <c r="B409" i="2"/>
  <c r="C409" i="2" s="1"/>
  <c r="K409" i="2"/>
  <c r="J409" i="2"/>
  <c r="D410" i="2" s="1"/>
  <c r="I409" i="2"/>
  <c r="K410" i="2" l="1"/>
  <c r="J410" i="2"/>
  <c r="D411" i="2" s="1"/>
  <c r="I410" i="2"/>
  <c r="G410" i="2"/>
  <c r="H410" i="2" s="1"/>
  <c r="F410" i="2"/>
  <c r="E410" i="2"/>
  <c r="B410" i="2"/>
  <c r="C410" i="2" s="1"/>
  <c r="B411" i="2" l="1"/>
  <c r="C411" i="2" s="1"/>
  <c r="K411" i="2"/>
  <c r="J411" i="2"/>
  <c r="D412" i="2" s="1"/>
  <c r="I411" i="2"/>
  <c r="G411" i="2"/>
  <c r="H411" i="2" s="1"/>
  <c r="F411" i="2"/>
  <c r="E411" i="2"/>
  <c r="I412" i="2" l="1"/>
  <c r="G412" i="2"/>
  <c r="H412" i="2" s="1"/>
  <c r="F412" i="2"/>
  <c r="E412" i="2"/>
  <c r="B412" i="2"/>
  <c r="C412" i="2" s="1"/>
  <c r="K412" i="2"/>
  <c r="J412" i="2"/>
  <c r="D413" i="2" s="1"/>
  <c r="K413" i="2" l="1"/>
  <c r="J413" i="2"/>
  <c r="D414" i="2" s="1"/>
  <c r="I413" i="2"/>
  <c r="G413" i="2"/>
  <c r="H413" i="2" s="1"/>
  <c r="F413" i="2"/>
  <c r="E413" i="2"/>
  <c r="B413" i="2"/>
  <c r="C413" i="2" s="1"/>
  <c r="B414" i="2" l="1"/>
  <c r="C414" i="2" s="1"/>
  <c r="K414" i="2"/>
  <c r="J414" i="2"/>
  <c r="D415" i="2" s="1"/>
  <c r="I414" i="2"/>
  <c r="G414" i="2"/>
  <c r="H414" i="2" s="1"/>
  <c r="F414" i="2"/>
  <c r="E414" i="2"/>
  <c r="J415" i="2" l="1"/>
  <c r="D416" i="2" s="1"/>
  <c r="I415" i="2"/>
  <c r="G415" i="2"/>
  <c r="H415" i="2" s="1"/>
  <c r="F415" i="2"/>
  <c r="E415" i="2"/>
  <c r="B415" i="2"/>
  <c r="C415" i="2" s="1"/>
  <c r="K415" i="2"/>
  <c r="K416" i="2" l="1"/>
  <c r="J416" i="2"/>
  <c r="D417" i="2" s="1"/>
  <c r="I416" i="2"/>
  <c r="G416" i="2"/>
  <c r="H416" i="2" s="1"/>
  <c r="F416" i="2"/>
  <c r="E416" i="2"/>
  <c r="B416" i="2"/>
  <c r="C416" i="2" s="1"/>
  <c r="B417" i="2" l="1"/>
  <c r="C417" i="2" s="1"/>
  <c r="K417" i="2"/>
  <c r="J417" i="2"/>
  <c r="D418" i="2" s="1"/>
  <c r="I417" i="2"/>
  <c r="G417" i="2"/>
  <c r="H417" i="2" s="1"/>
  <c r="F417" i="2"/>
  <c r="E417" i="2"/>
  <c r="K418" i="2" l="1"/>
  <c r="J418" i="2"/>
  <c r="D419" i="2" s="1"/>
  <c r="I418" i="2"/>
  <c r="G418" i="2"/>
  <c r="H418" i="2" s="1"/>
  <c r="F418" i="2"/>
  <c r="E418" i="2"/>
  <c r="B418" i="2"/>
  <c r="C418" i="2" s="1"/>
  <c r="K419" i="2" l="1"/>
  <c r="J419" i="2"/>
  <c r="D420" i="2" s="1"/>
  <c r="I419" i="2"/>
  <c r="G419" i="2"/>
  <c r="H419" i="2" s="1"/>
  <c r="F419" i="2"/>
  <c r="E419" i="2"/>
  <c r="B419" i="2"/>
  <c r="C419" i="2" s="1"/>
  <c r="E420" i="2" l="1"/>
  <c r="B420" i="2"/>
  <c r="C420" i="2" s="1"/>
  <c r="K420" i="2"/>
  <c r="J420" i="2"/>
  <c r="D421" i="2" s="1"/>
  <c r="I420" i="2"/>
  <c r="G420" i="2"/>
  <c r="H420" i="2" s="1"/>
  <c r="F420" i="2"/>
  <c r="K421" i="2" l="1"/>
  <c r="J421" i="2"/>
  <c r="D422" i="2" s="1"/>
  <c r="I421" i="2"/>
  <c r="G421" i="2"/>
  <c r="H421" i="2" s="1"/>
  <c r="F421" i="2"/>
  <c r="E421" i="2"/>
  <c r="B421" i="2"/>
  <c r="C421" i="2" s="1"/>
  <c r="K422" i="2" l="1"/>
  <c r="J422" i="2"/>
  <c r="D423" i="2" s="1"/>
  <c r="I422" i="2"/>
  <c r="G422" i="2"/>
  <c r="H422" i="2" s="1"/>
  <c r="F422" i="2"/>
  <c r="E422" i="2"/>
  <c r="B422" i="2"/>
  <c r="C422" i="2" s="1"/>
  <c r="F423" i="2" l="1"/>
  <c r="E423" i="2"/>
  <c r="B423" i="2"/>
  <c r="C423" i="2" s="1"/>
  <c r="K423" i="2"/>
  <c r="J423" i="2"/>
  <c r="D424" i="2" s="1"/>
  <c r="I423" i="2"/>
  <c r="G423" i="2"/>
  <c r="H423" i="2" s="1"/>
  <c r="K424" i="2" l="1"/>
  <c r="J424" i="2"/>
  <c r="D425" i="2" s="1"/>
  <c r="I424" i="2"/>
  <c r="G424" i="2"/>
  <c r="H424" i="2" s="1"/>
  <c r="F424" i="2"/>
  <c r="E424" i="2"/>
  <c r="B424" i="2"/>
  <c r="C424" i="2" s="1"/>
  <c r="K425" i="2" l="1"/>
  <c r="J425" i="2"/>
  <c r="D426" i="2" s="1"/>
  <c r="I425" i="2"/>
  <c r="G425" i="2"/>
  <c r="H425" i="2" s="1"/>
  <c r="F425" i="2"/>
  <c r="E425" i="2"/>
  <c r="B425" i="2"/>
  <c r="C425" i="2" s="1"/>
  <c r="G426" i="2" l="1"/>
  <c r="F426" i="2"/>
  <c r="E426" i="2"/>
  <c r="B426" i="2"/>
  <c r="C426" i="2" s="1"/>
  <c r="K426" i="2"/>
  <c r="J426" i="2"/>
  <c r="D427" i="2" s="1"/>
  <c r="I426" i="2"/>
  <c r="H426" i="2"/>
  <c r="K427" i="2" l="1"/>
  <c r="J427" i="2"/>
  <c r="D428" i="2" s="1"/>
  <c r="I427" i="2"/>
  <c r="G427" i="2"/>
  <c r="H427" i="2" s="1"/>
  <c r="F427" i="2"/>
  <c r="E427" i="2"/>
  <c r="B427" i="2"/>
  <c r="C427" i="2" s="1"/>
  <c r="K428" i="2" l="1"/>
  <c r="J428" i="2"/>
  <c r="D429" i="2" s="1"/>
  <c r="I428" i="2"/>
  <c r="G428" i="2"/>
  <c r="H428" i="2" s="1"/>
  <c r="F428" i="2"/>
  <c r="E428" i="2"/>
  <c r="B428" i="2"/>
  <c r="C428" i="2" s="1"/>
  <c r="G429" i="2" l="1"/>
  <c r="H429" i="2" s="1"/>
  <c r="F429" i="2"/>
  <c r="E429" i="2"/>
  <c r="B429" i="2"/>
  <c r="C429" i="2" s="1"/>
  <c r="K429" i="2"/>
  <c r="J429" i="2"/>
  <c r="D430" i="2" s="1"/>
  <c r="I429" i="2"/>
  <c r="K430" i="2" l="1"/>
  <c r="J430" i="2"/>
  <c r="D431" i="2" s="1"/>
  <c r="I430" i="2"/>
  <c r="G430" i="2"/>
  <c r="H430" i="2" s="1"/>
  <c r="F430" i="2"/>
  <c r="E430" i="2"/>
  <c r="B430" i="2"/>
  <c r="C430" i="2" s="1"/>
  <c r="B431" i="2" l="1"/>
  <c r="C431" i="2" s="1"/>
  <c r="K431" i="2"/>
  <c r="J431" i="2"/>
  <c r="D432" i="2" s="1"/>
  <c r="I431" i="2"/>
  <c r="G431" i="2"/>
  <c r="H431" i="2" s="1"/>
  <c r="F431" i="2"/>
  <c r="E431" i="2"/>
  <c r="I432" i="2" l="1"/>
  <c r="G432" i="2"/>
  <c r="H432" i="2" s="1"/>
  <c r="F432" i="2"/>
  <c r="E432" i="2"/>
  <c r="B432" i="2"/>
  <c r="C432" i="2" s="1"/>
  <c r="K432" i="2"/>
  <c r="J432" i="2"/>
  <c r="D433" i="2" s="1"/>
  <c r="K433" i="2" l="1"/>
  <c r="J433" i="2"/>
  <c r="D434" i="2" s="1"/>
  <c r="I433" i="2"/>
  <c r="H433" i="2"/>
  <c r="G433" i="2"/>
  <c r="F433" i="2"/>
  <c r="E433" i="2"/>
  <c r="B433" i="2"/>
  <c r="C433" i="2" s="1"/>
  <c r="B434" i="2" l="1"/>
  <c r="C434" i="2" s="1"/>
  <c r="K434" i="2"/>
  <c r="J434" i="2"/>
  <c r="D435" i="2" s="1"/>
  <c r="I434" i="2"/>
  <c r="G434" i="2"/>
  <c r="H434" i="2" s="1"/>
  <c r="F434" i="2"/>
  <c r="E434" i="2"/>
  <c r="J435" i="2" l="1"/>
  <c r="D436" i="2" s="1"/>
  <c r="I435" i="2"/>
  <c r="G435" i="2"/>
  <c r="H435" i="2" s="1"/>
  <c r="F435" i="2"/>
  <c r="E435" i="2"/>
  <c r="B435" i="2"/>
  <c r="C435" i="2" s="1"/>
  <c r="K435" i="2"/>
  <c r="K436" i="2" l="1"/>
  <c r="J436" i="2"/>
  <c r="D437" i="2" s="1"/>
  <c r="I436" i="2"/>
  <c r="G436" i="2"/>
  <c r="H436" i="2" s="1"/>
  <c r="F436" i="2"/>
  <c r="E436" i="2"/>
  <c r="B436" i="2"/>
  <c r="C436" i="2" s="1"/>
  <c r="B437" i="2" l="1"/>
  <c r="C437" i="2" s="1"/>
  <c r="K437" i="2"/>
  <c r="J437" i="2"/>
  <c r="D438" i="2" s="1"/>
  <c r="I437" i="2"/>
  <c r="G437" i="2"/>
  <c r="H437" i="2" s="1"/>
  <c r="F437" i="2"/>
  <c r="E437" i="2"/>
  <c r="K438" i="2" l="1"/>
  <c r="J438" i="2"/>
  <c r="D439" i="2" s="1"/>
  <c r="I438" i="2"/>
  <c r="G438" i="2"/>
  <c r="H438" i="2" s="1"/>
  <c r="F438" i="2"/>
  <c r="E438" i="2"/>
  <c r="B438" i="2"/>
  <c r="C438" i="2" s="1"/>
  <c r="K439" i="2" l="1"/>
  <c r="J439" i="2"/>
  <c r="D440" i="2" s="1"/>
  <c r="I439" i="2"/>
  <c r="G439" i="2"/>
  <c r="H439" i="2" s="1"/>
  <c r="F439" i="2"/>
  <c r="E439" i="2"/>
  <c r="B439" i="2"/>
  <c r="C439" i="2" s="1"/>
  <c r="E440" i="2" l="1"/>
  <c r="B440" i="2"/>
  <c r="C440" i="2" s="1"/>
  <c r="K440" i="2"/>
  <c r="J440" i="2"/>
  <c r="D441" i="2" s="1"/>
  <c r="I440" i="2"/>
  <c r="G440" i="2"/>
  <c r="H440" i="2" s="1"/>
  <c r="F440" i="2"/>
  <c r="K441" i="2" l="1"/>
  <c r="J441" i="2"/>
  <c r="D442" i="2" s="1"/>
  <c r="I441" i="2"/>
  <c r="G441" i="2"/>
  <c r="H441" i="2" s="1"/>
  <c r="F441" i="2"/>
  <c r="E441" i="2"/>
  <c r="B441" i="2"/>
  <c r="C441" i="2" s="1"/>
  <c r="K442" i="2" l="1"/>
  <c r="J442" i="2"/>
  <c r="D443" i="2" s="1"/>
  <c r="I442" i="2"/>
  <c r="G442" i="2"/>
  <c r="H442" i="2" s="1"/>
  <c r="F442" i="2"/>
  <c r="E442" i="2"/>
  <c r="B442" i="2"/>
  <c r="C442" i="2" s="1"/>
  <c r="F443" i="2" l="1"/>
  <c r="E443" i="2"/>
  <c r="B443" i="2"/>
  <c r="C443" i="2" s="1"/>
  <c r="K443" i="2"/>
  <c r="J443" i="2"/>
  <c r="D444" i="2" s="1"/>
  <c r="I443" i="2"/>
  <c r="G443" i="2"/>
  <c r="H443" i="2" s="1"/>
  <c r="K444" i="2" l="1"/>
  <c r="J444" i="2"/>
  <c r="D445" i="2" s="1"/>
  <c r="I444" i="2"/>
  <c r="G444" i="2"/>
  <c r="H444" i="2" s="1"/>
  <c r="F444" i="2"/>
  <c r="E444" i="2"/>
  <c r="B444" i="2"/>
  <c r="C444" i="2" s="1"/>
  <c r="K445" i="2" l="1"/>
  <c r="J445" i="2"/>
  <c r="D446" i="2" s="1"/>
  <c r="I445" i="2"/>
  <c r="G445" i="2"/>
  <c r="H445" i="2" s="1"/>
  <c r="F445" i="2"/>
  <c r="E445" i="2"/>
  <c r="B445" i="2"/>
  <c r="C445" i="2" s="1"/>
  <c r="G446" i="2" l="1"/>
  <c r="F446" i="2"/>
  <c r="E446" i="2"/>
  <c r="B446" i="2"/>
  <c r="C446" i="2" s="1"/>
  <c r="K446" i="2"/>
  <c r="J446" i="2"/>
  <c r="D447" i="2" s="1"/>
  <c r="I446" i="2"/>
  <c r="H446" i="2"/>
  <c r="K447" i="2" l="1"/>
  <c r="J447" i="2"/>
  <c r="D448" i="2" s="1"/>
  <c r="I447" i="2"/>
  <c r="G447" i="2"/>
  <c r="H447" i="2" s="1"/>
  <c r="F447" i="2"/>
  <c r="E447" i="2"/>
  <c r="B447" i="2"/>
  <c r="C447" i="2" s="1"/>
  <c r="K448" i="2" l="1"/>
  <c r="J448" i="2"/>
  <c r="D449" i="2" s="1"/>
  <c r="I448" i="2"/>
  <c r="G448" i="2"/>
  <c r="H448" i="2" s="1"/>
  <c r="F448" i="2"/>
  <c r="E448" i="2"/>
  <c r="B448" i="2"/>
  <c r="C448" i="2" s="1"/>
  <c r="G449" i="2" l="1"/>
  <c r="H449" i="2" s="1"/>
  <c r="F449" i="2"/>
  <c r="E449" i="2"/>
  <c r="B449" i="2"/>
  <c r="C449" i="2" s="1"/>
  <c r="K449" i="2"/>
  <c r="J449" i="2"/>
  <c r="D450" i="2" s="1"/>
  <c r="I449" i="2"/>
  <c r="K450" i="2" l="1"/>
  <c r="J450" i="2"/>
  <c r="D451" i="2" s="1"/>
  <c r="I450" i="2"/>
  <c r="G450" i="2"/>
  <c r="H450" i="2" s="1"/>
  <c r="F450" i="2"/>
  <c r="E450" i="2"/>
  <c r="B450" i="2"/>
  <c r="C450" i="2" s="1"/>
  <c r="B451" i="2" l="1"/>
  <c r="C451" i="2" s="1"/>
  <c r="K451" i="2"/>
  <c r="J451" i="2"/>
  <c r="D452" i="2" s="1"/>
  <c r="I451" i="2"/>
  <c r="G451" i="2"/>
  <c r="H451" i="2" s="1"/>
  <c r="F451" i="2"/>
  <c r="E451" i="2"/>
  <c r="I452" i="2" l="1"/>
  <c r="G452" i="2"/>
  <c r="H452" i="2" s="1"/>
  <c r="F452" i="2"/>
  <c r="E452" i="2"/>
  <c r="B452" i="2"/>
  <c r="C452" i="2" s="1"/>
  <c r="K452" i="2"/>
  <c r="J452" i="2"/>
  <c r="D453" i="2" s="1"/>
  <c r="K453" i="2" l="1"/>
  <c r="J453" i="2"/>
  <c r="D454" i="2" s="1"/>
  <c r="I453" i="2"/>
  <c r="G453" i="2"/>
  <c r="H453" i="2" s="1"/>
  <c r="F453" i="2"/>
  <c r="E453" i="2"/>
  <c r="B453" i="2"/>
  <c r="C453" i="2" s="1"/>
  <c r="B454" i="2" l="1"/>
  <c r="C454" i="2" s="1"/>
  <c r="K454" i="2"/>
  <c r="J454" i="2"/>
  <c r="D455" i="2" s="1"/>
  <c r="I454" i="2"/>
  <c r="H454" i="2"/>
  <c r="G454" i="2"/>
  <c r="F454" i="2"/>
  <c r="E454" i="2"/>
  <c r="J455" i="2" l="1"/>
  <c r="D456" i="2" s="1"/>
  <c r="I455" i="2"/>
  <c r="G455" i="2"/>
  <c r="H455" i="2" s="1"/>
  <c r="F455" i="2"/>
  <c r="E455" i="2"/>
  <c r="B455" i="2"/>
  <c r="C455" i="2" s="1"/>
  <c r="K455" i="2"/>
  <c r="K456" i="2" l="1"/>
  <c r="J456" i="2"/>
  <c r="D457" i="2" s="1"/>
  <c r="I456" i="2"/>
  <c r="G456" i="2"/>
  <c r="H456" i="2" s="1"/>
  <c r="F456" i="2"/>
  <c r="E456" i="2"/>
  <c r="B456" i="2"/>
  <c r="C456" i="2" s="1"/>
  <c r="B457" i="2" l="1"/>
  <c r="C457" i="2" s="1"/>
  <c r="K457" i="2"/>
  <c r="J457" i="2"/>
  <c r="D458" i="2" s="1"/>
  <c r="I457" i="2"/>
  <c r="G457" i="2"/>
  <c r="H457" i="2" s="1"/>
  <c r="F457" i="2"/>
  <c r="E457" i="2"/>
  <c r="K458" i="2" l="1"/>
  <c r="J458" i="2"/>
  <c r="D459" i="2" s="1"/>
  <c r="I458" i="2"/>
  <c r="G458" i="2"/>
  <c r="H458" i="2" s="1"/>
  <c r="F458" i="2"/>
  <c r="E458" i="2"/>
  <c r="B458" i="2"/>
  <c r="C458" i="2" s="1"/>
  <c r="K459" i="2" l="1"/>
  <c r="J459" i="2"/>
  <c r="D460" i="2" s="1"/>
  <c r="I459" i="2"/>
  <c r="G459" i="2"/>
  <c r="H459" i="2" s="1"/>
  <c r="F459" i="2"/>
  <c r="E459" i="2"/>
  <c r="B459" i="2"/>
  <c r="C459" i="2" s="1"/>
  <c r="E460" i="2" l="1"/>
  <c r="B460" i="2"/>
  <c r="C460" i="2" s="1"/>
  <c r="K460" i="2"/>
  <c r="J460" i="2"/>
  <c r="D461" i="2" s="1"/>
  <c r="I460" i="2"/>
  <c r="G460" i="2"/>
  <c r="H460" i="2" s="1"/>
  <c r="F460" i="2"/>
  <c r="K461" i="2" l="1"/>
  <c r="J461" i="2"/>
  <c r="D462" i="2" s="1"/>
  <c r="I461" i="2"/>
  <c r="G461" i="2"/>
  <c r="H461" i="2" s="1"/>
  <c r="F461" i="2"/>
  <c r="E461" i="2"/>
  <c r="B461" i="2"/>
  <c r="C461" i="2" s="1"/>
  <c r="K462" i="2" l="1"/>
  <c r="J462" i="2"/>
  <c r="D463" i="2" s="1"/>
  <c r="I462" i="2"/>
  <c r="G462" i="2"/>
  <c r="H462" i="2" s="1"/>
  <c r="F462" i="2"/>
  <c r="E462" i="2"/>
  <c r="B462" i="2"/>
  <c r="C462" i="2" s="1"/>
  <c r="F463" i="2" l="1"/>
  <c r="E463" i="2"/>
  <c r="B463" i="2"/>
  <c r="C463" i="2" s="1"/>
  <c r="K463" i="2"/>
  <c r="J463" i="2"/>
  <c r="D464" i="2" s="1"/>
  <c r="I463" i="2"/>
  <c r="G463" i="2"/>
  <c r="H463" i="2" s="1"/>
  <c r="K464" i="2" l="1"/>
  <c r="J464" i="2"/>
  <c r="D465" i="2" s="1"/>
  <c r="I464" i="2"/>
  <c r="G464" i="2"/>
  <c r="H464" i="2" s="1"/>
  <c r="F464" i="2"/>
  <c r="E464" i="2"/>
  <c r="B464" i="2"/>
  <c r="C464" i="2" s="1"/>
  <c r="K465" i="2" l="1"/>
  <c r="J465" i="2"/>
  <c r="D466" i="2" s="1"/>
  <c r="I465" i="2"/>
  <c r="G465" i="2"/>
  <c r="H465" i="2" s="1"/>
  <c r="F465" i="2"/>
  <c r="E465" i="2"/>
  <c r="B465" i="2"/>
  <c r="C465" i="2" s="1"/>
  <c r="G466" i="2" l="1"/>
  <c r="F466" i="2"/>
  <c r="E466" i="2"/>
  <c r="B466" i="2"/>
  <c r="C466" i="2" s="1"/>
  <c r="K466" i="2"/>
  <c r="J466" i="2"/>
  <c r="D467" i="2" s="1"/>
  <c r="I466" i="2"/>
  <c r="H466" i="2"/>
  <c r="K467" i="2" l="1"/>
  <c r="J467" i="2"/>
  <c r="D468" i="2" s="1"/>
  <c r="I467" i="2"/>
  <c r="G467" i="2"/>
  <c r="H467" i="2" s="1"/>
  <c r="F467" i="2"/>
  <c r="E467" i="2"/>
  <c r="B467" i="2"/>
  <c r="C467" i="2" s="1"/>
  <c r="K468" i="2" l="1"/>
  <c r="J468" i="2"/>
  <c r="D469" i="2" s="1"/>
  <c r="I468" i="2"/>
  <c r="G468" i="2"/>
  <c r="H468" i="2" s="1"/>
  <c r="F468" i="2"/>
  <c r="E468" i="2"/>
  <c r="B468" i="2"/>
  <c r="C468" i="2" s="1"/>
  <c r="G469" i="2" l="1"/>
  <c r="H469" i="2" s="1"/>
  <c r="F469" i="2"/>
  <c r="E469" i="2"/>
  <c r="B469" i="2"/>
  <c r="C469" i="2" s="1"/>
  <c r="K469" i="2"/>
  <c r="J469" i="2"/>
  <c r="D470" i="2" s="1"/>
  <c r="I469" i="2"/>
  <c r="K470" i="2" l="1"/>
  <c r="J470" i="2"/>
  <c r="D471" i="2" s="1"/>
  <c r="I470" i="2"/>
  <c r="G470" i="2"/>
  <c r="H470" i="2" s="1"/>
  <c r="F470" i="2"/>
  <c r="E470" i="2"/>
  <c r="B470" i="2"/>
  <c r="C470" i="2" s="1"/>
  <c r="B471" i="2" l="1"/>
  <c r="C471" i="2" s="1"/>
  <c r="K471" i="2"/>
  <c r="J471" i="2"/>
  <c r="D472" i="2" s="1"/>
  <c r="I471" i="2"/>
  <c r="G471" i="2"/>
  <c r="H471" i="2" s="1"/>
  <c r="F471" i="2"/>
  <c r="E471" i="2"/>
  <c r="I472" i="2" l="1"/>
  <c r="G472" i="2"/>
  <c r="H472" i="2" s="1"/>
  <c r="F472" i="2"/>
  <c r="E472" i="2"/>
  <c r="B472" i="2"/>
  <c r="C472" i="2" s="1"/>
  <c r="K472" i="2"/>
  <c r="J472" i="2"/>
  <c r="D473" i="2" s="1"/>
  <c r="K473" i="2" l="1"/>
  <c r="J473" i="2"/>
  <c r="D474" i="2" s="1"/>
  <c r="I473" i="2"/>
  <c r="G473" i="2"/>
  <c r="H473" i="2" s="1"/>
  <c r="F473" i="2"/>
  <c r="E473" i="2"/>
  <c r="B473" i="2"/>
  <c r="C473" i="2" s="1"/>
  <c r="B474" i="2" l="1"/>
  <c r="C474" i="2" s="1"/>
  <c r="K474" i="2"/>
  <c r="J474" i="2"/>
  <c r="D475" i="2" s="1"/>
  <c r="I474" i="2"/>
  <c r="G474" i="2"/>
  <c r="H474" i="2" s="1"/>
  <c r="F474" i="2"/>
  <c r="E474" i="2"/>
  <c r="J475" i="2" l="1"/>
  <c r="D476" i="2" s="1"/>
  <c r="I475" i="2"/>
  <c r="G475" i="2"/>
  <c r="H475" i="2" s="1"/>
  <c r="F475" i="2"/>
  <c r="E475" i="2"/>
  <c r="B475" i="2"/>
  <c r="C475" i="2" s="1"/>
  <c r="K475" i="2"/>
  <c r="K476" i="2" l="1"/>
  <c r="J476" i="2"/>
  <c r="D477" i="2" s="1"/>
  <c r="I476" i="2"/>
  <c r="G476" i="2"/>
  <c r="H476" i="2" s="1"/>
  <c r="F476" i="2"/>
  <c r="E476" i="2"/>
  <c r="B476" i="2"/>
  <c r="C476" i="2" s="1"/>
  <c r="B477" i="2" l="1"/>
  <c r="C477" i="2" s="1"/>
  <c r="K477" i="2"/>
  <c r="J477" i="2"/>
  <c r="D478" i="2" s="1"/>
  <c r="I477" i="2"/>
  <c r="G477" i="2"/>
  <c r="H477" i="2" s="1"/>
  <c r="F477" i="2"/>
  <c r="E477" i="2"/>
  <c r="K478" i="2" l="1"/>
  <c r="J478" i="2"/>
  <c r="D479" i="2" s="1"/>
  <c r="I478" i="2"/>
  <c r="G478" i="2"/>
  <c r="H478" i="2" s="1"/>
  <c r="F478" i="2"/>
  <c r="E478" i="2"/>
  <c r="B478" i="2"/>
  <c r="C478" i="2" s="1"/>
  <c r="K479" i="2" l="1"/>
  <c r="J479" i="2"/>
  <c r="D480" i="2" s="1"/>
  <c r="I479" i="2"/>
  <c r="G479" i="2"/>
  <c r="H479" i="2" s="1"/>
  <c r="F479" i="2"/>
  <c r="E479" i="2"/>
  <c r="B479" i="2"/>
  <c r="C479" i="2" s="1"/>
  <c r="E480" i="2" l="1"/>
  <c r="B480" i="2"/>
  <c r="C480" i="2" s="1"/>
  <c r="K480" i="2"/>
  <c r="J480" i="2"/>
  <c r="D481" i="2" s="1"/>
  <c r="I480" i="2"/>
  <c r="G480" i="2"/>
  <c r="H480" i="2" s="1"/>
  <c r="F480" i="2"/>
  <c r="K481" i="2" l="1"/>
  <c r="J481" i="2"/>
  <c r="D482" i="2" s="1"/>
  <c r="I481" i="2"/>
  <c r="G481" i="2"/>
  <c r="H481" i="2" s="1"/>
  <c r="F481" i="2"/>
  <c r="E481" i="2"/>
  <c r="B481" i="2"/>
  <c r="C481" i="2" s="1"/>
  <c r="K482" i="2" l="1"/>
  <c r="J482" i="2"/>
  <c r="D483" i="2" s="1"/>
  <c r="I482" i="2"/>
  <c r="G482" i="2"/>
  <c r="H482" i="2" s="1"/>
  <c r="F482" i="2"/>
  <c r="E482" i="2"/>
  <c r="B482" i="2"/>
  <c r="C482" i="2" s="1"/>
  <c r="F483" i="2" l="1"/>
  <c r="E483" i="2"/>
  <c r="B483" i="2"/>
  <c r="C483" i="2" s="1"/>
  <c r="K483" i="2"/>
  <c r="J483" i="2"/>
  <c r="D484" i="2" s="1"/>
  <c r="I483" i="2"/>
  <c r="G483" i="2"/>
  <c r="H483" i="2" s="1"/>
  <c r="K484" i="2" l="1"/>
  <c r="J484" i="2"/>
  <c r="D485" i="2" s="1"/>
  <c r="I484" i="2"/>
  <c r="G484" i="2"/>
  <c r="H484" i="2" s="1"/>
  <c r="F484" i="2"/>
  <c r="E484" i="2"/>
  <c r="B484" i="2"/>
  <c r="C484" i="2" s="1"/>
  <c r="K485" i="2" l="1"/>
  <c r="J485" i="2"/>
  <c r="D486" i="2" s="1"/>
  <c r="I485" i="2"/>
  <c r="G485" i="2"/>
  <c r="H485" i="2" s="1"/>
  <c r="F485" i="2"/>
  <c r="E485" i="2"/>
  <c r="B485" i="2"/>
  <c r="C485" i="2" s="1"/>
  <c r="G486" i="2" l="1"/>
  <c r="F486" i="2"/>
  <c r="E486" i="2"/>
  <c r="B486" i="2"/>
  <c r="C486" i="2" s="1"/>
  <c r="K486" i="2"/>
  <c r="J486" i="2"/>
  <c r="D487" i="2" s="1"/>
  <c r="I486" i="2"/>
  <c r="H486" i="2"/>
  <c r="K487" i="2" l="1"/>
  <c r="J487" i="2"/>
  <c r="F17" i="1" s="1"/>
  <c r="I487" i="2"/>
  <c r="G487" i="2"/>
  <c r="E5" i="2" s="1"/>
  <c r="F487" i="2"/>
  <c r="E487" i="2"/>
  <c r="B487" i="2"/>
  <c r="C487" i="2" s="1"/>
  <c r="Q12" i="1"/>
  <c r="A5" i="2"/>
  <c r="F75" i="1" l="1"/>
  <c r="G75" i="1"/>
  <c r="C82" i="1"/>
  <c r="C77" i="1"/>
  <c r="E78" i="1"/>
  <c r="E75" i="1"/>
  <c r="C76" i="1"/>
  <c r="G76" i="1"/>
  <c r="C79" i="1"/>
  <c r="F81" i="1"/>
  <c r="D78" i="1"/>
  <c r="C80" i="1"/>
  <c r="D80" i="1"/>
  <c r="G81" i="1"/>
  <c r="C75" i="1"/>
  <c r="C81" i="1"/>
  <c r="F80" i="1"/>
  <c r="C78" i="1"/>
  <c r="D79" i="1"/>
  <c r="D82" i="1"/>
  <c r="F79" i="1"/>
  <c r="E81" i="1"/>
  <c r="G80" i="1"/>
  <c r="E79" i="1"/>
  <c r="D81" i="1"/>
  <c r="E77" i="1"/>
  <c r="E82" i="1"/>
  <c r="D76" i="1"/>
  <c r="G78" i="1"/>
  <c r="F82" i="1"/>
  <c r="G82" i="1"/>
  <c r="F77" i="1"/>
  <c r="D77" i="1"/>
  <c r="G79" i="1"/>
  <c r="F76" i="1"/>
  <c r="E76" i="1"/>
  <c r="E80" i="1"/>
  <c r="F78" i="1"/>
  <c r="C84" i="1"/>
  <c r="F83" i="1"/>
  <c r="E84" i="1"/>
  <c r="E86" i="1"/>
  <c r="C86" i="1"/>
  <c r="G83" i="1"/>
  <c r="F86" i="1"/>
  <c r="E83" i="1"/>
  <c r="D84" i="1"/>
  <c r="F84" i="1"/>
  <c r="D90" i="1"/>
  <c r="D85" i="1"/>
  <c r="F85" i="1"/>
  <c r="G84" i="1"/>
  <c r="D83" i="1"/>
  <c r="G77" i="1"/>
  <c r="C83" i="1"/>
  <c r="G86" i="1"/>
  <c r="G85" i="1"/>
  <c r="E85" i="1"/>
  <c r="C85" i="1"/>
  <c r="D86" i="1"/>
  <c r="G90" i="1"/>
  <c r="D87" i="1"/>
  <c r="E87" i="1"/>
  <c r="C88" i="1"/>
  <c r="E88" i="1"/>
  <c r="D89" i="1"/>
  <c r="G89" i="1"/>
  <c r="C87" i="1"/>
  <c r="C90" i="1"/>
  <c r="D88" i="1"/>
  <c r="F89" i="1"/>
  <c r="E94" i="1"/>
  <c r="E90" i="1"/>
  <c r="F90" i="1"/>
  <c r="G88" i="1"/>
  <c r="F87" i="1"/>
  <c r="C89" i="1"/>
  <c r="F88" i="1"/>
  <c r="G87" i="1"/>
  <c r="E89" i="1"/>
  <c r="E92" i="1"/>
  <c r="C94" i="1"/>
  <c r="E93" i="1"/>
  <c r="C93" i="1"/>
  <c r="G93" i="1"/>
  <c r="G94" i="1"/>
  <c r="F94" i="1"/>
  <c r="E91" i="1"/>
  <c r="F93" i="1"/>
  <c r="G92" i="1"/>
  <c r="F92" i="1"/>
  <c r="F98" i="1"/>
  <c r="D94" i="1"/>
  <c r="C91" i="1"/>
  <c r="D93" i="1"/>
  <c r="F91" i="1"/>
  <c r="C92" i="1"/>
  <c r="G91" i="1"/>
  <c r="D91" i="1"/>
  <c r="D92" i="1"/>
  <c r="C95" i="1"/>
  <c r="D98" i="1"/>
  <c r="E97" i="1"/>
  <c r="C101" i="1"/>
  <c r="G95" i="1"/>
  <c r="E96" i="1"/>
  <c r="G96" i="1"/>
  <c r="G97" i="1"/>
  <c r="F95" i="1"/>
  <c r="G98" i="1"/>
  <c r="D95" i="1"/>
  <c r="E95" i="1"/>
  <c r="F97" i="1"/>
  <c r="F96" i="1"/>
  <c r="C98" i="1"/>
  <c r="D96" i="1"/>
  <c r="E98" i="1"/>
  <c r="D97" i="1"/>
  <c r="C96" i="1"/>
  <c r="C97" i="1"/>
  <c r="F99" i="1"/>
  <c r="G99" i="1"/>
  <c r="D101" i="1"/>
  <c r="E99" i="1"/>
  <c r="F100" i="1"/>
  <c r="E100" i="1"/>
  <c r="F101" i="1"/>
  <c r="D100" i="1"/>
  <c r="G101" i="1"/>
  <c r="G100" i="1"/>
  <c r="D99" i="1"/>
  <c r="E101" i="1"/>
  <c r="C99" i="1"/>
  <c r="C100" i="1"/>
  <c r="F104" i="1"/>
  <c r="C104" i="1"/>
  <c r="G104" i="1"/>
  <c r="D103" i="1"/>
  <c r="G102" i="1"/>
  <c r="E102" i="1"/>
  <c r="E104" i="1"/>
  <c r="F103" i="1"/>
  <c r="D102" i="1"/>
  <c r="C103" i="1"/>
  <c r="C102" i="1"/>
  <c r="E103" i="1"/>
  <c r="D104" i="1"/>
  <c r="F102" i="1"/>
  <c r="G103" i="1"/>
  <c r="I8" i="1"/>
  <c r="F18" i="1"/>
  <c r="I7" i="1"/>
  <c r="L12" i="1"/>
  <c r="Q14" i="1"/>
  <c r="C5" i="2"/>
  <c r="H487" i="2"/>
  <c r="G5" i="2" s="1"/>
  <c r="D75" i="1"/>
  <c r="I5" i="2"/>
  <c r="J83" i="1" l="1"/>
  <c r="L83" i="1"/>
  <c r="L84" i="1"/>
  <c r="J84" i="1"/>
  <c r="L89" i="1"/>
  <c r="J89" i="1"/>
  <c r="J98" i="1"/>
  <c r="L98" i="1"/>
  <c r="L104" i="1"/>
  <c r="J104" i="1"/>
  <c r="J81" i="1"/>
  <c r="L81" i="1"/>
  <c r="C105" i="1"/>
  <c r="L75" i="1"/>
  <c r="J75" i="1"/>
  <c r="L80" i="1"/>
  <c r="J80" i="1"/>
  <c r="L90" i="1"/>
  <c r="J90" i="1"/>
  <c r="E105" i="1"/>
  <c r="J105" i="1" s="1"/>
  <c r="F12" i="1"/>
  <c r="I11" i="1"/>
  <c r="F11" i="1"/>
  <c r="L11" i="1"/>
  <c r="F20" i="1"/>
  <c r="J96" i="1"/>
  <c r="L96" i="1"/>
  <c r="D105" i="1"/>
  <c r="J79" i="1"/>
  <c r="L79" i="1"/>
  <c r="J87" i="1"/>
  <c r="L87" i="1"/>
  <c r="L76" i="1"/>
  <c r="J76" i="1"/>
  <c r="L103" i="1"/>
  <c r="J103" i="1"/>
  <c r="L101" i="1"/>
  <c r="J101" i="1"/>
  <c r="J93" i="1"/>
  <c r="L93" i="1"/>
  <c r="L88" i="1"/>
  <c r="J88" i="1"/>
  <c r="L77" i="1"/>
  <c r="J77" i="1"/>
  <c r="L85" i="1"/>
  <c r="J85" i="1"/>
  <c r="L92" i="1"/>
  <c r="J92" i="1"/>
  <c r="L100" i="1"/>
  <c r="J100" i="1"/>
  <c r="L102" i="1"/>
  <c r="J102" i="1"/>
  <c r="L86" i="1"/>
  <c r="J86" i="1"/>
  <c r="L82" i="1"/>
  <c r="J82" i="1"/>
  <c r="L94" i="1"/>
  <c r="J94" i="1"/>
  <c r="G105" i="1"/>
  <c r="J97" i="1"/>
  <c r="L97" i="1"/>
  <c r="L78" i="1"/>
  <c r="J78" i="1"/>
  <c r="L91" i="1"/>
  <c r="J91" i="1"/>
  <c r="J99" i="1"/>
  <c r="L99" i="1"/>
  <c r="J95" i="1"/>
  <c r="L95" i="1"/>
  <c r="F105" i="1"/>
</calcChain>
</file>

<file path=xl/sharedStrings.xml><?xml version="1.0" encoding="utf-8"?>
<sst xmlns="http://schemas.openxmlformats.org/spreadsheetml/2006/main" count="87" uniqueCount="81">
  <si>
    <t xml:space="preserve">  ZINS- UND TILGUNGSPLAN</t>
  </si>
  <si>
    <t xml:space="preserve">  Darlehensrechner mit Tilgungsplan, Sondertilgung und Zinsbindung   ·   Planungsstand 2026</t>
  </si>
  <si>
    <t>IHRE EINGABEN</t>
  </si>
  <si>
    <t>IHRE FINANZIERUNG AUF EINEN BLICK</t>
  </si>
  <si>
    <t xml:space="preserve">  VERTRAG</t>
  </si>
  <si>
    <t>RATE JE ZAHLUNG</t>
  </si>
  <si>
    <t>GESAMTLAUFZEIT</t>
  </si>
  <si>
    <t>RESTSCHULD BEI ZINSBINDUNGSENDE</t>
  </si>
  <si>
    <t>Zahlungen pro Jahr</t>
  </si>
  <si>
    <t>Darlehensbezeichnung</t>
  </si>
  <si>
    <t>Investitionsdarlehen 2026</t>
  </si>
  <si>
    <t>Zinssatz je Periode</t>
  </si>
  <si>
    <t>Darlehensnehmer/in</t>
  </si>
  <si>
    <t>Musterbetrieb Nordwest GmbH</t>
  </si>
  <si>
    <t>Annuität p. a.</t>
  </si>
  <si>
    <t>Darlehensnummer</t>
  </si>
  <si>
    <t>KD-2026-118254</t>
  </si>
  <si>
    <t>Rate je Zahlung</t>
  </si>
  <si>
    <t xml:space="preserve">  KONDITIONEN</t>
  </si>
  <si>
    <t>ZINSEN GESAMT</t>
  </si>
  <si>
    <t>GESAMTAUFWAND</t>
  </si>
  <si>
    <t>ZINSERSPARNIS DURCH SONDERTILGUNG</t>
  </si>
  <si>
    <t>Tilgung je Zahlung (Rate)</t>
  </si>
  <si>
    <t>Darlehensbetrag</t>
  </si>
  <si>
    <t>Perioden laut Laufzeit</t>
  </si>
  <si>
    <t>Sollzins p. a.</t>
  </si>
  <si>
    <t>Zahlungen bis Volltilgung</t>
  </si>
  <si>
    <t>Tilgungsart</t>
  </si>
  <si>
    <t>Annuitätendarlehen</t>
  </si>
  <si>
    <t>Perioden bis Zinsbindung</t>
  </si>
  <si>
    <t>Anfängliche Tilgung p. a.</t>
  </si>
  <si>
    <t>PRÜFUNG UND VERGLEICH</t>
  </si>
  <si>
    <t>Zinsen mit Sondertilgung</t>
  </si>
  <si>
    <t>Laufzeit (Jahre)</t>
  </si>
  <si>
    <t>Zinsen ohne Sondertilgung</t>
  </si>
  <si>
    <t xml:space="preserve">  ZAHLUNG UND SONDERTILGUNG</t>
  </si>
  <si>
    <t>Zahlungen ohne Sondertilg.</t>
  </si>
  <si>
    <t>Zahlungsweise</t>
  </si>
  <si>
    <t>monatlich</t>
  </si>
  <si>
    <t>Erste Rate fällig am</t>
  </si>
  <si>
    <t>Zinsbindung (Jahre)</t>
  </si>
  <si>
    <t>Sondertilgung p. a.</t>
  </si>
  <si>
    <t>Sondertilgung ab Jahr</t>
  </si>
  <si>
    <t>Nur die goldfarbenen Felder ausfüllen.</t>
  </si>
  <si>
    <t>RESTSCHULDENTWICKLUNG  ·  mit und ohne Sondertilgung</t>
  </si>
  <si>
    <t>ZUSAMMENSETZUNG DER JAHRESZAHLUNG  ·  Zinsen, Tilgung, Sondertilgung</t>
  </si>
  <si>
    <t>JAHRESÜBERSICHT</t>
  </si>
  <si>
    <t>Jahr</t>
  </si>
  <si>
    <t>Zahlungen</t>
  </si>
  <si>
    <t>Jahreszahlung</t>
  </si>
  <si>
    <t>davon Zinsen</t>
  </si>
  <si>
    <t>davon Tilgung</t>
  </si>
  <si>
    <t>Sondertilgung</t>
  </si>
  <si>
    <t>Restschuld mit Sondertilgung</t>
  </si>
  <si>
    <t>Restschuld ohne Sondertilgung</t>
  </si>
  <si>
    <t>Zinsen kumuliert</t>
  </si>
  <si>
    <t>Tilgungsstand</t>
  </si>
  <si>
    <t>Hinweis</t>
  </si>
  <si>
    <t>Summe</t>
  </si>
  <si>
    <t>KURZANLEITUNG</t>
  </si>
  <si>
    <t xml:space="preserve">   Füllen Sie ausschließlich die goldfarbenen Felder links aus – alle Kennzahlen, Diagramme und der Zahlungsplan aktualisieren sich automatisch.</t>
  </si>
  <si>
    <t xml:space="preserve">   Über die Tilgungsart wählen Sie zwischen Annuitätendarlehen (gleichbleibende Rate), Ratendarlehen (gleichbleibende Tilgung) und endfälligem Darlehen (Tilgung in einer Summe am Laufzeitende).</t>
  </si>
  <si>
    <t xml:space="preserve">   Die Zahlungsweise stellt den gesamten Plan auf monatliche, vierteljährliche, halbjährliche oder jährliche Raten um. Beim Annuitätendarlehen dient das Feld „Laufzeit“ nur als Planungshorizont.</t>
  </si>
  <si>
    <t xml:space="preserve">   Die gestrichelte blaue Linie im oberen Diagramm zeigt zum Vergleich, wie sich die Restschuld ohne jede Sondertilgung entwickeln würde.</t>
  </si>
  <si>
    <t xml:space="preserve">   Das Blatt „Zahlungsplan“ enthält jede einzelne Rate mit Zins-, Tilgungs- und Sondertilgungsanteil. Über den Autofilter lassen sich einzelne Jahre auswerten.</t>
  </si>
  <si>
    <t xml:space="preserve">   Sämtliche Beträge sind frei erfundene Beispielwerte. Die Vorlage ersetzt keine Finanzierungs-, Steuer- oder Rechtsberatung.</t>
  </si>
  <si>
    <t xml:space="preserve">  ZAHLUNGSPLAN  ·  jede einzelne Rate im Detail</t>
  </si>
  <si>
    <t xml:space="preserve">  Alle Werte werden aus den Eingaben im Blatt „Übersicht“ berechnet.   Zeilen nach der Volltilgung bleiben leer.</t>
  </si>
  <si>
    <t>ZAHLUNGEN</t>
  </si>
  <si>
    <t>TILGUNG GESAMT</t>
  </si>
  <si>
    <t>SONDERTILGUNG GESAMT</t>
  </si>
  <si>
    <t>KAPITALDIENST GESAMT</t>
  </si>
  <si>
    <t>Nr.</t>
  </si>
  <si>
    <t>Fälligkeit</t>
  </si>
  <si>
    <t>Restschuld Beginn</t>
  </si>
  <si>
    <t>Rate</t>
  </si>
  <si>
    <t>Zahlung gesamt</t>
  </si>
  <si>
    <t>Restschuld Ende</t>
  </si>
  <si>
    <t>Zinsen o. ST</t>
  </si>
  <si>
    <t>Tilgung o. ST</t>
  </si>
  <si>
    <t>Restschuld o.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</si>
</sst>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€&quot;;\-#,##0.00&quot; €&quot;;\–"/>
    <numFmt numFmtId="165" formatCode="0.00%;\-0.00%;\–"/>
    <numFmt numFmtId="166" formatCode="#,##0;\-#,##0;\–"/>
    <numFmt numFmtId="167" formatCode="dd\.mm\.yyyy"/>
    <numFmt numFmtId="168" formatCode="0.0%;\-0.0%;\–"/>
  </numFmts>
  <fonts count="22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.5"/>
      <color rgb="FFFFFFFF"/>
      <name val="Calibri"/>
      <charset val="1"/>
    </font>
    <font>
      <b/>
      <sz val="11"/>
      <color rgb="FF0F2B46"/>
      <name val="Calibri"/>
      <charset val="1"/>
    </font>
    <font>
      <b/>
      <sz val="9"/>
      <color rgb="FF0B8A6C"/>
      <name val="Calibri"/>
      <charset val="1"/>
    </font>
    <font>
      <b/>
      <sz val="8"/>
      <color rgb="FF6C7A85"/>
      <name val="Calibri"/>
      <charset val="1"/>
    </font>
    <font>
      <sz val="9"/>
      <color rgb="FF6C7A85"/>
      <name val="Calibri"/>
      <charset val="1"/>
    </font>
    <font>
      <sz val="10"/>
      <color rgb="FF1B2429"/>
      <name val="Calibri"/>
      <charset val="1"/>
    </font>
    <font>
      <b/>
      <sz val="10.5"/>
      <color rgb="FF0F2B46"/>
      <name val="Calibri"/>
      <charset val="1"/>
    </font>
    <font>
      <b/>
      <sz val="17"/>
      <color rgb="FF0F2B46"/>
      <name val="Calibri"/>
      <charset val="1"/>
    </font>
    <font>
      <sz val="8.5"/>
      <color rgb="FF6C7A85"/>
      <name val="Calibri"/>
      <charset val="1"/>
    </font>
    <font>
      <sz val="9.5"/>
      <color rgb="FF1B2429"/>
      <name val="Calibri"/>
      <charset val="1"/>
    </font>
    <font>
      <b/>
      <sz val="10"/>
      <color rgb="FF0B8A6C"/>
      <name val="Calibri"/>
      <charset val="1"/>
    </font>
    <font>
      <sz val="9"/>
      <color rgb="FF1B2429"/>
      <name val="Calibri"/>
      <charset val="1"/>
    </font>
    <font>
      <i/>
      <sz val="8.5"/>
      <color rgb="FF6C7A85"/>
      <name val="Calibri"/>
      <charset val="1"/>
    </font>
    <font>
      <b/>
      <sz val="9.5"/>
      <color rgb="FFFFFFFF"/>
      <name val="Calibri"/>
      <charset val="1"/>
    </font>
    <font>
      <b/>
      <sz val="10"/>
      <color rgb="FFFFFFFF"/>
      <name val="Calibri"/>
      <charset val="1"/>
    </font>
    <font>
      <b/>
      <sz val="16"/>
      <color rgb="FFFFFFFF"/>
      <name val="Calibri"/>
      <charset val="1"/>
    </font>
    <font>
      <sz val="9.5"/>
      <color rgb="FFFFFFFF"/>
      <name val="Calibri"/>
      <charset val="1"/>
    </font>
    <font>
      <b/>
      <sz val="14"/>
      <color rgb="FF0F2B46"/>
      <name val="Calibri"/>
      <charset val="1"/>
    </font>
    <font>
      <b/>
      <sz val="9.5"/>
      <color rgb="FF1B2429"/>
      <name val="Calibri"/>
      <charset val="1"/>
    </font>
    <font>
      <b/>
      <sz val="9.5"/>
      <color rgb="FF0F2B46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0F2B46"/>
        <bgColor rgb="FF1B2429"/>
      </patternFill>
    </fill>
    <fill>
      <patternFill patternType="solid">
        <fgColor rgb="FF1D4E7C"/>
        <bgColor rgb="FF0F2B46"/>
      </patternFill>
    </fill>
    <fill>
      <patternFill patternType="solid">
        <fgColor rgb="FFE4F2ED"/>
        <bgColor rgb="FFE7EDF3"/>
      </patternFill>
    </fill>
    <fill>
      <patternFill patternType="solid">
        <fgColor rgb="FFF4F6F7"/>
        <bgColor rgb="FFFFFFFF"/>
      </patternFill>
    </fill>
    <fill>
      <patternFill patternType="solid">
        <fgColor rgb="FFFFF6E0"/>
        <bgColor rgb="FFF4F6F7"/>
      </patternFill>
    </fill>
    <fill>
      <patternFill patternType="solid">
        <fgColor rgb="FFFFFFFF"/>
        <bgColor rgb="FFF4F6F7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B8A6C"/>
      </bottom>
      <diagonal/>
    </border>
    <border>
      <left/>
      <right/>
      <top style="medium">
        <color rgb="FF0B8A6C"/>
      </top>
      <bottom/>
      <diagonal/>
    </border>
    <border>
      <left/>
      <right/>
      <top/>
      <bottom style="thin">
        <color rgb="FFD5DDE2"/>
      </bottom>
      <diagonal/>
    </border>
    <border>
      <left style="thin">
        <color rgb="FFC9922C"/>
      </left>
      <right style="thin">
        <color rgb="FFC9922C"/>
      </right>
      <top style="thin">
        <color rgb="FFC9922C"/>
      </top>
      <bottom style="thin">
        <color rgb="FFC9922C"/>
      </bottom>
      <diagonal/>
    </border>
    <border>
      <left/>
      <right/>
      <top/>
      <bottom style="thin">
        <color rgb="FFE4E9EC"/>
      </bottom>
      <diagonal/>
    </border>
    <border>
      <left/>
      <right style="thin">
        <color rgb="FFFFFFFF"/>
      </right>
      <top/>
      <bottom/>
      <diagonal/>
    </border>
    <border>
      <left style="thin">
        <color rgb="FFBC5908"/>
      </left>
      <right style="thin">
        <color rgb="FFBC5908"/>
      </right>
      <top style="thin">
        <color rgb="FFBC5908"/>
      </top>
      <bottom style="thin">
        <color rgb="FFBC590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applyFont="1"/>
    <xf numFmtId="0" fontId="7" fillId="0" borderId="3" xfId="0" applyFont="1" applyBorder="1" applyAlignment="1">
      <alignment horizontal="left" vertical="center" indent="1"/>
    </xf>
    <xf numFmtId="0" fontId="15" fillId="2" borderId="6" xfId="0" applyFont="1" applyFill="1" applyBorder="1" applyAlignment="1">
      <alignment horizontal="left" vertical="center" wrapText="1" indent="1"/>
    </xf>
    <xf numFmtId="0" fontId="15" fillId="2" borderId="6" xfId="0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166" fontId="11" fillId="0" borderId="3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right" vertical="center"/>
    </xf>
    <xf numFmtId="168" fontId="11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1" fontId="11" fillId="5" borderId="3" xfId="0" applyNumberFormat="1" applyFont="1" applyFill="1" applyBorder="1" applyAlignment="1">
      <alignment horizontal="center" vertical="center"/>
    </xf>
    <xf numFmtId="166" fontId="11" fillId="5" borderId="3" xfId="0" applyNumberFormat="1" applyFont="1" applyFill="1" applyBorder="1" applyAlignment="1">
      <alignment horizontal="center" vertical="center"/>
    </xf>
    <xf numFmtId="164" fontId="11" fillId="5" borderId="3" xfId="0" applyNumberFormat="1" applyFont="1" applyFill="1" applyBorder="1" applyAlignment="1">
      <alignment horizontal="right" vertical="center"/>
    </xf>
    <xf numFmtId="168" fontId="11" fillId="5" borderId="3" xfId="0" applyNumberFormat="1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left" vertical="center" indent="1"/>
    </xf>
    <xf numFmtId="0" fontId="16" fillId="2" borderId="0" xfId="0" applyFont="1" applyFill="1" applyAlignment="1">
      <alignment horizontal="left" vertical="center" indent="1"/>
    </xf>
    <xf numFmtId="166" fontId="16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0" fontId="5" fillId="0" borderId="0" xfId="0" applyFont="1"/>
    <xf numFmtId="167" fontId="11" fillId="0" borderId="3" xfId="0" applyNumberFormat="1" applyFont="1" applyBorder="1" applyAlignment="1">
      <alignment horizontal="center" vertical="center"/>
    </xf>
    <xf numFmtId="164" fontId="20" fillId="0" borderId="3" xfId="0" applyNumberFormat="1" applyFont="1" applyBorder="1" applyAlignment="1">
      <alignment horizontal="right" vertical="center"/>
    </xf>
    <xf numFmtId="164" fontId="21" fillId="0" borderId="3" xfId="0" applyNumberFormat="1" applyFont="1" applyBorder="1" applyAlignment="1">
      <alignment horizontal="right" vertical="center"/>
    </xf>
    <xf numFmtId="164" fontId="0" fillId="0" borderId="0" xfId="0" applyNumberFormat="1"/>
    <xf numFmtId="167" fontId="11" fillId="5" borderId="3" xfId="0" applyNumberFormat="1" applyFont="1" applyFill="1" applyBorder="1" applyAlignment="1">
      <alignment horizontal="center" vertical="center"/>
    </xf>
    <xf numFmtId="164" fontId="20" fillId="5" borderId="3" xfId="0" applyNumberFormat="1" applyFont="1" applyFill="1" applyBorder="1" applyAlignment="1">
      <alignment horizontal="right" vertical="center"/>
    </xf>
    <xf numFmtId="164" fontId="21" fillId="5" borderId="3" xfId="0" applyNumberFormat="1" applyFont="1" applyFill="1" applyBorder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165" fontId="8" fillId="6" borderId="7" xfId="0" applyNumberFormat="1" applyFont="1" applyFill="1" applyBorder="1" applyAlignment="1">
      <alignment horizontal="left" vertical="center"/>
    </xf>
    <xf numFmtId="167" fontId="8" fillId="6" borderId="7" xfId="0" applyNumberFormat="1" applyFont="1" applyFill="1" applyBorder="1" applyAlignment="1">
      <alignment horizontal="left" vertical="center"/>
    </xf>
    <xf numFmtId="166" fontId="8" fillId="6" borderId="7" xfId="0" applyNumberFormat="1" applyFont="1" applyFill="1" applyBorder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7" borderId="3" xfId="0" applyFont="1" applyFill="1" applyBorder="1" applyAlignment="1">
      <alignment horizontal="left" vertical="center" indent="1"/>
    </xf>
    <xf numFmtId="0" fontId="12" fillId="4" borderId="0" xfId="0" applyFont="1" applyFill="1" applyAlignment="1">
      <alignment horizontal="left" vertical="center" indent="1"/>
    </xf>
    <xf numFmtId="0" fontId="13" fillId="7" borderId="0" xfId="0" applyFont="1" applyFill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8" fillId="6" borderId="7" xfId="0" applyFont="1" applyFill="1" applyBorder="1" applyAlignment="1">
      <alignment horizontal="left" vertical="center" indent="1"/>
    </xf>
    <xf numFmtId="0" fontId="4" fillId="4" borderId="0" xfId="0" applyFont="1" applyFill="1" applyAlignment="1">
      <alignment horizontal="left" vertical="center"/>
    </xf>
    <xf numFmtId="164" fontId="9" fillId="5" borderId="0" xfId="0" applyNumberFormat="1" applyFont="1" applyFill="1" applyAlignment="1">
      <alignment horizontal="left" vertical="center" indent="1"/>
    </xf>
    <xf numFmtId="0" fontId="10" fillId="5" borderId="5" xfId="0" applyFont="1" applyFill="1" applyBorder="1" applyAlignment="1">
      <alignment horizontal="left" vertical="center" indent="1"/>
    </xf>
    <xf numFmtId="0" fontId="8" fillId="6" borderId="4" xfId="0" applyFont="1" applyFill="1" applyBorder="1" applyAlignment="1">
      <alignment horizontal="left" vertical="center" indent="1"/>
    </xf>
    <xf numFmtId="0" fontId="5" fillId="5" borderId="2" xfId="0" applyFont="1" applyFill="1" applyBorder="1" applyAlignment="1">
      <alignment horizontal="left" vertical="center" indent="1"/>
    </xf>
    <xf numFmtId="0" fontId="9" fillId="5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66" fontId="19" fillId="5" borderId="1" xfId="0" applyNumberFormat="1" applyFont="1" applyFill="1" applyBorder="1" applyAlignment="1">
      <alignment horizontal="left" vertical="center" indent="1"/>
    </xf>
    <xf numFmtId="164" fontId="19" fillId="5" borderId="1" xfId="0" applyNumberFormat="1" applyFont="1" applyFill="1" applyBorder="1" applyAlignment="1">
      <alignment horizontal="left" vertical="center" indent="1"/>
    </xf>
    <xf numFmtId="0" fontId="17" fillId="2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indent="1"/>
    </xf>
  </cellXfs>
  <cellStyles count="1">
    <cellStyle name="Standard" xfId="0" builtinId="0"/>
  </cellStyles>
  <dxfs count="3">
    <dxf>
      <font>
        <b/>
        <sz val="9"/>
        <color rgb="FFC9922C"/>
        <name val="Calibri"/>
        <charset val="1"/>
      </font>
    </dxf>
    <dxf>
      <font>
        <b/>
        <sz val="9"/>
        <color rgb="FF0B8A6C"/>
        <name val="Calibri"/>
        <charset val="1"/>
      </font>
      <fill>
        <patternFill>
          <bgColor rgb="FFE4F2ED"/>
        </patternFill>
      </fill>
    </dxf>
    <dxf>
      <font>
        <b/>
        <sz val="9"/>
        <color rgb="FF0F2B46"/>
        <name val="Calibri"/>
        <charset val="1"/>
      </font>
      <fill>
        <patternFill>
          <bgColor rgb="FFE7EDF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8A6C"/>
      <rgbColor rgb="FFD9D9D9"/>
      <rgbColor rgb="FF878787"/>
      <rgbColor rgb="FF9999FF"/>
      <rgbColor rgb="FF993366"/>
      <rgbColor rgb="FFFFF6E0"/>
      <rgbColor rgb="FFE4F2ED"/>
      <rgbColor rgb="FF660066"/>
      <rgbColor rgb="FFFF8080"/>
      <rgbColor rgb="FF0066CC"/>
      <rgbColor rgb="FFD5DD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DF3"/>
      <rgbColor rgb="FFE4E9EC"/>
      <rgbColor rgb="FFF4F6F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922C"/>
      <rgbColor rgb="FFFF6600"/>
      <rgbColor rgb="FF6C7A85"/>
      <rgbColor rgb="FF969696"/>
      <rgbColor rgb="FF0F2B46"/>
      <rgbColor rgb="FF339966"/>
      <rgbColor rgb="FF003300"/>
      <rgbColor rgb="FF333300"/>
      <rgbColor rgb="FF993300"/>
      <rgbColor rgb="FF993366"/>
      <rgbColor rgb="FF1D4E7C"/>
      <rgbColor rgb="FF1B24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C59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Restschuld im Zeitverlauf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Übersicht!$H$74</c:f>
              <c:strCache>
                <c:ptCount val="1"/>
                <c:pt idx="0">
                  <c:v>Restschuld mit Sondertilgung</c:v>
                </c:pt>
              </c:strCache>
            </c:strRef>
          </c:tx>
          <c:spPr>
            <a:ln w="32040">
              <a:solidFill>
                <a:srgbClr val="0B8A6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Übersicht!$B$75:$B$103</c:f>
              <c:numCache>
                <c:formatCode>0</c:formatCode>
                <c:ptCount val="29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</c:numCache>
            </c:numRef>
          </c:cat>
          <c:val>
            <c:numRef>
              <c:f>Übersicht!$H$75:$H$103</c:f>
              <c:numCache>
                <c:formatCode>#,##0.00" €";\-#,##0.00" €";\–</c:formatCode>
                <c:ptCount val="29"/>
                <c:pt idx="0">
                  <c:v>290900.01</c:v>
                </c:pt>
                <c:pt idx="1">
                  <c:v>281466.96000000002</c:v>
                </c:pt>
                <c:pt idx="2">
                  <c:v>271688.65999999997</c:v>
                </c:pt>
                <c:pt idx="3">
                  <c:v>261552.48</c:v>
                </c:pt>
                <c:pt idx="4">
                  <c:v>251045.3</c:v>
                </c:pt>
                <c:pt idx="5">
                  <c:v>240153.58</c:v>
                </c:pt>
                <c:pt idx="6">
                  <c:v>228863.22</c:v>
                </c:pt>
                <c:pt idx="7">
                  <c:v>217159.61</c:v>
                </c:pt>
                <c:pt idx="8">
                  <c:v>205027.64</c:v>
                </c:pt>
                <c:pt idx="9">
                  <c:v>192451.66</c:v>
                </c:pt>
                <c:pt idx="10">
                  <c:v>179415.4</c:v>
                </c:pt>
                <c:pt idx="11">
                  <c:v>165902.03</c:v>
                </c:pt>
                <c:pt idx="12">
                  <c:v>151894.04999999999</c:v>
                </c:pt>
                <c:pt idx="13">
                  <c:v>137373.39000000001</c:v>
                </c:pt>
                <c:pt idx="14">
                  <c:v>122321.26</c:v>
                </c:pt>
                <c:pt idx="15">
                  <c:v>106718.21</c:v>
                </c:pt>
                <c:pt idx="16">
                  <c:v>90544.11</c:v>
                </c:pt>
                <c:pt idx="17">
                  <c:v>73778.03</c:v>
                </c:pt>
                <c:pt idx="18">
                  <c:v>56398.32</c:v>
                </c:pt>
                <c:pt idx="19">
                  <c:v>38382.480000000003</c:v>
                </c:pt>
                <c:pt idx="20">
                  <c:v>19707.310000000001</c:v>
                </c:pt>
                <c:pt idx="21">
                  <c:v>348.6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E-4C8D-9681-71155D48AD43}"/>
            </c:ext>
          </c:extLst>
        </c:ser>
        <c:ser>
          <c:idx val="1"/>
          <c:order val="1"/>
          <c:tx>
            <c:strRef>
              <c:f>Übersicht!$I$74</c:f>
              <c:strCache>
                <c:ptCount val="1"/>
                <c:pt idx="0">
                  <c:v>Restschuld ohne Sondertilgung</c:v>
                </c:pt>
              </c:strCache>
            </c:strRef>
          </c:tx>
          <c:spPr>
            <a:ln w="20160">
              <a:solidFill>
                <a:srgbClr val="1D4E7C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Übersicht!$B$75:$B$103</c:f>
              <c:numCache>
                <c:formatCode>0</c:formatCode>
                <c:ptCount val="29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</c:numCache>
            </c:numRef>
          </c:cat>
          <c:val>
            <c:numRef>
              <c:f>Übersicht!$I$75:$I$103</c:f>
              <c:numCache>
                <c:formatCode>#,##0.00" €";\-#,##0.00" €";\–</c:formatCode>
                <c:ptCount val="29"/>
                <c:pt idx="0">
                  <c:v>293900.01</c:v>
                </c:pt>
                <c:pt idx="1">
                  <c:v>287576.77</c:v>
                </c:pt>
                <c:pt idx="2">
                  <c:v>281022.08000000002</c:v>
                </c:pt>
                <c:pt idx="3">
                  <c:v>274227.5</c:v>
                </c:pt>
                <c:pt idx="4">
                  <c:v>267184.21999999997</c:v>
                </c:pt>
                <c:pt idx="5">
                  <c:v>259883.16</c:v>
                </c:pt>
                <c:pt idx="6">
                  <c:v>252314.89</c:v>
                </c:pt>
                <c:pt idx="7">
                  <c:v>244469.61</c:v>
                </c:pt>
                <c:pt idx="8">
                  <c:v>236337.19</c:v>
                </c:pt>
                <c:pt idx="9">
                  <c:v>227907.12</c:v>
                </c:pt>
                <c:pt idx="10">
                  <c:v>219168.53</c:v>
                </c:pt>
                <c:pt idx="11">
                  <c:v>210110.11</c:v>
                </c:pt>
                <c:pt idx="12">
                  <c:v>200720.15</c:v>
                </c:pt>
                <c:pt idx="13">
                  <c:v>190986.51</c:v>
                </c:pt>
                <c:pt idx="14">
                  <c:v>180896.61</c:v>
                </c:pt>
                <c:pt idx="15">
                  <c:v>170437.43</c:v>
                </c:pt>
                <c:pt idx="16">
                  <c:v>159595.45000000001</c:v>
                </c:pt>
                <c:pt idx="17">
                  <c:v>148356.64000000001</c:v>
                </c:pt>
                <c:pt idx="18">
                  <c:v>136706.51</c:v>
                </c:pt>
                <c:pt idx="19">
                  <c:v>124629.97</c:v>
                </c:pt>
                <c:pt idx="20">
                  <c:v>112111.44</c:v>
                </c:pt>
                <c:pt idx="21">
                  <c:v>99134.71</c:v>
                </c:pt>
                <c:pt idx="22">
                  <c:v>85683.05</c:v>
                </c:pt>
                <c:pt idx="23">
                  <c:v>71739.05</c:v>
                </c:pt>
                <c:pt idx="24">
                  <c:v>57284.71</c:v>
                </c:pt>
                <c:pt idx="25">
                  <c:v>42301.33</c:v>
                </c:pt>
                <c:pt idx="26">
                  <c:v>26769.57</c:v>
                </c:pt>
                <c:pt idx="27">
                  <c:v>10669.35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E-4C8D-9681-71155D48A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0536877"/>
        <c:axId val="91827043"/>
      </c:lineChart>
      <c:catAx>
        <c:axId val="3053687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1827043"/>
        <c:crosses val="autoZero"/>
        <c:auto val="1"/>
        <c:lblAlgn val="ctr"/>
        <c:lblOffset val="100"/>
        <c:noMultiLvlLbl val="0"/>
      </c:catAx>
      <c:valAx>
        <c:axId val="9182704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053687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Jahreszahlung nach Zinsen, Tilgung und Sondertilgung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Übersicht!$E$74</c:f>
              <c:strCache>
                <c:ptCount val="1"/>
                <c:pt idx="0">
                  <c:v>davon Zinsen</c:v>
                </c:pt>
              </c:strCache>
            </c:strRef>
          </c:tx>
          <c:spPr>
            <a:solidFill>
              <a:srgbClr val="1D4E7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Übersicht!$B$75:$B$103</c:f>
              <c:numCache>
                <c:formatCode>0</c:formatCode>
                <c:ptCount val="29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</c:numCache>
            </c:numRef>
          </c:cat>
          <c:val>
            <c:numRef>
              <c:f>Übersicht!$E$75:$E$103</c:f>
              <c:numCache>
                <c:formatCode>#,##0.00" €";\-#,##0.00" €";\–</c:formatCode>
                <c:ptCount val="29"/>
                <c:pt idx="0">
                  <c:v>10700.009999999998</c:v>
                </c:pt>
                <c:pt idx="1">
                  <c:v>10366.950000000001</c:v>
                </c:pt>
                <c:pt idx="2">
                  <c:v>10021.700000000001</c:v>
                </c:pt>
                <c:pt idx="3">
                  <c:v>9663.82</c:v>
                </c:pt>
                <c:pt idx="4">
                  <c:v>9292.82</c:v>
                </c:pt>
                <c:pt idx="5">
                  <c:v>8908.2800000000007</c:v>
                </c:pt>
                <c:pt idx="6">
                  <c:v>8509.6400000000012</c:v>
                </c:pt>
                <c:pt idx="7">
                  <c:v>8096.3900000000012</c:v>
                </c:pt>
                <c:pt idx="8">
                  <c:v>7668.03</c:v>
                </c:pt>
                <c:pt idx="9">
                  <c:v>7224.02</c:v>
                </c:pt>
                <c:pt idx="10">
                  <c:v>6763.74</c:v>
                </c:pt>
                <c:pt idx="11">
                  <c:v>6286.63</c:v>
                </c:pt>
                <c:pt idx="12">
                  <c:v>5792.02</c:v>
                </c:pt>
                <c:pt idx="13">
                  <c:v>5279.34</c:v>
                </c:pt>
                <c:pt idx="14">
                  <c:v>4747.87</c:v>
                </c:pt>
                <c:pt idx="15">
                  <c:v>4196.95</c:v>
                </c:pt>
                <c:pt idx="16">
                  <c:v>3625.9000000000005</c:v>
                </c:pt>
                <c:pt idx="17">
                  <c:v>3033.92</c:v>
                </c:pt>
                <c:pt idx="18">
                  <c:v>2420.2899999999995</c:v>
                </c:pt>
                <c:pt idx="19">
                  <c:v>1784.16</c:v>
                </c:pt>
                <c:pt idx="20">
                  <c:v>1124.83</c:v>
                </c:pt>
                <c:pt idx="21">
                  <c:v>441.29000000000008</c:v>
                </c:pt>
                <c:pt idx="22">
                  <c:v>1.05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5-46FC-BA88-9AA099A6A014}"/>
            </c:ext>
          </c:extLst>
        </c:ser>
        <c:ser>
          <c:idx val="1"/>
          <c:order val="1"/>
          <c:tx>
            <c:strRef>
              <c:f>Übersicht!$F$74</c:f>
              <c:strCache>
                <c:ptCount val="1"/>
                <c:pt idx="0">
                  <c:v>davon Tilgung</c:v>
                </c:pt>
              </c:strCache>
            </c:strRef>
          </c:tx>
          <c:spPr>
            <a:solidFill>
              <a:srgbClr val="0B8A6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Übersicht!$B$75:$B$103</c:f>
              <c:numCache>
                <c:formatCode>0</c:formatCode>
                <c:ptCount val="29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</c:numCache>
            </c:numRef>
          </c:cat>
          <c:val>
            <c:numRef>
              <c:f>Übersicht!$F$75:$F$103</c:f>
              <c:numCache>
                <c:formatCode>#,##0.00" €";\-#,##0.00" €";\–</c:formatCode>
                <c:ptCount val="29"/>
                <c:pt idx="0">
                  <c:v>6099.99</c:v>
                </c:pt>
                <c:pt idx="1">
                  <c:v>6433.05</c:v>
                </c:pt>
                <c:pt idx="2">
                  <c:v>6778.2999999999993</c:v>
                </c:pt>
                <c:pt idx="3">
                  <c:v>7136.1799999999994</c:v>
                </c:pt>
                <c:pt idx="4">
                  <c:v>7507.18</c:v>
                </c:pt>
                <c:pt idx="5">
                  <c:v>7891.7199999999993</c:v>
                </c:pt>
                <c:pt idx="6">
                  <c:v>8290.3599999999988</c:v>
                </c:pt>
                <c:pt idx="7">
                  <c:v>8703.61</c:v>
                </c:pt>
                <c:pt idx="8">
                  <c:v>9131.9700000000012</c:v>
                </c:pt>
                <c:pt idx="9">
                  <c:v>9575.98</c:v>
                </c:pt>
                <c:pt idx="10">
                  <c:v>10036.26</c:v>
                </c:pt>
                <c:pt idx="11">
                  <c:v>10513.37</c:v>
                </c:pt>
                <c:pt idx="12">
                  <c:v>11007.980000000001</c:v>
                </c:pt>
                <c:pt idx="13">
                  <c:v>11520.660000000002</c:v>
                </c:pt>
                <c:pt idx="14">
                  <c:v>12052.130000000001</c:v>
                </c:pt>
                <c:pt idx="15">
                  <c:v>12603.050000000001</c:v>
                </c:pt>
                <c:pt idx="16">
                  <c:v>13174.1</c:v>
                </c:pt>
                <c:pt idx="17">
                  <c:v>13766.080000000002</c:v>
                </c:pt>
                <c:pt idx="18">
                  <c:v>14379.71</c:v>
                </c:pt>
                <c:pt idx="19">
                  <c:v>15015.84</c:v>
                </c:pt>
                <c:pt idx="20">
                  <c:v>15675.17</c:v>
                </c:pt>
                <c:pt idx="21">
                  <c:v>16358.71</c:v>
                </c:pt>
                <c:pt idx="22">
                  <c:v>348.6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5-46FC-BA88-9AA099A6A014}"/>
            </c:ext>
          </c:extLst>
        </c:ser>
        <c:ser>
          <c:idx val="2"/>
          <c:order val="2"/>
          <c:tx>
            <c:strRef>
              <c:f>Übersicht!$G$74</c:f>
              <c:strCache>
                <c:ptCount val="1"/>
                <c:pt idx="0">
                  <c:v>Sondertilgung</c:v>
                </c:pt>
              </c:strCache>
            </c:strRef>
          </c:tx>
          <c:spPr>
            <a:solidFill>
              <a:srgbClr val="C9922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Übersicht!$B$75:$B$103</c:f>
              <c:numCache>
                <c:formatCode>0</c:formatCode>
                <c:ptCount val="29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</c:numCache>
            </c:numRef>
          </c:cat>
          <c:val>
            <c:numRef>
              <c:f>Übersicht!$G$75:$G$103</c:f>
              <c:numCache>
                <c:formatCode>#,##0.00" €";\-#,##0.00" €";\–</c:formatCode>
                <c:ptCount val="29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3000</c:v>
                </c:pt>
                <c:pt idx="5">
                  <c:v>3000</c:v>
                </c:pt>
                <c:pt idx="6">
                  <c:v>3000</c:v>
                </c:pt>
                <c:pt idx="7">
                  <c:v>3000</c:v>
                </c:pt>
                <c:pt idx="8">
                  <c:v>3000</c:v>
                </c:pt>
                <c:pt idx="9">
                  <c:v>3000</c:v>
                </c:pt>
                <c:pt idx="10">
                  <c:v>3000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3000</c:v>
                </c:pt>
                <c:pt idx="18">
                  <c:v>3000</c:v>
                </c:pt>
                <c:pt idx="19">
                  <c:v>3000</c:v>
                </c:pt>
                <c:pt idx="20">
                  <c:v>3000</c:v>
                </c:pt>
                <c:pt idx="21">
                  <c:v>3000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5-46FC-BA88-9AA099A6A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8056780"/>
        <c:axId val="75365396"/>
      </c:barChart>
      <c:catAx>
        <c:axId val="3805678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5365396"/>
        <c:crosses val="autoZero"/>
        <c:auto val="1"/>
        <c:lblAlgn val="ctr"/>
        <c:lblOffset val="100"/>
        <c:noMultiLvlLbl val="0"/>
      </c:catAx>
      <c:valAx>
        <c:axId val="753653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805678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13</xdr:col>
      <xdr:colOff>614700</xdr:colOff>
      <xdr:row>44</xdr:row>
      <xdr:rowOff>124200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47</xdr:row>
      <xdr:rowOff>0</xdr:rowOff>
    </xdr:from>
    <xdr:to>
      <xdr:col>13</xdr:col>
      <xdr:colOff>614700</xdr:colOff>
      <xdr:row>65</xdr:row>
      <xdr:rowOff>26640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13"/>
  <sheetViews>
    <sheetView showGridLines="0" tabSelected="1" zoomScaleNormal="100" workbookViewId="0">
      <pane ySplit="4" topLeftCell="A57" activePane="bottomLeft" state="frozen"/>
      <selection pane="bottomLeft" activeCell="U74" sqref="U74"/>
    </sheetView>
  </sheetViews>
  <sheetFormatPr baseColWidth="10" defaultColWidth="8.7109375" defaultRowHeight="15" x14ac:dyDescent="0.25"/>
  <cols>
    <col min="1" max="1" width="2" customWidth="1"/>
    <col min="2" max="2" width="21.7109375" bestFit="1" customWidth="1"/>
    <col min="3" max="3" width="9" bestFit="1" customWidth="1"/>
    <col min="4" max="4" width="11.7109375" bestFit="1" customWidth="1"/>
    <col min="5" max="5" width="11.28515625" bestFit="1" customWidth="1"/>
    <col min="6" max="6" width="11.5703125" bestFit="1" customWidth="1"/>
    <col min="7" max="7" width="11.85546875" bestFit="1" customWidth="1"/>
    <col min="8" max="8" width="12.42578125" bestFit="1" customWidth="1"/>
    <col min="9" max="9" width="13.7109375" bestFit="1" customWidth="1"/>
    <col min="10" max="10" width="14.140625" bestFit="1" customWidth="1"/>
    <col min="11" max="11" width="11.42578125" bestFit="1" customWidth="1"/>
    <col min="12" max="12" width="17.42578125" bestFit="1" customWidth="1"/>
    <col min="13" max="13" width="16" customWidth="1"/>
    <col min="14" max="14" width="15" customWidth="1"/>
    <col min="15" max="15" width="2" customWidth="1"/>
    <col min="16" max="16" width="22.85546875" hidden="1" customWidth="1"/>
    <col min="17" max="17" width="14" hidden="1" customWidth="1"/>
  </cols>
  <sheetData>
    <row r="1" spans="2:17" ht="9.75" customHeight="1" x14ac:dyDescent="0.25"/>
    <row r="2" spans="2:17" ht="45.75" customHeight="1" x14ac:dyDescent="0.2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7" ht="21.75" customHeight="1" x14ac:dyDescent="0.25">
      <c r="B3" s="46" t="s">
        <v>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2:17" ht="13.5" customHeight="1" x14ac:dyDescent="0.25"/>
    <row r="5" spans="2:17" ht="21.75" customHeight="1" x14ac:dyDescent="0.25">
      <c r="B5" s="33" t="s">
        <v>2</v>
      </c>
      <c r="C5" s="33"/>
      <c r="D5" s="33"/>
      <c r="F5" s="33" t="s">
        <v>3</v>
      </c>
      <c r="G5" s="33"/>
      <c r="H5" s="33"/>
      <c r="I5" s="33"/>
      <c r="J5" s="33"/>
      <c r="K5" s="33"/>
      <c r="L5" s="33"/>
      <c r="M5" s="33"/>
      <c r="N5" s="33"/>
    </row>
    <row r="6" spans="2:17" ht="18.75" customHeight="1" x14ac:dyDescent="0.25">
      <c r="B6" s="39" t="s">
        <v>4</v>
      </c>
      <c r="C6" s="39"/>
      <c r="D6" s="39"/>
      <c r="F6" s="43" t="s">
        <v>5</v>
      </c>
      <c r="G6" s="43"/>
      <c r="H6" s="43"/>
      <c r="I6" s="43" t="s">
        <v>6</v>
      </c>
      <c r="J6" s="43"/>
      <c r="K6" s="43"/>
      <c r="L6" s="43" t="s">
        <v>7</v>
      </c>
      <c r="M6" s="43"/>
      <c r="N6" s="43"/>
      <c r="P6" s="1" t="s">
        <v>8</v>
      </c>
      <c r="Q6" s="1">
        <f>IF($C$17="monatlich",12,IF($C$17="vierteljährlich",4,IF($C$17="halbjährlich",2,1)))</f>
        <v>12</v>
      </c>
    </row>
    <row r="7" spans="2:17" ht="30" customHeight="1" x14ac:dyDescent="0.25">
      <c r="B7" s="2" t="s">
        <v>9</v>
      </c>
      <c r="C7" s="42" t="s">
        <v>10</v>
      </c>
      <c r="D7" s="42"/>
      <c r="F7" s="40">
        <f>$Q$9</f>
        <v>1400</v>
      </c>
      <c r="G7" s="40"/>
      <c r="H7" s="40"/>
      <c r="I7" s="44" t="str">
        <f>INT($Q$12*12/$Q$6/12)&amp;" Jahre "&amp;MOD($Q$12*12/$Q$6,12)&amp;IF(MOD($Q$12*12/$Q$6,12)=1," Monat"," Monate")</f>
        <v>22 Jahre 1 Monat</v>
      </c>
      <c r="J7" s="44"/>
      <c r="K7" s="44"/>
      <c r="L7" s="40">
        <f>IF($C$19=0,0,INDEX(Zahlungsplan!$J$8:$J$487,$Q$13))</f>
        <v>122321.26</v>
      </c>
      <c r="M7" s="40"/>
      <c r="N7" s="40"/>
      <c r="P7" s="1" t="s">
        <v>11</v>
      </c>
      <c r="Q7" s="1">
        <f>$C$12/$Q$6</f>
        <v>2.9999999999999996E-3</v>
      </c>
    </row>
    <row r="8" spans="2:17" ht="18" customHeight="1" x14ac:dyDescent="0.25">
      <c r="B8" s="2" t="s">
        <v>12</v>
      </c>
      <c r="C8" s="42" t="s">
        <v>13</v>
      </c>
      <c r="D8" s="42"/>
      <c r="F8" s="41" t="str">
        <f>"bei "&amp;$C$17&amp;"er Zahlungsweise"</f>
        <v>bei monatlicher Zahlungsweise</v>
      </c>
      <c r="G8" s="41"/>
      <c r="H8" s="41"/>
      <c r="I8" s="41" t="str">
        <f>$Q$12&amp;" Zahlungen bis zur Volltilgung"</f>
        <v>265 Zahlungen bis zur Volltilgung</v>
      </c>
      <c r="J8" s="41"/>
      <c r="K8" s="41"/>
      <c r="L8" s="41" t="str">
        <f>IF($C$19=0,"keine Zinsbindung vereinbart","nach "&amp;$C$19&amp;" Jahren Zinsbindung")</f>
        <v>nach 15 Jahren Zinsbindung</v>
      </c>
      <c r="M8" s="41"/>
      <c r="N8" s="41"/>
      <c r="P8" s="1" t="s">
        <v>14</v>
      </c>
      <c r="Q8" s="1">
        <f>$C$11*($C$12+$C$14)</f>
        <v>16800</v>
      </c>
    </row>
    <row r="9" spans="2:17" ht="19.5" customHeight="1" x14ac:dyDescent="0.25">
      <c r="B9" s="2" t="s">
        <v>15</v>
      </c>
      <c r="C9" s="42" t="s">
        <v>16</v>
      </c>
      <c r="D9" s="42"/>
      <c r="P9" s="1" t="s">
        <v>17</v>
      </c>
      <c r="Q9" s="1">
        <f>IF($C$13="Annuitätendarlehen",ROUND($Q$8/$Q$6,2),IF($C$13="Ratendarlehen",ROUND($C$11/($C$15*$Q$6)+$C$11*$Q$7,2),ROUND($C$11*$Q$7,2)))</f>
        <v>1400</v>
      </c>
    </row>
    <row r="10" spans="2:17" ht="18.75" customHeight="1" x14ac:dyDescent="0.25">
      <c r="B10" s="39" t="s">
        <v>18</v>
      </c>
      <c r="C10" s="39"/>
      <c r="D10" s="39"/>
      <c r="F10" s="43" t="s">
        <v>19</v>
      </c>
      <c r="G10" s="43"/>
      <c r="H10" s="43"/>
      <c r="I10" s="43" t="s">
        <v>20</v>
      </c>
      <c r="J10" s="43"/>
      <c r="K10" s="43"/>
      <c r="L10" s="43" t="s">
        <v>21</v>
      </c>
      <c r="M10" s="43"/>
      <c r="N10" s="43"/>
      <c r="P10" s="1" t="s">
        <v>22</v>
      </c>
      <c r="Q10" s="1">
        <f>IF($C$13="Ratendarlehen",ROUND($C$11/($C$15*$Q$6),2),0)</f>
        <v>0</v>
      </c>
    </row>
    <row r="11" spans="2:17" ht="30" customHeight="1" x14ac:dyDescent="0.25">
      <c r="B11" s="2" t="s">
        <v>23</v>
      </c>
      <c r="C11" s="27">
        <v>300000</v>
      </c>
      <c r="D11" s="27"/>
      <c r="F11" s="40">
        <f>$Q$14</f>
        <v>135949.64999999991</v>
      </c>
      <c r="G11" s="40"/>
      <c r="H11" s="40"/>
      <c r="I11" s="40">
        <f>$C$11+$Q$14</f>
        <v>435949.64999999991</v>
      </c>
      <c r="J11" s="40"/>
      <c r="K11" s="40"/>
      <c r="L11" s="40">
        <f>MAX(0,$Q$15-$Q$14)</f>
        <v>45260.160000000033</v>
      </c>
      <c r="M11" s="40"/>
      <c r="N11" s="40"/>
      <c r="P11" s="1" t="s">
        <v>24</v>
      </c>
      <c r="Q11" s="1">
        <f>$C$15*$Q$6</f>
        <v>360</v>
      </c>
    </row>
    <row r="12" spans="2:17" ht="18" customHeight="1" x14ac:dyDescent="0.25">
      <c r="B12" s="2" t="s">
        <v>25</v>
      </c>
      <c r="C12" s="28">
        <v>3.5999999999999997E-2</v>
      </c>
      <c r="D12" s="28"/>
      <c r="F12" s="41" t="str">
        <f>"entspricht "&amp;TEXT($Q$14/$C$11,"0.0%")&amp;" des Darlehensbetrags"</f>
        <v>entspricht 45% des Darlehensbetrags</v>
      </c>
      <c r="G12" s="41"/>
      <c r="H12" s="41"/>
      <c r="I12" s="41" t="str">
        <f>"Darlehen zuzüglich aller Zinsen"</f>
        <v>Darlehen zuzüglich aller Zinsen</v>
      </c>
      <c r="J12" s="41"/>
      <c r="K12" s="41"/>
      <c r="L12" s="41" t="str">
        <f>IF($C$20&lt;=0,"keine Sondertilgung geplant",INT(($Q$16-$Q$12)*12/$Q$6)&amp;" Monate früher schuldenfrei")</f>
        <v>79 Monate früher schuldenfrei</v>
      </c>
      <c r="M12" s="41"/>
      <c r="N12" s="41"/>
      <c r="P12" s="1" t="s">
        <v>26</v>
      </c>
      <c r="Q12" s="1">
        <f>COUNTIF(Zahlungsplan!$D$8:$D$487,"&gt;0")</f>
        <v>265</v>
      </c>
    </row>
    <row r="13" spans="2:17" ht="19.5" customHeight="1" x14ac:dyDescent="0.25">
      <c r="B13" s="2" t="s">
        <v>27</v>
      </c>
      <c r="C13" s="38" t="s">
        <v>28</v>
      </c>
      <c r="D13" s="38"/>
      <c r="P13" s="1" t="s">
        <v>29</v>
      </c>
      <c r="Q13" s="1">
        <f>MIN($C$19*$Q$6,480)</f>
        <v>180</v>
      </c>
    </row>
    <row r="14" spans="2:17" ht="19.5" customHeight="1" x14ac:dyDescent="0.25">
      <c r="B14" s="2" t="s">
        <v>30</v>
      </c>
      <c r="C14" s="28">
        <v>0.02</v>
      </c>
      <c r="D14" s="28"/>
      <c r="F14" s="39" t="s">
        <v>31</v>
      </c>
      <c r="G14" s="39"/>
      <c r="H14" s="39"/>
      <c r="I14" s="39"/>
      <c r="J14" s="39"/>
      <c r="K14" s="39"/>
      <c r="L14" s="39"/>
      <c r="M14" s="39"/>
      <c r="N14" s="39"/>
      <c r="P14" s="1" t="s">
        <v>32</v>
      </c>
      <c r="Q14" s="1">
        <f>SUM(Zahlungsplan!$F$8:$F$487)</f>
        <v>135949.64999999991</v>
      </c>
    </row>
    <row r="15" spans="2:17" ht="19.5" customHeight="1" x14ac:dyDescent="0.25">
      <c r="B15" s="2" t="s">
        <v>33</v>
      </c>
      <c r="C15" s="30">
        <v>30</v>
      </c>
      <c r="D15" s="30"/>
      <c r="P15" s="1" t="s">
        <v>34</v>
      </c>
      <c r="Q15" s="1">
        <f>SUM(Zahlungsplan!$L$8:$L$487)</f>
        <v>181209.80999999994</v>
      </c>
    </row>
    <row r="16" spans="2:17" ht="21" customHeight="1" x14ac:dyDescent="0.25">
      <c r="B16" s="39" t="s">
        <v>35</v>
      </c>
      <c r="C16" s="39"/>
      <c r="D16" s="39"/>
      <c r="F16" s="34" t="str">
        <f>IF($C$13&lt;&gt;"Annuitätendarlehen","Die Rate ergibt sich bei dieser Tilgungsart unmittelbar aus Laufzeit und Sollzins.",IF($C$14&lt;=0,"Achtung: Ohne anfängliche Tilgung wird das Darlehen nie zurückgeführt.","Die Annuität deckt Zins und Tilgung vollständig ab."))</f>
        <v>Die Annuität deckt Zins und Tilgung vollständig ab.</v>
      </c>
      <c r="G16" s="34"/>
      <c r="H16" s="34"/>
      <c r="I16" s="34"/>
      <c r="J16" s="34"/>
      <c r="K16" s="34"/>
      <c r="L16" s="34"/>
      <c r="M16" s="34"/>
      <c r="N16" s="34"/>
      <c r="P16" s="1" t="s">
        <v>36</v>
      </c>
      <c r="Q16" s="1">
        <f>MIN(480,COUNTIF(Zahlungsplan!$N$8:$N$487,"&gt;0")+1)</f>
        <v>344</v>
      </c>
    </row>
    <row r="17" spans="2:14" ht="21" customHeight="1" x14ac:dyDescent="0.25">
      <c r="B17" s="2" t="s">
        <v>37</v>
      </c>
      <c r="C17" s="38" t="s">
        <v>38</v>
      </c>
      <c r="D17" s="38"/>
      <c r="F17" s="34" t="str">
        <f>IF(Zahlungsplan!$J$487&gt;0,"Achtung: Das Darlehen ist im Planungshorizont von 480 Zahlungen nicht vollständig getilgt.","Die Volltilgung liegt innerhalb des Planungshorizonts.")</f>
        <v>Die Volltilgung liegt innerhalb des Planungshorizonts.</v>
      </c>
      <c r="G17" s="34"/>
      <c r="H17" s="34"/>
      <c r="I17" s="34"/>
      <c r="J17" s="34"/>
      <c r="K17" s="34"/>
      <c r="L17" s="34"/>
      <c r="M17" s="34"/>
      <c r="N17" s="34"/>
    </row>
    <row r="18" spans="2:14" ht="21" customHeight="1" x14ac:dyDescent="0.25">
      <c r="B18" s="2" t="s">
        <v>39</v>
      </c>
      <c r="C18" s="29">
        <v>46053</v>
      </c>
      <c r="D18" s="29"/>
      <c r="F18" s="34" t="str">
        <f>IF($C$19=0,"Ohne Zinsbindung gelten die Konditionen über die gesamte Laufzeit.",IF($C$19*$Q$6&gt;=$Q$12,"Das Darlehen ist vor Ablauf der Zinsbindung vollständig zurückgeführt.","Nach der Zinsbindung ist eine Anschlussfinanzierung erforderlich."))</f>
        <v>Nach der Zinsbindung ist eine Anschlussfinanzierung erforderlich.</v>
      </c>
      <c r="G18" s="34"/>
      <c r="H18" s="34"/>
      <c r="I18" s="34"/>
      <c r="J18" s="34"/>
      <c r="K18" s="34"/>
      <c r="L18" s="34"/>
      <c r="M18" s="34"/>
      <c r="N18" s="34"/>
    </row>
    <row r="19" spans="2:14" ht="21" customHeight="1" x14ac:dyDescent="0.25">
      <c r="B19" s="2" t="s">
        <v>40</v>
      </c>
      <c r="C19" s="30">
        <v>15</v>
      </c>
      <c r="D19" s="30"/>
      <c r="F19" s="34" t="str">
        <f>IF($C$20&lt;=0,"Ohne Sondertilgung fallen beide Linien im Diagramm zusammen.","Die Sondertilgung wird jeweils mit der letzten Rate eines Jahres verrechnet.")</f>
        <v>Die Sondertilgung wird jeweils mit der letzten Rate eines Jahres verrechnet.</v>
      </c>
      <c r="G19" s="34"/>
      <c r="H19" s="34"/>
      <c r="I19" s="34"/>
      <c r="J19" s="34"/>
      <c r="K19" s="34"/>
      <c r="L19" s="34"/>
      <c r="M19" s="34"/>
      <c r="N19" s="34"/>
    </row>
    <row r="20" spans="2:14" ht="24" customHeight="1" x14ac:dyDescent="0.25">
      <c r="B20" s="2" t="s">
        <v>41</v>
      </c>
      <c r="C20" s="27">
        <v>3000</v>
      </c>
      <c r="D20" s="27"/>
      <c r="F20" s="35" t="str">
        <f>"Zinsen ohne Sondertilgung: "&amp;TEXT($Q$15,"#,##0 €")&amp;"      Zinsen mit Sondertilgung: "&amp;TEXT($Q$14,"#,##0 €")&amp;"      Ersparnis: "&amp;TEXT(MAX(0,$Q$15-$Q$14),"#,##0 €")</f>
        <v>Zinsen ohne Sondertilgung: 181209,810 €      Zinsen mit Sondertilgung: 135949,650 €      Ersparnis: 45260,160 €</v>
      </c>
      <c r="G20" s="35"/>
      <c r="H20" s="35"/>
      <c r="I20" s="35"/>
      <c r="J20" s="35"/>
      <c r="K20" s="35"/>
      <c r="L20" s="35"/>
      <c r="M20" s="35"/>
      <c r="N20" s="35"/>
    </row>
    <row r="21" spans="2:14" ht="19.5" customHeight="1" x14ac:dyDescent="0.25">
      <c r="B21" s="2" t="s">
        <v>42</v>
      </c>
      <c r="C21" s="30">
        <v>1</v>
      </c>
      <c r="D21" s="30"/>
      <c r="F21" s="36"/>
      <c r="G21" s="36"/>
      <c r="H21" s="36"/>
      <c r="I21" s="36"/>
      <c r="J21" s="36"/>
      <c r="K21" s="36"/>
      <c r="L21" s="36"/>
      <c r="M21" s="36"/>
      <c r="N21" s="36"/>
    </row>
    <row r="22" spans="2:14" ht="15.75" customHeight="1" x14ac:dyDescent="0.25">
      <c r="B22" s="37" t="s">
        <v>43</v>
      </c>
      <c r="C22" s="37"/>
      <c r="D22" s="37"/>
    </row>
    <row r="23" spans="2:14" ht="15.75" customHeight="1" x14ac:dyDescent="0.25"/>
    <row r="24" spans="2:14" ht="21.75" customHeight="1" x14ac:dyDescent="0.25">
      <c r="B24" s="33" t="s">
        <v>44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2:14" ht="7.5" customHeight="1" x14ac:dyDescent="0.25"/>
    <row r="46" spans="2:14" ht="21.75" customHeight="1" x14ac:dyDescent="0.25">
      <c r="B46" s="33" t="s">
        <v>45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2:14" ht="7.5" customHeight="1" x14ac:dyDescent="0.25"/>
    <row r="73" spans="2:12" ht="21.75" customHeight="1" x14ac:dyDescent="0.25">
      <c r="B73" s="33" t="s">
        <v>46</v>
      </c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2:12" ht="33" customHeight="1" x14ac:dyDescent="0.25">
      <c r="B74" s="3" t="s">
        <v>47</v>
      </c>
      <c r="C74" s="4" t="s">
        <v>48</v>
      </c>
      <c r="D74" s="4" t="s">
        <v>49</v>
      </c>
      <c r="E74" s="4" t="s">
        <v>50</v>
      </c>
      <c r="F74" s="4" t="s">
        <v>51</v>
      </c>
      <c r="G74" s="4" t="s">
        <v>52</v>
      </c>
      <c r="H74" s="4" t="s">
        <v>53</v>
      </c>
      <c r="I74" s="4" t="s">
        <v>54</v>
      </c>
      <c r="J74" s="4" t="s">
        <v>55</v>
      </c>
      <c r="K74" s="4" t="s">
        <v>56</v>
      </c>
      <c r="L74" s="4" t="s">
        <v>57</v>
      </c>
    </row>
    <row r="75" spans="2:12" ht="16.5" customHeight="1" x14ac:dyDescent="0.25">
      <c r="B75" s="5">
        <f>YEAR($C$18)</f>
        <v>2026</v>
      </c>
      <c r="C75" s="6">
        <f>COUNTIF(Zahlungsplan!$C$8:$C$487,$B75)</f>
        <v>12</v>
      </c>
      <c r="D75" s="7">
        <f>SUMIF(Zahlungsplan!$C$8:$C$487,$B75,Zahlungsplan!$I$8:$I$487)</f>
        <v>19800</v>
      </c>
      <c r="E75" s="7">
        <f>SUMIF(Zahlungsplan!$C$8:$C$487,$B75,Zahlungsplan!$F$8:$F$487)</f>
        <v>10700.009999999998</v>
      </c>
      <c r="F75" s="7">
        <f>SUMIF(Zahlungsplan!$C$8:$C$487,$B75,Zahlungsplan!$G$8:$G$487)</f>
        <v>6099.99</v>
      </c>
      <c r="G75" s="7">
        <f>SUMIF(Zahlungsplan!$C$8:$C$487,$B75,Zahlungsplan!$H$8:$H$487)</f>
        <v>3000</v>
      </c>
      <c r="H75" s="7">
        <f>INDEX(Zahlungsplan!$J$8:$J$487,MIN(1*$Q$6,480))</f>
        <v>290900.01</v>
      </c>
      <c r="I75" s="7">
        <f>INDEX(Zahlungsplan!$N$8:$N$487,MIN(1*$Q$6,480))</f>
        <v>293900.01</v>
      </c>
      <c r="J75" s="7">
        <f>IF($C75=0,"",SUM($E$75:$E75))</f>
        <v>10700.009999999998</v>
      </c>
      <c r="K75" s="8">
        <f t="shared" ref="K75:K104" si="0">IF($C$11=0,0,1-$H75/$C$11)</f>
        <v>3.0333300000000007E-2</v>
      </c>
      <c r="L75" s="9" t="str">
        <f t="shared" ref="L75:L104" si="1">IF($C75=0,"",IF($H75&lt;=0.005,"Volltilgung erreicht",IF($B75=YEAR($C$18)+$C$19-1,"Ende der Zinsbindung","")))</f>
        <v/>
      </c>
    </row>
    <row r="76" spans="2:12" ht="16.5" customHeight="1" x14ac:dyDescent="0.25">
      <c r="B76" s="10">
        <f t="shared" ref="B76:B104" si="2">B75+1</f>
        <v>2027</v>
      </c>
      <c r="C76" s="11">
        <f>COUNTIF(Zahlungsplan!$C$8:$C$487,$B76)</f>
        <v>12</v>
      </c>
      <c r="D76" s="12">
        <f>SUMIF(Zahlungsplan!$C$8:$C$487,$B76,Zahlungsplan!$I$8:$I$487)</f>
        <v>19800</v>
      </c>
      <c r="E76" s="12">
        <f>SUMIF(Zahlungsplan!$C$8:$C$487,$B76,Zahlungsplan!$F$8:$F$487)</f>
        <v>10366.950000000001</v>
      </c>
      <c r="F76" s="12">
        <f>SUMIF(Zahlungsplan!$C$8:$C$487,$B76,Zahlungsplan!$G$8:$G$487)</f>
        <v>6433.05</v>
      </c>
      <c r="G76" s="12">
        <f>SUMIF(Zahlungsplan!$C$8:$C$487,$B76,Zahlungsplan!$H$8:$H$487)</f>
        <v>3000</v>
      </c>
      <c r="H76" s="12">
        <f>INDEX(Zahlungsplan!$J$8:$J$487,MIN(2*$Q$6,480))</f>
        <v>281466.96000000002</v>
      </c>
      <c r="I76" s="12">
        <f>INDEX(Zahlungsplan!$N$8:$N$487,MIN(2*$Q$6,480))</f>
        <v>287576.77</v>
      </c>
      <c r="J76" s="12">
        <f>IF($C76=0,"",SUM($E$75:$E76))</f>
        <v>21066.959999999999</v>
      </c>
      <c r="K76" s="13">
        <f t="shared" si="0"/>
        <v>6.1776799999999965E-2</v>
      </c>
      <c r="L76" s="14" t="str">
        <f t="shared" si="1"/>
        <v/>
      </c>
    </row>
    <row r="77" spans="2:12" ht="16.5" customHeight="1" x14ac:dyDescent="0.25">
      <c r="B77" s="5">
        <f t="shared" si="2"/>
        <v>2028</v>
      </c>
      <c r="C77" s="6">
        <f>COUNTIF(Zahlungsplan!$C$8:$C$487,$B77)</f>
        <v>12</v>
      </c>
      <c r="D77" s="7">
        <f>SUMIF(Zahlungsplan!$C$8:$C$487,$B77,Zahlungsplan!$I$8:$I$487)</f>
        <v>19800</v>
      </c>
      <c r="E77" s="7">
        <f>SUMIF(Zahlungsplan!$C$8:$C$487,$B77,Zahlungsplan!$F$8:$F$487)</f>
        <v>10021.700000000001</v>
      </c>
      <c r="F77" s="7">
        <f>SUMIF(Zahlungsplan!$C$8:$C$487,$B77,Zahlungsplan!$G$8:$G$487)</f>
        <v>6778.2999999999993</v>
      </c>
      <c r="G77" s="7">
        <f>SUMIF(Zahlungsplan!$C$8:$C$487,$B77,Zahlungsplan!$H$8:$H$487)</f>
        <v>3000</v>
      </c>
      <c r="H77" s="7">
        <f>INDEX(Zahlungsplan!$J$8:$J$487,MIN(3*$Q$6,480))</f>
        <v>271688.65999999997</v>
      </c>
      <c r="I77" s="7">
        <f>INDEX(Zahlungsplan!$N$8:$N$487,MIN(3*$Q$6,480))</f>
        <v>281022.08000000002</v>
      </c>
      <c r="J77" s="7">
        <f>IF($C77=0,"",SUM($E$75:$E77))</f>
        <v>31088.66</v>
      </c>
      <c r="K77" s="8">
        <f t="shared" si="0"/>
        <v>9.4371133333333468E-2</v>
      </c>
      <c r="L77" s="9" t="str">
        <f t="shared" si="1"/>
        <v/>
      </c>
    </row>
    <row r="78" spans="2:12" ht="16.5" customHeight="1" x14ac:dyDescent="0.25">
      <c r="B78" s="10">
        <f t="shared" si="2"/>
        <v>2029</v>
      </c>
      <c r="C78" s="11">
        <f>COUNTIF(Zahlungsplan!$C$8:$C$487,$B78)</f>
        <v>12</v>
      </c>
      <c r="D78" s="12">
        <f>SUMIF(Zahlungsplan!$C$8:$C$487,$B78,Zahlungsplan!$I$8:$I$487)</f>
        <v>19800</v>
      </c>
      <c r="E78" s="12">
        <f>SUMIF(Zahlungsplan!$C$8:$C$487,$B78,Zahlungsplan!$F$8:$F$487)</f>
        <v>9663.82</v>
      </c>
      <c r="F78" s="12">
        <f>SUMIF(Zahlungsplan!$C$8:$C$487,$B78,Zahlungsplan!$G$8:$G$487)</f>
        <v>7136.1799999999994</v>
      </c>
      <c r="G78" s="12">
        <f>SUMIF(Zahlungsplan!$C$8:$C$487,$B78,Zahlungsplan!$H$8:$H$487)</f>
        <v>3000</v>
      </c>
      <c r="H78" s="12">
        <f>INDEX(Zahlungsplan!$J$8:$J$487,MIN(4*$Q$6,480))</f>
        <v>261552.48</v>
      </c>
      <c r="I78" s="12">
        <f>INDEX(Zahlungsplan!$N$8:$N$487,MIN(4*$Q$6,480))</f>
        <v>274227.5</v>
      </c>
      <c r="J78" s="12">
        <f>IF($C78=0,"",SUM($E$75:$E78))</f>
        <v>40752.479999999996</v>
      </c>
      <c r="K78" s="13">
        <f t="shared" si="0"/>
        <v>0.12815840000000001</v>
      </c>
      <c r="L78" s="14" t="str">
        <f t="shared" si="1"/>
        <v/>
      </c>
    </row>
    <row r="79" spans="2:12" ht="16.5" customHeight="1" x14ac:dyDescent="0.25">
      <c r="B79" s="5">
        <f t="shared" si="2"/>
        <v>2030</v>
      </c>
      <c r="C79" s="6">
        <f>COUNTIF(Zahlungsplan!$C$8:$C$487,$B79)</f>
        <v>12</v>
      </c>
      <c r="D79" s="7">
        <f>SUMIF(Zahlungsplan!$C$8:$C$487,$B79,Zahlungsplan!$I$8:$I$487)</f>
        <v>19800</v>
      </c>
      <c r="E79" s="7">
        <f>SUMIF(Zahlungsplan!$C$8:$C$487,$B79,Zahlungsplan!$F$8:$F$487)</f>
        <v>9292.82</v>
      </c>
      <c r="F79" s="7">
        <f>SUMIF(Zahlungsplan!$C$8:$C$487,$B79,Zahlungsplan!$G$8:$G$487)</f>
        <v>7507.18</v>
      </c>
      <c r="G79" s="7">
        <f>SUMIF(Zahlungsplan!$C$8:$C$487,$B79,Zahlungsplan!$H$8:$H$487)</f>
        <v>3000</v>
      </c>
      <c r="H79" s="7">
        <f>INDEX(Zahlungsplan!$J$8:$J$487,MIN(5*$Q$6,480))</f>
        <v>251045.3</v>
      </c>
      <c r="I79" s="7">
        <f>INDEX(Zahlungsplan!$N$8:$N$487,MIN(5*$Q$6,480))</f>
        <v>267184.21999999997</v>
      </c>
      <c r="J79" s="7">
        <f>IF($C79=0,"",SUM($E$75:$E79))</f>
        <v>50045.299999999996</v>
      </c>
      <c r="K79" s="8">
        <f t="shared" si="0"/>
        <v>0.16318233333333332</v>
      </c>
      <c r="L79" s="9" t="str">
        <f t="shared" si="1"/>
        <v/>
      </c>
    </row>
    <row r="80" spans="2:12" ht="16.5" customHeight="1" x14ac:dyDescent="0.25">
      <c r="B80" s="10">
        <f t="shared" si="2"/>
        <v>2031</v>
      </c>
      <c r="C80" s="11">
        <f>COUNTIF(Zahlungsplan!$C$8:$C$487,$B80)</f>
        <v>12</v>
      </c>
      <c r="D80" s="12">
        <f>SUMIF(Zahlungsplan!$C$8:$C$487,$B80,Zahlungsplan!$I$8:$I$487)</f>
        <v>19800</v>
      </c>
      <c r="E80" s="12">
        <f>SUMIF(Zahlungsplan!$C$8:$C$487,$B80,Zahlungsplan!$F$8:$F$487)</f>
        <v>8908.2800000000007</v>
      </c>
      <c r="F80" s="12">
        <f>SUMIF(Zahlungsplan!$C$8:$C$487,$B80,Zahlungsplan!$G$8:$G$487)</f>
        <v>7891.7199999999993</v>
      </c>
      <c r="G80" s="12">
        <f>SUMIF(Zahlungsplan!$C$8:$C$487,$B80,Zahlungsplan!$H$8:$H$487)</f>
        <v>3000</v>
      </c>
      <c r="H80" s="12">
        <f>INDEX(Zahlungsplan!$J$8:$J$487,MIN(6*$Q$6,480))</f>
        <v>240153.58</v>
      </c>
      <c r="I80" s="12">
        <f>INDEX(Zahlungsplan!$N$8:$N$487,MIN(6*$Q$6,480))</f>
        <v>259883.16</v>
      </c>
      <c r="J80" s="12">
        <f>IF($C80=0,"",SUM($E$75:$E80))</f>
        <v>58953.579999999994</v>
      </c>
      <c r="K80" s="13">
        <f t="shared" si="0"/>
        <v>0.19948806666666674</v>
      </c>
      <c r="L80" s="14" t="str">
        <f t="shared" si="1"/>
        <v/>
      </c>
    </row>
    <row r="81" spans="2:12" ht="16.5" customHeight="1" x14ac:dyDescent="0.25">
      <c r="B81" s="5">
        <f t="shared" si="2"/>
        <v>2032</v>
      </c>
      <c r="C81" s="6">
        <f>COUNTIF(Zahlungsplan!$C$8:$C$487,$B81)</f>
        <v>12</v>
      </c>
      <c r="D81" s="7">
        <f>SUMIF(Zahlungsplan!$C$8:$C$487,$B81,Zahlungsplan!$I$8:$I$487)</f>
        <v>19800</v>
      </c>
      <c r="E81" s="7">
        <f>SUMIF(Zahlungsplan!$C$8:$C$487,$B81,Zahlungsplan!$F$8:$F$487)</f>
        <v>8509.6400000000012</v>
      </c>
      <c r="F81" s="7">
        <f>SUMIF(Zahlungsplan!$C$8:$C$487,$B81,Zahlungsplan!$G$8:$G$487)</f>
        <v>8290.3599999999988</v>
      </c>
      <c r="G81" s="7">
        <f>SUMIF(Zahlungsplan!$C$8:$C$487,$B81,Zahlungsplan!$H$8:$H$487)</f>
        <v>3000</v>
      </c>
      <c r="H81" s="7">
        <f>INDEX(Zahlungsplan!$J$8:$J$487,MIN(7*$Q$6,480))</f>
        <v>228863.22</v>
      </c>
      <c r="I81" s="7">
        <f>INDEX(Zahlungsplan!$N$8:$N$487,MIN(7*$Q$6,480))</f>
        <v>252314.89</v>
      </c>
      <c r="J81" s="7">
        <f>IF($C81=0,"",SUM($E$75:$E81))</f>
        <v>67463.22</v>
      </c>
      <c r="K81" s="8">
        <f t="shared" si="0"/>
        <v>0.23712259999999996</v>
      </c>
      <c r="L81" s="9" t="str">
        <f t="shared" si="1"/>
        <v/>
      </c>
    </row>
    <row r="82" spans="2:12" ht="16.5" customHeight="1" x14ac:dyDescent="0.25">
      <c r="B82" s="10">
        <f t="shared" si="2"/>
        <v>2033</v>
      </c>
      <c r="C82" s="11">
        <f>COUNTIF(Zahlungsplan!$C$8:$C$487,$B82)</f>
        <v>12</v>
      </c>
      <c r="D82" s="12">
        <f>SUMIF(Zahlungsplan!$C$8:$C$487,$B82,Zahlungsplan!$I$8:$I$487)</f>
        <v>19800</v>
      </c>
      <c r="E82" s="12">
        <f>SUMIF(Zahlungsplan!$C$8:$C$487,$B82,Zahlungsplan!$F$8:$F$487)</f>
        <v>8096.3900000000012</v>
      </c>
      <c r="F82" s="12">
        <f>SUMIF(Zahlungsplan!$C$8:$C$487,$B82,Zahlungsplan!$G$8:$G$487)</f>
        <v>8703.61</v>
      </c>
      <c r="G82" s="12">
        <f>SUMIF(Zahlungsplan!$C$8:$C$487,$B82,Zahlungsplan!$H$8:$H$487)</f>
        <v>3000</v>
      </c>
      <c r="H82" s="12">
        <f>INDEX(Zahlungsplan!$J$8:$J$487,MIN(8*$Q$6,480))</f>
        <v>217159.61</v>
      </c>
      <c r="I82" s="12">
        <f>INDEX(Zahlungsplan!$N$8:$N$487,MIN(8*$Q$6,480))</f>
        <v>244469.61</v>
      </c>
      <c r="J82" s="12">
        <f>IF($C82=0,"",SUM($E$75:$E82))</f>
        <v>75559.61</v>
      </c>
      <c r="K82" s="13">
        <f t="shared" si="0"/>
        <v>0.27613463333333343</v>
      </c>
      <c r="L82" s="14" t="str">
        <f t="shared" si="1"/>
        <v/>
      </c>
    </row>
    <row r="83" spans="2:12" ht="16.5" customHeight="1" x14ac:dyDescent="0.25">
      <c r="B83" s="5">
        <f t="shared" si="2"/>
        <v>2034</v>
      </c>
      <c r="C83" s="6">
        <f>COUNTIF(Zahlungsplan!$C$8:$C$487,$B83)</f>
        <v>12</v>
      </c>
      <c r="D83" s="7">
        <f>SUMIF(Zahlungsplan!$C$8:$C$487,$B83,Zahlungsplan!$I$8:$I$487)</f>
        <v>19800</v>
      </c>
      <c r="E83" s="7">
        <f>SUMIF(Zahlungsplan!$C$8:$C$487,$B83,Zahlungsplan!$F$8:$F$487)</f>
        <v>7668.03</v>
      </c>
      <c r="F83" s="7">
        <f>SUMIF(Zahlungsplan!$C$8:$C$487,$B83,Zahlungsplan!$G$8:$G$487)</f>
        <v>9131.9700000000012</v>
      </c>
      <c r="G83" s="7">
        <f>SUMIF(Zahlungsplan!$C$8:$C$487,$B83,Zahlungsplan!$H$8:$H$487)</f>
        <v>3000</v>
      </c>
      <c r="H83" s="7">
        <f>INDEX(Zahlungsplan!$J$8:$J$487,MIN(9*$Q$6,480))</f>
        <v>205027.64</v>
      </c>
      <c r="I83" s="7">
        <f>INDEX(Zahlungsplan!$N$8:$N$487,MIN(9*$Q$6,480))</f>
        <v>236337.19</v>
      </c>
      <c r="J83" s="7">
        <f>IF($C83=0,"",SUM($E$75:$E83))</f>
        <v>83227.64</v>
      </c>
      <c r="K83" s="8">
        <f t="shared" si="0"/>
        <v>0.3165745333333333</v>
      </c>
      <c r="L83" s="9" t="str">
        <f t="shared" si="1"/>
        <v/>
      </c>
    </row>
    <row r="84" spans="2:12" ht="16.5" customHeight="1" x14ac:dyDescent="0.25">
      <c r="B84" s="10">
        <f t="shared" si="2"/>
        <v>2035</v>
      </c>
      <c r="C84" s="11">
        <f>COUNTIF(Zahlungsplan!$C$8:$C$487,$B84)</f>
        <v>12</v>
      </c>
      <c r="D84" s="12">
        <f>SUMIF(Zahlungsplan!$C$8:$C$487,$B84,Zahlungsplan!$I$8:$I$487)</f>
        <v>19800</v>
      </c>
      <c r="E84" s="12">
        <f>SUMIF(Zahlungsplan!$C$8:$C$487,$B84,Zahlungsplan!$F$8:$F$487)</f>
        <v>7224.02</v>
      </c>
      <c r="F84" s="12">
        <f>SUMIF(Zahlungsplan!$C$8:$C$487,$B84,Zahlungsplan!$G$8:$G$487)</f>
        <v>9575.98</v>
      </c>
      <c r="G84" s="12">
        <f>SUMIF(Zahlungsplan!$C$8:$C$487,$B84,Zahlungsplan!$H$8:$H$487)</f>
        <v>3000</v>
      </c>
      <c r="H84" s="12">
        <f>INDEX(Zahlungsplan!$J$8:$J$487,MIN(10*$Q$6,480))</f>
        <v>192451.66</v>
      </c>
      <c r="I84" s="12">
        <f>INDEX(Zahlungsplan!$N$8:$N$487,MIN(10*$Q$6,480))</f>
        <v>227907.12</v>
      </c>
      <c r="J84" s="12">
        <f>IF($C84=0,"",SUM($E$75:$E84))</f>
        <v>90451.66</v>
      </c>
      <c r="K84" s="13">
        <f t="shared" si="0"/>
        <v>0.35849446666666662</v>
      </c>
      <c r="L84" s="14" t="str">
        <f t="shared" si="1"/>
        <v/>
      </c>
    </row>
    <row r="85" spans="2:12" ht="16.5" customHeight="1" x14ac:dyDescent="0.25">
      <c r="B85" s="5">
        <f t="shared" si="2"/>
        <v>2036</v>
      </c>
      <c r="C85" s="6">
        <f>COUNTIF(Zahlungsplan!$C$8:$C$487,$B85)</f>
        <v>12</v>
      </c>
      <c r="D85" s="7">
        <f>SUMIF(Zahlungsplan!$C$8:$C$487,$B85,Zahlungsplan!$I$8:$I$487)</f>
        <v>19800</v>
      </c>
      <c r="E85" s="7">
        <f>SUMIF(Zahlungsplan!$C$8:$C$487,$B85,Zahlungsplan!$F$8:$F$487)</f>
        <v>6763.74</v>
      </c>
      <c r="F85" s="7">
        <f>SUMIF(Zahlungsplan!$C$8:$C$487,$B85,Zahlungsplan!$G$8:$G$487)</f>
        <v>10036.26</v>
      </c>
      <c r="G85" s="7">
        <f>SUMIF(Zahlungsplan!$C$8:$C$487,$B85,Zahlungsplan!$H$8:$H$487)</f>
        <v>3000</v>
      </c>
      <c r="H85" s="7">
        <f>INDEX(Zahlungsplan!$J$8:$J$487,MIN(11*$Q$6,480))</f>
        <v>179415.4</v>
      </c>
      <c r="I85" s="7">
        <f>INDEX(Zahlungsplan!$N$8:$N$487,MIN(11*$Q$6,480))</f>
        <v>219168.53</v>
      </c>
      <c r="J85" s="7">
        <f>IF($C85=0,"",SUM($E$75:$E85))</f>
        <v>97215.400000000009</v>
      </c>
      <c r="K85" s="8">
        <f t="shared" si="0"/>
        <v>0.40194866666666673</v>
      </c>
      <c r="L85" s="9" t="str">
        <f t="shared" si="1"/>
        <v/>
      </c>
    </row>
    <row r="86" spans="2:12" ht="16.5" customHeight="1" x14ac:dyDescent="0.25">
      <c r="B86" s="10">
        <f t="shared" si="2"/>
        <v>2037</v>
      </c>
      <c r="C86" s="11">
        <f>COUNTIF(Zahlungsplan!$C$8:$C$487,$B86)</f>
        <v>12</v>
      </c>
      <c r="D86" s="12">
        <f>SUMIF(Zahlungsplan!$C$8:$C$487,$B86,Zahlungsplan!$I$8:$I$487)</f>
        <v>19800</v>
      </c>
      <c r="E86" s="12">
        <f>SUMIF(Zahlungsplan!$C$8:$C$487,$B86,Zahlungsplan!$F$8:$F$487)</f>
        <v>6286.63</v>
      </c>
      <c r="F86" s="12">
        <f>SUMIF(Zahlungsplan!$C$8:$C$487,$B86,Zahlungsplan!$G$8:$G$487)</f>
        <v>10513.37</v>
      </c>
      <c r="G86" s="12">
        <f>SUMIF(Zahlungsplan!$C$8:$C$487,$B86,Zahlungsplan!$H$8:$H$487)</f>
        <v>3000</v>
      </c>
      <c r="H86" s="12">
        <f>INDEX(Zahlungsplan!$J$8:$J$487,MIN(12*$Q$6,480))</f>
        <v>165902.03</v>
      </c>
      <c r="I86" s="12">
        <f>INDEX(Zahlungsplan!$N$8:$N$487,MIN(12*$Q$6,480))</f>
        <v>210110.11</v>
      </c>
      <c r="J86" s="12">
        <f>IF($C86=0,"",SUM($E$75:$E86))</f>
        <v>103502.03000000001</v>
      </c>
      <c r="K86" s="13">
        <f t="shared" si="0"/>
        <v>0.4469932333333333</v>
      </c>
      <c r="L86" s="14" t="str">
        <f t="shared" si="1"/>
        <v/>
      </c>
    </row>
    <row r="87" spans="2:12" ht="16.5" customHeight="1" x14ac:dyDescent="0.25">
      <c r="B87" s="5">
        <f t="shared" si="2"/>
        <v>2038</v>
      </c>
      <c r="C87" s="6">
        <f>COUNTIF(Zahlungsplan!$C$8:$C$487,$B87)</f>
        <v>12</v>
      </c>
      <c r="D87" s="7">
        <f>SUMIF(Zahlungsplan!$C$8:$C$487,$B87,Zahlungsplan!$I$8:$I$487)</f>
        <v>19800</v>
      </c>
      <c r="E87" s="7">
        <f>SUMIF(Zahlungsplan!$C$8:$C$487,$B87,Zahlungsplan!$F$8:$F$487)</f>
        <v>5792.02</v>
      </c>
      <c r="F87" s="7">
        <f>SUMIF(Zahlungsplan!$C$8:$C$487,$B87,Zahlungsplan!$G$8:$G$487)</f>
        <v>11007.980000000001</v>
      </c>
      <c r="G87" s="7">
        <f>SUMIF(Zahlungsplan!$C$8:$C$487,$B87,Zahlungsplan!$H$8:$H$487)</f>
        <v>3000</v>
      </c>
      <c r="H87" s="7">
        <f>INDEX(Zahlungsplan!$J$8:$J$487,MIN(13*$Q$6,480))</f>
        <v>151894.04999999999</v>
      </c>
      <c r="I87" s="7">
        <f>INDEX(Zahlungsplan!$N$8:$N$487,MIN(13*$Q$6,480))</f>
        <v>200720.15</v>
      </c>
      <c r="J87" s="7">
        <f>IF($C87=0,"",SUM($E$75:$E87))</f>
        <v>109294.05000000002</v>
      </c>
      <c r="K87" s="8">
        <f t="shared" si="0"/>
        <v>0.49368650000000003</v>
      </c>
      <c r="L87" s="9" t="str">
        <f t="shared" si="1"/>
        <v/>
      </c>
    </row>
    <row r="88" spans="2:12" ht="16.5" customHeight="1" x14ac:dyDescent="0.25">
      <c r="B88" s="10">
        <f t="shared" si="2"/>
        <v>2039</v>
      </c>
      <c r="C88" s="11">
        <f>COUNTIF(Zahlungsplan!$C$8:$C$487,$B88)</f>
        <v>12</v>
      </c>
      <c r="D88" s="12">
        <f>SUMIF(Zahlungsplan!$C$8:$C$487,$B88,Zahlungsplan!$I$8:$I$487)</f>
        <v>19800</v>
      </c>
      <c r="E88" s="12">
        <f>SUMIF(Zahlungsplan!$C$8:$C$487,$B88,Zahlungsplan!$F$8:$F$487)</f>
        <v>5279.34</v>
      </c>
      <c r="F88" s="12">
        <f>SUMIF(Zahlungsplan!$C$8:$C$487,$B88,Zahlungsplan!$G$8:$G$487)</f>
        <v>11520.660000000002</v>
      </c>
      <c r="G88" s="12">
        <f>SUMIF(Zahlungsplan!$C$8:$C$487,$B88,Zahlungsplan!$H$8:$H$487)</f>
        <v>3000</v>
      </c>
      <c r="H88" s="12">
        <f>INDEX(Zahlungsplan!$J$8:$J$487,MIN(14*$Q$6,480))</f>
        <v>137373.39000000001</v>
      </c>
      <c r="I88" s="12">
        <f>INDEX(Zahlungsplan!$N$8:$N$487,MIN(14*$Q$6,480))</f>
        <v>190986.51</v>
      </c>
      <c r="J88" s="12">
        <f>IF($C88=0,"",SUM($E$75:$E88))</f>
        <v>114573.39000000001</v>
      </c>
      <c r="K88" s="13">
        <f t="shared" si="0"/>
        <v>0.54208869999999998</v>
      </c>
      <c r="L88" s="14" t="str">
        <f t="shared" si="1"/>
        <v/>
      </c>
    </row>
    <row r="89" spans="2:12" ht="16.5" customHeight="1" x14ac:dyDescent="0.25">
      <c r="B89" s="5">
        <f t="shared" si="2"/>
        <v>2040</v>
      </c>
      <c r="C89" s="6">
        <f>COUNTIF(Zahlungsplan!$C$8:$C$487,$B89)</f>
        <v>12</v>
      </c>
      <c r="D89" s="7">
        <f>SUMIF(Zahlungsplan!$C$8:$C$487,$B89,Zahlungsplan!$I$8:$I$487)</f>
        <v>19800</v>
      </c>
      <c r="E89" s="7">
        <f>SUMIF(Zahlungsplan!$C$8:$C$487,$B89,Zahlungsplan!$F$8:$F$487)</f>
        <v>4747.87</v>
      </c>
      <c r="F89" s="7">
        <f>SUMIF(Zahlungsplan!$C$8:$C$487,$B89,Zahlungsplan!$G$8:$G$487)</f>
        <v>12052.130000000001</v>
      </c>
      <c r="G89" s="7">
        <f>SUMIF(Zahlungsplan!$C$8:$C$487,$B89,Zahlungsplan!$H$8:$H$487)</f>
        <v>3000</v>
      </c>
      <c r="H89" s="7">
        <f>INDEX(Zahlungsplan!$J$8:$J$487,MIN(15*$Q$6,480))</f>
        <v>122321.26</v>
      </c>
      <c r="I89" s="7">
        <f>INDEX(Zahlungsplan!$N$8:$N$487,MIN(15*$Q$6,480))</f>
        <v>180896.61</v>
      </c>
      <c r="J89" s="7">
        <f>IF($C89=0,"",SUM($E$75:$E89))</f>
        <v>119321.26000000001</v>
      </c>
      <c r="K89" s="8">
        <f t="shared" si="0"/>
        <v>0.59226246666666671</v>
      </c>
      <c r="L89" s="9" t="str">
        <f t="shared" si="1"/>
        <v>Ende der Zinsbindung</v>
      </c>
    </row>
    <row r="90" spans="2:12" ht="16.5" customHeight="1" x14ac:dyDescent="0.25">
      <c r="B90" s="10">
        <f t="shared" si="2"/>
        <v>2041</v>
      </c>
      <c r="C90" s="11">
        <f>COUNTIF(Zahlungsplan!$C$8:$C$487,$B90)</f>
        <v>12</v>
      </c>
      <c r="D90" s="12">
        <f>SUMIF(Zahlungsplan!$C$8:$C$487,$B90,Zahlungsplan!$I$8:$I$487)</f>
        <v>19800</v>
      </c>
      <c r="E90" s="12">
        <f>SUMIF(Zahlungsplan!$C$8:$C$487,$B90,Zahlungsplan!$F$8:$F$487)</f>
        <v>4196.95</v>
      </c>
      <c r="F90" s="12">
        <f>SUMIF(Zahlungsplan!$C$8:$C$487,$B90,Zahlungsplan!$G$8:$G$487)</f>
        <v>12603.050000000001</v>
      </c>
      <c r="G90" s="12">
        <f>SUMIF(Zahlungsplan!$C$8:$C$487,$B90,Zahlungsplan!$H$8:$H$487)</f>
        <v>3000</v>
      </c>
      <c r="H90" s="12">
        <f>INDEX(Zahlungsplan!$J$8:$J$487,MIN(16*$Q$6,480))</f>
        <v>106718.21</v>
      </c>
      <c r="I90" s="12">
        <f>INDEX(Zahlungsplan!$N$8:$N$487,MIN(16*$Q$6,480))</f>
        <v>170437.43</v>
      </c>
      <c r="J90" s="12">
        <f>IF($C90=0,"",SUM($E$75:$E90))</f>
        <v>123518.21</v>
      </c>
      <c r="K90" s="13">
        <f t="shared" si="0"/>
        <v>0.64427263333333329</v>
      </c>
      <c r="L90" s="14" t="str">
        <f t="shared" si="1"/>
        <v/>
      </c>
    </row>
    <row r="91" spans="2:12" ht="16.5" customHeight="1" x14ac:dyDescent="0.25">
      <c r="B91" s="5">
        <f t="shared" si="2"/>
        <v>2042</v>
      </c>
      <c r="C91" s="6">
        <f>COUNTIF(Zahlungsplan!$C$8:$C$487,$B91)</f>
        <v>12</v>
      </c>
      <c r="D91" s="7">
        <f>SUMIF(Zahlungsplan!$C$8:$C$487,$B91,Zahlungsplan!$I$8:$I$487)</f>
        <v>19800</v>
      </c>
      <c r="E91" s="7">
        <f>SUMIF(Zahlungsplan!$C$8:$C$487,$B91,Zahlungsplan!$F$8:$F$487)</f>
        <v>3625.9000000000005</v>
      </c>
      <c r="F91" s="7">
        <f>SUMIF(Zahlungsplan!$C$8:$C$487,$B91,Zahlungsplan!$G$8:$G$487)</f>
        <v>13174.1</v>
      </c>
      <c r="G91" s="7">
        <f>SUMIF(Zahlungsplan!$C$8:$C$487,$B91,Zahlungsplan!$H$8:$H$487)</f>
        <v>3000</v>
      </c>
      <c r="H91" s="7">
        <f>INDEX(Zahlungsplan!$J$8:$J$487,MIN(17*$Q$6,480))</f>
        <v>90544.11</v>
      </c>
      <c r="I91" s="7">
        <f>INDEX(Zahlungsplan!$N$8:$N$487,MIN(17*$Q$6,480))</f>
        <v>159595.45000000001</v>
      </c>
      <c r="J91" s="7">
        <f>IF($C91=0,"",SUM($E$75:$E91))</f>
        <v>127144.11</v>
      </c>
      <c r="K91" s="8">
        <f t="shared" si="0"/>
        <v>0.69818629999999993</v>
      </c>
      <c r="L91" s="9" t="str">
        <f t="shared" si="1"/>
        <v/>
      </c>
    </row>
    <row r="92" spans="2:12" ht="16.5" customHeight="1" x14ac:dyDescent="0.25">
      <c r="B92" s="10">
        <f t="shared" si="2"/>
        <v>2043</v>
      </c>
      <c r="C92" s="11">
        <f>COUNTIF(Zahlungsplan!$C$8:$C$487,$B92)</f>
        <v>12</v>
      </c>
      <c r="D92" s="12">
        <f>SUMIF(Zahlungsplan!$C$8:$C$487,$B92,Zahlungsplan!$I$8:$I$487)</f>
        <v>19800</v>
      </c>
      <c r="E92" s="12">
        <f>SUMIF(Zahlungsplan!$C$8:$C$487,$B92,Zahlungsplan!$F$8:$F$487)</f>
        <v>3033.92</v>
      </c>
      <c r="F92" s="12">
        <f>SUMIF(Zahlungsplan!$C$8:$C$487,$B92,Zahlungsplan!$G$8:$G$487)</f>
        <v>13766.080000000002</v>
      </c>
      <c r="G92" s="12">
        <f>SUMIF(Zahlungsplan!$C$8:$C$487,$B92,Zahlungsplan!$H$8:$H$487)</f>
        <v>3000</v>
      </c>
      <c r="H92" s="12">
        <f>INDEX(Zahlungsplan!$J$8:$J$487,MIN(18*$Q$6,480))</f>
        <v>73778.03</v>
      </c>
      <c r="I92" s="12">
        <f>INDEX(Zahlungsplan!$N$8:$N$487,MIN(18*$Q$6,480))</f>
        <v>148356.64000000001</v>
      </c>
      <c r="J92" s="12">
        <f>IF($C92=0,"",SUM($E$75:$E92))</f>
        <v>130178.03</v>
      </c>
      <c r="K92" s="13">
        <f t="shared" si="0"/>
        <v>0.75407323333333331</v>
      </c>
      <c r="L92" s="14" t="str">
        <f t="shared" si="1"/>
        <v/>
      </c>
    </row>
    <row r="93" spans="2:12" ht="16.5" customHeight="1" x14ac:dyDescent="0.25">
      <c r="B93" s="5">
        <f t="shared" si="2"/>
        <v>2044</v>
      </c>
      <c r="C93" s="6">
        <f>COUNTIF(Zahlungsplan!$C$8:$C$487,$B93)</f>
        <v>12</v>
      </c>
      <c r="D93" s="7">
        <f>SUMIF(Zahlungsplan!$C$8:$C$487,$B93,Zahlungsplan!$I$8:$I$487)</f>
        <v>19800</v>
      </c>
      <c r="E93" s="7">
        <f>SUMIF(Zahlungsplan!$C$8:$C$487,$B93,Zahlungsplan!$F$8:$F$487)</f>
        <v>2420.2899999999995</v>
      </c>
      <c r="F93" s="7">
        <f>SUMIF(Zahlungsplan!$C$8:$C$487,$B93,Zahlungsplan!$G$8:$G$487)</f>
        <v>14379.71</v>
      </c>
      <c r="G93" s="7">
        <f>SUMIF(Zahlungsplan!$C$8:$C$487,$B93,Zahlungsplan!$H$8:$H$487)</f>
        <v>3000</v>
      </c>
      <c r="H93" s="7">
        <f>INDEX(Zahlungsplan!$J$8:$J$487,MIN(19*$Q$6,480))</f>
        <v>56398.32</v>
      </c>
      <c r="I93" s="7">
        <f>INDEX(Zahlungsplan!$N$8:$N$487,MIN(19*$Q$6,480))</f>
        <v>136706.51</v>
      </c>
      <c r="J93" s="7">
        <f>IF($C93=0,"",SUM($E$75:$E93))</f>
        <v>132598.32</v>
      </c>
      <c r="K93" s="8">
        <f t="shared" si="0"/>
        <v>0.81200559999999999</v>
      </c>
      <c r="L93" s="9" t="str">
        <f t="shared" si="1"/>
        <v/>
      </c>
    </row>
    <row r="94" spans="2:12" ht="16.5" customHeight="1" x14ac:dyDescent="0.25">
      <c r="B94" s="10">
        <f t="shared" si="2"/>
        <v>2045</v>
      </c>
      <c r="C94" s="11">
        <f>COUNTIF(Zahlungsplan!$C$8:$C$487,$B94)</f>
        <v>12</v>
      </c>
      <c r="D94" s="12">
        <f>SUMIF(Zahlungsplan!$C$8:$C$487,$B94,Zahlungsplan!$I$8:$I$487)</f>
        <v>19800</v>
      </c>
      <c r="E94" s="12">
        <f>SUMIF(Zahlungsplan!$C$8:$C$487,$B94,Zahlungsplan!$F$8:$F$487)</f>
        <v>1784.16</v>
      </c>
      <c r="F94" s="12">
        <f>SUMIF(Zahlungsplan!$C$8:$C$487,$B94,Zahlungsplan!$G$8:$G$487)</f>
        <v>15015.84</v>
      </c>
      <c r="G94" s="12">
        <f>SUMIF(Zahlungsplan!$C$8:$C$487,$B94,Zahlungsplan!$H$8:$H$487)</f>
        <v>3000</v>
      </c>
      <c r="H94" s="12">
        <f>INDEX(Zahlungsplan!$J$8:$J$487,MIN(20*$Q$6,480))</f>
        <v>38382.480000000003</v>
      </c>
      <c r="I94" s="12">
        <f>INDEX(Zahlungsplan!$N$8:$N$487,MIN(20*$Q$6,480))</f>
        <v>124629.97</v>
      </c>
      <c r="J94" s="12">
        <f>IF($C94=0,"",SUM($E$75:$E94))</f>
        <v>134382.48000000001</v>
      </c>
      <c r="K94" s="13">
        <f t="shared" si="0"/>
        <v>0.87205840000000001</v>
      </c>
      <c r="L94" s="14" t="str">
        <f t="shared" si="1"/>
        <v/>
      </c>
    </row>
    <row r="95" spans="2:12" ht="16.5" customHeight="1" x14ac:dyDescent="0.25">
      <c r="B95" s="5">
        <f t="shared" si="2"/>
        <v>2046</v>
      </c>
      <c r="C95" s="6">
        <f>COUNTIF(Zahlungsplan!$C$8:$C$487,$B95)</f>
        <v>12</v>
      </c>
      <c r="D95" s="7">
        <f>SUMIF(Zahlungsplan!$C$8:$C$487,$B95,Zahlungsplan!$I$8:$I$487)</f>
        <v>19800</v>
      </c>
      <c r="E95" s="7">
        <f>SUMIF(Zahlungsplan!$C$8:$C$487,$B95,Zahlungsplan!$F$8:$F$487)</f>
        <v>1124.83</v>
      </c>
      <c r="F95" s="7">
        <f>SUMIF(Zahlungsplan!$C$8:$C$487,$B95,Zahlungsplan!$G$8:$G$487)</f>
        <v>15675.17</v>
      </c>
      <c r="G95" s="7">
        <f>SUMIF(Zahlungsplan!$C$8:$C$487,$B95,Zahlungsplan!$H$8:$H$487)</f>
        <v>3000</v>
      </c>
      <c r="H95" s="7">
        <f>INDEX(Zahlungsplan!$J$8:$J$487,MIN(21*$Q$6,480))</f>
        <v>19707.310000000001</v>
      </c>
      <c r="I95" s="7">
        <f>INDEX(Zahlungsplan!$N$8:$N$487,MIN(21*$Q$6,480))</f>
        <v>112111.44</v>
      </c>
      <c r="J95" s="7">
        <f>IF($C95=0,"",SUM($E$75:$E95))</f>
        <v>135507.31</v>
      </c>
      <c r="K95" s="8">
        <f t="shared" si="0"/>
        <v>0.93430896666666663</v>
      </c>
      <c r="L95" s="9" t="str">
        <f t="shared" si="1"/>
        <v/>
      </c>
    </row>
    <row r="96" spans="2:12" ht="16.5" customHeight="1" x14ac:dyDescent="0.25">
      <c r="B96" s="10">
        <f t="shared" si="2"/>
        <v>2047</v>
      </c>
      <c r="C96" s="11">
        <f>COUNTIF(Zahlungsplan!$C$8:$C$487,$B96)</f>
        <v>12</v>
      </c>
      <c r="D96" s="12">
        <f>SUMIF(Zahlungsplan!$C$8:$C$487,$B96,Zahlungsplan!$I$8:$I$487)</f>
        <v>19800</v>
      </c>
      <c r="E96" s="12">
        <f>SUMIF(Zahlungsplan!$C$8:$C$487,$B96,Zahlungsplan!$F$8:$F$487)</f>
        <v>441.29000000000008</v>
      </c>
      <c r="F96" s="12">
        <f>SUMIF(Zahlungsplan!$C$8:$C$487,$B96,Zahlungsplan!$G$8:$G$487)</f>
        <v>16358.71</v>
      </c>
      <c r="G96" s="12">
        <f>SUMIF(Zahlungsplan!$C$8:$C$487,$B96,Zahlungsplan!$H$8:$H$487)</f>
        <v>3000</v>
      </c>
      <c r="H96" s="12">
        <f>INDEX(Zahlungsplan!$J$8:$J$487,MIN(22*$Q$6,480))</f>
        <v>348.6</v>
      </c>
      <c r="I96" s="12">
        <f>INDEX(Zahlungsplan!$N$8:$N$487,MIN(22*$Q$6,480))</f>
        <v>99134.71</v>
      </c>
      <c r="J96" s="12">
        <f>IF($C96=0,"",SUM($E$75:$E96))</f>
        <v>135948.6</v>
      </c>
      <c r="K96" s="13">
        <f t="shared" si="0"/>
        <v>0.998838</v>
      </c>
      <c r="L96" s="14" t="str">
        <f t="shared" si="1"/>
        <v/>
      </c>
    </row>
    <row r="97" spans="2:14" ht="16.5" customHeight="1" x14ac:dyDescent="0.25">
      <c r="B97" s="5">
        <f t="shared" si="2"/>
        <v>2048</v>
      </c>
      <c r="C97" s="6">
        <f>COUNTIF(Zahlungsplan!$C$8:$C$487,$B97)</f>
        <v>1</v>
      </c>
      <c r="D97" s="7">
        <f>SUMIF(Zahlungsplan!$C$8:$C$487,$B97,Zahlungsplan!$I$8:$I$487)</f>
        <v>349.65000000000003</v>
      </c>
      <c r="E97" s="7">
        <f>SUMIF(Zahlungsplan!$C$8:$C$487,$B97,Zahlungsplan!$F$8:$F$487)</f>
        <v>1.05</v>
      </c>
      <c r="F97" s="7">
        <f>SUMIF(Zahlungsplan!$C$8:$C$487,$B97,Zahlungsplan!$G$8:$G$487)</f>
        <v>348.6</v>
      </c>
      <c r="G97" s="7">
        <f>SUMIF(Zahlungsplan!$C$8:$C$487,$B97,Zahlungsplan!$H$8:$H$487)</f>
        <v>0</v>
      </c>
      <c r="H97" s="7">
        <f>INDEX(Zahlungsplan!$J$8:$J$487,MIN(23*$Q$6,480))</f>
        <v>0</v>
      </c>
      <c r="I97" s="7">
        <f>INDEX(Zahlungsplan!$N$8:$N$487,MIN(23*$Q$6,480))</f>
        <v>85683.05</v>
      </c>
      <c r="J97" s="7">
        <f>IF($C97=0,"",SUM($E$75:$E97))</f>
        <v>135949.65</v>
      </c>
      <c r="K97" s="8">
        <f t="shared" si="0"/>
        <v>1</v>
      </c>
      <c r="L97" s="9" t="str">
        <f t="shared" si="1"/>
        <v>Volltilgung erreicht</v>
      </c>
    </row>
    <row r="98" spans="2:14" ht="16.5" customHeight="1" x14ac:dyDescent="0.25">
      <c r="B98" s="10">
        <f t="shared" si="2"/>
        <v>2049</v>
      </c>
      <c r="C98" s="11">
        <f>COUNTIF(Zahlungsplan!$C$8:$C$487,$B98)</f>
        <v>0</v>
      </c>
      <c r="D98" s="12">
        <f>SUMIF(Zahlungsplan!$C$8:$C$487,$B98,Zahlungsplan!$I$8:$I$487)</f>
        <v>0</v>
      </c>
      <c r="E98" s="12">
        <f>SUMIF(Zahlungsplan!$C$8:$C$487,$B98,Zahlungsplan!$F$8:$F$487)</f>
        <v>0</v>
      </c>
      <c r="F98" s="12">
        <f>SUMIF(Zahlungsplan!$C$8:$C$487,$B98,Zahlungsplan!$G$8:$G$487)</f>
        <v>0</v>
      </c>
      <c r="G98" s="12">
        <f>SUMIF(Zahlungsplan!$C$8:$C$487,$B98,Zahlungsplan!$H$8:$H$487)</f>
        <v>0</v>
      </c>
      <c r="H98" s="12">
        <f>INDEX(Zahlungsplan!$J$8:$J$487,MIN(24*$Q$6,480))</f>
        <v>0</v>
      </c>
      <c r="I98" s="12">
        <f>INDEX(Zahlungsplan!$N$8:$N$487,MIN(24*$Q$6,480))</f>
        <v>71739.05</v>
      </c>
      <c r="J98" s="12" t="str">
        <f>IF($C98=0,"",SUM($E$75:$E98))</f>
        <v/>
      </c>
      <c r="K98" s="13">
        <f t="shared" si="0"/>
        <v>1</v>
      </c>
      <c r="L98" s="14" t="str">
        <f t="shared" si="1"/>
        <v/>
      </c>
    </row>
    <row r="99" spans="2:14" ht="16.5" customHeight="1" x14ac:dyDescent="0.25">
      <c r="B99" s="5">
        <f t="shared" si="2"/>
        <v>2050</v>
      </c>
      <c r="C99" s="6">
        <f>COUNTIF(Zahlungsplan!$C$8:$C$487,$B99)</f>
        <v>0</v>
      </c>
      <c r="D99" s="7">
        <f>SUMIF(Zahlungsplan!$C$8:$C$487,$B99,Zahlungsplan!$I$8:$I$487)</f>
        <v>0</v>
      </c>
      <c r="E99" s="7">
        <f>SUMIF(Zahlungsplan!$C$8:$C$487,$B99,Zahlungsplan!$F$8:$F$487)</f>
        <v>0</v>
      </c>
      <c r="F99" s="7">
        <f>SUMIF(Zahlungsplan!$C$8:$C$487,$B99,Zahlungsplan!$G$8:$G$487)</f>
        <v>0</v>
      </c>
      <c r="G99" s="7">
        <f>SUMIF(Zahlungsplan!$C$8:$C$487,$B99,Zahlungsplan!$H$8:$H$487)</f>
        <v>0</v>
      </c>
      <c r="H99" s="7">
        <f>INDEX(Zahlungsplan!$J$8:$J$487,MIN(25*$Q$6,480))</f>
        <v>0</v>
      </c>
      <c r="I99" s="7">
        <f>INDEX(Zahlungsplan!$N$8:$N$487,MIN(25*$Q$6,480))</f>
        <v>57284.71</v>
      </c>
      <c r="J99" s="7" t="str">
        <f>IF($C99=0,"",SUM($E$75:$E99))</f>
        <v/>
      </c>
      <c r="K99" s="8">
        <f t="shared" si="0"/>
        <v>1</v>
      </c>
      <c r="L99" s="9" t="str">
        <f t="shared" si="1"/>
        <v/>
      </c>
    </row>
    <row r="100" spans="2:14" ht="16.5" customHeight="1" x14ac:dyDescent="0.25">
      <c r="B100" s="10">
        <f t="shared" si="2"/>
        <v>2051</v>
      </c>
      <c r="C100" s="11">
        <f>COUNTIF(Zahlungsplan!$C$8:$C$487,$B100)</f>
        <v>0</v>
      </c>
      <c r="D100" s="12">
        <f>SUMIF(Zahlungsplan!$C$8:$C$487,$B100,Zahlungsplan!$I$8:$I$487)</f>
        <v>0</v>
      </c>
      <c r="E100" s="12">
        <f>SUMIF(Zahlungsplan!$C$8:$C$487,$B100,Zahlungsplan!$F$8:$F$487)</f>
        <v>0</v>
      </c>
      <c r="F100" s="12">
        <f>SUMIF(Zahlungsplan!$C$8:$C$487,$B100,Zahlungsplan!$G$8:$G$487)</f>
        <v>0</v>
      </c>
      <c r="G100" s="12">
        <f>SUMIF(Zahlungsplan!$C$8:$C$487,$B100,Zahlungsplan!$H$8:$H$487)</f>
        <v>0</v>
      </c>
      <c r="H100" s="12">
        <f>INDEX(Zahlungsplan!$J$8:$J$487,MIN(26*$Q$6,480))</f>
        <v>0</v>
      </c>
      <c r="I100" s="12">
        <f>INDEX(Zahlungsplan!$N$8:$N$487,MIN(26*$Q$6,480))</f>
        <v>42301.33</v>
      </c>
      <c r="J100" s="12" t="str">
        <f>IF($C100=0,"",SUM($E$75:$E100))</f>
        <v/>
      </c>
      <c r="K100" s="13">
        <f t="shared" si="0"/>
        <v>1</v>
      </c>
      <c r="L100" s="14" t="str">
        <f t="shared" si="1"/>
        <v/>
      </c>
    </row>
    <row r="101" spans="2:14" ht="16.5" customHeight="1" x14ac:dyDescent="0.25">
      <c r="B101" s="5">
        <f t="shared" si="2"/>
        <v>2052</v>
      </c>
      <c r="C101" s="6">
        <f>COUNTIF(Zahlungsplan!$C$8:$C$487,$B101)</f>
        <v>0</v>
      </c>
      <c r="D101" s="7">
        <f>SUMIF(Zahlungsplan!$C$8:$C$487,$B101,Zahlungsplan!$I$8:$I$487)</f>
        <v>0</v>
      </c>
      <c r="E101" s="7">
        <f>SUMIF(Zahlungsplan!$C$8:$C$487,$B101,Zahlungsplan!$F$8:$F$487)</f>
        <v>0</v>
      </c>
      <c r="F101" s="7">
        <f>SUMIF(Zahlungsplan!$C$8:$C$487,$B101,Zahlungsplan!$G$8:$G$487)</f>
        <v>0</v>
      </c>
      <c r="G101" s="7">
        <f>SUMIF(Zahlungsplan!$C$8:$C$487,$B101,Zahlungsplan!$H$8:$H$487)</f>
        <v>0</v>
      </c>
      <c r="H101" s="7">
        <f>INDEX(Zahlungsplan!$J$8:$J$487,MIN(27*$Q$6,480))</f>
        <v>0</v>
      </c>
      <c r="I101" s="7">
        <f>INDEX(Zahlungsplan!$N$8:$N$487,MIN(27*$Q$6,480))</f>
        <v>26769.57</v>
      </c>
      <c r="J101" s="7" t="str">
        <f>IF($C101=0,"",SUM($E$75:$E101))</f>
        <v/>
      </c>
      <c r="K101" s="8">
        <f t="shared" si="0"/>
        <v>1</v>
      </c>
      <c r="L101" s="9" t="str">
        <f t="shared" si="1"/>
        <v/>
      </c>
    </row>
    <row r="102" spans="2:14" ht="16.5" customHeight="1" x14ac:dyDescent="0.25">
      <c r="B102" s="10">
        <f t="shared" si="2"/>
        <v>2053</v>
      </c>
      <c r="C102" s="11">
        <f>COUNTIF(Zahlungsplan!$C$8:$C$487,$B102)</f>
        <v>0</v>
      </c>
      <c r="D102" s="12">
        <f>SUMIF(Zahlungsplan!$C$8:$C$487,$B102,Zahlungsplan!$I$8:$I$487)</f>
        <v>0</v>
      </c>
      <c r="E102" s="12">
        <f>SUMIF(Zahlungsplan!$C$8:$C$487,$B102,Zahlungsplan!$F$8:$F$487)</f>
        <v>0</v>
      </c>
      <c r="F102" s="12">
        <f>SUMIF(Zahlungsplan!$C$8:$C$487,$B102,Zahlungsplan!$G$8:$G$487)</f>
        <v>0</v>
      </c>
      <c r="G102" s="12">
        <f>SUMIF(Zahlungsplan!$C$8:$C$487,$B102,Zahlungsplan!$H$8:$H$487)</f>
        <v>0</v>
      </c>
      <c r="H102" s="12">
        <f>INDEX(Zahlungsplan!$J$8:$J$487,MIN(28*$Q$6,480))</f>
        <v>0</v>
      </c>
      <c r="I102" s="12">
        <f>INDEX(Zahlungsplan!$N$8:$N$487,MIN(28*$Q$6,480))</f>
        <v>10669.35</v>
      </c>
      <c r="J102" s="12" t="str">
        <f>IF($C102=0,"",SUM($E$75:$E102))</f>
        <v/>
      </c>
      <c r="K102" s="13">
        <f t="shared" si="0"/>
        <v>1</v>
      </c>
      <c r="L102" s="14" t="str">
        <f t="shared" si="1"/>
        <v/>
      </c>
    </row>
    <row r="103" spans="2:14" ht="16.5" customHeight="1" x14ac:dyDescent="0.25">
      <c r="B103" s="5">
        <f t="shared" si="2"/>
        <v>2054</v>
      </c>
      <c r="C103" s="6">
        <f>COUNTIF(Zahlungsplan!$C$8:$C$487,$B103)</f>
        <v>0</v>
      </c>
      <c r="D103" s="7">
        <f>SUMIF(Zahlungsplan!$C$8:$C$487,$B103,Zahlungsplan!$I$8:$I$487)</f>
        <v>0</v>
      </c>
      <c r="E103" s="7">
        <f>SUMIF(Zahlungsplan!$C$8:$C$487,$B103,Zahlungsplan!$F$8:$F$487)</f>
        <v>0</v>
      </c>
      <c r="F103" s="7">
        <f>SUMIF(Zahlungsplan!$C$8:$C$487,$B103,Zahlungsplan!$G$8:$G$487)</f>
        <v>0</v>
      </c>
      <c r="G103" s="7">
        <f>SUMIF(Zahlungsplan!$C$8:$C$487,$B103,Zahlungsplan!$H$8:$H$487)</f>
        <v>0</v>
      </c>
      <c r="H103" s="7">
        <f>INDEX(Zahlungsplan!$J$8:$J$487,MIN(29*$Q$6,480))</f>
        <v>0</v>
      </c>
      <c r="I103" s="7">
        <f>INDEX(Zahlungsplan!$N$8:$N$487,MIN(29*$Q$6,480))</f>
        <v>0</v>
      </c>
      <c r="J103" s="7" t="str">
        <f>IF($C103=0,"",SUM($E$75:$E103))</f>
        <v/>
      </c>
      <c r="K103" s="8">
        <f t="shared" si="0"/>
        <v>1</v>
      </c>
      <c r="L103" s="9" t="str">
        <f t="shared" si="1"/>
        <v/>
      </c>
    </row>
    <row r="104" spans="2:14" ht="16.5" customHeight="1" x14ac:dyDescent="0.25">
      <c r="B104" s="10">
        <f t="shared" si="2"/>
        <v>2055</v>
      </c>
      <c r="C104" s="11">
        <f>COUNTIF(Zahlungsplan!$C$8:$C$487,$B104)</f>
        <v>0</v>
      </c>
      <c r="D104" s="12">
        <f>SUMIF(Zahlungsplan!$C$8:$C$487,$B104,Zahlungsplan!$I$8:$I$487)</f>
        <v>0</v>
      </c>
      <c r="E104" s="12">
        <f>SUMIF(Zahlungsplan!$C$8:$C$487,$B104,Zahlungsplan!$F$8:$F$487)</f>
        <v>0</v>
      </c>
      <c r="F104" s="12">
        <f>SUMIF(Zahlungsplan!$C$8:$C$487,$B104,Zahlungsplan!$G$8:$G$487)</f>
        <v>0</v>
      </c>
      <c r="G104" s="12">
        <f>SUMIF(Zahlungsplan!$C$8:$C$487,$B104,Zahlungsplan!$H$8:$H$487)</f>
        <v>0</v>
      </c>
      <c r="H104" s="12">
        <f>INDEX(Zahlungsplan!$J$8:$J$487,MIN(30*$Q$6,480))</f>
        <v>0</v>
      </c>
      <c r="I104" s="12">
        <f>INDEX(Zahlungsplan!$N$8:$N$487,MIN(30*$Q$6,480))</f>
        <v>0</v>
      </c>
      <c r="J104" s="12" t="str">
        <f>IF($C104=0,"",SUM($E$75:$E104))</f>
        <v/>
      </c>
      <c r="K104" s="13">
        <f t="shared" si="0"/>
        <v>1</v>
      </c>
      <c r="L104" s="14" t="str">
        <f t="shared" si="1"/>
        <v/>
      </c>
    </row>
    <row r="105" spans="2:14" ht="21.75" customHeight="1" x14ac:dyDescent="0.25">
      <c r="B105" s="15" t="s">
        <v>58</v>
      </c>
      <c r="C105" s="16">
        <f>SUM(C75:C104)</f>
        <v>265</v>
      </c>
      <c r="D105" s="17">
        <f>SUM(D75:D104)</f>
        <v>435949.65</v>
      </c>
      <c r="E105" s="17">
        <f>SUM(E75:E104)</f>
        <v>135949.65</v>
      </c>
      <c r="F105" s="17">
        <f>SUM(F75:F104)</f>
        <v>233999.99999999997</v>
      </c>
      <c r="G105" s="17">
        <f>SUM(G75:G104)</f>
        <v>66000</v>
      </c>
      <c r="H105" s="18"/>
      <c r="I105" s="18"/>
      <c r="J105" s="17">
        <f>E105</f>
        <v>135949.65</v>
      </c>
      <c r="K105" s="18"/>
      <c r="L105" s="18"/>
    </row>
    <row r="107" spans="2:14" ht="21.75" customHeight="1" x14ac:dyDescent="0.25">
      <c r="B107" s="33" t="s">
        <v>59</v>
      </c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2:14" ht="21" customHeight="1" x14ac:dyDescent="0.25">
      <c r="B108" s="32" t="s">
        <v>60</v>
      </c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</row>
    <row r="109" spans="2:14" ht="21" customHeight="1" x14ac:dyDescent="0.25">
      <c r="B109" s="31" t="s">
        <v>61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ht="21" customHeight="1" x14ac:dyDescent="0.25">
      <c r="B110" s="32" t="s">
        <v>62</v>
      </c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</row>
    <row r="111" spans="2:14" ht="21" customHeight="1" x14ac:dyDescent="0.25">
      <c r="B111" s="31" t="s">
        <v>63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ht="21" customHeight="1" x14ac:dyDescent="0.25">
      <c r="B112" s="32" t="s">
        <v>64</v>
      </c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</row>
    <row r="113" spans="2:14" ht="21" customHeight="1" x14ac:dyDescent="0.25">
      <c r="B113" s="31" t="s">
        <v>65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</sheetData>
  <mergeCells count="56">
    <mergeCell ref="B2:N2"/>
    <mergeCell ref="B3:N3"/>
    <mergeCell ref="B5:D5"/>
    <mergeCell ref="F5:N5"/>
    <mergeCell ref="B6:D6"/>
    <mergeCell ref="F6:H6"/>
    <mergeCell ref="I6:K6"/>
    <mergeCell ref="L6:N6"/>
    <mergeCell ref="C7:D7"/>
    <mergeCell ref="F7:H7"/>
    <mergeCell ref="I7:K7"/>
    <mergeCell ref="L7:N7"/>
    <mergeCell ref="C8:D8"/>
    <mergeCell ref="F8:H8"/>
    <mergeCell ref="I8:K8"/>
    <mergeCell ref="L8:N8"/>
    <mergeCell ref="C9:D9"/>
    <mergeCell ref="B10:D10"/>
    <mergeCell ref="F10:H10"/>
    <mergeCell ref="I10:K10"/>
    <mergeCell ref="L10:N10"/>
    <mergeCell ref="F11:H11"/>
    <mergeCell ref="I11:K11"/>
    <mergeCell ref="L11:N11"/>
    <mergeCell ref="F12:H12"/>
    <mergeCell ref="I12:K12"/>
    <mergeCell ref="L12:N12"/>
    <mergeCell ref="F14:N14"/>
    <mergeCell ref="B16:D16"/>
    <mergeCell ref="F16:N16"/>
    <mergeCell ref="C17:D17"/>
    <mergeCell ref="F17:N17"/>
    <mergeCell ref="F18:N18"/>
    <mergeCell ref="F19:N19"/>
    <mergeCell ref="F20:N20"/>
    <mergeCell ref="F21:N21"/>
    <mergeCell ref="B22:D22"/>
    <mergeCell ref="C21:D21"/>
    <mergeCell ref="B24:N24"/>
    <mergeCell ref="B46:N46"/>
    <mergeCell ref="B73:L73"/>
    <mergeCell ref="B107:N107"/>
    <mergeCell ref="B108:N108"/>
    <mergeCell ref="B109:N109"/>
    <mergeCell ref="B110:N110"/>
    <mergeCell ref="B111:N111"/>
    <mergeCell ref="B112:N112"/>
    <mergeCell ref="B113:N113"/>
    <mergeCell ref="C11:D11"/>
    <mergeCell ref="C12:D12"/>
    <mergeCell ref="C18:D18"/>
    <mergeCell ref="C19:D19"/>
    <mergeCell ref="C20:D20"/>
    <mergeCell ref="C14:D14"/>
    <mergeCell ref="C15:D15"/>
    <mergeCell ref="C13:D13"/>
  </mergeCells>
  <dataValidations count="2">
    <dataValidation type="list" sqref="C13" xr:uid="{00000000-0002-0000-0000-000000000000}">
      <formula1>"Annuitätendarlehen,Ratendarlehen,Endfälliges Darlehen"</formula1>
      <formula2>0</formula2>
    </dataValidation>
    <dataValidation type="list" sqref="C17" xr:uid="{00000000-0002-0000-0000-000001000000}">
      <formula1>"monatlich,vierteljährlich,halbjährlich,jährlich"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  <rowBreaks count="5" manualBreakCount="5">
    <brk id="23" max="16383" man="1"/>
    <brk id="45" max="16383" man="1"/>
    <brk id="67" max="16383" man="1"/>
    <brk id="72" max="16383" man="1"/>
    <brk id="10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7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7" customWidth="1"/>
    <col min="2" max="2" width="14" customWidth="1"/>
    <col min="3" max="3" width="8.42578125" customWidth="1"/>
    <col min="4" max="4" width="17" customWidth="1"/>
    <col min="5" max="5" width="15" customWidth="1"/>
    <col min="6" max="7" width="14" customWidth="1"/>
    <col min="8" max="8" width="15" customWidth="1"/>
    <col min="9" max="9" width="16" customWidth="1"/>
    <col min="10" max="10" width="17" customWidth="1"/>
    <col min="11" max="11" width="26" customWidth="1"/>
    <col min="12" max="14" width="15" hidden="1" customWidth="1"/>
  </cols>
  <sheetData>
    <row r="1" spans="1:14" ht="36" customHeight="1" x14ac:dyDescent="0.25">
      <c r="A1" s="49" t="s">
        <v>66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4" ht="19.5" customHeight="1" x14ac:dyDescent="0.25">
      <c r="A2" s="50" t="s">
        <v>67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4" ht="12" customHeight="1" x14ac:dyDescent="0.25"/>
    <row r="4" spans="1:14" ht="16.5" customHeight="1" x14ac:dyDescent="0.25">
      <c r="A4" s="51" t="s">
        <v>68</v>
      </c>
      <c r="B4" s="51"/>
      <c r="C4" s="51" t="s">
        <v>19</v>
      </c>
      <c r="D4" s="51"/>
      <c r="E4" s="51" t="s">
        <v>69</v>
      </c>
      <c r="F4" s="51"/>
      <c r="G4" s="51" t="s">
        <v>70</v>
      </c>
      <c r="H4" s="51"/>
      <c r="I4" s="51" t="s">
        <v>71</v>
      </c>
      <c r="J4" s="51"/>
    </row>
    <row r="5" spans="1:14" ht="25.5" customHeight="1" x14ac:dyDescent="0.25">
      <c r="A5" s="47">
        <f>COUNTIF(D8:D487,"&gt;0")</f>
        <v>265</v>
      </c>
      <c r="B5" s="47"/>
      <c r="C5" s="48">
        <f>SUM(F8:F487)</f>
        <v>135949.64999999991</v>
      </c>
      <c r="D5" s="48"/>
      <c r="E5" s="48">
        <f>SUM(G8:G487)</f>
        <v>234000.00000000006</v>
      </c>
      <c r="F5" s="48"/>
      <c r="G5" s="48">
        <f>SUM(H8:H487)</f>
        <v>66000</v>
      </c>
      <c r="H5" s="48"/>
      <c r="I5" s="48">
        <f>SUM(I8:I487)</f>
        <v>435949.65</v>
      </c>
      <c r="J5" s="48"/>
    </row>
    <row r="6" spans="1:14" ht="12" customHeight="1" x14ac:dyDescent="0.25"/>
    <row r="7" spans="1:14" ht="31.5" customHeight="1" x14ac:dyDescent="0.25">
      <c r="A7" s="4" t="s">
        <v>72</v>
      </c>
      <c r="B7" s="4" t="s">
        <v>73</v>
      </c>
      <c r="C7" s="4" t="s">
        <v>47</v>
      </c>
      <c r="D7" s="4" t="s">
        <v>74</v>
      </c>
      <c r="E7" s="4" t="s">
        <v>75</v>
      </c>
      <c r="F7" s="4" t="s">
        <v>50</v>
      </c>
      <c r="G7" s="4" t="s">
        <v>51</v>
      </c>
      <c r="H7" s="4" t="s">
        <v>52</v>
      </c>
      <c r="I7" s="4" t="s">
        <v>76</v>
      </c>
      <c r="J7" s="4" t="s">
        <v>77</v>
      </c>
      <c r="K7" s="4" t="s">
        <v>57</v>
      </c>
      <c r="L7" s="19" t="s">
        <v>78</v>
      </c>
      <c r="M7" s="19" t="s">
        <v>79</v>
      </c>
      <c r="N7" s="19" t="s">
        <v>80</v>
      </c>
    </row>
    <row r="8" spans="1:14" ht="15" customHeight="1" x14ac:dyDescent="0.25">
      <c r="A8" s="5">
        <v>1</v>
      </c>
      <c r="B8" s="20">
        <f>IF($D8&lt;=0,"",EDATE(Übersicht!$C$18,($A8-1)*12/Übersicht!$Q$6))</f>
        <v>46053</v>
      </c>
      <c r="C8" s="5">
        <f t="shared" ref="C8:C71" si="0">IF($B8="","",YEAR($B8))</f>
        <v>2026</v>
      </c>
      <c r="D8" s="21">
        <f>Übersicht!$C$11</f>
        <v>300000</v>
      </c>
      <c r="E8" s="7">
        <f t="shared" ref="E8:E71" si="1">IF($D8&lt;=0,0,$F8+$G8)</f>
        <v>1400</v>
      </c>
      <c r="F8" s="7">
        <f>IF($D8&lt;=0,0,ROUND($D8*Übersicht!$Q$7,2))</f>
        <v>900</v>
      </c>
      <c r="G8" s="7">
        <f>IF($D8&lt;=0,0,MIN($D8,IF(Übersicht!$C$13="Annuitätendarlehen",MAX(0,Übersicht!$Q$9-$F8),IF(Übersicht!$C$13="Ratendarlehen",Übersicht!$Q$10,IF($A8&gt;=Übersicht!$Q$11,$D8,0)))))</f>
        <v>500</v>
      </c>
      <c r="H8" s="7">
        <f>IF($D8-$G8&lt;=0,0,IF(MOD($A8,Übersicht!$Q$6)=0,IF($A8/Übersicht!$Q$6&gt;=Übersicht!$C$21,MIN(Übersicht!$C$20,$D8-$G8),0),0))</f>
        <v>0</v>
      </c>
      <c r="I8" s="7">
        <f t="shared" ref="I8:I71" si="2">IF($D8&lt;=0,0,$E8+$H8)</f>
        <v>1400</v>
      </c>
      <c r="J8" s="22">
        <f t="shared" ref="J8:J71" si="3">IF($D8&lt;=0,0,ROUND($D8-$G8-$H8,2))</f>
        <v>299500</v>
      </c>
      <c r="K8" s="9" t="str">
        <f>IF($D8&lt;=0,"",IF($J8&lt;=0.005,"Volltilgung erreicht",IF($A8=Übersicht!$Q$13,"Ende der Zinsbindung",IF($H8&gt;0,"Sondertilgung",""))))</f>
        <v/>
      </c>
      <c r="L8" s="23">
        <f>IF(Übersicht!$C$11&lt;=0,0,ROUND(Übersicht!$C$11*Übersicht!$Q$7,2))</f>
        <v>900</v>
      </c>
      <c r="M8" s="23">
        <f>IF(Übersicht!$C$11&lt;=0,0,MIN(Übersicht!$C$11,IF(Übersicht!$C$13="Annuitätendarlehen",MAX(0,Übersicht!$Q$9-$L8),IF(Übersicht!$C$13="Ratendarlehen",Übersicht!$Q$10,IF($A8&gt;=Übersicht!$Q$11,Übersicht!$C$11,0)))))</f>
        <v>500</v>
      </c>
      <c r="N8" s="23">
        <f>IF(Übersicht!$C$11&lt;=0,0,ROUND(Übersicht!$C$11-$M8,2))</f>
        <v>299500</v>
      </c>
    </row>
    <row r="9" spans="1:14" ht="15" customHeight="1" x14ac:dyDescent="0.25">
      <c r="A9" s="10">
        <v>2</v>
      </c>
      <c r="B9" s="24">
        <f>IF($D9&lt;=0,"",EDATE(Übersicht!$C$18,($A9-1)*12/Übersicht!$Q$6))</f>
        <v>46081</v>
      </c>
      <c r="C9" s="10">
        <f t="shared" si="0"/>
        <v>2026</v>
      </c>
      <c r="D9" s="25">
        <f t="shared" ref="D9:D72" si="4">$J8</f>
        <v>299500</v>
      </c>
      <c r="E9" s="12">
        <f t="shared" si="1"/>
        <v>1400</v>
      </c>
      <c r="F9" s="12">
        <f>IF($D9&lt;=0,0,ROUND($D9*Übersicht!$Q$7,2))</f>
        <v>898.5</v>
      </c>
      <c r="G9" s="12">
        <f>IF($D9&lt;=0,0,MIN($D9,IF(Übersicht!$C$13="Annuitätendarlehen",MAX(0,Übersicht!$Q$9-$F9),IF(Übersicht!$C$13="Ratendarlehen",Übersicht!$Q$10,IF($A9&gt;=Übersicht!$Q$11,$D9,0)))))</f>
        <v>501.5</v>
      </c>
      <c r="H9" s="12">
        <f>IF($D9-$G9&lt;=0,0,IF(MOD($A9,Übersicht!$Q$6)=0,IF($A9/Übersicht!$Q$6&gt;=Übersicht!$C$21,MIN(Übersicht!$C$20,$D9-$G9),0),0))</f>
        <v>0</v>
      </c>
      <c r="I9" s="12">
        <f t="shared" si="2"/>
        <v>1400</v>
      </c>
      <c r="J9" s="26">
        <f t="shared" si="3"/>
        <v>298998.5</v>
      </c>
      <c r="K9" s="14" t="str">
        <f>IF($D9&lt;=0,"",IF($J9&lt;=0.005,"Volltilgung erreicht",IF($A9=Übersicht!$Q$13,"Ende der Zinsbindung",IF($H9&gt;0,"Sondertilgung",""))))</f>
        <v/>
      </c>
      <c r="L9" s="23">
        <f>IF($N8&lt;=0,0,ROUND($N8*Übersicht!$Q$7,2))</f>
        <v>898.5</v>
      </c>
      <c r="M9" s="23">
        <f>IF($N8&lt;=0,0,MIN($N8,IF(Übersicht!$C$13="Annuitätendarlehen",MAX(0,Übersicht!$Q$9-$L9),IF(Übersicht!$C$13="Ratendarlehen",Übersicht!$Q$10,IF($A9&gt;=Übersicht!$Q$11,$N8,0)))))</f>
        <v>501.5</v>
      </c>
      <c r="N9" s="23">
        <f t="shared" ref="N9:N72" si="5">IF($N8&lt;=0,0,ROUND($N8-$M9,2))</f>
        <v>298998.5</v>
      </c>
    </row>
    <row r="10" spans="1:14" ht="15" customHeight="1" x14ac:dyDescent="0.25">
      <c r="A10" s="5">
        <v>3</v>
      </c>
      <c r="B10" s="20">
        <f>IF($D10&lt;=0,"",EDATE(Übersicht!$C$18,($A10-1)*12/Übersicht!$Q$6))</f>
        <v>46112</v>
      </c>
      <c r="C10" s="5">
        <f t="shared" si="0"/>
        <v>2026</v>
      </c>
      <c r="D10" s="21">
        <f t="shared" si="4"/>
        <v>298998.5</v>
      </c>
      <c r="E10" s="7">
        <f t="shared" si="1"/>
        <v>1400</v>
      </c>
      <c r="F10" s="7">
        <f>IF($D10&lt;=0,0,ROUND($D10*Übersicht!$Q$7,2))</f>
        <v>897</v>
      </c>
      <c r="G10" s="7">
        <f>IF($D10&lt;=0,0,MIN($D10,IF(Übersicht!$C$13="Annuitätendarlehen",MAX(0,Übersicht!$Q$9-$F10),IF(Übersicht!$C$13="Ratendarlehen",Übersicht!$Q$10,IF($A10&gt;=Übersicht!$Q$11,$D10,0)))))</f>
        <v>503</v>
      </c>
      <c r="H10" s="7">
        <f>IF($D10-$G10&lt;=0,0,IF(MOD($A10,Übersicht!$Q$6)=0,IF($A10/Übersicht!$Q$6&gt;=Übersicht!$C$21,MIN(Übersicht!$C$20,$D10-$G10),0),0))</f>
        <v>0</v>
      </c>
      <c r="I10" s="7">
        <f t="shared" si="2"/>
        <v>1400</v>
      </c>
      <c r="J10" s="22">
        <f t="shared" si="3"/>
        <v>298495.5</v>
      </c>
      <c r="K10" s="9" t="str">
        <f>IF($D10&lt;=0,"",IF($J10&lt;=0.005,"Volltilgung erreicht",IF($A10=Übersicht!$Q$13,"Ende der Zinsbindung",IF($H10&gt;0,"Sondertilgung",""))))</f>
        <v/>
      </c>
      <c r="L10" s="23">
        <f>IF($N9&lt;=0,0,ROUND($N9*Übersicht!$Q$7,2))</f>
        <v>897</v>
      </c>
      <c r="M10" s="23">
        <f>IF($N9&lt;=0,0,MIN($N9,IF(Übersicht!$C$13="Annuitätendarlehen",MAX(0,Übersicht!$Q$9-$L10),IF(Übersicht!$C$13="Ratendarlehen",Übersicht!$Q$10,IF($A10&gt;=Übersicht!$Q$11,$N9,0)))))</f>
        <v>503</v>
      </c>
      <c r="N10" s="23">
        <f t="shared" si="5"/>
        <v>298495.5</v>
      </c>
    </row>
    <row r="11" spans="1:14" ht="15" customHeight="1" x14ac:dyDescent="0.25">
      <c r="A11" s="10">
        <v>4</v>
      </c>
      <c r="B11" s="24">
        <f>IF($D11&lt;=0,"",EDATE(Übersicht!$C$18,($A11-1)*12/Übersicht!$Q$6))</f>
        <v>46142</v>
      </c>
      <c r="C11" s="10">
        <f t="shared" si="0"/>
        <v>2026</v>
      </c>
      <c r="D11" s="25">
        <f t="shared" si="4"/>
        <v>298495.5</v>
      </c>
      <c r="E11" s="12">
        <f t="shared" si="1"/>
        <v>1400</v>
      </c>
      <c r="F11" s="12">
        <f>IF($D11&lt;=0,0,ROUND($D11*Übersicht!$Q$7,2))</f>
        <v>895.49</v>
      </c>
      <c r="G11" s="12">
        <f>IF($D11&lt;=0,0,MIN($D11,IF(Übersicht!$C$13="Annuitätendarlehen",MAX(0,Übersicht!$Q$9-$F11),IF(Übersicht!$C$13="Ratendarlehen",Übersicht!$Q$10,IF($A11&gt;=Übersicht!$Q$11,$D11,0)))))</f>
        <v>504.51</v>
      </c>
      <c r="H11" s="12">
        <f>IF($D11-$G11&lt;=0,0,IF(MOD($A11,Übersicht!$Q$6)=0,IF($A11/Übersicht!$Q$6&gt;=Übersicht!$C$21,MIN(Übersicht!$C$20,$D11-$G11),0),0))</f>
        <v>0</v>
      </c>
      <c r="I11" s="12">
        <f t="shared" si="2"/>
        <v>1400</v>
      </c>
      <c r="J11" s="26">
        <f t="shared" si="3"/>
        <v>297990.99</v>
      </c>
      <c r="K11" s="14" t="str">
        <f>IF($D11&lt;=0,"",IF($J11&lt;=0.005,"Volltilgung erreicht",IF($A11=Übersicht!$Q$13,"Ende der Zinsbindung",IF($H11&gt;0,"Sondertilgung",""))))</f>
        <v/>
      </c>
      <c r="L11" s="23">
        <f>IF($N10&lt;=0,0,ROUND($N10*Übersicht!$Q$7,2))</f>
        <v>895.49</v>
      </c>
      <c r="M11" s="23">
        <f>IF($N10&lt;=0,0,MIN($N10,IF(Übersicht!$C$13="Annuitätendarlehen",MAX(0,Übersicht!$Q$9-$L11),IF(Übersicht!$C$13="Ratendarlehen",Übersicht!$Q$10,IF($A11&gt;=Übersicht!$Q$11,$N10,0)))))</f>
        <v>504.51</v>
      </c>
      <c r="N11" s="23">
        <f t="shared" si="5"/>
        <v>297990.99</v>
      </c>
    </row>
    <row r="12" spans="1:14" ht="15" customHeight="1" x14ac:dyDescent="0.25">
      <c r="A12" s="5">
        <v>5</v>
      </c>
      <c r="B12" s="20">
        <f>IF($D12&lt;=0,"",EDATE(Übersicht!$C$18,($A12-1)*12/Übersicht!$Q$6))</f>
        <v>46173</v>
      </c>
      <c r="C12" s="5">
        <f t="shared" si="0"/>
        <v>2026</v>
      </c>
      <c r="D12" s="21">
        <f t="shared" si="4"/>
        <v>297990.99</v>
      </c>
      <c r="E12" s="7">
        <f t="shared" si="1"/>
        <v>1400</v>
      </c>
      <c r="F12" s="7">
        <f>IF($D12&lt;=0,0,ROUND($D12*Übersicht!$Q$7,2))</f>
        <v>893.97</v>
      </c>
      <c r="G12" s="7">
        <f>IF($D12&lt;=0,0,MIN($D12,IF(Übersicht!$C$13="Annuitätendarlehen",MAX(0,Übersicht!$Q$9-$F12),IF(Übersicht!$C$13="Ratendarlehen",Übersicht!$Q$10,IF($A12&gt;=Übersicht!$Q$11,$D12,0)))))</f>
        <v>506.03</v>
      </c>
      <c r="H12" s="7">
        <f>IF($D12-$G12&lt;=0,0,IF(MOD($A12,Übersicht!$Q$6)=0,IF($A12/Übersicht!$Q$6&gt;=Übersicht!$C$21,MIN(Übersicht!$C$20,$D12-$G12),0),0))</f>
        <v>0</v>
      </c>
      <c r="I12" s="7">
        <f t="shared" si="2"/>
        <v>1400</v>
      </c>
      <c r="J12" s="22">
        <f t="shared" si="3"/>
        <v>297484.96000000002</v>
      </c>
      <c r="K12" s="9" t="str">
        <f>IF($D12&lt;=0,"",IF($J12&lt;=0.005,"Volltilgung erreicht",IF($A12=Übersicht!$Q$13,"Ende der Zinsbindung",IF($H12&gt;0,"Sondertilgung",""))))</f>
        <v/>
      </c>
      <c r="L12" s="23">
        <f>IF($N11&lt;=0,0,ROUND($N11*Übersicht!$Q$7,2))</f>
        <v>893.97</v>
      </c>
      <c r="M12" s="23">
        <f>IF($N11&lt;=0,0,MIN($N11,IF(Übersicht!$C$13="Annuitätendarlehen",MAX(0,Übersicht!$Q$9-$L12),IF(Übersicht!$C$13="Ratendarlehen",Übersicht!$Q$10,IF($A12&gt;=Übersicht!$Q$11,$N11,0)))))</f>
        <v>506.03</v>
      </c>
      <c r="N12" s="23">
        <f t="shared" si="5"/>
        <v>297484.96000000002</v>
      </c>
    </row>
    <row r="13" spans="1:14" ht="15" customHeight="1" x14ac:dyDescent="0.25">
      <c r="A13" s="10">
        <v>6</v>
      </c>
      <c r="B13" s="24">
        <f>IF($D13&lt;=0,"",EDATE(Übersicht!$C$18,($A13-1)*12/Übersicht!$Q$6))</f>
        <v>46203</v>
      </c>
      <c r="C13" s="10">
        <f t="shared" si="0"/>
        <v>2026</v>
      </c>
      <c r="D13" s="25">
        <f t="shared" si="4"/>
        <v>297484.96000000002</v>
      </c>
      <c r="E13" s="12">
        <f t="shared" si="1"/>
        <v>1400</v>
      </c>
      <c r="F13" s="12">
        <f>IF($D13&lt;=0,0,ROUND($D13*Übersicht!$Q$7,2))</f>
        <v>892.45</v>
      </c>
      <c r="G13" s="12">
        <f>IF($D13&lt;=0,0,MIN($D13,IF(Übersicht!$C$13="Annuitätendarlehen",MAX(0,Übersicht!$Q$9-$F13),IF(Übersicht!$C$13="Ratendarlehen",Übersicht!$Q$10,IF($A13&gt;=Übersicht!$Q$11,$D13,0)))))</f>
        <v>507.54999999999995</v>
      </c>
      <c r="H13" s="12">
        <f>IF($D13-$G13&lt;=0,0,IF(MOD($A13,Übersicht!$Q$6)=0,IF($A13/Übersicht!$Q$6&gt;=Übersicht!$C$21,MIN(Übersicht!$C$20,$D13-$G13),0),0))</f>
        <v>0</v>
      </c>
      <c r="I13" s="12">
        <f t="shared" si="2"/>
        <v>1400</v>
      </c>
      <c r="J13" s="26">
        <f t="shared" si="3"/>
        <v>296977.40999999997</v>
      </c>
      <c r="K13" s="14" t="str">
        <f>IF($D13&lt;=0,"",IF($J13&lt;=0.005,"Volltilgung erreicht",IF($A13=Übersicht!$Q$13,"Ende der Zinsbindung",IF($H13&gt;0,"Sondertilgung",""))))</f>
        <v/>
      </c>
      <c r="L13" s="23">
        <f>IF($N12&lt;=0,0,ROUND($N12*Übersicht!$Q$7,2))</f>
        <v>892.45</v>
      </c>
      <c r="M13" s="23">
        <f>IF($N12&lt;=0,0,MIN($N12,IF(Übersicht!$C$13="Annuitätendarlehen",MAX(0,Übersicht!$Q$9-$L13),IF(Übersicht!$C$13="Ratendarlehen",Übersicht!$Q$10,IF($A13&gt;=Übersicht!$Q$11,$N12,0)))))</f>
        <v>507.54999999999995</v>
      </c>
      <c r="N13" s="23">
        <f t="shared" si="5"/>
        <v>296977.40999999997</v>
      </c>
    </row>
    <row r="14" spans="1:14" ht="15" customHeight="1" x14ac:dyDescent="0.25">
      <c r="A14" s="5">
        <v>7</v>
      </c>
      <c r="B14" s="20">
        <f>IF($D14&lt;=0,"",EDATE(Übersicht!$C$18,($A14-1)*12/Übersicht!$Q$6))</f>
        <v>46234</v>
      </c>
      <c r="C14" s="5">
        <f t="shared" si="0"/>
        <v>2026</v>
      </c>
      <c r="D14" s="21">
        <f t="shared" si="4"/>
        <v>296977.40999999997</v>
      </c>
      <c r="E14" s="7">
        <f t="shared" si="1"/>
        <v>1400</v>
      </c>
      <c r="F14" s="7">
        <f>IF($D14&lt;=0,0,ROUND($D14*Übersicht!$Q$7,2))</f>
        <v>890.93</v>
      </c>
      <c r="G14" s="7">
        <f>IF($D14&lt;=0,0,MIN($D14,IF(Übersicht!$C$13="Annuitätendarlehen",MAX(0,Übersicht!$Q$9-$F14),IF(Übersicht!$C$13="Ratendarlehen",Übersicht!$Q$10,IF($A14&gt;=Übersicht!$Q$11,$D14,0)))))</f>
        <v>509.07000000000005</v>
      </c>
      <c r="H14" s="7">
        <f>IF($D14-$G14&lt;=0,0,IF(MOD($A14,Übersicht!$Q$6)=0,IF($A14/Übersicht!$Q$6&gt;=Übersicht!$C$21,MIN(Übersicht!$C$20,$D14-$G14),0),0))</f>
        <v>0</v>
      </c>
      <c r="I14" s="7">
        <f t="shared" si="2"/>
        <v>1400</v>
      </c>
      <c r="J14" s="22">
        <f t="shared" si="3"/>
        <v>296468.34000000003</v>
      </c>
      <c r="K14" s="9" t="str">
        <f>IF($D14&lt;=0,"",IF($J14&lt;=0.005,"Volltilgung erreicht",IF($A14=Übersicht!$Q$13,"Ende der Zinsbindung",IF($H14&gt;0,"Sondertilgung",""))))</f>
        <v/>
      </c>
      <c r="L14" s="23">
        <f>IF($N13&lt;=0,0,ROUND($N13*Übersicht!$Q$7,2))</f>
        <v>890.93</v>
      </c>
      <c r="M14" s="23">
        <f>IF($N13&lt;=0,0,MIN($N13,IF(Übersicht!$C$13="Annuitätendarlehen",MAX(0,Übersicht!$Q$9-$L14),IF(Übersicht!$C$13="Ratendarlehen",Übersicht!$Q$10,IF($A14&gt;=Übersicht!$Q$11,$N13,0)))))</f>
        <v>509.07000000000005</v>
      </c>
      <c r="N14" s="23">
        <f t="shared" si="5"/>
        <v>296468.34000000003</v>
      </c>
    </row>
    <row r="15" spans="1:14" ht="15" customHeight="1" x14ac:dyDescent="0.25">
      <c r="A15" s="10">
        <v>8</v>
      </c>
      <c r="B15" s="24">
        <f>IF($D15&lt;=0,"",EDATE(Übersicht!$C$18,($A15-1)*12/Übersicht!$Q$6))</f>
        <v>46265</v>
      </c>
      <c r="C15" s="10">
        <f t="shared" si="0"/>
        <v>2026</v>
      </c>
      <c r="D15" s="25">
        <f t="shared" si="4"/>
        <v>296468.34000000003</v>
      </c>
      <c r="E15" s="12">
        <f t="shared" si="1"/>
        <v>1400</v>
      </c>
      <c r="F15" s="12">
        <f>IF($D15&lt;=0,0,ROUND($D15*Übersicht!$Q$7,2))</f>
        <v>889.41</v>
      </c>
      <c r="G15" s="12">
        <f>IF($D15&lt;=0,0,MIN($D15,IF(Übersicht!$C$13="Annuitätendarlehen",MAX(0,Übersicht!$Q$9-$F15),IF(Übersicht!$C$13="Ratendarlehen",Übersicht!$Q$10,IF($A15&gt;=Übersicht!$Q$11,$D15,0)))))</f>
        <v>510.59000000000003</v>
      </c>
      <c r="H15" s="12">
        <f>IF($D15-$G15&lt;=0,0,IF(MOD($A15,Übersicht!$Q$6)=0,IF($A15/Übersicht!$Q$6&gt;=Übersicht!$C$21,MIN(Übersicht!$C$20,$D15-$G15),0),0))</f>
        <v>0</v>
      </c>
      <c r="I15" s="12">
        <f t="shared" si="2"/>
        <v>1400</v>
      </c>
      <c r="J15" s="26">
        <f t="shared" si="3"/>
        <v>295957.75</v>
      </c>
      <c r="K15" s="14" t="str">
        <f>IF($D15&lt;=0,"",IF($J15&lt;=0.005,"Volltilgung erreicht",IF($A15=Übersicht!$Q$13,"Ende der Zinsbindung",IF($H15&gt;0,"Sondertilgung",""))))</f>
        <v/>
      </c>
      <c r="L15" s="23">
        <f>IF($N14&lt;=0,0,ROUND($N14*Übersicht!$Q$7,2))</f>
        <v>889.41</v>
      </c>
      <c r="M15" s="23">
        <f>IF($N14&lt;=0,0,MIN($N14,IF(Übersicht!$C$13="Annuitätendarlehen",MAX(0,Übersicht!$Q$9-$L15),IF(Übersicht!$C$13="Ratendarlehen",Übersicht!$Q$10,IF($A15&gt;=Übersicht!$Q$11,$N14,0)))))</f>
        <v>510.59000000000003</v>
      </c>
      <c r="N15" s="23">
        <f t="shared" si="5"/>
        <v>295957.75</v>
      </c>
    </row>
    <row r="16" spans="1:14" ht="15" customHeight="1" x14ac:dyDescent="0.25">
      <c r="A16" s="5">
        <v>9</v>
      </c>
      <c r="B16" s="20">
        <f>IF($D16&lt;=0,"",EDATE(Übersicht!$C$18,($A16-1)*12/Übersicht!$Q$6))</f>
        <v>46295</v>
      </c>
      <c r="C16" s="5">
        <f t="shared" si="0"/>
        <v>2026</v>
      </c>
      <c r="D16" s="21">
        <f t="shared" si="4"/>
        <v>295957.75</v>
      </c>
      <c r="E16" s="7">
        <f t="shared" si="1"/>
        <v>1400</v>
      </c>
      <c r="F16" s="7">
        <f>IF($D16&lt;=0,0,ROUND($D16*Übersicht!$Q$7,2))</f>
        <v>887.87</v>
      </c>
      <c r="G16" s="7">
        <f>IF($D16&lt;=0,0,MIN($D16,IF(Übersicht!$C$13="Annuitätendarlehen",MAX(0,Übersicht!$Q$9-$F16),IF(Übersicht!$C$13="Ratendarlehen",Übersicht!$Q$10,IF($A16&gt;=Übersicht!$Q$11,$D16,0)))))</f>
        <v>512.13</v>
      </c>
      <c r="H16" s="7">
        <f>IF($D16-$G16&lt;=0,0,IF(MOD($A16,Übersicht!$Q$6)=0,IF($A16/Übersicht!$Q$6&gt;=Übersicht!$C$21,MIN(Übersicht!$C$20,$D16-$G16),0),0))</f>
        <v>0</v>
      </c>
      <c r="I16" s="7">
        <f t="shared" si="2"/>
        <v>1400</v>
      </c>
      <c r="J16" s="22">
        <f t="shared" si="3"/>
        <v>295445.62</v>
      </c>
      <c r="K16" s="9" t="str">
        <f>IF($D16&lt;=0,"",IF($J16&lt;=0.005,"Volltilgung erreicht",IF($A16=Übersicht!$Q$13,"Ende der Zinsbindung",IF($H16&gt;0,"Sondertilgung",""))))</f>
        <v/>
      </c>
      <c r="L16" s="23">
        <f>IF($N15&lt;=0,0,ROUND($N15*Übersicht!$Q$7,2))</f>
        <v>887.87</v>
      </c>
      <c r="M16" s="23">
        <f>IF($N15&lt;=0,0,MIN($N15,IF(Übersicht!$C$13="Annuitätendarlehen",MAX(0,Übersicht!$Q$9-$L16),IF(Übersicht!$C$13="Ratendarlehen",Übersicht!$Q$10,IF($A16&gt;=Übersicht!$Q$11,$N15,0)))))</f>
        <v>512.13</v>
      </c>
      <c r="N16" s="23">
        <f t="shared" si="5"/>
        <v>295445.62</v>
      </c>
    </row>
    <row r="17" spans="1:14" ht="15" customHeight="1" x14ac:dyDescent="0.25">
      <c r="A17" s="10">
        <v>10</v>
      </c>
      <c r="B17" s="24">
        <f>IF($D17&lt;=0,"",EDATE(Übersicht!$C$18,($A17-1)*12/Übersicht!$Q$6))</f>
        <v>46326</v>
      </c>
      <c r="C17" s="10">
        <f t="shared" si="0"/>
        <v>2026</v>
      </c>
      <c r="D17" s="25">
        <f t="shared" si="4"/>
        <v>295445.62</v>
      </c>
      <c r="E17" s="12">
        <f t="shared" si="1"/>
        <v>1400</v>
      </c>
      <c r="F17" s="12">
        <f>IF($D17&lt;=0,0,ROUND($D17*Übersicht!$Q$7,2))</f>
        <v>886.34</v>
      </c>
      <c r="G17" s="12">
        <f>IF($D17&lt;=0,0,MIN($D17,IF(Übersicht!$C$13="Annuitätendarlehen",MAX(0,Übersicht!$Q$9-$F17),IF(Übersicht!$C$13="Ratendarlehen",Übersicht!$Q$10,IF($A17&gt;=Übersicht!$Q$11,$D17,0)))))</f>
        <v>513.66</v>
      </c>
      <c r="H17" s="12">
        <f>IF($D17-$G17&lt;=0,0,IF(MOD($A17,Übersicht!$Q$6)=0,IF($A17/Übersicht!$Q$6&gt;=Übersicht!$C$21,MIN(Übersicht!$C$20,$D17-$G17),0),0))</f>
        <v>0</v>
      </c>
      <c r="I17" s="12">
        <f t="shared" si="2"/>
        <v>1400</v>
      </c>
      <c r="J17" s="26">
        <f t="shared" si="3"/>
        <v>294931.96000000002</v>
      </c>
      <c r="K17" s="14" t="str">
        <f>IF($D17&lt;=0,"",IF($J17&lt;=0.005,"Volltilgung erreicht",IF($A17=Übersicht!$Q$13,"Ende der Zinsbindung",IF($H17&gt;0,"Sondertilgung",""))))</f>
        <v/>
      </c>
      <c r="L17" s="23">
        <f>IF($N16&lt;=0,0,ROUND($N16*Übersicht!$Q$7,2))</f>
        <v>886.34</v>
      </c>
      <c r="M17" s="23">
        <f>IF($N16&lt;=0,0,MIN($N16,IF(Übersicht!$C$13="Annuitätendarlehen",MAX(0,Übersicht!$Q$9-$L17),IF(Übersicht!$C$13="Ratendarlehen",Übersicht!$Q$10,IF($A17&gt;=Übersicht!$Q$11,$N16,0)))))</f>
        <v>513.66</v>
      </c>
      <c r="N17" s="23">
        <f t="shared" si="5"/>
        <v>294931.96000000002</v>
      </c>
    </row>
    <row r="18" spans="1:14" ht="15" customHeight="1" x14ac:dyDescent="0.25">
      <c r="A18" s="5">
        <v>11</v>
      </c>
      <c r="B18" s="20">
        <f>IF($D18&lt;=0,"",EDATE(Übersicht!$C$18,($A18-1)*12/Übersicht!$Q$6))</f>
        <v>46356</v>
      </c>
      <c r="C18" s="5">
        <f t="shared" si="0"/>
        <v>2026</v>
      </c>
      <c r="D18" s="21">
        <f t="shared" si="4"/>
        <v>294931.96000000002</v>
      </c>
      <c r="E18" s="7">
        <f t="shared" si="1"/>
        <v>1400</v>
      </c>
      <c r="F18" s="7">
        <f>IF($D18&lt;=0,0,ROUND($D18*Übersicht!$Q$7,2))</f>
        <v>884.8</v>
      </c>
      <c r="G18" s="7">
        <f>IF($D18&lt;=0,0,MIN($D18,IF(Übersicht!$C$13="Annuitätendarlehen",MAX(0,Übersicht!$Q$9-$F18),IF(Übersicht!$C$13="Ratendarlehen",Übersicht!$Q$10,IF($A18&gt;=Übersicht!$Q$11,$D18,0)))))</f>
        <v>515.20000000000005</v>
      </c>
      <c r="H18" s="7">
        <f>IF($D18-$G18&lt;=0,0,IF(MOD($A18,Übersicht!$Q$6)=0,IF($A18/Übersicht!$Q$6&gt;=Übersicht!$C$21,MIN(Übersicht!$C$20,$D18-$G18),0),0))</f>
        <v>0</v>
      </c>
      <c r="I18" s="7">
        <f t="shared" si="2"/>
        <v>1400</v>
      </c>
      <c r="J18" s="22">
        <f t="shared" si="3"/>
        <v>294416.76</v>
      </c>
      <c r="K18" s="9" t="str">
        <f>IF($D18&lt;=0,"",IF($J18&lt;=0.005,"Volltilgung erreicht",IF($A18=Übersicht!$Q$13,"Ende der Zinsbindung",IF($H18&gt;0,"Sondertilgung",""))))</f>
        <v/>
      </c>
      <c r="L18" s="23">
        <f>IF($N17&lt;=0,0,ROUND($N17*Übersicht!$Q$7,2))</f>
        <v>884.8</v>
      </c>
      <c r="M18" s="23">
        <f>IF($N17&lt;=0,0,MIN($N17,IF(Übersicht!$C$13="Annuitätendarlehen",MAX(0,Übersicht!$Q$9-$L18),IF(Übersicht!$C$13="Ratendarlehen",Übersicht!$Q$10,IF($A18&gt;=Übersicht!$Q$11,$N17,0)))))</f>
        <v>515.20000000000005</v>
      </c>
      <c r="N18" s="23">
        <f t="shared" si="5"/>
        <v>294416.76</v>
      </c>
    </row>
    <row r="19" spans="1:14" ht="15" customHeight="1" x14ac:dyDescent="0.25">
      <c r="A19" s="10">
        <v>12</v>
      </c>
      <c r="B19" s="24">
        <f>IF($D19&lt;=0,"",EDATE(Übersicht!$C$18,($A19-1)*12/Übersicht!$Q$6))</f>
        <v>46387</v>
      </c>
      <c r="C19" s="10">
        <f t="shared" si="0"/>
        <v>2026</v>
      </c>
      <c r="D19" s="25">
        <f t="shared" si="4"/>
        <v>294416.76</v>
      </c>
      <c r="E19" s="12">
        <f t="shared" si="1"/>
        <v>1400</v>
      </c>
      <c r="F19" s="12">
        <f>IF($D19&lt;=0,0,ROUND($D19*Übersicht!$Q$7,2))</f>
        <v>883.25</v>
      </c>
      <c r="G19" s="12">
        <f>IF($D19&lt;=0,0,MIN($D19,IF(Übersicht!$C$13="Annuitätendarlehen",MAX(0,Übersicht!$Q$9-$F19),IF(Übersicht!$C$13="Ratendarlehen",Übersicht!$Q$10,IF($A19&gt;=Übersicht!$Q$11,$D19,0)))))</f>
        <v>516.75</v>
      </c>
      <c r="H19" s="12">
        <f>IF($D19-$G19&lt;=0,0,IF(MOD($A19,Übersicht!$Q$6)=0,IF($A19/Übersicht!$Q$6&gt;=Übersicht!$C$21,MIN(Übersicht!$C$20,$D19-$G19),0),0))</f>
        <v>3000</v>
      </c>
      <c r="I19" s="12">
        <f t="shared" si="2"/>
        <v>4400</v>
      </c>
      <c r="J19" s="26">
        <f t="shared" si="3"/>
        <v>290900.01</v>
      </c>
      <c r="K19" s="14" t="str">
        <f>IF($D19&lt;=0,"",IF($J19&lt;=0.005,"Volltilgung erreicht",IF($A19=Übersicht!$Q$13,"Ende der Zinsbindung",IF($H19&gt;0,"Sondertilgung",""))))</f>
        <v>Sondertilgung</v>
      </c>
      <c r="L19" s="23">
        <f>IF($N18&lt;=0,0,ROUND($N18*Übersicht!$Q$7,2))</f>
        <v>883.25</v>
      </c>
      <c r="M19" s="23">
        <f>IF($N18&lt;=0,0,MIN($N18,IF(Übersicht!$C$13="Annuitätendarlehen",MAX(0,Übersicht!$Q$9-$L19),IF(Übersicht!$C$13="Ratendarlehen",Übersicht!$Q$10,IF($A19&gt;=Übersicht!$Q$11,$N18,0)))))</f>
        <v>516.75</v>
      </c>
      <c r="N19" s="23">
        <f t="shared" si="5"/>
        <v>293900.01</v>
      </c>
    </row>
    <row r="20" spans="1:14" ht="15" customHeight="1" x14ac:dyDescent="0.25">
      <c r="A20" s="5">
        <v>13</v>
      </c>
      <c r="B20" s="20">
        <f>IF($D20&lt;=0,"",EDATE(Übersicht!$C$18,($A20-1)*12/Übersicht!$Q$6))</f>
        <v>46418</v>
      </c>
      <c r="C20" s="5">
        <f t="shared" si="0"/>
        <v>2027</v>
      </c>
      <c r="D20" s="21">
        <f t="shared" si="4"/>
        <v>290900.01</v>
      </c>
      <c r="E20" s="7">
        <f t="shared" si="1"/>
        <v>1400</v>
      </c>
      <c r="F20" s="7">
        <f>IF($D20&lt;=0,0,ROUND($D20*Übersicht!$Q$7,2))</f>
        <v>872.7</v>
      </c>
      <c r="G20" s="7">
        <f>IF($D20&lt;=0,0,MIN($D20,IF(Übersicht!$C$13="Annuitätendarlehen",MAX(0,Übersicht!$Q$9-$F20),IF(Übersicht!$C$13="Ratendarlehen",Übersicht!$Q$10,IF($A20&gt;=Übersicht!$Q$11,$D20,0)))))</f>
        <v>527.29999999999995</v>
      </c>
      <c r="H20" s="7">
        <f>IF($D20-$G20&lt;=0,0,IF(MOD($A20,Übersicht!$Q$6)=0,IF($A20/Übersicht!$Q$6&gt;=Übersicht!$C$21,MIN(Übersicht!$C$20,$D20-$G20),0),0))</f>
        <v>0</v>
      </c>
      <c r="I20" s="7">
        <f t="shared" si="2"/>
        <v>1400</v>
      </c>
      <c r="J20" s="22">
        <f t="shared" si="3"/>
        <v>290372.71000000002</v>
      </c>
      <c r="K20" s="9" t="str">
        <f>IF($D20&lt;=0,"",IF($J20&lt;=0.005,"Volltilgung erreicht",IF($A20=Übersicht!$Q$13,"Ende der Zinsbindung",IF($H20&gt;0,"Sondertilgung",""))))</f>
        <v/>
      </c>
      <c r="L20" s="23">
        <f>IF($N19&lt;=0,0,ROUND($N19*Übersicht!$Q$7,2))</f>
        <v>881.7</v>
      </c>
      <c r="M20" s="23">
        <f>IF($N19&lt;=0,0,MIN($N19,IF(Übersicht!$C$13="Annuitätendarlehen",MAX(0,Übersicht!$Q$9-$L20),IF(Übersicht!$C$13="Ratendarlehen",Übersicht!$Q$10,IF($A20&gt;=Übersicht!$Q$11,$N19,0)))))</f>
        <v>518.29999999999995</v>
      </c>
      <c r="N20" s="23">
        <f t="shared" si="5"/>
        <v>293381.71000000002</v>
      </c>
    </row>
    <row r="21" spans="1:14" ht="15" customHeight="1" x14ac:dyDescent="0.25">
      <c r="A21" s="10">
        <v>14</v>
      </c>
      <c r="B21" s="24">
        <f>IF($D21&lt;=0,"",EDATE(Übersicht!$C$18,($A21-1)*12/Übersicht!$Q$6))</f>
        <v>46446</v>
      </c>
      <c r="C21" s="10">
        <f t="shared" si="0"/>
        <v>2027</v>
      </c>
      <c r="D21" s="25">
        <f t="shared" si="4"/>
        <v>290372.71000000002</v>
      </c>
      <c r="E21" s="12">
        <f t="shared" si="1"/>
        <v>1400</v>
      </c>
      <c r="F21" s="12">
        <f>IF($D21&lt;=0,0,ROUND($D21*Übersicht!$Q$7,2))</f>
        <v>871.12</v>
      </c>
      <c r="G21" s="12">
        <f>IF($D21&lt;=0,0,MIN($D21,IF(Übersicht!$C$13="Annuitätendarlehen",MAX(0,Übersicht!$Q$9-$F21),IF(Übersicht!$C$13="Ratendarlehen",Übersicht!$Q$10,IF($A21&gt;=Übersicht!$Q$11,$D21,0)))))</f>
        <v>528.88</v>
      </c>
      <c r="H21" s="12">
        <f>IF($D21-$G21&lt;=0,0,IF(MOD($A21,Übersicht!$Q$6)=0,IF($A21/Übersicht!$Q$6&gt;=Übersicht!$C$21,MIN(Übersicht!$C$20,$D21-$G21),0),0))</f>
        <v>0</v>
      </c>
      <c r="I21" s="12">
        <f t="shared" si="2"/>
        <v>1400</v>
      </c>
      <c r="J21" s="26">
        <f t="shared" si="3"/>
        <v>289843.83</v>
      </c>
      <c r="K21" s="14" t="str">
        <f>IF($D21&lt;=0,"",IF($J21&lt;=0.005,"Volltilgung erreicht",IF($A21=Übersicht!$Q$13,"Ende der Zinsbindung",IF($H21&gt;0,"Sondertilgung",""))))</f>
        <v/>
      </c>
      <c r="L21" s="23">
        <f>IF($N20&lt;=0,0,ROUND($N20*Übersicht!$Q$7,2))</f>
        <v>880.15</v>
      </c>
      <c r="M21" s="23">
        <f>IF($N20&lt;=0,0,MIN($N20,IF(Übersicht!$C$13="Annuitätendarlehen",MAX(0,Übersicht!$Q$9-$L21),IF(Übersicht!$C$13="Ratendarlehen",Übersicht!$Q$10,IF($A21&gt;=Übersicht!$Q$11,$N20,0)))))</f>
        <v>519.85</v>
      </c>
      <c r="N21" s="23">
        <f t="shared" si="5"/>
        <v>292861.86</v>
      </c>
    </row>
    <row r="22" spans="1:14" ht="15" customHeight="1" x14ac:dyDescent="0.25">
      <c r="A22" s="5">
        <v>15</v>
      </c>
      <c r="B22" s="20">
        <f>IF($D22&lt;=0,"",EDATE(Übersicht!$C$18,($A22-1)*12/Übersicht!$Q$6))</f>
        <v>46477</v>
      </c>
      <c r="C22" s="5">
        <f t="shared" si="0"/>
        <v>2027</v>
      </c>
      <c r="D22" s="21">
        <f t="shared" si="4"/>
        <v>289843.83</v>
      </c>
      <c r="E22" s="7">
        <f t="shared" si="1"/>
        <v>1400</v>
      </c>
      <c r="F22" s="7">
        <f>IF($D22&lt;=0,0,ROUND($D22*Übersicht!$Q$7,2))</f>
        <v>869.53</v>
      </c>
      <c r="G22" s="7">
        <f>IF($D22&lt;=0,0,MIN($D22,IF(Übersicht!$C$13="Annuitätendarlehen",MAX(0,Übersicht!$Q$9-$F22),IF(Übersicht!$C$13="Ratendarlehen",Übersicht!$Q$10,IF($A22&gt;=Übersicht!$Q$11,$D22,0)))))</f>
        <v>530.47</v>
      </c>
      <c r="H22" s="7">
        <f>IF($D22-$G22&lt;=0,0,IF(MOD($A22,Übersicht!$Q$6)=0,IF($A22/Übersicht!$Q$6&gt;=Übersicht!$C$21,MIN(Übersicht!$C$20,$D22-$G22),0),0))</f>
        <v>0</v>
      </c>
      <c r="I22" s="7">
        <f t="shared" si="2"/>
        <v>1400</v>
      </c>
      <c r="J22" s="22">
        <f t="shared" si="3"/>
        <v>289313.36</v>
      </c>
      <c r="K22" s="9" t="str">
        <f>IF($D22&lt;=0,"",IF($J22&lt;=0.005,"Volltilgung erreicht",IF($A22=Übersicht!$Q$13,"Ende der Zinsbindung",IF($H22&gt;0,"Sondertilgung",""))))</f>
        <v/>
      </c>
      <c r="L22" s="23">
        <f>IF($N21&lt;=0,0,ROUND($N21*Übersicht!$Q$7,2))</f>
        <v>878.59</v>
      </c>
      <c r="M22" s="23">
        <f>IF($N21&lt;=0,0,MIN($N21,IF(Übersicht!$C$13="Annuitätendarlehen",MAX(0,Übersicht!$Q$9-$L22),IF(Übersicht!$C$13="Ratendarlehen",Übersicht!$Q$10,IF($A22&gt;=Übersicht!$Q$11,$N21,0)))))</f>
        <v>521.41</v>
      </c>
      <c r="N22" s="23">
        <f t="shared" si="5"/>
        <v>292340.45</v>
      </c>
    </row>
    <row r="23" spans="1:14" ht="15" customHeight="1" x14ac:dyDescent="0.25">
      <c r="A23" s="10">
        <v>16</v>
      </c>
      <c r="B23" s="24">
        <f>IF($D23&lt;=0,"",EDATE(Übersicht!$C$18,($A23-1)*12/Übersicht!$Q$6))</f>
        <v>46507</v>
      </c>
      <c r="C23" s="10">
        <f t="shared" si="0"/>
        <v>2027</v>
      </c>
      <c r="D23" s="25">
        <f t="shared" si="4"/>
        <v>289313.36</v>
      </c>
      <c r="E23" s="12">
        <f t="shared" si="1"/>
        <v>1400</v>
      </c>
      <c r="F23" s="12">
        <f>IF($D23&lt;=0,0,ROUND($D23*Übersicht!$Q$7,2))</f>
        <v>867.94</v>
      </c>
      <c r="G23" s="12">
        <f>IF($D23&lt;=0,0,MIN($D23,IF(Übersicht!$C$13="Annuitätendarlehen",MAX(0,Übersicht!$Q$9-$F23),IF(Übersicht!$C$13="Ratendarlehen",Übersicht!$Q$10,IF($A23&gt;=Übersicht!$Q$11,$D23,0)))))</f>
        <v>532.05999999999995</v>
      </c>
      <c r="H23" s="12">
        <f>IF($D23-$G23&lt;=0,0,IF(MOD($A23,Übersicht!$Q$6)=0,IF($A23/Übersicht!$Q$6&gt;=Übersicht!$C$21,MIN(Übersicht!$C$20,$D23-$G23),0),0))</f>
        <v>0</v>
      </c>
      <c r="I23" s="12">
        <f t="shared" si="2"/>
        <v>1400</v>
      </c>
      <c r="J23" s="26">
        <f t="shared" si="3"/>
        <v>288781.3</v>
      </c>
      <c r="K23" s="14" t="str">
        <f>IF($D23&lt;=0,"",IF($J23&lt;=0.005,"Volltilgung erreicht",IF($A23=Übersicht!$Q$13,"Ende der Zinsbindung",IF($H23&gt;0,"Sondertilgung",""))))</f>
        <v/>
      </c>
      <c r="L23" s="23">
        <f>IF($N22&lt;=0,0,ROUND($N22*Übersicht!$Q$7,2))</f>
        <v>877.02</v>
      </c>
      <c r="M23" s="23">
        <f>IF($N22&lt;=0,0,MIN($N22,IF(Übersicht!$C$13="Annuitätendarlehen",MAX(0,Übersicht!$Q$9-$L23),IF(Übersicht!$C$13="Ratendarlehen",Übersicht!$Q$10,IF($A23&gt;=Übersicht!$Q$11,$N22,0)))))</f>
        <v>522.98</v>
      </c>
      <c r="N23" s="23">
        <f t="shared" si="5"/>
        <v>291817.46999999997</v>
      </c>
    </row>
    <row r="24" spans="1:14" ht="15" customHeight="1" x14ac:dyDescent="0.25">
      <c r="A24" s="5">
        <v>17</v>
      </c>
      <c r="B24" s="20">
        <f>IF($D24&lt;=0,"",EDATE(Übersicht!$C$18,($A24-1)*12/Übersicht!$Q$6))</f>
        <v>46538</v>
      </c>
      <c r="C24" s="5">
        <f t="shared" si="0"/>
        <v>2027</v>
      </c>
      <c r="D24" s="21">
        <f t="shared" si="4"/>
        <v>288781.3</v>
      </c>
      <c r="E24" s="7">
        <f t="shared" si="1"/>
        <v>1400</v>
      </c>
      <c r="F24" s="7">
        <f>IF($D24&lt;=0,0,ROUND($D24*Übersicht!$Q$7,2))</f>
        <v>866.34</v>
      </c>
      <c r="G24" s="7">
        <f>IF($D24&lt;=0,0,MIN($D24,IF(Übersicht!$C$13="Annuitätendarlehen",MAX(0,Übersicht!$Q$9-$F24),IF(Übersicht!$C$13="Ratendarlehen",Übersicht!$Q$10,IF($A24&gt;=Übersicht!$Q$11,$D24,0)))))</f>
        <v>533.66</v>
      </c>
      <c r="H24" s="7">
        <f>IF($D24-$G24&lt;=0,0,IF(MOD($A24,Übersicht!$Q$6)=0,IF($A24/Übersicht!$Q$6&gt;=Übersicht!$C$21,MIN(Übersicht!$C$20,$D24-$G24),0),0))</f>
        <v>0</v>
      </c>
      <c r="I24" s="7">
        <f t="shared" si="2"/>
        <v>1400</v>
      </c>
      <c r="J24" s="22">
        <f t="shared" si="3"/>
        <v>288247.64</v>
      </c>
      <c r="K24" s="9" t="str">
        <f>IF($D24&lt;=0,"",IF($J24&lt;=0.005,"Volltilgung erreicht",IF($A24=Übersicht!$Q$13,"Ende der Zinsbindung",IF($H24&gt;0,"Sondertilgung",""))))</f>
        <v/>
      </c>
      <c r="L24" s="23">
        <f>IF($N23&lt;=0,0,ROUND($N23*Übersicht!$Q$7,2))</f>
        <v>875.45</v>
      </c>
      <c r="M24" s="23">
        <f>IF($N23&lt;=0,0,MIN($N23,IF(Übersicht!$C$13="Annuitätendarlehen",MAX(0,Übersicht!$Q$9-$L24),IF(Übersicht!$C$13="Ratendarlehen",Übersicht!$Q$10,IF($A24&gt;=Übersicht!$Q$11,$N23,0)))))</f>
        <v>524.54999999999995</v>
      </c>
      <c r="N24" s="23">
        <f t="shared" si="5"/>
        <v>291292.92</v>
      </c>
    </row>
    <row r="25" spans="1:14" ht="15" customHeight="1" x14ac:dyDescent="0.25">
      <c r="A25" s="10">
        <v>18</v>
      </c>
      <c r="B25" s="24">
        <f>IF($D25&lt;=0,"",EDATE(Übersicht!$C$18,($A25-1)*12/Übersicht!$Q$6))</f>
        <v>46568</v>
      </c>
      <c r="C25" s="10">
        <f t="shared" si="0"/>
        <v>2027</v>
      </c>
      <c r="D25" s="25">
        <f t="shared" si="4"/>
        <v>288247.64</v>
      </c>
      <c r="E25" s="12">
        <f t="shared" si="1"/>
        <v>1400</v>
      </c>
      <c r="F25" s="12">
        <f>IF($D25&lt;=0,0,ROUND($D25*Übersicht!$Q$7,2))</f>
        <v>864.74</v>
      </c>
      <c r="G25" s="12">
        <f>IF($D25&lt;=0,0,MIN($D25,IF(Übersicht!$C$13="Annuitätendarlehen",MAX(0,Übersicht!$Q$9-$F25),IF(Übersicht!$C$13="Ratendarlehen",Übersicht!$Q$10,IF($A25&gt;=Übersicht!$Q$11,$D25,0)))))</f>
        <v>535.26</v>
      </c>
      <c r="H25" s="12">
        <f>IF($D25-$G25&lt;=0,0,IF(MOD($A25,Übersicht!$Q$6)=0,IF($A25/Übersicht!$Q$6&gt;=Übersicht!$C$21,MIN(Übersicht!$C$20,$D25-$G25),0),0))</f>
        <v>0</v>
      </c>
      <c r="I25" s="12">
        <f t="shared" si="2"/>
        <v>1400</v>
      </c>
      <c r="J25" s="26">
        <f t="shared" si="3"/>
        <v>287712.38</v>
      </c>
      <c r="K25" s="14" t="str">
        <f>IF($D25&lt;=0,"",IF($J25&lt;=0.005,"Volltilgung erreicht",IF($A25=Übersicht!$Q$13,"Ende der Zinsbindung",IF($H25&gt;0,"Sondertilgung",""))))</f>
        <v/>
      </c>
      <c r="L25" s="23">
        <f>IF($N24&lt;=0,0,ROUND($N24*Übersicht!$Q$7,2))</f>
        <v>873.88</v>
      </c>
      <c r="M25" s="23">
        <f>IF($N24&lt;=0,0,MIN($N24,IF(Übersicht!$C$13="Annuitätendarlehen",MAX(0,Übersicht!$Q$9-$L25),IF(Übersicht!$C$13="Ratendarlehen",Übersicht!$Q$10,IF($A25&gt;=Übersicht!$Q$11,$N24,0)))))</f>
        <v>526.12</v>
      </c>
      <c r="N25" s="23">
        <f t="shared" si="5"/>
        <v>290766.8</v>
      </c>
    </row>
    <row r="26" spans="1:14" ht="15" customHeight="1" x14ac:dyDescent="0.25">
      <c r="A26" s="5">
        <v>19</v>
      </c>
      <c r="B26" s="20">
        <f>IF($D26&lt;=0,"",EDATE(Übersicht!$C$18,($A26-1)*12/Übersicht!$Q$6))</f>
        <v>46599</v>
      </c>
      <c r="C26" s="5">
        <f t="shared" si="0"/>
        <v>2027</v>
      </c>
      <c r="D26" s="21">
        <f t="shared" si="4"/>
        <v>287712.38</v>
      </c>
      <c r="E26" s="7">
        <f t="shared" si="1"/>
        <v>1400</v>
      </c>
      <c r="F26" s="7">
        <f>IF($D26&lt;=0,0,ROUND($D26*Übersicht!$Q$7,2))</f>
        <v>863.14</v>
      </c>
      <c r="G26" s="7">
        <f>IF($D26&lt;=0,0,MIN($D26,IF(Übersicht!$C$13="Annuitätendarlehen",MAX(0,Übersicht!$Q$9-$F26),IF(Übersicht!$C$13="Ratendarlehen",Übersicht!$Q$10,IF($A26&gt;=Übersicht!$Q$11,$D26,0)))))</f>
        <v>536.86</v>
      </c>
      <c r="H26" s="7">
        <f>IF($D26-$G26&lt;=0,0,IF(MOD($A26,Übersicht!$Q$6)=0,IF($A26/Übersicht!$Q$6&gt;=Übersicht!$C$21,MIN(Übersicht!$C$20,$D26-$G26),0),0))</f>
        <v>0</v>
      </c>
      <c r="I26" s="7">
        <f t="shared" si="2"/>
        <v>1400</v>
      </c>
      <c r="J26" s="22">
        <f t="shared" si="3"/>
        <v>287175.52</v>
      </c>
      <c r="K26" s="9" t="str">
        <f>IF($D26&lt;=0,"",IF($J26&lt;=0.005,"Volltilgung erreicht",IF($A26=Übersicht!$Q$13,"Ende der Zinsbindung",IF($H26&gt;0,"Sondertilgung",""))))</f>
        <v/>
      </c>
      <c r="L26" s="23">
        <f>IF($N25&lt;=0,0,ROUND($N25*Übersicht!$Q$7,2))</f>
        <v>872.3</v>
      </c>
      <c r="M26" s="23">
        <f>IF($N25&lt;=0,0,MIN($N25,IF(Übersicht!$C$13="Annuitätendarlehen",MAX(0,Übersicht!$Q$9-$L26),IF(Übersicht!$C$13="Ratendarlehen",Übersicht!$Q$10,IF($A26&gt;=Übersicht!$Q$11,$N25,0)))))</f>
        <v>527.70000000000005</v>
      </c>
      <c r="N26" s="23">
        <f t="shared" si="5"/>
        <v>290239.09999999998</v>
      </c>
    </row>
    <row r="27" spans="1:14" ht="15" customHeight="1" x14ac:dyDescent="0.25">
      <c r="A27" s="10">
        <v>20</v>
      </c>
      <c r="B27" s="24">
        <f>IF($D27&lt;=0,"",EDATE(Übersicht!$C$18,($A27-1)*12/Übersicht!$Q$6))</f>
        <v>46630</v>
      </c>
      <c r="C27" s="10">
        <f t="shared" si="0"/>
        <v>2027</v>
      </c>
      <c r="D27" s="25">
        <f t="shared" si="4"/>
        <v>287175.52</v>
      </c>
      <c r="E27" s="12">
        <f t="shared" si="1"/>
        <v>1400</v>
      </c>
      <c r="F27" s="12">
        <f>IF($D27&lt;=0,0,ROUND($D27*Übersicht!$Q$7,2))</f>
        <v>861.53</v>
      </c>
      <c r="G27" s="12">
        <f>IF($D27&lt;=0,0,MIN($D27,IF(Übersicht!$C$13="Annuitätendarlehen",MAX(0,Übersicht!$Q$9-$F27),IF(Übersicht!$C$13="Ratendarlehen",Übersicht!$Q$10,IF($A27&gt;=Übersicht!$Q$11,$D27,0)))))</f>
        <v>538.47</v>
      </c>
      <c r="H27" s="12">
        <f>IF($D27-$G27&lt;=0,0,IF(MOD($A27,Übersicht!$Q$6)=0,IF($A27/Übersicht!$Q$6&gt;=Übersicht!$C$21,MIN(Übersicht!$C$20,$D27-$G27),0),0))</f>
        <v>0</v>
      </c>
      <c r="I27" s="12">
        <f t="shared" si="2"/>
        <v>1400</v>
      </c>
      <c r="J27" s="26">
        <f t="shared" si="3"/>
        <v>286637.05</v>
      </c>
      <c r="K27" s="14" t="str">
        <f>IF($D27&lt;=0,"",IF($J27&lt;=0.005,"Volltilgung erreicht",IF($A27=Übersicht!$Q$13,"Ende der Zinsbindung",IF($H27&gt;0,"Sondertilgung",""))))</f>
        <v/>
      </c>
      <c r="L27" s="23">
        <f>IF($N26&lt;=0,0,ROUND($N26*Übersicht!$Q$7,2))</f>
        <v>870.72</v>
      </c>
      <c r="M27" s="23">
        <f>IF($N26&lt;=0,0,MIN($N26,IF(Übersicht!$C$13="Annuitätendarlehen",MAX(0,Übersicht!$Q$9-$L27),IF(Übersicht!$C$13="Ratendarlehen",Übersicht!$Q$10,IF($A27&gt;=Übersicht!$Q$11,$N26,0)))))</f>
        <v>529.28</v>
      </c>
      <c r="N27" s="23">
        <f t="shared" si="5"/>
        <v>289709.82</v>
      </c>
    </row>
    <row r="28" spans="1:14" ht="15" customHeight="1" x14ac:dyDescent="0.25">
      <c r="A28" s="5">
        <v>21</v>
      </c>
      <c r="B28" s="20">
        <f>IF($D28&lt;=0,"",EDATE(Übersicht!$C$18,($A28-1)*12/Übersicht!$Q$6))</f>
        <v>46660</v>
      </c>
      <c r="C28" s="5">
        <f t="shared" si="0"/>
        <v>2027</v>
      </c>
      <c r="D28" s="21">
        <f t="shared" si="4"/>
        <v>286637.05</v>
      </c>
      <c r="E28" s="7">
        <f t="shared" si="1"/>
        <v>1400</v>
      </c>
      <c r="F28" s="7">
        <f>IF($D28&lt;=0,0,ROUND($D28*Übersicht!$Q$7,2))</f>
        <v>859.91</v>
      </c>
      <c r="G28" s="7">
        <f>IF($D28&lt;=0,0,MIN($D28,IF(Übersicht!$C$13="Annuitätendarlehen",MAX(0,Übersicht!$Q$9-$F28),IF(Übersicht!$C$13="Ratendarlehen",Übersicht!$Q$10,IF($A28&gt;=Übersicht!$Q$11,$D28,0)))))</f>
        <v>540.09</v>
      </c>
      <c r="H28" s="7">
        <f>IF($D28-$G28&lt;=0,0,IF(MOD($A28,Übersicht!$Q$6)=0,IF($A28/Übersicht!$Q$6&gt;=Übersicht!$C$21,MIN(Übersicht!$C$20,$D28-$G28),0),0))</f>
        <v>0</v>
      </c>
      <c r="I28" s="7">
        <f t="shared" si="2"/>
        <v>1400</v>
      </c>
      <c r="J28" s="22">
        <f t="shared" si="3"/>
        <v>286096.96000000002</v>
      </c>
      <c r="K28" s="9" t="str">
        <f>IF($D28&lt;=0,"",IF($J28&lt;=0.005,"Volltilgung erreicht",IF($A28=Übersicht!$Q$13,"Ende der Zinsbindung",IF($H28&gt;0,"Sondertilgung",""))))</f>
        <v/>
      </c>
      <c r="L28" s="23">
        <f>IF($N27&lt;=0,0,ROUND($N27*Übersicht!$Q$7,2))</f>
        <v>869.13</v>
      </c>
      <c r="M28" s="23">
        <f>IF($N27&lt;=0,0,MIN($N27,IF(Übersicht!$C$13="Annuitätendarlehen",MAX(0,Übersicht!$Q$9-$L28),IF(Übersicht!$C$13="Ratendarlehen",Übersicht!$Q$10,IF($A28&gt;=Übersicht!$Q$11,$N27,0)))))</f>
        <v>530.87</v>
      </c>
      <c r="N28" s="23">
        <f t="shared" si="5"/>
        <v>289178.95</v>
      </c>
    </row>
    <row r="29" spans="1:14" ht="15" customHeight="1" x14ac:dyDescent="0.25">
      <c r="A29" s="10">
        <v>22</v>
      </c>
      <c r="B29" s="24">
        <f>IF($D29&lt;=0,"",EDATE(Übersicht!$C$18,($A29-1)*12/Übersicht!$Q$6))</f>
        <v>46691</v>
      </c>
      <c r="C29" s="10">
        <f t="shared" si="0"/>
        <v>2027</v>
      </c>
      <c r="D29" s="25">
        <f t="shared" si="4"/>
        <v>286096.96000000002</v>
      </c>
      <c r="E29" s="12">
        <f t="shared" si="1"/>
        <v>1400</v>
      </c>
      <c r="F29" s="12">
        <f>IF($D29&lt;=0,0,ROUND($D29*Übersicht!$Q$7,2))</f>
        <v>858.29</v>
      </c>
      <c r="G29" s="12">
        <f>IF($D29&lt;=0,0,MIN($D29,IF(Übersicht!$C$13="Annuitätendarlehen",MAX(0,Übersicht!$Q$9-$F29),IF(Übersicht!$C$13="Ratendarlehen",Übersicht!$Q$10,IF($A29&gt;=Übersicht!$Q$11,$D29,0)))))</f>
        <v>541.71</v>
      </c>
      <c r="H29" s="12">
        <f>IF($D29-$G29&lt;=0,0,IF(MOD($A29,Übersicht!$Q$6)=0,IF($A29/Übersicht!$Q$6&gt;=Übersicht!$C$21,MIN(Übersicht!$C$20,$D29-$G29),0),0))</f>
        <v>0</v>
      </c>
      <c r="I29" s="12">
        <f t="shared" si="2"/>
        <v>1400</v>
      </c>
      <c r="J29" s="26">
        <f t="shared" si="3"/>
        <v>285555.25</v>
      </c>
      <c r="K29" s="14" t="str">
        <f>IF($D29&lt;=0,"",IF($J29&lt;=0.005,"Volltilgung erreicht",IF($A29=Übersicht!$Q$13,"Ende der Zinsbindung",IF($H29&gt;0,"Sondertilgung",""))))</f>
        <v/>
      </c>
      <c r="L29" s="23">
        <f>IF($N28&lt;=0,0,ROUND($N28*Übersicht!$Q$7,2))</f>
        <v>867.54</v>
      </c>
      <c r="M29" s="23">
        <f>IF($N28&lt;=0,0,MIN($N28,IF(Übersicht!$C$13="Annuitätendarlehen",MAX(0,Übersicht!$Q$9-$L29),IF(Übersicht!$C$13="Ratendarlehen",Übersicht!$Q$10,IF($A29&gt;=Übersicht!$Q$11,$N28,0)))))</f>
        <v>532.46</v>
      </c>
      <c r="N29" s="23">
        <f t="shared" si="5"/>
        <v>288646.49</v>
      </c>
    </row>
    <row r="30" spans="1:14" ht="15" customHeight="1" x14ac:dyDescent="0.25">
      <c r="A30" s="5">
        <v>23</v>
      </c>
      <c r="B30" s="20">
        <f>IF($D30&lt;=0,"",EDATE(Übersicht!$C$18,($A30-1)*12/Übersicht!$Q$6))</f>
        <v>46721</v>
      </c>
      <c r="C30" s="5">
        <f t="shared" si="0"/>
        <v>2027</v>
      </c>
      <c r="D30" s="21">
        <f t="shared" si="4"/>
        <v>285555.25</v>
      </c>
      <c r="E30" s="7">
        <f t="shared" si="1"/>
        <v>1400</v>
      </c>
      <c r="F30" s="7">
        <f>IF($D30&lt;=0,0,ROUND($D30*Übersicht!$Q$7,2))</f>
        <v>856.67</v>
      </c>
      <c r="G30" s="7">
        <f>IF($D30&lt;=0,0,MIN($D30,IF(Übersicht!$C$13="Annuitätendarlehen",MAX(0,Übersicht!$Q$9-$F30),IF(Übersicht!$C$13="Ratendarlehen",Übersicht!$Q$10,IF($A30&gt;=Übersicht!$Q$11,$D30,0)))))</f>
        <v>543.33000000000004</v>
      </c>
      <c r="H30" s="7">
        <f>IF($D30-$G30&lt;=0,0,IF(MOD($A30,Übersicht!$Q$6)=0,IF($A30/Übersicht!$Q$6&gt;=Übersicht!$C$21,MIN(Übersicht!$C$20,$D30-$G30),0),0))</f>
        <v>0</v>
      </c>
      <c r="I30" s="7">
        <f t="shared" si="2"/>
        <v>1400</v>
      </c>
      <c r="J30" s="22">
        <f t="shared" si="3"/>
        <v>285011.92</v>
      </c>
      <c r="K30" s="9" t="str">
        <f>IF($D30&lt;=0,"",IF($J30&lt;=0.005,"Volltilgung erreicht",IF($A30=Übersicht!$Q$13,"Ende der Zinsbindung",IF($H30&gt;0,"Sondertilgung",""))))</f>
        <v/>
      </c>
      <c r="L30" s="23">
        <f>IF($N29&lt;=0,0,ROUND($N29*Übersicht!$Q$7,2))</f>
        <v>865.94</v>
      </c>
      <c r="M30" s="23">
        <f>IF($N29&lt;=0,0,MIN($N29,IF(Übersicht!$C$13="Annuitätendarlehen",MAX(0,Übersicht!$Q$9-$L30),IF(Übersicht!$C$13="Ratendarlehen",Übersicht!$Q$10,IF($A30&gt;=Übersicht!$Q$11,$N29,0)))))</f>
        <v>534.05999999999995</v>
      </c>
      <c r="N30" s="23">
        <f t="shared" si="5"/>
        <v>288112.43</v>
      </c>
    </row>
    <row r="31" spans="1:14" ht="15" customHeight="1" x14ac:dyDescent="0.25">
      <c r="A31" s="10">
        <v>24</v>
      </c>
      <c r="B31" s="24">
        <f>IF($D31&lt;=0,"",EDATE(Übersicht!$C$18,($A31-1)*12/Übersicht!$Q$6))</f>
        <v>46752</v>
      </c>
      <c r="C31" s="10">
        <f t="shared" si="0"/>
        <v>2027</v>
      </c>
      <c r="D31" s="25">
        <f t="shared" si="4"/>
        <v>285011.92</v>
      </c>
      <c r="E31" s="12">
        <f t="shared" si="1"/>
        <v>1400</v>
      </c>
      <c r="F31" s="12">
        <f>IF($D31&lt;=0,0,ROUND($D31*Übersicht!$Q$7,2))</f>
        <v>855.04</v>
      </c>
      <c r="G31" s="12">
        <f>IF($D31&lt;=0,0,MIN($D31,IF(Übersicht!$C$13="Annuitätendarlehen",MAX(0,Übersicht!$Q$9-$F31),IF(Übersicht!$C$13="Ratendarlehen",Übersicht!$Q$10,IF($A31&gt;=Übersicht!$Q$11,$D31,0)))))</f>
        <v>544.96</v>
      </c>
      <c r="H31" s="12">
        <f>IF($D31-$G31&lt;=0,0,IF(MOD($A31,Übersicht!$Q$6)=0,IF($A31/Übersicht!$Q$6&gt;=Übersicht!$C$21,MIN(Übersicht!$C$20,$D31-$G31),0),0))</f>
        <v>3000</v>
      </c>
      <c r="I31" s="12">
        <f t="shared" si="2"/>
        <v>4400</v>
      </c>
      <c r="J31" s="26">
        <f t="shared" si="3"/>
        <v>281466.96000000002</v>
      </c>
      <c r="K31" s="14" t="str">
        <f>IF($D31&lt;=0,"",IF($J31&lt;=0.005,"Volltilgung erreicht",IF($A31=Übersicht!$Q$13,"Ende der Zinsbindung",IF($H31&gt;0,"Sondertilgung",""))))</f>
        <v>Sondertilgung</v>
      </c>
      <c r="L31" s="23">
        <f>IF($N30&lt;=0,0,ROUND($N30*Übersicht!$Q$7,2))</f>
        <v>864.34</v>
      </c>
      <c r="M31" s="23">
        <f>IF($N30&lt;=0,0,MIN($N30,IF(Übersicht!$C$13="Annuitätendarlehen",MAX(0,Übersicht!$Q$9-$L31),IF(Übersicht!$C$13="Ratendarlehen",Übersicht!$Q$10,IF($A31&gt;=Übersicht!$Q$11,$N30,0)))))</f>
        <v>535.66</v>
      </c>
      <c r="N31" s="23">
        <f t="shared" si="5"/>
        <v>287576.77</v>
      </c>
    </row>
    <row r="32" spans="1:14" ht="15" customHeight="1" x14ac:dyDescent="0.25">
      <c r="A32" s="5">
        <v>25</v>
      </c>
      <c r="B32" s="20">
        <f>IF($D32&lt;=0,"",EDATE(Übersicht!$C$18,($A32-1)*12/Übersicht!$Q$6))</f>
        <v>46783</v>
      </c>
      <c r="C32" s="5">
        <f t="shared" si="0"/>
        <v>2028</v>
      </c>
      <c r="D32" s="21">
        <f t="shared" si="4"/>
        <v>281466.96000000002</v>
      </c>
      <c r="E32" s="7">
        <f t="shared" si="1"/>
        <v>1400</v>
      </c>
      <c r="F32" s="7">
        <f>IF($D32&lt;=0,0,ROUND($D32*Übersicht!$Q$7,2))</f>
        <v>844.4</v>
      </c>
      <c r="G32" s="7">
        <f>IF($D32&lt;=0,0,MIN($D32,IF(Übersicht!$C$13="Annuitätendarlehen",MAX(0,Übersicht!$Q$9-$F32),IF(Übersicht!$C$13="Ratendarlehen",Übersicht!$Q$10,IF($A32&gt;=Übersicht!$Q$11,$D32,0)))))</f>
        <v>555.6</v>
      </c>
      <c r="H32" s="7">
        <f>IF($D32-$G32&lt;=0,0,IF(MOD($A32,Übersicht!$Q$6)=0,IF($A32/Übersicht!$Q$6&gt;=Übersicht!$C$21,MIN(Übersicht!$C$20,$D32-$G32),0),0))</f>
        <v>0</v>
      </c>
      <c r="I32" s="7">
        <f t="shared" si="2"/>
        <v>1400</v>
      </c>
      <c r="J32" s="22">
        <f t="shared" si="3"/>
        <v>280911.35999999999</v>
      </c>
      <c r="K32" s="9" t="str">
        <f>IF($D32&lt;=0,"",IF($J32&lt;=0.005,"Volltilgung erreicht",IF($A32=Übersicht!$Q$13,"Ende der Zinsbindung",IF($H32&gt;0,"Sondertilgung",""))))</f>
        <v/>
      </c>
      <c r="L32" s="23">
        <f>IF($N31&lt;=0,0,ROUND($N31*Übersicht!$Q$7,2))</f>
        <v>862.73</v>
      </c>
      <c r="M32" s="23">
        <f>IF($N31&lt;=0,0,MIN($N31,IF(Übersicht!$C$13="Annuitätendarlehen",MAX(0,Übersicht!$Q$9-$L32),IF(Übersicht!$C$13="Ratendarlehen",Übersicht!$Q$10,IF($A32&gt;=Übersicht!$Q$11,$N31,0)))))</f>
        <v>537.27</v>
      </c>
      <c r="N32" s="23">
        <f t="shared" si="5"/>
        <v>287039.5</v>
      </c>
    </row>
    <row r="33" spans="1:14" ht="15" customHeight="1" x14ac:dyDescent="0.25">
      <c r="A33" s="10">
        <v>26</v>
      </c>
      <c r="B33" s="24">
        <f>IF($D33&lt;=0,"",EDATE(Übersicht!$C$18,($A33-1)*12/Übersicht!$Q$6))</f>
        <v>46812</v>
      </c>
      <c r="C33" s="10">
        <f t="shared" si="0"/>
        <v>2028</v>
      </c>
      <c r="D33" s="25">
        <f t="shared" si="4"/>
        <v>280911.35999999999</v>
      </c>
      <c r="E33" s="12">
        <f t="shared" si="1"/>
        <v>1400</v>
      </c>
      <c r="F33" s="12">
        <f>IF($D33&lt;=0,0,ROUND($D33*Übersicht!$Q$7,2))</f>
        <v>842.73</v>
      </c>
      <c r="G33" s="12">
        <f>IF($D33&lt;=0,0,MIN($D33,IF(Übersicht!$C$13="Annuitätendarlehen",MAX(0,Übersicht!$Q$9-$F33),IF(Übersicht!$C$13="Ratendarlehen",Übersicht!$Q$10,IF($A33&gt;=Übersicht!$Q$11,$D33,0)))))</f>
        <v>557.27</v>
      </c>
      <c r="H33" s="12">
        <f>IF($D33-$G33&lt;=0,0,IF(MOD($A33,Übersicht!$Q$6)=0,IF($A33/Übersicht!$Q$6&gt;=Übersicht!$C$21,MIN(Übersicht!$C$20,$D33-$G33),0),0))</f>
        <v>0</v>
      </c>
      <c r="I33" s="12">
        <f t="shared" si="2"/>
        <v>1400</v>
      </c>
      <c r="J33" s="26">
        <f t="shared" si="3"/>
        <v>280354.09000000003</v>
      </c>
      <c r="K33" s="14" t="str">
        <f>IF($D33&lt;=0,"",IF($J33&lt;=0.005,"Volltilgung erreicht",IF($A33=Übersicht!$Q$13,"Ende der Zinsbindung",IF($H33&gt;0,"Sondertilgung",""))))</f>
        <v/>
      </c>
      <c r="L33" s="23">
        <f>IF($N32&lt;=0,0,ROUND($N32*Übersicht!$Q$7,2))</f>
        <v>861.12</v>
      </c>
      <c r="M33" s="23">
        <f>IF($N32&lt;=0,0,MIN($N32,IF(Übersicht!$C$13="Annuitätendarlehen",MAX(0,Übersicht!$Q$9-$L33),IF(Übersicht!$C$13="Ratendarlehen",Übersicht!$Q$10,IF($A33&gt;=Übersicht!$Q$11,$N32,0)))))</f>
        <v>538.88</v>
      </c>
      <c r="N33" s="23">
        <f t="shared" si="5"/>
        <v>286500.62</v>
      </c>
    </row>
    <row r="34" spans="1:14" ht="15" customHeight="1" x14ac:dyDescent="0.25">
      <c r="A34" s="5">
        <v>27</v>
      </c>
      <c r="B34" s="20">
        <f>IF($D34&lt;=0,"",EDATE(Übersicht!$C$18,($A34-1)*12/Übersicht!$Q$6))</f>
        <v>46843</v>
      </c>
      <c r="C34" s="5">
        <f t="shared" si="0"/>
        <v>2028</v>
      </c>
      <c r="D34" s="21">
        <f t="shared" si="4"/>
        <v>280354.09000000003</v>
      </c>
      <c r="E34" s="7">
        <f t="shared" si="1"/>
        <v>1400</v>
      </c>
      <c r="F34" s="7">
        <f>IF($D34&lt;=0,0,ROUND($D34*Übersicht!$Q$7,2))</f>
        <v>841.06</v>
      </c>
      <c r="G34" s="7">
        <f>IF($D34&lt;=0,0,MIN($D34,IF(Übersicht!$C$13="Annuitätendarlehen",MAX(0,Übersicht!$Q$9-$F34),IF(Übersicht!$C$13="Ratendarlehen",Übersicht!$Q$10,IF($A34&gt;=Übersicht!$Q$11,$D34,0)))))</f>
        <v>558.94000000000005</v>
      </c>
      <c r="H34" s="7">
        <f>IF($D34-$G34&lt;=0,0,IF(MOD($A34,Übersicht!$Q$6)=0,IF($A34/Übersicht!$Q$6&gt;=Übersicht!$C$21,MIN(Übersicht!$C$20,$D34-$G34),0),0))</f>
        <v>0</v>
      </c>
      <c r="I34" s="7">
        <f t="shared" si="2"/>
        <v>1400</v>
      </c>
      <c r="J34" s="22">
        <f t="shared" si="3"/>
        <v>279795.15000000002</v>
      </c>
      <c r="K34" s="9" t="str">
        <f>IF($D34&lt;=0,"",IF($J34&lt;=0.005,"Volltilgung erreicht",IF($A34=Übersicht!$Q$13,"Ende der Zinsbindung",IF($H34&gt;0,"Sondertilgung",""))))</f>
        <v/>
      </c>
      <c r="L34" s="23">
        <f>IF($N33&lt;=0,0,ROUND($N33*Übersicht!$Q$7,2))</f>
        <v>859.5</v>
      </c>
      <c r="M34" s="23">
        <f>IF($N33&lt;=0,0,MIN($N33,IF(Übersicht!$C$13="Annuitätendarlehen",MAX(0,Übersicht!$Q$9-$L34),IF(Übersicht!$C$13="Ratendarlehen",Übersicht!$Q$10,IF($A34&gt;=Übersicht!$Q$11,$N33,0)))))</f>
        <v>540.5</v>
      </c>
      <c r="N34" s="23">
        <f t="shared" si="5"/>
        <v>285960.12</v>
      </c>
    </row>
    <row r="35" spans="1:14" ht="15" customHeight="1" x14ac:dyDescent="0.25">
      <c r="A35" s="10">
        <v>28</v>
      </c>
      <c r="B35" s="24">
        <f>IF($D35&lt;=0,"",EDATE(Übersicht!$C$18,($A35-1)*12/Übersicht!$Q$6))</f>
        <v>46873</v>
      </c>
      <c r="C35" s="10">
        <f t="shared" si="0"/>
        <v>2028</v>
      </c>
      <c r="D35" s="25">
        <f t="shared" si="4"/>
        <v>279795.15000000002</v>
      </c>
      <c r="E35" s="12">
        <f t="shared" si="1"/>
        <v>1400</v>
      </c>
      <c r="F35" s="12">
        <f>IF($D35&lt;=0,0,ROUND($D35*Übersicht!$Q$7,2))</f>
        <v>839.39</v>
      </c>
      <c r="G35" s="12">
        <f>IF($D35&lt;=0,0,MIN($D35,IF(Übersicht!$C$13="Annuitätendarlehen",MAX(0,Übersicht!$Q$9-$F35),IF(Übersicht!$C$13="Ratendarlehen",Übersicht!$Q$10,IF($A35&gt;=Übersicht!$Q$11,$D35,0)))))</f>
        <v>560.61</v>
      </c>
      <c r="H35" s="12">
        <f>IF($D35-$G35&lt;=0,0,IF(MOD($A35,Übersicht!$Q$6)=0,IF($A35/Übersicht!$Q$6&gt;=Übersicht!$C$21,MIN(Übersicht!$C$20,$D35-$G35),0),0))</f>
        <v>0</v>
      </c>
      <c r="I35" s="12">
        <f t="shared" si="2"/>
        <v>1400</v>
      </c>
      <c r="J35" s="26">
        <f t="shared" si="3"/>
        <v>279234.53999999998</v>
      </c>
      <c r="K35" s="14" t="str">
        <f>IF($D35&lt;=0,"",IF($J35&lt;=0.005,"Volltilgung erreicht",IF($A35=Übersicht!$Q$13,"Ende der Zinsbindung",IF($H35&gt;0,"Sondertilgung",""))))</f>
        <v/>
      </c>
      <c r="L35" s="23">
        <f>IF($N34&lt;=0,0,ROUND($N34*Übersicht!$Q$7,2))</f>
        <v>857.88</v>
      </c>
      <c r="M35" s="23">
        <f>IF($N34&lt;=0,0,MIN($N34,IF(Übersicht!$C$13="Annuitätendarlehen",MAX(0,Übersicht!$Q$9-$L35),IF(Übersicht!$C$13="Ratendarlehen",Übersicht!$Q$10,IF($A35&gt;=Übersicht!$Q$11,$N34,0)))))</f>
        <v>542.12</v>
      </c>
      <c r="N35" s="23">
        <f t="shared" si="5"/>
        <v>285418</v>
      </c>
    </row>
    <row r="36" spans="1:14" ht="15" customHeight="1" x14ac:dyDescent="0.25">
      <c r="A36" s="5">
        <v>29</v>
      </c>
      <c r="B36" s="20">
        <f>IF($D36&lt;=0,"",EDATE(Übersicht!$C$18,($A36-1)*12/Übersicht!$Q$6))</f>
        <v>46904</v>
      </c>
      <c r="C36" s="5">
        <f t="shared" si="0"/>
        <v>2028</v>
      </c>
      <c r="D36" s="21">
        <f t="shared" si="4"/>
        <v>279234.53999999998</v>
      </c>
      <c r="E36" s="7">
        <f t="shared" si="1"/>
        <v>1400</v>
      </c>
      <c r="F36" s="7">
        <f>IF($D36&lt;=0,0,ROUND($D36*Übersicht!$Q$7,2))</f>
        <v>837.7</v>
      </c>
      <c r="G36" s="7">
        <f>IF($D36&lt;=0,0,MIN($D36,IF(Übersicht!$C$13="Annuitätendarlehen",MAX(0,Übersicht!$Q$9-$F36),IF(Übersicht!$C$13="Ratendarlehen",Übersicht!$Q$10,IF($A36&gt;=Übersicht!$Q$11,$D36,0)))))</f>
        <v>562.29999999999995</v>
      </c>
      <c r="H36" s="7">
        <f>IF($D36-$G36&lt;=0,0,IF(MOD($A36,Übersicht!$Q$6)=0,IF($A36/Übersicht!$Q$6&gt;=Übersicht!$C$21,MIN(Übersicht!$C$20,$D36-$G36),0),0))</f>
        <v>0</v>
      </c>
      <c r="I36" s="7">
        <f t="shared" si="2"/>
        <v>1400</v>
      </c>
      <c r="J36" s="22">
        <f t="shared" si="3"/>
        <v>278672.24</v>
      </c>
      <c r="K36" s="9" t="str">
        <f>IF($D36&lt;=0,"",IF($J36&lt;=0.005,"Volltilgung erreicht",IF($A36=Übersicht!$Q$13,"Ende der Zinsbindung",IF($H36&gt;0,"Sondertilgung",""))))</f>
        <v/>
      </c>
      <c r="L36" s="23">
        <f>IF($N35&lt;=0,0,ROUND($N35*Übersicht!$Q$7,2))</f>
        <v>856.25</v>
      </c>
      <c r="M36" s="23">
        <f>IF($N35&lt;=0,0,MIN($N35,IF(Übersicht!$C$13="Annuitätendarlehen",MAX(0,Übersicht!$Q$9-$L36),IF(Übersicht!$C$13="Ratendarlehen",Übersicht!$Q$10,IF($A36&gt;=Übersicht!$Q$11,$N35,0)))))</f>
        <v>543.75</v>
      </c>
      <c r="N36" s="23">
        <f t="shared" si="5"/>
        <v>284874.25</v>
      </c>
    </row>
    <row r="37" spans="1:14" ht="15" customHeight="1" x14ac:dyDescent="0.25">
      <c r="A37" s="10">
        <v>30</v>
      </c>
      <c r="B37" s="24">
        <f>IF($D37&lt;=0,"",EDATE(Übersicht!$C$18,($A37-1)*12/Übersicht!$Q$6))</f>
        <v>46934</v>
      </c>
      <c r="C37" s="10">
        <f t="shared" si="0"/>
        <v>2028</v>
      </c>
      <c r="D37" s="25">
        <f t="shared" si="4"/>
        <v>278672.24</v>
      </c>
      <c r="E37" s="12">
        <f t="shared" si="1"/>
        <v>1400</v>
      </c>
      <c r="F37" s="12">
        <f>IF($D37&lt;=0,0,ROUND($D37*Übersicht!$Q$7,2))</f>
        <v>836.02</v>
      </c>
      <c r="G37" s="12">
        <f>IF($D37&lt;=0,0,MIN($D37,IF(Übersicht!$C$13="Annuitätendarlehen",MAX(0,Übersicht!$Q$9-$F37),IF(Übersicht!$C$13="Ratendarlehen",Übersicht!$Q$10,IF($A37&gt;=Übersicht!$Q$11,$D37,0)))))</f>
        <v>563.98</v>
      </c>
      <c r="H37" s="12">
        <f>IF($D37-$G37&lt;=0,0,IF(MOD($A37,Übersicht!$Q$6)=0,IF($A37/Übersicht!$Q$6&gt;=Übersicht!$C$21,MIN(Übersicht!$C$20,$D37-$G37),0),0))</f>
        <v>0</v>
      </c>
      <c r="I37" s="12">
        <f t="shared" si="2"/>
        <v>1400</v>
      </c>
      <c r="J37" s="26">
        <f t="shared" si="3"/>
        <v>278108.26</v>
      </c>
      <c r="K37" s="14" t="str">
        <f>IF($D37&lt;=0,"",IF($J37&lt;=0.005,"Volltilgung erreicht",IF($A37=Übersicht!$Q$13,"Ende der Zinsbindung",IF($H37&gt;0,"Sondertilgung",""))))</f>
        <v/>
      </c>
      <c r="L37" s="23">
        <f>IF($N36&lt;=0,0,ROUND($N36*Übersicht!$Q$7,2))</f>
        <v>854.62</v>
      </c>
      <c r="M37" s="23">
        <f>IF($N36&lt;=0,0,MIN($N36,IF(Übersicht!$C$13="Annuitätendarlehen",MAX(0,Übersicht!$Q$9-$L37),IF(Übersicht!$C$13="Ratendarlehen",Übersicht!$Q$10,IF($A37&gt;=Übersicht!$Q$11,$N36,0)))))</f>
        <v>545.38</v>
      </c>
      <c r="N37" s="23">
        <f t="shared" si="5"/>
        <v>284328.87</v>
      </c>
    </row>
    <row r="38" spans="1:14" ht="15" customHeight="1" x14ac:dyDescent="0.25">
      <c r="A38" s="5">
        <v>31</v>
      </c>
      <c r="B38" s="20">
        <f>IF($D38&lt;=0,"",EDATE(Übersicht!$C$18,($A38-1)*12/Übersicht!$Q$6))</f>
        <v>46965</v>
      </c>
      <c r="C38" s="5">
        <f t="shared" si="0"/>
        <v>2028</v>
      </c>
      <c r="D38" s="21">
        <f t="shared" si="4"/>
        <v>278108.26</v>
      </c>
      <c r="E38" s="7">
        <f t="shared" si="1"/>
        <v>1400</v>
      </c>
      <c r="F38" s="7">
        <f>IF($D38&lt;=0,0,ROUND($D38*Übersicht!$Q$7,2))</f>
        <v>834.32</v>
      </c>
      <c r="G38" s="7">
        <f>IF($D38&lt;=0,0,MIN($D38,IF(Übersicht!$C$13="Annuitätendarlehen",MAX(0,Übersicht!$Q$9-$F38),IF(Übersicht!$C$13="Ratendarlehen",Übersicht!$Q$10,IF($A38&gt;=Übersicht!$Q$11,$D38,0)))))</f>
        <v>565.67999999999995</v>
      </c>
      <c r="H38" s="7">
        <f>IF($D38-$G38&lt;=0,0,IF(MOD($A38,Übersicht!$Q$6)=0,IF($A38/Übersicht!$Q$6&gt;=Übersicht!$C$21,MIN(Übersicht!$C$20,$D38-$G38),0),0))</f>
        <v>0</v>
      </c>
      <c r="I38" s="7">
        <f t="shared" si="2"/>
        <v>1400</v>
      </c>
      <c r="J38" s="22">
        <f t="shared" si="3"/>
        <v>277542.58</v>
      </c>
      <c r="K38" s="9" t="str">
        <f>IF($D38&lt;=0,"",IF($J38&lt;=0.005,"Volltilgung erreicht",IF($A38=Übersicht!$Q$13,"Ende der Zinsbindung",IF($H38&gt;0,"Sondertilgung",""))))</f>
        <v/>
      </c>
      <c r="L38" s="23">
        <f>IF($N37&lt;=0,0,ROUND($N37*Übersicht!$Q$7,2))</f>
        <v>852.99</v>
      </c>
      <c r="M38" s="23">
        <f>IF($N37&lt;=0,0,MIN($N37,IF(Übersicht!$C$13="Annuitätendarlehen",MAX(0,Übersicht!$Q$9-$L38),IF(Übersicht!$C$13="Ratendarlehen",Übersicht!$Q$10,IF($A38&gt;=Übersicht!$Q$11,$N37,0)))))</f>
        <v>547.01</v>
      </c>
      <c r="N38" s="23">
        <f t="shared" si="5"/>
        <v>283781.86</v>
      </c>
    </row>
    <row r="39" spans="1:14" ht="15" customHeight="1" x14ac:dyDescent="0.25">
      <c r="A39" s="10">
        <v>32</v>
      </c>
      <c r="B39" s="24">
        <f>IF($D39&lt;=0,"",EDATE(Übersicht!$C$18,($A39-1)*12/Übersicht!$Q$6))</f>
        <v>46996</v>
      </c>
      <c r="C39" s="10">
        <f t="shared" si="0"/>
        <v>2028</v>
      </c>
      <c r="D39" s="25">
        <f t="shared" si="4"/>
        <v>277542.58</v>
      </c>
      <c r="E39" s="12">
        <f t="shared" si="1"/>
        <v>1400</v>
      </c>
      <c r="F39" s="12">
        <f>IF($D39&lt;=0,0,ROUND($D39*Übersicht!$Q$7,2))</f>
        <v>832.63</v>
      </c>
      <c r="G39" s="12">
        <f>IF($D39&lt;=0,0,MIN($D39,IF(Übersicht!$C$13="Annuitätendarlehen",MAX(0,Übersicht!$Q$9-$F39),IF(Übersicht!$C$13="Ratendarlehen",Übersicht!$Q$10,IF($A39&gt;=Übersicht!$Q$11,$D39,0)))))</f>
        <v>567.37</v>
      </c>
      <c r="H39" s="12">
        <f>IF($D39-$G39&lt;=0,0,IF(MOD($A39,Übersicht!$Q$6)=0,IF($A39/Übersicht!$Q$6&gt;=Übersicht!$C$21,MIN(Übersicht!$C$20,$D39-$G39),0),0))</f>
        <v>0</v>
      </c>
      <c r="I39" s="12">
        <f t="shared" si="2"/>
        <v>1400</v>
      </c>
      <c r="J39" s="26">
        <f t="shared" si="3"/>
        <v>276975.21000000002</v>
      </c>
      <c r="K39" s="14" t="str">
        <f>IF($D39&lt;=0,"",IF($J39&lt;=0.005,"Volltilgung erreicht",IF($A39=Übersicht!$Q$13,"Ende der Zinsbindung",IF($H39&gt;0,"Sondertilgung",""))))</f>
        <v/>
      </c>
      <c r="L39" s="23">
        <f>IF($N38&lt;=0,0,ROUND($N38*Übersicht!$Q$7,2))</f>
        <v>851.35</v>
      </c>
      <c r="M39" s="23">
        <f>IF($N38&lt;=0,0,MIN($N38,IF(Übersicht!$C$13="Annuitätendarlehen",MAX(0,Übersicht!$Q$9-$L39),IF(Übersicht!$C$13="Ratendarlehen",Übersicht!$Q$10,IF($A39&gt;=Übersicht!$Q$11,$N38,0)))))</f>
        <v>548.65</v>
      </c>
      <c r="N39" s="23">
        <f t="shared" si="5"/>
        <v>283233.21000000002</v>
      </c>
    </row>
    <row r="40" spans="1:14" ht="15" customHeight="1" x14ac:dyDescent="0.25">
      <c r="A40" s="5">
        <v>33</v>
      </c>
      <c r="B40" s="20">
        <f>IF($D40&lt;=0,"",EDATE(Übersicht!$C$18,($A40-1)*12/Übersicht!$Q$6))</f>
        <v>47026</v>
      </c>
      <c r="C40" s="5">
        <f t="shared" si="0"/>
        <v>2028</v>
      </c>
      <c r="D40" s="21">
        <f t="shared" si="4"/>
        <v>276975.21000000002</v>
      </c>
      <c r="E40" s="7">
        <f t="shared" si="1"/>
        <v>1400</v>
      </c>
      <c r="F40" s="7">
        <f>IF($D40&lt;=0,0,ROUND($D40*Übersicht!$Q$7,2))</f>
        <v>830.93</v>
      </c>
      <c r="G40" s="7">
        <f>IF($D40&lt;=0,0,MIN($D40,IF(Übersicht!$C$13="Annuitätendarlehen",MAX(0,Übersicht!$Q$9-$F40),IF(Übersicht!$C$13="Ratendarlehen",Übersicht!$Q$10,IF($A40&gt;=Übersicht!$Q$11,$D40,0)))))</f>
        <v>569.07000000000005</v>
      </c>
      <c r="H40" s="7">
        <f>IF($D40-$G40&lt;=0,0,IF(MOD($A40,Übersicht!$Q$6)=0,IF($A40/Übersicht!$Q$6&gt;=Übersicht!$C$21,MIN(Übersicht!$C$20,$D40-$G40),0),0))</f>
        <v>0</v>
      </c>
      <c r="I40" s="7">
        <f t="shared" si="2"/>
        <v>1400</v>
      </c>
      <c r="J40" s="22">
        <f t="shared" si="3"/>
        <v>276406.14</v>
      </c>
      <c r="K40" s="9" t="str">
        <f>IF($D40&lt;=0,"",IF($J40&lt;=0.005,"Volltilgung erreicht",IF($A40=Übersicht!$Q$13,"Ende der Zinsbindung",IF($H40&gt;0,"Sondertilgung",""))))</f>
        <v/>
      </c>
      <c r="L40" s="23">
        <f>IF($N39&lt;=0,0,ROUND($N39*Übersicht!$Q$7,2))</f>
        <v>849.7</v>
      </c>
      <c r="M40" s="23">
        <f>IF($N39&lt;=0,0,MIN($N39,IF(Übersicht!$C$13="Annuitätendarlehen",MAX(0,Übersicht!$Q$9-$L40),IF(Übersicht!$C$13="Ratendarlehen",Übersicht!$Q$10,IF($A40&gt;=Übersicht!$Q$11,$N39,0)))))</f>
        <v>550.29999999999995</v>
      </c>
      <c r="N40" s="23">
        <f t="shared" si="5"/>
        <v>282682.90999999997</v>
      </c>
    </row>
    <row r="41" spans="1:14" ht="15" customHeight="1" x14ac:dyDescent="0.25">
      <c r="A41" s="10">
        <v>34</v>
      </c>
      <c r="B41" s="24">
        <f>IF($D41&lt;=0,"",EDATE(Übersicht!$C$18,($A41-1)*12/Übersicht!$Q$6))</f>
        <v>47057</v>
      </c>
      <c r="C41" s="10">
        <f t="shared" si="0"/>
        <v>2028</v>
      </c>
      <c r="D41" s="25">
        <f t="shared" si="4"/>
        <v>276406.14</v>
      </c>
      <c r="E41" s="12">
        <f t="shared" si="1"/>
        <v>1400</v>
      </c>
      <c r="F41" s="12">
        <f>IF($D41&lt;=0,0,ROUND($D41*Übersicht!$Q$7,2))</f>
        <v>829.22</v>
      </c>
      <c r="G41" s="12">
        <f>IF($D41&lt;=0,0,MIN($D41,IF(Übersicht!$C$13="Annuitätendarlehen",MAX(0,Übersicht!$Q$9-$F41),IF(Übersicht!$C$13="Ratendarlehen",Übersicht!$Q$10,IF($A41&gt;=Übersicht!$Q$11,$D41,0)))))</f>
        <v>570.78</v>
      </c>
      <c r="H41" s="12">
        <f>IF($D41-$G41&lt;=0,0,IF(MOD($A41,Übersicht!$Q$6)=0,IF($A41/Übersicht!$Q$6&gt;=Übersicht!$C$21,MIN(Übersicht!$C$20,$D41-$G41),0),0))</f>
        <v>0</v>
      </c>
      <c r="I41" s="12">
        <f t="shared" si="2"/>
        <v>1400</v>
      </c>
      <c r="J41" s="26">
        <f t="shared" si="3"/>
        <v>275835.36</v>
      </c>
      <c r="K41" s="14" t="str">
        <f>IF($D41&lt;=0,"",IF($J41&lt;=0.005,"Volltilgung erreicht",IF($A41=Übersicht!$Q$13,"Ende der Zinsbindung",IF($H41&gt;0,"Sondertilgung",""))))</f>
        <v/>
      </c>
      <c r="L41" s="23">
        <f>IF($N40&lt;=0,0,ROUND($N40*Übersicht!$Q$7,2))</f>
        <v>848.05</v>
      </c>
      <c r="M41" s="23">
        <f>IF($N40&lt;=0,0,MIN($N40,IF(Übersicht!$C$13="Annuitätendarlehen",MAX(0,Übersicht!$Q$9-$L41),IF(Übersicht!$C$13="Ratendarlehen",Übersicht!$Q$10,IF($A41&gt;=Übersicht!$Q$11,$N40,0)))))</f>
        <v>551.95000000000005</v>
      </c>
      <c r="N41" s="23">
        <f t="shared" si="5"/>
        <v>282130.96000000002</v>
      </c>
    </row>
    <row r="42" spans="1:14" ht="15" customHeight="1" x14ac:dyDescent="0.25">
      <c r="A42" s="5">
        <v>35</v>
      </c>
      <c r="B42" s="20">
        <f>IF($D42&lt;=0,"",EDATE(Übersicht!$C$18,($A42-1)*12/Übersicht!$Q$6))</f>
        <v>47087</v>
      </c>
      <c r="C42" s="5">
        <f t="shared" si="0"/>
        <v>2028</v>
      </c>
      <c r="D42" s="21">
        <f t="shared" si="4"/>
        <v>275835.36</v>
      </c>
      <c r="E42" s="7">
        <f t="shared" si="1"/>
        <v>1400</v>
      </c>
      <c r="F42" s="7">
        <f>IF($D42&lt;=0,0,ROUND($D42*Übersicht!$Q$7,2))</f>
        <v>827.51</v>
      </c>
      <c r="G42" s="7">
        <f>IF($D42&lt;=0,0,MIN($D42,IF(Übersicht!$C$13="Annuitätendarlehen",MAX(0,Übersicht!$Q$9-$F42),IF(Übersicht!$C$13="Ratendarlehen",Übersicht!$Q$10,IF($A42&gt;=Übersicht!$Q$11,$D42,0)))))</f>
        <v>572.49</v>
      </c>
      <c r="H42" s="7">
        <f>IF($D42-$G42&lt;=0,0,IF(MOD($A42,Übersicht!$Q$6)=0,IF($A42/Übersicht!$Q$6&gt;=Übersicht!$C$21,MIN(Übersicht!$C$20,$D42-$G42),0),0))</f>
        <v>0</v>
      </c>
      <c r="I42" s="7">
        <f t="shared" si="2"/>
        <v>1400</v>
      </c>
      <c r="J42" s="22">
        <f t="shared" si="3"/>
        <v>275262.87</v>
      </c>
      <c r="K42" s="9" t="str">
        <f>IF($D42&lt;=0,"",IF($J42&lt;=0.005,"Volltilgung erreicht",IF($A42=Übersicht!$Q$13,"Ende der Zinsbindung",IF($H42&gt;0,"Sondertilgung",""))))</f>
        <v/>
      </c>
      <c r="L42" s="23">
        <f>IF($N41&lt;=0,0,ROUND($N41*Übersicht!$Q$7,2))</f>
        <v>846.39</v>
      </c>
      <c r="M42" s="23">
        <f>IF($N41&lt;=0,0,MIN($N41,IF(Übersicht!$C$13="Annuitätendarlehen",MAX(0,Übersicht!$Q$9-$L42),IF(Übersicht!$C$13="Ratendarlehen",Übersicht!$Q$10,IF($A42&gt;=Übersicht!$Q$11,$N41,0)))))</f>
        <v>553.61</v>
      </c>
      <c r="N42" s="23">
        <f t="shared" si="5"/>
        <v>281577.34999999998</v>
      </c>
    </row>
    <row r="43" spans="1:14" ht="15" customHeight="1" x14ac:dyDescent="0.25">
      <c r="A43" s="10">
        <v>36</v>
      </c>
      <c r="B43" s="24">
        <f>IF($D43&lt;=0,"",EDATE(Übersicht!$C$18,($A43-1)*12/Übersicht!$Q$6))</f>
        <v>47118</v>
      </c>
      <c r="C43" s="10">
        <f t="shared" si="0"/>
        <v>2028</v>
      </c>
      <c r="D43" s="25">
        <f t="shared" si="4"/>
        <v>275262.87</v>
      </c>
      <c r="E43" s="12">
        <f t="shared" si="1"/>
        <v>1400</v>
      </c>
      <c r="F43" s="12">
        <f>IF($D43&lt;=0,0,ROUND($D43*Übersicht!$Q$7,2))</f>
        <v>825.79</v>
      </c>
      <c r="G43" s="12">
        <f>IF($D43&lt;=0,0,MIN($D43,IF(Übersicht!$C$13="Annuitätendarlehen",MAX(0,Übersicht!$Q$9-$F43),IF(Übersicht!$C$13="Ratendarlehen",Übersicht!$Q$10,IF($A43&gt;=Übersicht!$Q$11,$D43,0)))))</f>
        <v>574.21</v>
      </c>
      <c r="H43" s="12">
        <f>IF($D43-$G43&lt;=0,0,IF(MOD($A43,Übersicht!$Q$6)=0,IF($A43/Übersicht!$Q$6&gt;=Übersicht!$C$21,MIN(Übersicht!$C$20,$D43-$G43),0),0))</f>
        <v>3000</v>
      </c>
      <c r="I43" s="12">
        <f t="shared" si="2"/>
        <v>4400</v>
      </c>
      <c r="J43" s="26">
        <f t="shared" si="3"/>
        <v>271688.65999999997</v>
      </c>
      <c r="K43" s="14" t="str">
        <f>IF($D43&lt;=0,"",IF($J43&lt;=0.005,"Volltilgung erreicht",IF($A43=Übersicht!$Q$13,"Ende der Zinsbindung",IF($H43&gt;0,"Sondertilgung",""))))</f>
        <v>Sondertilgung</v>
      </c>
      <c r="L43" s="23">
        <f>IF($N42&lt;=0,0,ROUND($N42*Übersicht!$Q$7,2))</f>
        <v>844.73</v>
      </c>
      <c r="M43" s="23">
        <f>IF($N42&lt;=0,0,MIN($N42,IF(Übersicht!$C$13="Annuitätendarlehen",MAX(0,Übersicht!$Q$9-$L43),IF(Übersicht!$C$13="Ratendarlehen",Übersicht!$Q$10,IF($A43&gt;=Übersicht!$Q$11,$N42,0)))))</f>
        <v>555.27</v>
      </c>
      <c r="N43" s="23">
        <f t="shared" si="5"/>
        <v>281022.08000000002</v>
      </c>
    </row>
    <row r="44" spans="1:14" ht="15" customHeight="1" x14ac:dyDescent="0.25">
      <c r="A44" s="5">
        <v>37</v>
      </c>
      <c r="B44" s="20">
        <f>IF($D44&lt;=0,"",EDATE(Übersicht!$C$18,($A44-1)*12/Übersicht!$Q$6))</f>
        <v>47149</v>
      </c>
      <c r="C44" s="5">
        <f t="shared" si="0"/>
        <v>2029</v>
      </c>
      <c r="D44" s="21">
        <f t="shared" si="4"/>
        <v>271688.65999999997</v>
      </c>
      <c r="E44" s="7">
        <f t="shared" si="1"/>
        <v>1400</v>
      </c>
      <c r="F44" s="7">
        <f>IF($D44&lt;=0,0,ROUND($D44*Übersicht!$Q$7,2))</f>
        <v>815.07</v>
      </c>
      <c r="G44" s="7">
        <f>IF($D44&lt;=0,0,MIN($D44,IF(Übersicht!$C$13="Annuitätendarlehen",MAX(0,Übersicht!$Q$9-$F44),IF(Übersicht!$C$13="Ratendarlehen",Übersicht!$Q$10,IF($A44&gt;=Übersicht!$Q$11,$D44,0)))))</f>
        <v>584.92999999999995</v>
      </c>
      <c r="H44" s="7">
        <f>IF($D44-$G44&lt;=0,0,IF(MOD($A44,Übersicht!$Q$6)=0,IF($A44/Übersicht!$Q$6&gt;=Übersicht!$C$21,MIN(Übersicht!$C$20,$D44-$G44),0),0))</f>
        <v>0</v>
      </c>
      <c r="I44" s="7">
        <f t="shared" si="2"/>
        <v>1400</v>
      </c>
      <c r="J44" s="22">
        <f t="shared" si="3"/>
        <v>271103.73</v>
      </c>
      <c r="K44" s="9" t="str">
        <f>IF($D44&lt;=0,"",IF($J44&lt;=0.005,"Volltilgung erreicht",IF($A44=Übersicht!$Q$13,"Ende der Zinsbindung",IF($H44&gt;0,"Sondertilgung",""))))</f>
        <v/>
      </c>
      <c r="L44" s="23">
        <f>IF($N43&lt;=0,0,ROUND($N43*Übersicht!$Q$7,2))</f>
        <v>843.07</v>
      </c>
      <c r="M44" s="23">
        <f>IF($N43&lt;=0,0,MIN($N43,IF(Übersicht!$C$13="Annuitätendarlehen",MAX(0,Übersicht!$Q$9-$L44),IF(Übersicht!$C$13="Ratendarlehen",Übersicht!$Q$10,IF($A44&gt;=Übersicht!$Q$11,$N43,0)))))</f>
        <v>556.92999999999995</v>
      </c>
      <c r="N44" s="23">
        <f t="shared" si="5"/>
        <v>280465.15000000002</v>
      </c>
    </row>
    <row r="45" spans="1:14" ht="15" customHeight="1" x14ac:dyDescent="0.25">
      <c r="A45" s="10">
        <v>38</v>
      </c>
      <c r="B45" s="24">
        <f>IF($D45&lt;=0,"",EDATE(Übersicht!$C$18,($A45-1)*12/Übersicht!$Q$6))</f>
        <v>47177</v>
      </c>
      <c r="C45" s="10">
        <f t="shared" si="0"/>
        <v>2029</v>
      </c>
      <c r="D45" s="25">
        <f t="shared" si="4"/>
        <v>271103.73</v>
      </c>
      <c r="E45" s="12">
        <f t="shared" si="1"/>
        <v>1400</v>
      </c>
      <c r="F45" s="12">
        <f>IF($D45&lt;=0,0,ROUND($D45*Übersicht!$Q$7,2))</f>
        <v>813.31</v>
      </c>
      <c r="G45" s="12">
        <f>IF($D45&lt;=0,0,MIN($D45,IF(Übersicht!$C$13="Annuitätendarlehen",MAX(0,Übersicht!$Q$9-$F45),IF(Übersicht!$C$13="Ratendarlehen",Übersicht!$Q$10,IF($A45&gt;=Übersicht!$Q$11,$D45,0)))))</f>
        <v>586.69000000000005</v>
      </c>
      <c r="H45" s="12">
        <f>IF($D45-$G45&lt;=0,0,IF(MOD($A45,Übersicht!$Q$6)=0,IF($A45/Übersicht!$Q$6&gt;=Übersicht!$C$21,MIN(Übersicht!$C$20,$D45-$G45),0),0))</f>
        <v>0</v>
      </c>
      <c r="I45" s="12">
        <f t="shared" si="2"/>
        <v>1400</v>
      </c>
      <c r="J45" s="26">
        <f t="shared" si="3"/>
        <v>270517.03999999998</v>
      </c>
      <c r="K45" s="14" t="str">
        <f>IF($D45&lt;=0,"",IF($J45&lt;=0.005,"Volltilgung erreicht",IF($A45=Übersicht!$Q$13,"Ende der Zinsbindung",IF($H45&gt;0,"Sondertilgung",""))))</f>
        <v/>
      </c>
      <c r="L45" s="23">
        <f>IF($N44&lt;=0,0,ROUND($N44*Übersicht!$Q$7,2))</f>
        <v>841.4</v>
      </c>
      <c r="M45" s="23">
        <f>IF($N44&lt;=0,0,MIN($N44,IF(Übersicht!$C$13="Annuitätendarlehen",MAX(0,Übersicht!$Q$9-$L45),IF(Übersicht!$C$13="Ratendarlehen",Übersicht!$Q$10,IF($A45&gt;=Übersicht!$Q$11,$N44,0)))))</f>
        <v>558.6</v>
      </c>
      <c r="N45" s="23">
        <f t="shared" si="5"/>
        <v>279906.55</v>
      </c>
    </row>
    <row r="46" spans="1:14" ht="15" customHeight="1" x14ac:dyDescent="0.25">
      <c r="A46" s="5">
        <v>39</v>
      </c>
      <c r="B46" s="20">
        <f>IF($D46&lt;=0,"",EDATE(Übersicht!$C$18,($A46-1)*12/Übersicht!$Q$6))</f>
        <v>47208</v>
      </c>
      <c r="C46" s="5">
        <f t="shared" si="0"/>
        <v>2029</v>
      </c>
      <c r="D46" s="21">
        <f t="shared" si="4"/>
        <v>270517.03999999998</v>
      </c>
      <c r="E46" s="7">
        <f t="shared" si="1"/>
        <v>1400</v>
      </c>
      <c r="F46" s="7">
        <f>IF($D46&lt;=0,0,ROUND($D46*Übersicht!$Q$7,2))</f>
        <v>811.55</v>
      </c>
      <c r="G46" s="7">
        <f>IF($D46&lt;=0,0,MIN($D46,IF(Übersicht!$C$13="Annuitätendarlehen",MAX(0,Übersicht!$Q$9-$F46),IF(Übersicht!$C$13="Ratendarlehen",Übersicht!$Q$10,IF($A46&gt;=Übersicht!$Q$11,$D46,0)))))</f>
        <v>588.45000000000005</v>
      </c>
      <c r="H46" s="7">
        <f>IF($D46-$G46&lt;=0,0,IF(MOD($A46,Übersicht!$Q$6)=0,IF($A46/Übersicht!$Q$6&gt;=Übersicht!$C$21,MIN(Übersicht!$C$20,$D46-$G46),0),0))</f>
        <v>0</v>
      </c>
      <c r="I46" s="7">
        <f t="shared" si="2"/>
        <v>1400</v>
      </c>
      <c r="J46" s="22">
        <f t="shared" si="3"/>
        <v>269928.59000000003</v>
      </c>
      <c r="K46" s="9" t="str">
        <f>IF($D46&lt;=0,"",IF($J46&lt;=0.005,"Volltilgung erreicht",IF($A46=Übersicht!$Q$13,"Ende der Zinsbindung",IF($H46&gt;0,"Sondertilgung",""))))</f>
        <v/>
      </c>
      <c r="L46" s="23">
        <f>IF($N45&lt;=0,0,ROUND($N45*Übersicht!$Q$7,2))</f>
        <v>839.72</v>
      </c>
      <c r="M46" s="23">
        <f>IF($N45&lt;=0,0,MIN($N45,IF(Übersicht!$C$13="Annuitätendarlehen",MAX(0,Übersicht!$Q$9-$L46),IF(Übersicht!$C$13="Ratendarlehen",Übersicht!$Q$10,IF($A46&gt;=Übersicht!$Q$11,$N45,0)))))</f>
        <v>560.28</v>
      </c>
      <c r="N46" s="23">
        <f t="shared" si="5"/>
        <v>279346.27</v>
      </c>
    </row>
    <row r="47" spans="1:14" ht="15" customHeight="1" x14ac:dyDescent="0.25">
      <c r="A47" s="10">
        <v>40</v>
      </c>
      <c r="B47" s="24">
        <f>IF($D47&lt;=0,"",EDATE(Übersicht!$C$18,($A47-1)*12/Übersicht!$Q$6))</f>
        <v>47238</v>
      </c>
      <c r="C47" s="10">
        <f t="shared" si="0"/>
        <v>2029</v>
      </c>
      <c r="D47" s="25">
        <f t="shared" si="4"/>
        <v>269928.59000000003</v>
      </c>
      <c r="E47" s="12">
        <f t="shared" si="1"/>
        <v>1400</v>
      </c>
      <c r="F47" s="12">
        <f>IF($D47&lt;=0,0,ROUND($D47*Übersicht!$Q$7,2))</f>
        <v>809.79</v>
      </c>
      <c r="G47" s="12">
        <f>IF($D47&lt;=0,0,MIN($D47,IF(Übersicht!$C$13="Annuitätendarlehen",MAX(0,Übersicht!$Q$9-$F47),IF(Übersicht!$C$13="Ratendarlehen",Übersicht!$Q$10,IF($A47&gt;=Übersicht!$Q$11,$D47,0)))))</f>
        <v>590.21</v>
      </c>
      <c r="H47" s="12">
        <f>IF($D47-$G47&lt;=0,0,IF(MOD($A47,Übersicht!$Q$6)=0,IF($A47/Übersicht!$Q$6&gt;=Übersicht!$C$21,MIN(Übersicht!$C$20,$D47-$G47),0),0))</f>
        <v>0</v>
      </c>
      <c r="I47" s="12">
        <f t="shared" si="2"/>
        <v>1400</v>
      </c>
      <c r="J47" s="26">
        <f t="shared" si="3"/>
        <v>269338.38</v>
      </c>
      <c r="K47" s="14" t="str">
        <f>IF($D47&lt;=0,"",IF($J47&lt;=0.005,"Volltilgung erreicht",IF($A47=Übersicht!$Q$13,"Ende der Zinsbindung",IF($H47&gt;0,"Sondertilgung",""))))</f>
        <v/>
      </c>
      <c r="L47" s="23">
        <f>IF($N46&lt;=0,0,ROUND($N46*Übersicht!$Q$7,2))</f>
        <v>838.04</v>
      </c>
      <c r="M47" s="23">
        <f>IF($N46&lt;=0,0,MIN($N46,IF(Übersicht!$C$13="Annuitätendarlehen",MAX(0,Übersicht!$Q$9-$L47),IF(Übersicht!$C$13="Ratendarlehen",Übersicht!$Q$10,IF($A47&gt;=Übersicht!$Q$11,$N46,0)))))</f>
        <v>561.96</v>
      </c>
      <c r="N47" s="23">
        <f t="shared" si="5"/>
        <v>278784.31</v>
      </c>
    </row>
    <row r="48" spans="1:14" ht="15" customHeight="1" x14ac:dyDescent="0.25">
      <c r="A48" s="5">
        <v>41</v>
      </c>
      <c r="B48" s="20">
        <f>IF($D48&lt;=0,"",EDATE(Übersicht!$C$18,($A48-1)*12/Übersicht!$Q$6))</f>
        <v>47269</v>
      </c>
      <c r="C48" s="5">
        <f t="shared" si="0"/>
        <v>2029</v>
      </c>
      <c r="D48" s="21">
        <f t="shared" si="4"/>
        <v>269338.38</v>
      </c>
      <c r="E48" s="7">
        <f t="shared" si="1"/>
        <v>1400</v>
      </c>
      <c r="F48" s="7">
        <f>IF($D48&lt;=0,0,ROUND($D48*Übersicht!$Q$7,2))</f>
        <v>808.02</v>
      </c>
      <c r="G48" s="7">
        <f>IF($D48&lt;=0,0,MIN($D48,IF(Übersicht!$C$13="Annuitätendarlehen",MAX(0,Übersicht!$Q$9-$F48),IF(Übersicht!$C$13="Ratendarlehen",Übersicht!$Q$10,IF($A48&gt;=Übersicht!$Q$11,$D48,0)))))</f>
        <v>591.98</v>
      </c>
      <c r="H48" s="7">
        <f>IF($D48-$G48&lt;=0,0,IF(MOD($A48,Übersicht!$Q$6)=0,IF($A48/Übersicht!$Q$6&gt;=Übersicht!$C$21,MIN(Übersicht!$C$20,$D48-$G48),0),0))</f>
        <v>0</v>
      </c>
      <c r="I48" s="7">
        <f t="shared" si="2"/>
        <v>1400</v>
      </c>
      <c r="J48" s="22">
        <f t="shared" si="3"/>
        <v>268746.40000000002</v>
      </c>
      <c r="K48" s="9" t="str">
        <f>IF($D48&lt;=0,"",IF($J48&lt;=0.005,"Volltilgung erreicht",IF($A48=Übersicht!$Q$13,"Ende der Zinsbindung",IF($H48&gt;0,"Sondertilgung",""))))</f>
        <v/>
      </c>
      <c r="L48" s="23">
        <f>IF($N47&lt;=0,0,ROUND($N47*Übersicht!$Q$7,2))</f>
        <v>836.35</v>
      </c>
      <c r="M48" s="23">
        <f>IF($N47&lt;=0,0,MIN($N47,IF(Übersicht!$C$13="Annuitätendarlehen",MAX(0,Übersicht!$Q$9-$L48),IF(Übersicht!$C$13="Ratendarlehen",Übersicht!$Q$10,IF($A48&gt;=Übersicht!$Q$11,$N47,0)))))</f>
        <v>563.65</v>
      </c>
      <c r="N48" s="23">
        <f t="shared" si="5"/>
        <v>278220.65999999997</v>
      </c>
    </row>
    <row r="49" spans="1:14" ht="15" customHeight="1" x14ac:dyDescent="0.25">
      <c r="A49" s="10">
        <v>42</v>
      </c>
      <c r="B49" s="24">
        <f>IF($D49&lt;=0,"",EDATE(Übersicht!$C$18,($A49-1)*12/Übersicht!$Q$6))</f>
        <v>47299</v>
      </c>
      <c r="C49" s="10">
        <f t="shared" si="0"/>
        <v>2029</v>
      </c>
      <c r="D49" s="25">
        <f t="shared" si="4"/>
        <v>268746.40000000002</v>
      </c>
      <c r="E49" s="12">
        <f t="shared" si="1"/>
        <v>1400</v>
      </c>
      <c r="F49" s="12">
        <f>IF($D49&lt;=0,0,ROUND($D49*Übersicht!$Q$7,2))</f>
        <v>806.24</v>
      </c>
      <c r="G49" s="12">
        <f>IF($D49&lt;=0,0,MIN($D49,IF(Übersicht!$C$13="Annuitätendarlehen",MAX(0,Übersicht!$Q$9-$F49),IF(Übersicht!$C$13="Ratendarlehen",Übersicht!$Q$10,IF($A49&gt;=Übersicht!$Q$11,$D49,0)))))</f>
        <v>593.76</v>
      </c>
      <c r="H49" s="12">
        <f>IF($D49-$G49&lt;=0,0,IF(MOD($A49,Übersicht!$Q$6)=0,IF($A49/Übersicht!$Q$6&gt;=Übersicht!$C$21,MIN(Übersicht!$C$20,$D49-$G49),0),0))</f>
        <v>0</v>
      </c>
      <c r="I49" s="12">
        <f t="shared" si="2"/>
        <v>1400</v>
      </c>
      <c r="J49" s="26">
        <f t="shared" si="3"/>
        <v>268152.64</v>
      </c>
      <c r="K49" s="14" t="str">
        <f>IF($D49&lt;=0,"",IF($J49&lt;=0.005,"Volltilgung erreicht",IF($A49=Übersicht!$Q$13,"Ende der Zinsbindung",IF($H49&gt;0,"Sondertilgung",""))))</f>
        <v/>
      </c>
      <c r="L49" s="23">
        <f>IF($N48&lt;=0,0,ROUND($N48*Übersicht!$Q$7,2))</f>
        <v>834.66</v>
      </c>
      <c r="M49" s="23">
        <f>IF($N48&lt;=0,0,MIN($N48,IF(Übersicht!$C$13="Annuitätendarlehen",MAX(0,Übersicht!$Q$9-$L49),IF(Übersicht!$C$13="Ratendarlehen",Übersicht!$Q$10,IF($A49&gt;=Übersicht!$Q$11,$N48,0)))))</f>
        <v>565.34</v>
      </c>
      <c r="N49" s="23">
        <f t="shared" si="5"/>
        <v>277655.32</v>
      </c>
    </row>
    <row r="50" spans="1:14" ht="15" customHeight="1" x14ac:dyDescent="0.25">
      <c r="A50" s="5">
        <v>43</v>
      </c>
      <c r="B50" s="20">
        <f>IF($D50&lt;=0,"",EDATE(Übersicht!$C$18,($A50-1)*12/Übersicht!$Q$6))</f>
        <v>47330</v>
      </c>
      <c r="C50" s="5">
        <f t="shared" si="0"/>
        <v>2029</v>
      </c>
      <c r="D50" s="21">
        <f t="shared" si="4"/>
        <v>268152.64</v>
      </c>
      <c r="E50" s="7">
        <f t="shared" si="1"/>
        <v>1400</v>
      </c>
      <c r="F50" s="7">
        <f>IF($D50&lt;=0,0,ROUND($D50*Übersicht!$Q$7,2))</f>
        <v>804.46</v>
      </c>
      <c r="G50" s="7">
        <f>IF($D50&lt;=0,0,MIN($D50,IF(Übersicht!$C$13="Annuitätendarlehen",MAX(0,Übersicht!$Q$9-$F50),IF(Übersicht!$C$13="Ratendarlehen",Übersicht!$Q$10,IF($A50&gt;=Übersicht!$Q$11,$D50,0)))))</f>
        <v>595.54</v>
      </c>
      <c r="H50" s="7">
        <f>IF($D50-$G50&lt;=0,0,IF(MOD($A50,Übersicht!$Q$6)=0,IF($A50/Übersicht!$Q$6&gt;=Übersicht!$C$21,MIN(Übersicht!$C$20,$D50-$G50),0),0))</f>
        <v>0</v>
      </c>
      <c r="I50" s="7">
        <f t="shared" si="2"/>
        <v>1400</v>
      </c>
      <c r="J50" s="22">
        <f t="shared" si="3"/>
        <v>267557.09999999998</v>
      </c>
      <c r="K50" s="9" t="str">
        <f>IF($D50&lt;=0,"",IF($J50&lt;=0.005,"Volltilgung erreicht",IF($A50=Übersicht!$Q$13,"Ende der Zinsbindung",IF($H50&gt;0,"Sondertilgung",""))))</f>
        <v/>
      </c>
      <c r="L50" s="23">
        <f>IF($N49&lt;=0,0,ROUND($N49*Übersicht!$Q$7,2))</f>
        <v>832.97</v>
      </c>
      <c r="M50" s="23">
        <f>IF($N49&lt;=0,0,MIN($N49,IF(Übersicht!$C$13="Annuitätendarlehen",MAX(0,Übersicht!$Q$9-$L50),IF(Übersicht!$C$13="Ratendarlehen",Übersicht!$Q$10,IF($A50&gt;=Übersicht!$Q$11,$N49,0)))))</f>
        <v>567.03</v>
      </c>
      <c r="N50" s="23">
        <f t="shared" si="5"/>
        <v>277088.28999999998</v>
      </c>
    </row>
    <row r="51" spans="1:14" ht="15" customHeight="1" x14ac:dyDescent="0.25">
      <c r="A51" s="10">
        <v>44</v>
      </c>
      <c r="B51" s="24">
        <f>IF($D51&lt;=0,"",EDATE(Übersicht!$C$18,($A51-1)*12/Übersicht!$Q$6))</f>
        <v>47361</v>
      </c>
      <c r="C51" s="10">
        <f t="shared" si="0"/>
        <v>2029</v>
      </c>
      <c r="D51" s="25">
        <f t="shared" si="4"/>
        <v>267557.09999999998</v>
      </c>
      <c r="E51" s="12">
        <f t="shared" si="1"/>
        <v>1400</v>
      </c>
      <c r="F51" s="12">
        <f>IF($D51&lt;=0,0,ROUND($D51*Übersicht!$Q$7,2))</f>
        <v>802.67</v>
      </c>
      <c r="G51" s="12">
        <f>IF($D51&lt;=0,0,MIN($D51,IF(Übersicht!$C$13="Annuitätendarlehen",MAX(0,Übersicht!$Q$9-$F51),IF(Übersicht!$C$13="Ratendarlehen",Übersicht!$Q$10,IF($A51&gt;=Übersicht!$Q$11,$D51,0)))))</f>
        <v>597.33000000000004</v>
      </c>
      <c r="H51" s="12">
        <f>IF($D51-$G51&lt;=0,0,IF(MOD($A51,Übersicht!$Q$6)=0,IF($A51/Übersicht!$Q$6&gt;=Übersicht!$C$21,MIN(Übersicht!$C$20,$D51-$G51),0),0))</f>
        <v>0</v>
      </c>
      <c r="I51" s="12">
        <f t="shared" si="2"/>
        <v>1400</v>
      </c>
      <c r="J51" s="26">
        <f t="shared" si="3"/>
        <v>266959.77</v>
      </c>
      <c r="K51" s="14" t="str">
        <f>IF($D51&lt;=0,"",IF($J51&lt;=0.005,"Volltilgung erreicht",IF($A51=Übersicht!$Q$13,"Ende der Zinsbindung",IF($H51&gt;0,"Sondertilgung",""))))</f>
        <v/>
      </c>
      <c r="L51" s="23">
        <f>IF($N50&lt;=0,0,ROUND($N50*Übersicht!$Q$7,2))</f>
        <v>831.26</v>
      </c>
      <c r="M51" s="23">
        <f>IF($N50&lt;=0,0,MIN($N50,IF(Übersicht!$C$13="Annuitätendarlehen",MAX(0,Übersicht!$Q$9-$L51),IF(Übersicht!$C$13="Ratendarlehen",Übersicht!$Q$10,IF($A51&gt;=Übersicht!$Q$11,$N50,0)))))</f>
        <v>568.74</v>
      </c>
      <c r="N51" s="23">
        <f t="shared" si="5"/>
        <v>276519.55</v>
      </c>
    </row>
    <row r="52" spans="1:14" ht="15" customHeight="1" x14ac:dyDescent="0.25">
      <c r="A52" s="5">
        <v>45</v>
      </c>
      <c r="B52" s="20">
        <f>IF($D52&lt;=0,"",EDATE(Übersicht!$C$18,($A52-1)*12/Übersicht!$Q$6))</f>
        <v>47391</v>
      </c>
      <c r="C52" s="5">
        <f t="shared" si="0"/>
        <v>2029</v>
      </c>
      <c r="D52" s="21">
        <f t="shared" si="4"/>
        <v>266959.77</v>
      </c>
      <c r="E52" s="7">
        <f t="shared" si="1"/>
        <v>1400</v>
      </c>
      <c r="F52" s="7">
        <f>IF($D52&lt;=0,0,ROUND($D52*Übersicht!$Q$7,2))</f>
        <v>800.88</v>
      </c>
      <c r="G52" s="7">
        <f>IF($D52&lt;=0,0,MIN($D52,IF(Übersicht!$C$13="Annuitätendarlehen",MAX(0,Übersicht!$Q$9-$F52),IF(Übersicht!$C$13="Ratendarlehen",Übersicht!$Q$10,IF($A52&gt;=Übersicht!$Q$11,$D52,0)))))</f>
        <v>599.12</v>
      </c>
      <c r="H52" s="7">
        <f>IF($D52-$G52&lt;=0,0,IF(MOD($A52,Übersicht!$Q$6)=0,IF($A52/Übersicht!$Q$6&gt;=Übersicht!$C$21,MIN(Übersicht!$C$20,$D52-$G52),0),0))</f>
        <v>0</v>
      </c>
      <c r="I52" s="7">
        <f t="shared" si="2"/>
        <v>1400</v>
      </c>
      <c r="J52" s="22">
        <f t="shared" si="3"/>
        <v>266360.65000000002</v>
      </c>
      <c r="K52" s="9" t="str">
        <f>IF($D52&lt;=0,"",IF($J52&lt;=0.005,"Volltilgung erreicht",IF($A52=Übersicht!$Q$13,"Ende der Zinsbindung",IF($H52&gt;0,"Sondertilgung",""))))</f>
        <v/>
      </c>
      <c r="L52" s="23">
        <f>IF($N51&lt;=0,0,ROUND($N51*Übersicht!$Q$7,2))</f>
        <v>829.56</v>
      </c>
      <c r="M52" s="23">
        <f>IF($N51&lt;=0,0,MIN($N51,IF(Übersicht!$C$13="Annuitätendarlehen",MAX(0,Übersicht!$Q$9-$L52),IF(Übersicht!$C$13="Ratendarlehen",Übersicht!$Q$10,IF($A52&gt;=Übersicht!$Q$11,$N51,0)))))</f>
        <v>570.44000000000005</v>
      </c>
      <c r="N52" s="23">
        <f t="shared" si="5"/>
        <v>275949.11</v>
      </c>
    </row>
    <row r="53" spans="1:14" ht="15" customHeight="1" x14ac:dyDescent="0.25">
      <c r="A53" s="10">
        <v>46</v>
      </c>
      <c r="B53" s="24">
        <f>IF($D53&lt;=0,"",EDATE(Übersicht!$C$18,($A53-1)*12/Übersicht!$Q$6))</f>
        <v>47422</v>
      </c>
      <c r="C53" s="10">
        <f t="shared" si="0"/>
        <v>2029</v>
      </c>
      <c r="D53" s="25">
        <f t="shared" si="4"/>
        <v>266360.65000000002</v>
      </c>
      <c r="E53" s="12">
        <f t="shared" si="1"/>
        <v>1400</v>
      </c>
      <c r="F53" s="12">
        <f>IF($D53&lt;=0,0,ROUND($D53*Übersicht!$Q$7,2))</f>
        <v>799.08</v>
      </c>
      <c r="G53" s="12">
        <f>IF($D53&lt;=0,0,MIN($D53,IF(Übersicht!$C$13="Annuitätendarlehen",MAX(0,Übersicht!$Q$9-$F53),IF(Übersicht!$C$13="Ratendarlehen",Übersicht!$Q$10,IF($A53&gt;=Übersicht!$Q$11,$D53,0)))))</f>
        <v>600.91999999999996</v>
      </c>
      <c r="H53" s="12">
        <f>IF($D53-$G53&lt;=0,0,IF(MOD($A53,Übersicht!$Q$6)=0,IF($A53/Übersicht!$Q$6&gt;=Übersicht!$C$21,MIN(Übersicht!$C$20,$D53-$G53),0),0))</f>
        <v>0</v>
      </c>
      <c r="I53" s="12">
        <f t="shared" si="2"/>
        <v>1400</v>
      </c>
      <c r="J53" s="26">
        <f t="shared" si="3"/>
        <v>265759.73</v>
      </c>
      <c r="K53" s="14" t="str">
        <f>IF($D53&lt;=0,"",IF($J53&lt;=0.005,"Volltilgung erreicht",IF($A53=Übersicht!$Q$13,"Ende der Zinsbindung",IF($H53&gt;0,"Sondertilgung",""))))</f>
        <v/>
      </c>
      <c r="L53" s="23">
        <f>IF($N52&lt;=0,0,ROUND($N52*Übersicht!$Q$7,2))</f>
        <v>827.85</v>
      </c>
      <c r="M53" s="23">
        <f>IF($N52&lt;=0,0,MIN($N52,IF(Übersicht!$C$13="Annuitätendarlehen",MAX(0,Übersicht!$Q$9-$L53),IF(Übersicht!$C$13="Ratendarlehen",Übersicht!$Q$10,IF($A53&gt;=Übersicht!$Q$11,$N52,0)))))</f>
        <v>572.15</v>
      </c>
      <c r="N53" s="23">
        <f t="shared" si="5"/>
        <v>275376.96000000002</v>
      </c>
    </row>
    <row r="54" spans="1:14" ht="15" customHeight="1" x14ac:dyDescent="0.25">
      <c r="A54" s="5">
        <v>47</v>
      </c>
      <c r="B54" s="20">
        <f>IF($D54&lt;=0,"",EDATE(Übersicht!$C$18,($A54-1)*12/Übersicht!$Q$6))</f>
        <v>47452</v>
      </c>
      <c r="C54" s="5">
        <f t="shared" si="0"/>
        <v>2029</v>
      </c>
      <c r="D54" s="21">
        <f t="shared" si="4"/>
        <v>265759.73</v>
      </c>
      <c r="E54" s="7">
        <f t="shared" si="1"/>
        <v>1400</v>
      </c>
      <c r="F54" s="7">
        <f>IF($D54&lt;=0,0,ROUND($D54*Übersicht!$Q$7,2))</f>
        <v>797.28</v>
      </c>
      <c r="G54" s="7">
        <f>IF($D54&lt;=0,0,MIN($D54,IF(Übersicht!$C$13="Annuitätendarlehen",MAX(0,Übersicht!$Q$9-$F54),IF(Übersicht!$C$13="Ratendarlehen",Übersicht!$Q$10,IF($A54&gt;=Übersicht!$Q$11,$D54,0)))))</f>
        <v>602.72</v>
      </c>
      <c r="H54" s="7">
        <f>IF($D54-$G54&lt;=0,0,IF(MOD($A54,Übersicht!$Q$6)=0,IF($A54/Übersicht!$Q$6&gt;=Übersicht!$C$21,MIN(Übersicht!$C$20,$D54-$G54),0),0))</f>
        <v>0</v>
      </c>
      <c r="I54" s="7">
        <f t="shared" si="2"/>
        <v>1400</v>
      </c>
      <c r="J54" s="22">
        <f t="shared" si="3"/>
        <v>265157.01</v>
      </c>
      <c r="K54" s="9" t="str">
        <f>IF($D54&lt;=0,"",IF($J54&lt;=0.005,"Volltilgung erreicht",IF($A54=Übersicht!$Q$13,"Ende der Zinsbindung",IF($H54&gt;0,"Sondertilgung",""))))</f>
        <v/>
      </c>
      <c r="L54" s="23">
        <f>IF($N53&lt;=0,0,ROUND($N53*Übersicht!$Q$7,2))</f>
        <v>826.13</v>
      </c>
      <c r="M54" s="23">
        <f>IF($N53&lt;=0,0,MIN($N53,IF(Übersicht!$C$13="Annuitätendarlehen",MAX(0,Übersicht!$Q$9-$L54),IF(Übersicht!$C$13="Ratendarlehen",Übersicht!$Q$10,IF($A54&gt;=Übersicht!$Q$11,$N53,0)))))</f>
        <v>573.87</v>
      </c>
      <c r="N54" s="23">
        <f t="shared" si="5"/>
        <v>274803.09000000003</v>
      </c>
    </row>
    <row r="55" spans="1:14" ht="15" customHeight="1" x14ac:dyDescent="0.25">
      <c r="A55" s="10">
        <v>48</v>
      </c>
      <c r="B55" s="24">
        <f>IF($D55&lt;=0,"",EDATE(Übersicht!$C$18,($A55-1)*12/Übersicht!$Q$6))</f>
        <v>47483</v>
      </c>
      <c r="C55" s="10">
        <f t="shared" si="0"/>
        <v>2029</v>
      </c>
      <c r="D55" s="25">
        <f t="shared" si="4"/>
        <v>265157.01</v>
      </c>
      <c r="E55" s="12">
        <f t="shared" si="1"/>
        <v>1400</v>
      </c>
      <c r="F55" s="12">
        <f>IF($D55&lt;=0,0,ROUND($D55*Übersicht!$Q$7,2))</f>
        <v>795.47</v>
      </c>
      <c r="G55" s="12">
        <f>IF($D55&lt;=0,0,MIN($D55,IF(Übersicht!$C$13="Annuitätendarlehen",MAX(0,Übersicht!$Q$9-$F55),IF(Übersicht!$C$13="Ratendarlehen",Übersicht!$Q$10,IF($A55&gt;=Übersicht!$Q$11,$D55,0)))))</f>
        <v>604.53</v>
      </c>
      <c r="H55" s="12">
        <f>IF($D55-$G55&lt;=0,0,IF(MOD($A55,Übersicht!$Q$6)=0,IF($A55/Übersicht!$Q$6&gt;=Übersicht!$C$21,MIN(Übersicht!$C$20,$D55-$G55),0),0))</f>
        <v>3000</v>
      </c>
      <c r="I55" s="12">
        <f t="shared" si="2"/>
        <v>4400</v>
      </c>
      <c r="J55" s="26">
        <f t="shared" si="3"/>
        <v>261552.48</v>
      </c>
      <c r="K55" s="14" t="str">
        <f>IF($D55&lt;=0,"",IF($J55&lt;=0.005,"Volltilgung erreicht",IF($A55=Übersicht!$Q$13,"Ende der Zinsbindung",IF($H55&gt;0,"Sondertilgung",""))))</f>
        <v>Sondertilgung</v>
      </c>
      <c r="L55" s="23">
        <f>IF($N54&lt;=0,0,ROUND($N54*Übersicht!$Q$7,2))</f>
        <v>824.41</v>
      </c>
      <c r="M55" s="23">
        <f>IF($N54&lt;=0,0,MIN($N54,IF(Übersicht!$C$13="Annuitätendarlehen",MAX(0,Übersicht!$Q$9-$L55),IF(Übersicht!$C$13="Ratendarlehen",Übersicht!$Q$10,IF($A55&gt;=Übersicht!$Q$11,$N54,0)))))</f>
        <v>575.59</v>
      </c>
      <c r="N55" s="23">
        <f t="shared" si="5"/>
        <v>274227.5</v>
      </c>
    </row>
    <row r="56" spans="1:14" ht="15" customHeight="1" x14ac:dyDescent="0.25">
      <c r="A56" s="5">
        <v>49</v>
      </c>
      <c r="B56" s="20">
        <f>IF($D56&lt;=0,"",EDATE(Übersicht!$C$18,($A56-1)*12/Übersicht!$Q$6))</f>
        <v>47514</v>
      </c>
      <c r="C56" s="5">
        <f t="shared" si="0"/>
        <v>2030</v>
      </c>
      <c r="D56" s="21">
        <f t="shared" si="4"/>
        <v>261552.48</v>
      </c>
      <c r="E56" s="7">
        <f t="shared" si="1"/>
        <v>1400</v>
      </c>
      <c r="F56" s="7">
        <f>IF($D56&lt;=0,0,ROUND($D56*Übersicht!$Q$7,2))</f>
        <v>784.66</v>
      </c>
      <c r="G56" s="7">
        <f>IF($D56&lt;=0,0,MIN($D56,IF(Übersicht!$C$13="Annuitätendarlehen",MAX(0,Übersicht!$Q$9-$F56),IF(Übersicht!$C$13="Ratendarlehen",Übersicht!$Q$10,IF($A56&gt;=Übersicht!$Q$11,$D56,0)))))</f>
        <v>615.34</v>
      </c>
      <c r="H56" s="7">
        <f>IF($D56-$G56&lt;=0,0,IF(MOD($A56,Übersicht!$Q$6)=0,IF($A56/Übersicht!$Q$6&gt;=Übersicht!$C$21,MIN(Übersicht!$C$20,$D56-$G56),0),0))</f>
        <v>0</v>
      </c>
      <c r="I56" s="7">
        <f t="shared" si="2"/>
        <v>1400</v>
      </c>
      <c r="J56" s="22">
        <f t="shared" si="3"/>
        <v>260937.14</v>
      </c>
      <c r="K56" s="9" t="str">
        <f>IF($D56&lt;=0,"",IF($J56&lt;=0.005,"Volltilgung erreicht",IF($A56=Übersicht!$Q$13,"Ende der Zinsbindung",IF($H56&gt;0,"Sondertilgung",""))))</f>
        <v/>
      </c>
      <c r="L56" s="23">
        <f>IF($N55&lt;=0,0,ROUND($N55*Übersicht!$Q$7,2))</f>
        <v>822.68</v>
      </c>
      <c r="M56" s="23">
        <f>IF($N55&lt;=0,0,MIN($N55,IF(Übersicht!$C$13="Annuitätendarlehen",MAX(0,Übersicht!$Q$9-$L56),IF(Übersicht!$C$13="Ratendarlehen",Übersicht!$Q$10,IF($A56&gt;=Übersicht!$Q$11,$N55,0)))))</f>
        <v>577.32000000000005</v>
      </c>
      <c r="N56" s="23">
        <f t="shared" si="5"/>
        <v>273650.18</v>
      </c>
    </row>
    <row r="57" spans="1:14" ht="15" customHeight="1" x14ac:dyDescent="0.25">
      <c r="A57" s="10">
        <v>50</v>
      </c>
      <c r="B57" s="24">
        <f>IF($D57&lt;=0,"",EDATE(Übersicht!$C$18,($A57-1)*12/Übersicht!$Q$6))</f>
        <v>47542</v>
      </c>
      <c r="C57" s="10">
        <f t="shared" si="0"/>
        <v>2030</v>
      </c>
      <c r="D57" s="25">
        <f t="shared" si="4"/>
        <v>260937.14</v>
      </c>
      <c r="E57" s="12">
        <f t="shared" si="1"/>
        <v>1400</v>
      </c>
      <c r="F57" s="12">
        <f>IF($D57&lt;=0,0,ROUND($D57*Übersicht!$Q$7,2))</f>
        <v>782.81</v>
      </c>
      <c r="G57" s="12">
        <f>IF($D57&lt;=0,0,MIN($D57,IF(Übersicht!$C$13="Annuitätendarlehen",MAX(0,Übersicht!$Q$9-$F57),IF(Übersicht!$C$13="Ratendarlehen",Übersicht!$Q$10,IF($A57&gt;=Übersicht!$Q$11,$D57,0)))))</f>
        <v>617.19000000000005</v>
      </c>
      <c r="H57" s="12">
        <f>IF($D57-$G57&lt;=0,0,IF(MOD($A57,Übersicht!$Q$6)=0,IF($A57/Übersicht!$Q$6&gt;=Übersicht!$C$21,MIN(Übersicht!$C$20,$D57-$G57),0),0))</f>
        <v>0</v>
      </c>
      <c r="I57" s="12">
        <f t="shared" si="2"/>
        <v>1400</v>
      </c>
      <c r="J57" s="26">
        <f t="shared" si="3"/>
        <v>260319.95</v>
      </c>
      <c r="K57" s="14" t="str">
        <f>IF($D57&lt;=0,"",IF($J57&lt;=0.005,"Volltilgung erreicht",IF($A57=Übersicht!$Q$13,"Ende der Zinsbindung",IF($H57&gt;0,"Sondertilgung",""))))</f>
        <v/>
      </c>
      <c r="L57" s="23">
        <f>IF($N56&lt;=0,0,ROUND($N56*Übersicht!$Q$7,2))</f>
        <v>820.95</v>
      </c>
      <c r="M57" s="23">
        <f>IF($N56&lt;=0,0,MIN($N56,IF(Übersicht!$C$13="Annuitätendarlehen",MAX(0,Übersicht!$Q$9-$L57),IF(Übersicht!$C$13="Ratendarlehen",Übersicht!$Q$10,IF($A57&gt;=Übersicht!$Q$11,$N56,0)))))</f>
        <v>579.04999999999995</v>
      </c>
      <c r="N57" s="23">
        <f t="shared" si="5"/>
        <v>273071.13</v>
      </c>
    </row>
    <row r="58" spans="1:14" ht="15" customHeight="1" x14ac:dyDescent="0.25">
      <c r="A58" s="5">
        <v>51</v>
      </c>
      <c r="B58" s="20">
        <f>IF($D58&lt;=0,"",EDATE(Übersicht!$C$18,($A58-1)*12/Übersicht!$Q$6))</f>
        <v>47573</v>
      </c>
      <c r="C58" s="5">
        <f t="shared" si="0"/>
        <v>2030</v>
      </c>
      <c r="D58" s="21">
        <f t="shared" si="4"/>
        <v>260319.95</v>
      </c>
      <c r="E58" s="7">
        <f t="shared" si="1"/>
        <v>1400</v>
      </c>
      <c r="F58" s="7">
        <f>IF($D58&lt;=0,0,ROUND($D58*Übersicht!$Q$7,2))</f>
        <v>780.96</v>
      </c>
      <c r="G58" s="7">
        <f>IF($D58&lt;=0,0,MIN($D58,IF(Übersicht!$C$13="Annuitätendarlehen",MAX(0,Übersicht!$Q$9-$F58),IF(Übersicht!$C$13="Ratendarlehen",Übersicht!$Q$10,IF($A58&gt;=Übersicht!$Q$11,$D58,0)))))</f>
        <v>619.04</v>
      </c>
      <c r="H58" s="7">
        <f>IF($D58-$G58&lt;=0,0,IF(MOD($A58,Übersicht!$Q$6)=0,IF($A58/Übersicht!$Q$6&gt;=Übersicht!$C$21,MIN(Übersicht!$C$20,$D58-$G58),0),0))</f>
        <v>0</v>
      </c>
      <c r="I58" s="7">
        <f t="shared" si="2"/>
        <v>1400</v>
      </c>
      <c r="J58" s="22">
        <f t="shared" si="3"/>
        <v>259700.91</v>
      </c>
      <c r="K58" s="9" t="str">
        <f>IF($D58&lt;=0,"",IF($J58&lt;=0.005,"Volltilgung erreicht",IF($A58=Übersicht!$Q$13,"Ende der Zinsbindung",IF($H58&gt;0,"Sondertilgung",""))))</f>
        <v/>
      </c>
      <c r="L58" s="23">
        <f>IF($N57&lt;=0,0,ROUND($N57*Übersicht!$Q$7,2))</f>
        <v>819.21</v>
      </c>
      <c r="M58" s="23">
        <f>IF($N57&lt;=0,0,MIN($N57,IF(Übersicht!$C$13="Annuitätendarlehen",MAX(0,Übersicht!$Q$9-$L58),IF(Übersicht!$C$13="Ratendarlehen",Übersicht!$Q$10,IF($A58&gt;=Übersicht!$Q$11,$N57,0)))))</f>
        <v>580.79</v>
      </c>
      <c r="N58" s="23">
        <f t="shared" si="5"/>
        <v>272490.34000000003</v>
      </c>
    </row>
    <row r="59" spans="1:14" ht="15" customHeight="1" x14ac:dyDescent="0.25">
      <c r="A59" s="10">
        <v>52</v>
      </c>
      <c r="B59" s="24">
        <f>IF($D59&lt;=0,"",EDATE(Übersicht!$C$18,($A59-1)*12/Übersicht!$Q$6))</f>
        <v>47603</v>
      </c>
      <c r="C59" s="10">
        <f t="shared" si="0"/>
        <v>2030</v>
      </c>
      <c r="D59" s="25">
        <f t="shared" si="4"/>
        <v>259700.91</v>
      </c>
      <c r="E59" s="12">
        <f t="shared" si="1"/>
        <v>1400</v>
      </c>
      <c r="F59" s="12">
        <f>IF($D59&lt;=0,0,ROUND($D59*Übersicht!$Q$7,2))</f>
        <v>779.1</v>
      </c>
      <c r="G59" s="12">
        <f>IF($D59&lt;=0,0,MIN($D59,IF(Übersicht!$C$13="Annuitätendarlehen",MAX(0,Übersicht!$Q$9-$F59),IF(Übersicht!$C$13="Ratendarlehen",Übersicht!$Q$10,IF($A59&gt;=Übersicht!$Q$11,$D59,0)))))</f>
        <v>620.9</v>
      </c>
      <c r="H59" s="12">
        <f>IF($D59-$G59&lt;=0,0,IF(MOD($A59,Übersicht!$Q$6)=0,IF($A59/Übersicht!$Q$6&gt;=Übersicht!$C$21,MIN(Übersicht!$C$20,$D59-$G59),0),0))</f>
        <v>0</v>
      </c>
      <c r="I59" s="12">
        <f t="shared" si="2"/>
        <v>1400</v>
      </c>
      <c r="J59" s="26">
        <f t="shared" si="3"/>
        <v>259080.01</v>
      </c>
      <c r="K59" s="14" t="str">
        <f>IF($D59&lt;=0,"",IF($J59&lt;=0.005,"Volltilgung erreicht",IF($A59=Übersicht!$Q$13,"Ende der Zinsbindung",IF($H59&gt;0,"Sondertilgung",""))))</f>
        <v/>
      </c>
      <c r="L59" s="23">
        <f>IF($N58&lt;=0,0,ROUND($N58*Übersicht!$Q$7,2))</f>
        <v>817.47</v>
      </c>
      <c r="M59" s="23">
        <f>IF($N58&lt;=0,0,MIN($N58,IF(Übersicht!$C$13="Annuitätendarlehen",MAX(0,Übersicht!$Q$9-$L59),IF(Übersicht!$C$13="Ratendarlehen",Übersicht!$Q$10,IF($A59&gt;=Übersicht!$Q$11,$N58,0)))))</f>
        <v>582.53</v>
      </c>
      <c r="N59" s="23">
        <f t="shared" si="5"/>
        <v>271907.81</v>
      </c>
    </row>
    <row r="60" spans="1:14" ht="15" customHeight="1" x14ac:dyDescent="0.25">
      <c r="A60" s="5">
        <v>53</v>
      </c>
      <c r="B60" s="20">
        <f>IF($D60&lt;=0,"",EDATE(Übersicht!$C$18,($A60-1)*12/Übersicht!$Q$6))</f>
        <v>47634</v>
      </c>
      <c r="C60" s="5">
        <f t="shared" si="0"/>
        <v>2030</v>
      </c>
      <c r="D60" s="21">
        <f t="shared" si="4"/>
        <v>259080.01</v>
      </c>
      <c r="E60" s="7">
        <f t="shared" si="1"/>
        <v>1400</v>
      </c>
      <c r="F60" s="7">
        <f>IF($D60&lt;=0,0,ROUND($D60*Übersicht!$Q$7,2))</f>
        <v>777.24</v>
      </c>
      <c r="G60" s="7">
        <f>IF($D60&lt;=0,0,MIN($D60,IF(Übersicht!$C$13="Annuitätendarlehen",MAX(0,Übersicht!$Q$9-$F60),IF(Übersicht!$C$13="Ratendarlehen",Übersicht!$Q$10,IF($A60&gt;=Übersicht!$Q$11,$D60,0)))))</f>
        <v>622.76</v>
      </c>
      <c r="H60" s="7">
        <f>IF($D60-$G60&lt;=0,0,IF(MOD($A60,Übersicht!$Q$6)=0,IF($A60/Übersicht!$Q$6&gt;=Übersicht!$C$21,MIN(Übersicht!$C$20,$D60-$G60),0),0))</f>
        <v>0</v>
      </c>
      <c r="I60" s="7">
        <f t="shared" si="2"/>
        <v>1400</v>
      </c>
      <c r="J60" s="22">
        <f t="shared" si="3"/>
        <v>258457.25</v>
      </c>
      <c r="K60" s="9" t="str">
        <f>IF($D60&lt;=0,"",IF($J60&lt;=0.005,"Volltilgung erreicht",IF($A60=Übersicht!$Q$13,"Ende der Zinsbindung",IF($H60&gt;0,"Sondertilgung",""))))</f>
        <v/>
      </c>
      <c r="L60" s="23">
        <f>IF($N59&lt;=0,0,ROUND($N59*Übersicht!$Q$7,2))</f>
        <v>815.72</v>
      </c>
      <c r="M60" s="23">
        <f>IF($N59&lt;=0,0,MIN($N59,IF(Übersicht!$C$13="Annuitätendarlehen",MAX(0,Übersicht!$Q$9-$L60),IF(Übersicht!$C$13="Ratendarlehen",Übersicht!$Q$10,IF($A60&gt;=Übersicht!$Q$11,$N59,0)))))</f>
        <v>584.28</v>
      </c>
      <c r="N60" s="23">
        <f t="shared" si="5"/>
        <v>271323.53000000003</v>
      </c>
    </row>
    <row r="61" spans="1:14" ht="15" customHeight="1" x14ac:dyDescent="0.25">
      <c r="A61" s="10">
        <v>54</v>
      </c>
      <c r="B61" s="24">
        <f>IF($D61&lt;=0,"",EDATE(Übersicht!$C$18,($A61-1)*12/Übersicht!$Q$6))</f>
        <v>47664</v>
      </c>
      <c r="C61" s="10">
        <f t="shared" si="0"/>
        <v>2030</v>
      </c>
      <c r="D61" s="25">
        <f t="shared" si="4"/>
        <v>258457.25</v>
      </c>
      <c r="E61" s="12">
        <f t="shared" si="1"/>
        <v>1400</v>
      </c>
      <c r="F61" s="12">
        <f>IF($D61&lt;=0,0,ROUND($D61*Übersicht!$Q$7,2))</f>
        <v>775.37</v>
      </c>
      <c r="G61" s="12">
        <f>IF($D61&lt;=0,0,MIN($D61,IF(Übersicht!$C$13="Annuitätendarlehen",MAX(0,Übersicht!$Q$9-$F61),IF(Übersicht!$C$13="Ratendarlehen",Übersicht!$Q$10,IF($A61&gt;=Übersicht!$Q$11,$D61,0)))))</f>
        <v>624.63</v>
      </c>
      <c r="H61" s="12">
        <f>IF($D61-$G61&lt;=0,0,IF(MOD($A61,Übersicht!$Q$6)=0,IF($A61/Übersicht!$Q$6&gt;=Übersicht!$C$21,MIN(Übersicht!$C$20,$D61-$G61),0),0))</f>
        <v>0</v>
      </c>
      <c r="I61" s="12">
        <f t="shared" si="2"/>
        <v>1400</v>
      </c>
      <c r="J61" s="26">
        <f t="shared" si="3"/>
        <v>257832.62</v>
      </c>
      <c r="K61" s="14" t="str">
        <f>IF($D61&lt;=0,"",IF($J61&lt;=0.005,"Volltilgung erreicht",IF($A61=Übersicht!$Q$13,"Ende der Zinsbindung",IF($H61&gt;0,"Sondertilgung",""))))</f>
        <v/>
      </c>
      <c r="L61" s="23">
        <f>IF($N60&lt;=0,0,ROUND($N60*Übersicht!$Q$7,2))</f>
        <v>813.97</v>
      </c>
      <c r="M61" s="23">
        <f>IF($N60&lt;=0,0,MIN($N60,IF(Übersicht!$C$13="Annuitätendarlehen",MAX(0,Übersicht!$Q$9-$L61),IF(Übersicht!$C$13="Ratendarlehen",Übersicht!$Q$10,IF($A61&gt;=Übersicht!$Q$11,$N60,0)))))</f>
        <v>586.03</v>
      </c>
      <c r="N61" s="23">
        <f t="shared" si="5"/>
        <v>270737.5</v>
      </c>
    </row>
    <row r="62" spans="1:14" ht="15" customHeight="1" x14ac:dyDescent="0.25">
      <c r="A62" s="5">
        <v>55</v>
      </c>
      <c r="B62" s="20">
        <f>IF($D62&lt;=0,"",EDATE(Übersicht!$C$18,($A62-1)*12/Übersicht!$Q$6))</f>
        <v>47695</v>
      </c>
      <c r="C62" s="5">
        <f t="shared" si="0"/>
        <v>2030</v>
      </c>
      <c r="D62" s="21">
        <f t="shared" si="4"/>
        <v>257832.62</v>
      </c>
      <c r="E62" s="7">
        <f t="shared" si="1"/>
        <v>1400</v>
      </c>
      <c r="F62" s="7">
        <f>IF($D62&lt;=0,0,ROUND($D62*Übersicht!$Q$7,2))</f>
        <v>773.5</v>
      </c>
      <c r="G62" s="7">
        <f>IF($D62&lt;=0,0,MIN($D62,IF(Übersicht!$C$13="Annuitätendarlehen",MAX(0,Übersicht!$Q$9-$F62),IF(Übersicht!$C$13="Ratendarlehen",Übersicht!$Q$10,IF($A62&gt;=Übersicht!$Q$11,$D62,0)))))</f>
        <v>626.5</v>
      </c>
      <c r="H62" s="7">
        <f>IF($D62-$G62&lt;=0,0,IF(MOD($A62,Übersicht!$Q$6)=0,IF($A62/Übersicht!$Q$6&gt;=Übersicht!$C$21,MIN(Übersicht!$C$20,$D62-$G62),0),0))</f>
        <v>0</v>
      </c>
      <c r="I62" s="7">
        <f t="shared" si="2"/>
        <v>1400</v>
      </c>
      <c r="J62" s="22">
        <f t="shared" si="3"/>
        <v>257206.12</v>
      </c>
      <c r="K62" s="9" t="str">
        <f>IF($D62&lt;=0,"",IF($J62&lt;=0.005,"Volltilgung erreicht",IF($A62=Übersicht!$Q$13,"Ende der Zinsbindung",IF($H62&gt;0,"Sondertilgung",""))))</f>
        <v/>
      </c>
      <c r="L62" s="23">
        <f>IF($N61&lt;=0,0,ROUND($N61*Übersicht!$Q$7,2))</f>
        <v>812.21</v>
      </c>
      <c r="M62" s="23">
        <f>IF($N61&lt;=0,0,MIN($N61,IF(Übersicht!$C$13="Annuitätendarlehen",MAX(0,Übersicht!$Q$9-$L62),IF(Übersicht!$C$13="Ratendarlehen",Übersicht!$Q$10,IF($A62&gt;=Übersicht!$Q$11,$N61,0)))))</f>
        <v>587.79</v>
      </c>
      <c r="N62" s="23">
        <f t="shared" si="5"/>
        <v>270149.71000000002</v>
      </c>
    </row>
    <row r="63" spans="1:14" ht="15" customHeight="1" x14ac:dyDescent="0.25">
      <c r="A63" s="10">
        <v>56</v>
      </c>
      <c r="B63" s="24">
        <f>IF($D63&lt;=0,"",EDATE(Übersicht!$C$18,($A63-1)*12/Übersicht!$Q$6))</f>
        <v>47726</v>
      </c>
      <c r="C63" s="10">
        <f t="shared" si="0"/>
        <v>2030</v>
      </c>
      <c r="D63" s="25">
        <f t="shared" si="4"/>
        <v>257206.12</v>
      </c>
      <c r="E63" s="12">
        <f t="shared" si="1"/>
        <v>1400</v>
      </c>
      <c r="F63" s="12">
        <f>IF($D63&lt;=0,0,ROUND($D63*Übersicht!$Q$7,2))</f>
        <v>771.62</v>
      </c>
      <c r="G63" s="12">
        <f>IF($D63&lt;=0,0,MIN($D63,IF(Übersicht!$C$13="Annuitätendarlehen",MAX(0,Übersicht!$Q$9-$F63),IF(Übersicht!$C$13="Ratendarlehen",Übersicht!$Q$10,IF($A63&gt;=Übersicht!$Q$11,$D63,0)))))</f>
        <v>628.38</v>
      </c>
      <c r="H63" s="12">
        <f>IF($D63-$G63&lt;=0,0,IF(MOD($A63,Übersicht!$Q$6)=0,IF($A63/Übersicht!$Q$6&gt;=Übersicht!$C$21,MIN(Übersicht!$C$20,$D63-$G63),0),0))</f>
        <v>0</v>
      </c>
      <c r="I63" s="12">
        <f t="shared" si="2"/>
        <v>1400</v>
      </c>
      <c r="J63" s="26">
        <f t="shared" si="3"/>
        <v>256577.74</v>
      </c>
      <c r="K63" s="14" t="str">
        <f>IF($D63&lt;=0,"",IF($J63&lt;=0.005,"Volltilgung erreicht",IF($A63=Übersicht!$Q$13,"Ende der Zinsbindung",IF($H63&gt;0,"Sondertilgung",""))))</f>
        <v/>
      </c>
      <c r="L63" s="23">
        <f>IF($N62&lt;=0,0,ROUND($N62*Übersicht!$Q$7,2))</f>
        <v>810.45</v>
      </c>
      <c r="M63" s="23">
        <f>IF($N62&lt;=0,0,MIN($N62,IF(Übersicht!$C$13="Annuitätendarlehen",MAX(0,Übersicht!$Q$9-$L63),IF(Übersicht!$C$13="Ratendarlehen",Übersicht!$Q$10,IF($A63&gt;=Übersicht!$Q$11,$N62,0)))))</f>
        <v>589.54999999999995</v>
      </c>
      <c r="N63" s="23">
        <f t="shared" si="5"/>
        <v>269560.15999999997</v>
      </c>
    </row>
    <row r="64" spans="1:14" ht="15" customHeight="1" x14ac:dyDescent="0.25">
      <c r="A64" s="5">
        <v>57</v>
      </c>
      <c r="B64" s="20">
        <f>IF($D64&lt;=0,"",EDATE(Übersicht!$C$18,($A64-1)*12/Übersicht!$Q$6))</f>
        <v>47756</v>
      </c>
      <c r="C64" s="5">
        <f t="shared" si="0"/>
        <v>2030</v>
      </c>
      <c r="D64" s="21">
        <f t="shared" si="4"/>
        <v>256577.74</v>
      </c>
      <c r="E64" s="7">
        <f t="shared" si="1"/>
        <v>1400</v>
      </c>
      <c r="F64" s="7">
        <f>IF($D64&lt;=0,0,ROUND($D64*Übersicht!$Q$7,2))</f>
        <v>769.73</v>
      </c>
      <c r="G64" s="7">
        <f>IF($D64&lt;=0,0,MIN($D64,IF(Übersicht!$C$13="Annuitätendarlehen",MAX(0,Übersicht!$Q$9-$F64),IF(Übersicht!$C$13="Ratendarlehen",Übersicht!$Q$10,IF($A64&gt;=Übersicht!$Q$11,$D64,0)))))</f>
        <v>630.27</v>
      </c>
      <c r="H64" s="7">
        <f>IF($D64-$G64&lt;=0,0,IF(MOD($A64,Übersicht!$Q$6)=0,IF($A64/Übersicht!$Q$6&gt;=Übersicht!$C$21,MIN(Übersicht!$C$20,$D64-$G64),0),0))</f>
        <v>0</v>
      </c>
      <c r="I64" s="7">
        <f t="shared" si="2"/>
        <v>1400</v>
      </c>
      <c r="J64" s="22">
        <f t="shared" si="3"/>
        <v>255947.47</v>
      </c>
      <c r="K64" s="9" t="str">
        <f>IF($D64&lt;=0,"",IF($J64&lt;=0.005,"Volltilgung erreicht",IF($A64=Übersicht!$Q$13,"Ende der Zinsbindung",IF($H64&gt;0,"Sondertilgung",""))))</f>
        <v/>
      </c>
      <c r="L64" s="23">
        <f>IF($N63&lt;=0,0,ROUND($N63*Übersicht!$Q$7,2))</f>
        <v>808.68</v>
      </c>
      <c r="M64" s="23">
        <f>IF($N63&lt;=0,0,MIN($N63,IF(Übersicht!$C$13="Annuitätendarlehen",MAX(0,Übersicht!$Q$9-$L64),IF(Übersicht!$C$13="Ratendarlehen",Übersicht!$Q$10,IF($A64&gt;=Übersicht!$Q$11,$N63,0)))))</f>
        <v>591.32000000000005</v>
      </c>
      <c r="N64" s="23">
        <f t="shared" si="5"/>
        <v>268968.84000000003</v>
      </c>
    </row>
    <row r="65" spans="1:14" ht="15" customHeight="1" x14ac:dyDescent="0.25">
      <c r="A65" s="10">
        <v>58</v>
      </c>
      <c r="B65" s="24">
        <f>IF($D65&lt;=0,"",EDATE(Übersicht!$C$18,($A65-1)*12/Übersicht!$Q$6))</f>
        <v>47787</v>
      </c>
      <c r="C65" s="10">
        <f t="shared" si="0"/>
        <v>2030</v>
      </c>
      <c r="D65" s="25">
        <f t="shared" si="4"/>
        <v>255947.47</v>
      </c>
      <c r="E65" s="12">
        <f t="shared" si="1"/>
        <v>1400</v>
      </c>
      <c r="F65" s="12">
        <f>IF($D65&lt;=0,0,ROUND($D65*Übersicht!$Q$7,2))</f>
        <v>767.84</v>
      </c>
      <c r="G65" s="12">
        <f>IF($D65&lt;=0,0,MIN($D65,IF(Übersicht!$C$13="Annuitätendarlehen",MAX(0,Übersicht!$Q$9-$F65),IF(Übersicht!$C$13="Ratendarlehen",Übersicht!$Q$10,IF($A65&gt;=Übersicht!$Q$11,$D65,0)))))</f>
        <v>632.16</v>
      </c>
      <c r="H65" s="12">
        <f>IF($D65-$G65&lt;=0,0,IF(MOD($A65,Übersicht!$Q$6)=0,IF($A65/Übersicht!$Q$6&gt;=Übersicht!$C$21,MIN(Übersicht!$C$20,$D65-$G65),0),0))</f>
        <v>0</v>
      </c>
      <c r="I65" s="12">
        <f t="shared" si="2"/>
        <v>1400</v>
      </c>
      <c r="J65" s="26">
        <f t="shared" si="3"/>
        <v>255315.31</v>
      </c>
      <c r="K65" s="14" t="str">
        <f>IF($D65&lt;=0,"",IF($J65&lt;=0.005,"Volltilgung erreicht",IF($A65=Übersicht!$Q$13,"Ende der Zinsbindung",IF($H65&gt;0,"Sondertilgung",""))))</f>
        <v/>
      </c>
      <c r="L65" s="23">
        <f>IF($N64&lt;=0,0,ROUND($N64*Übersicht!$Q$7,2))</f>
        <v>806.91</v>
      </c>
      <c r="M65" s="23">
        <f>IF($N64&lt;=0,0,MIN($N64,IF(Übersicht!$C$13="Annuitätendarlehen",MAX(0,Übersicht!$Q$9-$L65),IF(Übersicht!$C$13="Ratendarlehen",Übersicht!$Q$10,IF($A65&gt;=Übersicht!$Q$11,$N64,0)))))</f>
        <v>593.09</v>
      </c>
      <c r="N65" s="23">
        <f t="shared" si="5"/>
        <v>268375.75</v>
      </c>
    </row>
    <row r="66" spans="1:14" ht="15" customHeight="1" x14ac:dyDescent="0.25">
      <c r="A66" s="5">
        <v>59</v>
      </c>
      <c r="B66" s="20">
        <f>IF($D66&lt;=0,"",EDATE(Übersicht!$C$18,($A66-1)*12/Übersicht!$Q$6))</f>
        <v>47817</v>
      </c>
      <c r="C66" s="5">
        <f t="shared" si="0"/>
        <v>2030</v>
      </c>
      <c r="D66" s="21">
        <f t="shared" si="4"/>
        <v>255315.31</v>
      </c>
      <c r="E66" s="7">
        <f t="shared" si="1"/>
        <v>1400</v>
      </c>
      <c r="F66" s="7">
        <f>IF($D66&lt;=0,0,ROUND($D66*Übersicht!$Q$7,2))</f>
        <v>765.95</v>
      </c>
      <c r="G66" s="7">
        <f>IF($D66&lt;=0,0,MIN($D66,IF(Übersicht!$C$13="Annuitätendarlehen",MAX(0,Übersicht!$Q$9-$F66),IF(Übersicht!$C$13="Ratendarlehen",Übersicht!$Q$10,IF($A66&gt;=Übersicht!$Q$11,$D66,0)))))</f>
        <v>634.04999999999995</v>
      </c>
      <c r="H66" s="7">
        <f>IF($D66-$G66&lt;=0,0,IF(MOD($A66,Übersicht!$Q$6)=0,IF($A66/Übersicht!$Q$6&gt;=Übersicht!$C$21,MIN(Übersicht!$C$20,$D66-$G66),0),0))</f>
        <v>0</v>
      </c>
      <c r="I66" s="7">
        <f t="shared" si="2"/>
        <v>1400</v>
      </c>
      <c r="J66" s="22">
        <f t="shared" si="3"/>
        <v>254681.26</v>
      </c>
      <c r="K66" s="9" t="str">
        <f>IF($D66&lt;=0,"",IF($J66&lt;=0.005,"Volltilgung erreicht",IF($A66=Übersicht!$Q$13,"Ende der Zinsbindung",IF($H66&gt;0,"Sondertilgung",""))))</f>
        <v/>
      </c>
      <c r="L66" s="23">
        <f>IF($N65&lt;=0,0,ROUND($N65*Übersicht!$Q$7,2))</f>
        <v>805.13</v>
      </c>
      <c r="M66" s="23">
        <f>IF($N65&lt;=0,0,MIN($N65,IF(Übersicht!$C$13="Annuitätendarlehen",MAX(0,Übersicht!$Q$9-$L66),IF(Übersicht!$C$13="Ratendarlehen",Übersicht!$Q$10,IF($A66&gt;=Übersicht!$Q$11,$N65,0)))))</f>
        <v>594.87</v>
      </c>
      <c r="N66" s="23">
        <f t="shared" si="5"/>
        <v>267780.88</v>
      </c>
    </row>
    <row r="67" spans="1:14" ht="15" customHeight="1" x14ac:dyDescent="0.25">
      <c r="A67" s="10">
        <v>60</v>
      </c>
      <c r="B67" s="24">
        <f>IF($D67&lt;=0,"",EDATE(Übersicht!$C$18,($A67-1)*12/Übersicht!$Q$6))</f>
        <v>47848</v>
      </c>
      <c r="C67" s="10">
        <f t="shared" si="0"/>
        <v>2030</v>
      </c>
      <c r="D67" s="25">
        <f t="shared" si="4"/>
        <v>254681.26</v>
      </c>
      <c r="E67" s="12">
        <f t="shared" si="1"/>
        <v>1400</v>
      </c>
      <c r="F67" s="12">
        <f>IF($D67&lt;=0,0,ROUND($D67*Übersicht!$Q$7,2))</f>
        <v>764.04</v>
      </c>
      <c r="G67" s="12">
        <f>IF($D67&lt;=0,0,MIN($D67,IF(Übersicht!$C$13="Annuitätendarlehen",MAX(0,Übersicht!$Q$9-$F67),IF(Übersicht!$C$13="Ratendarlehen",Übersicht!$Q$10,IF($A67&gt;=Übersicht!$Q$11,$D67,0)))))</f>
        <v>635.96</v>
      </c>
      <c r="H67" s="12">
        <f>IF($D67-$G67&lt;=0,0,IF(MOD($A67,Übersicht!$Q$6)=0,IF($A67/Übersicht!$Q$6&gt;=Übersicht!$C$21,MIN(Übersicht!$C$20,$D67-$G67),0),0))</f>
        <v>3000</v>
      </c>
      <c r="I67" s="12">
        <f t="shared" si="2"/>
        <v>4400</v>
      </c>
      <c r="J67" s="26">
        <f t="shared" si="3"/>
        <v>251045.3</v>
      </c>
      <c r="K67" s="14" t="str">
        <f>IF($D67&lt;=0,"",IF($J67&lt;=0.005,"Volltilgung erreicht",IF($A67=Übersicht!$Q$13,"Ende der Zinsbindung",IF($H67&gt;0,"Sondertilgung",""))))</f>
        <v>Sondertilgung</v>
      </c>
      <c r="L67" s="23">
        <f>IF($N66&lt;=0,0,ROUND($N66*Übersicht!$Q$7,2))</f>
        <v>803.34</v>
      </c>
      <c r="M67" s="23">
        <f>IF($N66&lt;=0,0,MIN($N66,IF(Übersicht!$C$13="Annuitätendarlehen",MAX(0,Übersicht!$Q$9-$L67),IF(Übersicht!$C$13="Ratendarlehen",Übersicht!$Q$10,IF($A67&gt;=Übersicht!$Q$11,$N66,0)))))</f>
        <v>596.66</v>
      </c>
      <c r="N67" s="23">
        <f t="shared" si="5"/>
        <v>267184.21999999997</v>
      </c>
    </row>
    <row r="68" spans="1:14" ht="15" customHeight="1" x14ac:dyDescent="0.25">
      <c r="A68" s="5">
        <v>61</v>
      </c>
      <c r="B68" s="20">
        <f>IF($D68&lt;=0,"",EDATE(Übersicht!$C$18,($A68-1)*12/Übersicht!$Q$6))</f>
        <v>47879</v>
      </c>
      <c r="C68" s="5">
        <f t="shared" si="0"/>
        <v>2031</v>
      </c>
      <c r="D68" s="21">
        <f t="shared" si="4"/>
        <v>251045.3</v>
      </c>
      <c r="E68" s="7">
        <f t="shared" si="1"/>
        <v>1400</v>
      </c>
      <c r="F68" s="7">
        <f>IF($D68&lt;=0,0,ROUND($D68*Übersicht!$Q$7,2))</f>
        <v>753.14</v>
      </c>
      <c r="G68" s="7">
        <f>IF($D68&lt;=0,0,MIN($D68,IF(Übersicht!$C$13="Annuitätendarlehen",MAX(0,Übersicht!$Q$9-$F68),IF(Übersicht!$C$13="Ratendarlehen",Übersicht!$Q$10,IF($A68&gt;=Übersicht!$Q$11,$D68,0)))))</f>
        <v>646.86</v>
      </c>
      <c r="H68" s="7">
        <f>IF($D68-$G68&lt;=0,0,IF(MOD($A68,Übersicht!$Q$6)=0,IF($A68/Übersicht!$Q$6&gt;=Übersicht!$C$21,MIN(Übersicht!$C$20,$D68-$G68),0),0))</f>
        <v>0</v>
      </c>
      <c r="I68" s="7">
        <f t="shared" si="2"/>
        <v>1400</v>
      </c>
      <c r="J68" s="22">
        <f t="shared" si="3"/>
        <v>250398.44</v>
      </c>
      <c r="K68" s="9" t="str">
        <f>IF($D68&lt;=0,"",IF($J68&lt;=0.005,"Volltilgung erreicht",IF($A68=Übersicht!$Q$13,"Ende der Zinsbindung",IF($H68&gt;0,"Sondertilgung",""))))</f>
        <v/>
      </c>
      <c r="L68" s="23">
        <f>IF($N67&lt;=0,0,ROUND($N67*Übersicht!$Q$7,2))</f>
        <v>801.55</v>
      </c>
      <c r="M68" s="23">
        <f>IF($N67&lt;=0,0,MIN($N67,IF(Übersicht!$C$13="Annuitätendarlehen",MAX(0,Übersicht!$Q$9-$L68),IF(Übersicht!$C$13="Ratendarlehen",Übersicht!$Q$10,IF($A68&gt;=Übersicht!$Q$11,$N67,0)))))</f>
        <v>598.45000000000005</v>
      </c>
      <c r="N68" s="23">
        <f t="shared" si="5"/>
        <v>266585.77</v>
      </c>
    </row>
    <row r="69" spans="1:14" ht="15" customHeight="1" x14ac:dyDescent="0.25">
      <c r="A69" s="10">
        <v>62</v>
      </c>
      <c r="B69" s="24">
        <f>IF($D69&lt;=0,"",EDATE(Übersicht!$C$18,($A69-1)*12/Übersicht!$Q$6))</f>
        <v>47907</v>
      </c>
      <c r="C69" s="10">
        <f t="shared" si="0"/>
        <v>2031</v>
      </c>
      <c r="D69" s="25">
        <f t="shared" si="4"/>
        <v>250398.44</v>
      </c>
      <c r="E69" s="12">
        <f t="shared" si="1"/>
        <v>1400</v>
      </c>
      <c r="F69" s="12">
        <f>IF($D69&lt;=0,0,ROUND($D69*Übersicht!$Q$7,2))</f>
        <v>751.2</v>
      </c>
      <c r="G69" s="12">
        <f>IF($D69&lt;=0,0,MIN($D69,IF(Übersicht!$C$13="Annuitätendarlehen",MAX(0,Übersicht!$Q$9-$F69),IF(Übersicht!$C$13="Ratendarlehen",Übersicht!$Q$10,IF($A69&gt;=Übersicht!$Q$11,$D69,0)))))</f>
        <v>648.79999999999995</v>
      </c>
      <c r="H69" s="12">
        <f>IF($D69-$G69&lt;=0,0,IF(MOD($A69,Übersicht!$Q$6)=0,IF($A69/Übersicht!$Q$6&gt;=Übersicht!$C$21,MIN(Übersicht!$C$20,$D69-$G69),0),0))</f>
        <v>0</v>
      </c>
      <c r="I69" s="12">
        <f t="shared" si="2"/>
        <v>1400</v>
      </c>
      <c r="J69" s="26">
        <f t="shared" si="3"/>
        <v>249749.64</v>
      </c>
      <c r="K69" s="14" t="str">
        <f>IF($D69&lt;=0,"",IF($J69&lt;=0.005,"Volltilgung erreicht",IF($A69=Übersicht!$Q$13,"Ende der Zinsbindung",IF($H69&gt;0,"Sondertilgung",""))))</f>
        <v/>
      </c>
      <c r="L69" s="23">
        <f>IF($N68&lt;=0,0,ROUND($N68*Übersicht!$Q$7,2))</f>
        <v>799.76</v>
      </c>
      <c r="M69" s="23">
        <f>IF($N68&lt;=0,0,MIN($N68,IF(Übersicht!$C$13="Annuitätendarlehen",MAX(0,Übersicht!$Q$9-$L69),IF(Übersicht!$C$13="Ratendarlehen",Übersicht!$Q$10,IF($A69&gt;=Übersicht!$Q$11,$N68,0)))))</f>
        <v>600.24</v>
      </c>
      <c r="N69" s="23">
        <f t="shared" si="5"/>
        <v>265985.53000000003</v>
      </c>
    </row>
    <row r="70" spans="1:14" ht="15" customHeight="1" x14ac:dyDescent="0.25">
      <c r="A70" s="5">
        <v>63</v>
      </c>
      <c r="B70" s="20">
        <f>IF($D70&lt;=0,"",EDATE(Übersicht!$C$18,($A70-1)*12/Übersicht!$Q$6))</f>
        <v>47938</v>
      </c>
      <c r="C70" s="5">
        <f t="shared" si="0"/>
        <v>2031</v>
      </c>
      <c r="D70" s="21">
        <f t="shared" si="4"/>
        <v>249749.64</v>
      </c>
      <c r="E70" s="7">
        <f t="shared" si="1"/>
        <v>1400</v>
      </c>
      <c r="F70" s="7">
        <f>IF($D70&lt;=0,0,ROUND($D70*Übersicht!$Q$7,2))</f>
        <v>749.25</v>
      </c>
      <c r="G70" s="7">
        <f>IF($D70&lt;=0,0,MIN($D70,IF(Übersicht!$C$13="Annuitätendarlehen",MAX(0,Übersicht!$Q$9-$F70),IF(Übersicht!$C$13="Ratendarlehen",Übersicht!$Q$10,IF($A70&gt;=Übersicht!$Q$11,$D70,0)))))</f>
        <v>650.75</v>
      </c>
      <c r="H70" s="7">
        <f>IF($D70-$G70&lt;=0,0,IF(MOD($A70,Übersicht!$Q$6)=0,IF($A70/Übersicht!$Q$6&gt;=Übersicht!$C$21,MIN(Übersicht!$C$20,$D70-$G70),0),0))</f>
        <v>0</v>
      </c>
      <c r="I70" s="7">
        <f t="shared" si="2"/>
        <v>1400</v>
      </c>
      <c r="J70" s="22">
        <f t="shared" si="3"/>
        <v>249098.89</v>
      </c>
      <c r="K70" s="9" t="str">
        <f>IF($D70&lt;=0,"",IF($J70&lt;=0.005,"Volltilgung erreicht",IF($A70=Übersicht!$Q$13,"Ende der Zinsbindung",IF($H70&gt;0,"Sondertilgung",""))))</f>
        <v/>
      </c>
      <c r="L70" s="23">
        <f>IF($N69&lt;=0,0,ROUND($N69*Übersicht!$Q$7,2))</f>
        <v>797.96</v>
      </c>
      <c r="M70" s="23">
        <f>IF($N69&lt;=0,0,MIN($N69,IF(Übersicht!$C$13="Annuitätendarlehen",MAX(0,Übersicht!$Q$9-$L70),IF(Übersicht!$C$13="Ratendarlehen",Übersicht!$Q$10,IF($A70&gt;=Übersicht!$Q$11,$N69,0)))))</f>
        <v>602.04</v>
      </c>
      <c r="N70" s="23">
        <f t="shared" si="5"/>
        <v>265383.49</v>
      </c>
    </row>
    <row r="71" spans="1:14" ht="15" customHeight="1" x14ac:dyDescent="0.25">
      <c r="A71" s="10">
        <v>64</v>
      </c>
      <c r="B71" s="24">
        <f>IF($D71&lt;=0,"",EDATE(Übersicht!$C$18,($A71-1)*12/Übersicht!$Q$6))</f>
        <v>47968</v>
      </c>
      <c r="C71" s="10">
        <f t="shared" si="0"/>
        <v>2031</v>
      </c>
      <c r="D71" s="25">
        <f t="shared" si="4"/>
        <v>249098.89</v>
      </c>
      <c r="E71" s="12">
        <f t="shared" si="1"/>
        <v>1400</v>
      </c>
      <c r="F71" s="12">
        <f>IF($D71&lt;=0,0,ROUND($D71*Übersicht!$Q$7,2))</f>
        <v>747.3</v>
      </c>
      <c r="G71" s="12">
        <f>IF($D71&lt;=0,0,MIN($D71,IF(Übersicht!$C$13="Annuitätendarlehen",MAX(0,Übersicht!$Q$9-$F71),IF(Übersicht!$C$13="Ratendarlehen",Übersicht!$Q$10,IF($A71&gt;=Übersicht!$Q$11,$D71,0)))))</f>
        <v>652.70000000000005</v>
      </c>
      <c r="H71" s="12">
        <f>IF($D71-$G71&lt;=0,0,IF(MOD($A71,Übersicht!$Q$6)=0,IF($A71/Übersicht!$Q$6&gt;=Übersicht!$C$21,MIN(Übersicht!$C$20,$D71-$G71),0),0))</f>
        <v>0</v>
      </c>
      <c r="I71" s="12">
        <f t="shared" si="2"/>
        <v>1400</v>
      </c>
      <c r="J71" s="26">
        <f t="shared" si="3"/>
        <v>248446.19</v>
      </c>
      <c r="K71" s="14" t="str">
        <f>IF($D71&lt;=0,"",IF($J71&lt;=0.005,"Volltilgung erreicht",IF($A71=Übersicht!$Q$13,"Ende der Zinsbindung",IF($H71&gt;0,"Sondertilgung",""))))</f>
        <v/>
      </c>
      <c r="L71" s="23">
        <f>IF($N70&lt;=0,0,ROUND($N70*Übersicht!$Q$7,2))</f>
        <v>796.15</v>
      </c>
      <c r="M71" s="23">
        <f>IF($N70&lt;=0,0,MIN($N70,IF(Übersicht!$C$13="Annuitätendarlehen",MAX(0,Übersicht!$Q$9-$L71),IF(Übersicht!$C$13="Ratendarlehen",Übersicht!$Q$10,IF($A71&gt;=Übersicht!$Q$11,$N70,0)))))</f>
        <v>603.85</v>
      </c>
      <c r="N71" s="23">
        <f t="shared" si="5"/>
        <v>264779.64</v>
      </c>
    </row>
    <row r="72" spans="1:14" ht="15" customHeight="1" x14ac:dyDescent="0.25">
      <c r="A72" s="5">
        <v>65</v>
      </c>
      <c r="B72" s="20">
        <f>IF($D72&lt;=0,"",EDATE(Übersicht!$C$18,($A72-1)*12/Übersicht!$Q$6))</f>
        <v>47999</v>
      </c>
      <c r="C72" s="5">
        <f t="shared" ref="C72:C135" si="6">IF($B72="","",YEAR($B72))</f>
        <v>2031</v>
      </c>
      <c r="D72" s="21">
        <f t="shared" si="4"/>
        <v>248446.19</v>
      </c>
      <c r="E72" s="7">
        <f t="shared" ref="E72:E135" si="7">IF($D72&lt;=0,0,$F72+$G72)</f>
        <v>1400</v>
      </c>
      <c r="F72" s="7">
        <f>IF($D72&lt;=0,0,ROUND($D72*Übersicht!$Q$7,2))</f>
        <v>745.34</v>
      </c>
      <c r="G72" s="7">
        <f>IF($D72&lt;=0,0,MIN($D72,IF(Übersicht!$C$13="Annuitätendarlehen",MAX(0,Übersicht!$Q$9-$F72),IF(Übersicht!$C$13="Ratendarlehen",Übersicht!$Q$10,IF($A72&gt;=Übersicht!$Q$11,$D72,0)))))</f>
        <v>654.66</v>
      </c>
      <c r="H72" s="7">
        <f>IF($D72-$G72&lt;=0,0,IF(MOD($A72,Übersicht!$Q$6)=0,IF($A72/Übersicht!$Q$6&gt;=Übersicht!$C$21,MIN(Übersicht!$C$20,$D72-$G72),0),0))</f>
        <v>0</v>
      </c>
      <c r="I72" s="7">
        <f t="shared" ref="I72:I135" si="8">IF($D72&lt;=0,0,$E72+$H72)</f>
        <v>1400</v>
      </c>
      <c r="J72" s="22">
        <f t="shared" ref="J72:J135" si="9">IF($D72&lt;=0,0,ROUND($D72-$G72-$H72,2))</f>
        <v>247791.53</v>
      </c>
      <c r="K72" s="9" t="str">
        <f>IF($D72&lt;=0,"",IF($J72&lt;=0.005,"Volltilgung erreicht",IF($A72=Übersicht!$Q$13,"Ende der Zinsbindung",IF($H72&gt;0,"Sondertilgung",""))))</f>
        <v/>
      </c>
      <c r="L72" s="23">
        <f>IF($N71&lt;=0,0,ROUND($N71*Übersicht!$Q$7,2))</f>
        <v>794.34</v>
      </c>
      <c r="M72" s="23">
        <f>IF($N71&lt;=0,0,MIN($N71,IF(Übersicht!$C$13="Annuitätendarlehen",MAX(0,Übersicht!$Q$9-$L72),IF(Übersicht!$C$13="Ratendarlehen",Übersicht!$Q$10,IF($A72&gt;=Übersicht!$Q$11,$N71,0)))))</f>
        <v>605.66</v>
      </c>
      <c r="N72" s="23">
        <f t="shared" si="5"/>
        <v>264173.98</v>
      </c>
    </row>
    <row r="73" spans="1:14" ht="15" customHeight="1" x14ac:dyDescent="0.25">
      <c r="A73" s="10">
        <v>66</v>
      </c>
      <c r="B73" s="24">
        <f>IF($D73&lt;=0,"",EDATE(Übersicht!$C$18,($A73-1)*12/Übersicht!$Q$6))</f>
        <v>48029</v>
      </c>
      <c r="C73" s="10">
        <f t="shared" si="6"/>
        <v>2031</v>
      </c>
      <c r="D73" s="25">
        <f t="shared" ref="D73:D136" si="10">$J72</f>
        <v>247791.53</v>
      </c>
      <c r="E73" s="12">
        <f t="shared" si="7"/>
        <v>1400</v>
      </c>
      <c r="F73" s="12">
        <f>IF($D73&lt;=0,0,ROUND($D73*Übersicht!$Q$7,2))</f>
        <v>743.37</v>
      </c>
      <c r="G73" s="12">
        <f>IF($D73&lt;=0,0,MIN($D73,IF(Übersicht!$C$13="Annuitätendarlehen",MAX(0,Übersicht!$Q$9-$F73),IF(Übersicht!$C$13="Ratendarlehen",Übersicht!$Q$10,IF($A73&gt;=Übersicht!$Q$11,$D73,0)))))</f>
        <v>656.63</v>
      </c>
      <c r="H73" s="12">
        <f>IF($D73-$G73&lt;=0,0,IF(MOD($A73,Übersicht!$Q$6)=0,IF($A73/Übersicht!$Q$6&gt;=Übersicht!$C$21,MIN(Übersicht!$C$20,$D73-$G73),0),0))</f>
        <v>0</v>
      </c>
      <c r="I73" s="12">
        <f t="shared" si="8"/>
        <v>1400</v>
      </c>
      <c r="J73" s="26">
        <f t="shared" si="9"/>
        <v>247134.9</v>
      </c>
      <c r="K73" s="14" t="str">
        <f>IF($D73&lt;=0,"",IF($J73&lt;=0.005,"Volltilgung erreicht",IF($A73=Übersicht!$Q$13,"Ende der Zinsbindung",IF($H73&gt;0,"Sondertilgung",""))))</f>
        <v/>
      </c>
      <c r="L73" s="23">
        <f>IF($N72&lt;=0,0,ROUND($N72*Übersicht!$Q$7,2))</f>
        <v>792.52</v>
      </c>
      <c r="M73" s="23">
        <f>IF($N72&lt;=0,0,MIN($N72,IF(Übersicht!$C$13="Annuitätendarlehen",MAX(0,Übersicht!$Q$9-$L73),IF(Übersicht!$C$13="Ratendarlehen",Übersicht!$Q$10,IF($A73&gt;=Übersicht!$Q$11,$N72,0)))))</f>
        <v>607.48</v>
      </c>
      <c r="N73" s="23">
        <f t="shared" ref="N73:N136" si="11">IF($N72&lt;=0,0,ROUND($N72-$M73,2))</f>
        <v>263566.5</v>
      </c>
    </row>
    <row r="74" spans="1:14" ht="15" customHeight="1" x14ac:dyDescent="0.25">
      <c r="A74" s="5">
        <v>67</v>
      </c>
      <c r="B74" s="20">
        <f>IF($D74&lt;=0,"",EDATE(Übersicht!$C$18,($A74-1)*12/Übersicht!$Q$6))</f>
        <v>48060</v>
      </c>
      <c r="C74" s="5">
        <f t="shared" si="6"/>
        <v>2031</v>
      </c>
      <c r="D74" s="21">
        <f t="shared" si="10"/>
        <v>247134.9</v>
      </c>
      <c r="E74" s="7">
        <f t="shared" si="7"/>
        <v>1400</v>
      </c>
      <c r="F74" s="7">
        <f>IF($D74&lt;=0,0,ROUND($D74*Übersicht!$Q$7,2))</f>
        <v>741.4</v>
      </c>
      <c r="G74" s="7">
        <f>IF($D74&lt;=0,0,MIN($D74,IF(Übersicht!$C$13="Annuitätendarlehen",MAX(0,Übersicht!$Q$9-$F74),IF(Übersicht!$C$13="Ratendarlehen",Übersicht!$Q$10,IF($A74&gt;=Übersicht!$Q$11,$D74,0)))))</f>
        <v>658.6</v>
      </c>
      <c r="H74" s="7">
        <f>IF($D74-$G74&lt;=0,0,IF(MOD($A74,Übersicht!$Q$6)=0,IF($A74/Übersicht!$Q$6&gt;=Übersicht!$C$21,MIN(Übersicht!$C$20,$D74-$G74),0),0))</f>
        <v>0</v>
      </c>
      <c r="I74" s="7">
        <f t="shared" si="8"/>
        <v>1400</v>
      </c>
      <c r="J74" s="22">
        <f t="shared" si="9"/>
        <v>246476.3</v>
      </c>
      <c r="K74" s="9" t="str">
        <f>IF($D74&lt;=0,"",IF($J74&lt;=0.005,"Volltilgung erreicht",IF($A74=Übersicht!$Q$13,"Ende der Zinsbindung",IF($H74&gt;0,"Sondertilgung",""))))</f>
        <v/>
      </c>
      <c r="L74" s="23">
        <f>IF($N73&lt;=0,0,ROUND($N73*Übersicht!$Q$7,2))</f>
        <v>790.7</v>
      </c>
      <c r="M74" s="23">
        <f>IF($N73&lt;=0,0,MIN($N73,IF(Übersicht!$C$13="Annuitätendarlehen",MAX(0,Übersicht!$Q$9-$L74),IF(Übersicht!$C$13="Ratendarlehen",Übersicht!$Q$10,IF($A74&gt;=Übersicht!$Q$11,$N73,0)))))</f>
        <v>609.29999999999995</v>
      </c>
      <c r="N74" s="23">
        <f t="shared" si="11"/>
        <v>262957.2</v>
      </c>
    </row>
    <row r="75" spans="1:14" ht="15" customHeight="1" x14ac:dyDescent="0.25">
      <c r="A75" s="10">
        <v>68</v>
      </c>
      <c r="B75" s="24">
        <f>IF($D75&lt;=0,"",EDATE(Übersicht!$C$18,($A75-1)*12/Übersicht!$Q$6))</f>
        <v>48091</v>
      </c>
      <c r="C75" s="10">
        <f t="shared" si="6"/>
        <v>2031</v>
      </c>
      <c r="D75" s="25">
        <f t="shared" si="10"/>
        <v>246476.3</v>
      </c>
      <c r="E75" s="12">
        <f t="shared" si="7"/>
        <v>1400</v>
      </c>
      <c r="F75" s="12">
        <f>IF($D75&lt;=0,0,ROUND($D75*Übersicht!$Q$7,2))</f>
        <v>739.43</v>
      </c>
      <c r="G75" s="12">
        <f>IF($D75&lt;=0,0,MIN($D75,IF(Übersicht!$C$13="Annuitätendarlehen",MAX(0,Übersicht!$Q$9-$F75),IF(Übersicht!$C$13="Ratendarlehen",Übersicht!$Q$10,IF($A75&gt;=Übersicht!$Q$11,$D75,0)))))</f>
        <v>660.57</v>
      </c>
      <c r="H75" s="12">
        <f>IF($D75-$G75&lt;=0,0,IF(MOD($A75,Übersicht!$Q$6)=0,IF($A75/Übersicht!$Q$6&gt;=Übersicht!$C$21,MIN(Übersicht!$C$20,$D75-$G75),0),0))</f>
        <v>0</v>
      </c>
      <c r="I75" s="12">
        <f t="shared" si="8"/>
        <v>1400</v>
      </c>
      <c r="J75" s="26">
        <f t="shared" si="9"/>
        <v>245815.73</v>
      </c>
      <c r="K75" s="14" t="str">
        <f>IF($D75&lt;=0,"",IF($J75&lt;=0.005,"Volltilgung erreicht",IF($A75=Übersicht!$Q$13,"Ende der Zinsbindung",IF($H75&gt;0,"Sondertilgung",""))))</f>
        <v/>
      </c>
      <c r="L75" s="23">
        <f>IF($N74&lt;=0,0,ROUND($N74*Übersicht!$Q$7,2))</f>
        <v>788.87</v>
      </c>
      <c r="M75" s="23">
        <f>IF($N74&lt;=0,0,MIN($N74,IF(Übersicht!$C$13="Annuitätendarlehen",MAX(0,Übersicht!$Q$9-$L75),IF(Übersicht!$C$13="Ratendarlehen",Übersicht!$Q$10,IF($A75&gt;=Übersicht!$Q$11,$N74,0)))))</f>
        <v>611.13</v>
      </c>
      <c r="N75" s="23">
        <f t="shared" si="11"/>
        <v>262346.07</v>
      </c>
    </row>
    <row r="76" spans="1:14" ht="15" customHeight="1" x14ac:dyDescent="0.25">
      <c r="A76" s="5">
        <v>69</v>
      </c>
      <c r="B76" s="20">
        <f>IF($D76&lt;=0,"",EDATE(Übersicht!$C$18,($A76-1)*12/Übersicht!$Q$6))</f>
        <v>48121</v>
      </c>
      <c r="C76" s="5">
        <f t="shared" si="6"/>
        <v>2031</v>
      </c>
      <c r="D76" s="21">
        <f t="shared" si="10"/>
        <v>245815.73</v>
      </c>
      <c r="E76" s="7">
        <f t="shared" si="7"/>
        <v>1400</v>
      </c>
      <c r="F76" s="7">
        <f>IF($D76&lt;=0,0,ROUND($D76*Übersicht!$Q$7,2))</f>
        <v>737.45</v>
      </c>
      <c r="G76" s="7">
        <f>IF($D76&lt;=0,0,MIN($D76,IF(Übersicht!$C$13="Annuitätendarlehen",MAX(0,Übersicht!$Q$9-$F76),IF(Übersicht!$C$13="Ratendarlehen",Übersicht!$Q$10,IF($A76&gt;=Übersicht!$Q$11,$D76,0)))))</f>
        <v>662.55</v>
      </c>
      <c r="H76" s="7">
        <f>IF($D76-$G76&lt;=0,0,IF(MOD($A76,Übersicht!$Q$6)=0,IF($A76/Übersicht!$Q$6&gt;=Übersicht!$C$21,MIN(Übersicht!$C$20,$D76-$G76),0),0))</f>
        <v>0</v>
      </c>
      <c r="I76" s="7">
        <f t="shared" si="8"/>
        <v>1400</v>
      </c>
      <c r="J76" s="22">
        <f t="shared" si="9"/>
        <v>245153.18</v>
      </c>
      <c r="K76" s="9" t="str">
        <f>IF($D76&lt;=0,"",IF($J76&lt;=0.005,"Volltilgung erreicht",IF($A76=Übersicht!$Q$13,"Ende der Zinsbindung",IF($H76&gt;0,"Sondertilgung",""))))</f>
        <v/>
      </c>
      <c r="L76" s="23">
        <f>IF($N75&lt;=0,0,ROUND($N75*Übersicht!$Q$7,2))</f>
        <v>787.04</v>
      </c>
      <c r="M76" s="23">
        <f>IF($N75&lt;=0,0,MIN($N75,IF(Übersicht!$C$13="Annuitätendarlehen",MAX(0,Übersicht!$Q$9-$L76),IF(Übersicht!$C$13="Ratendarlehen",Übersicht!$Q$10,IF($A76&gt;=Übersicht!$Q$11,$N75,0)))))</f>
        <v>612.96</v>
      </c>
      <c r="N76" s="23">
        <f t="shared" si="11"/>
        <v>261733.11</v>
      </c>
    </row>
    <row r="77" spans="1:14" ht="15" customHeight="1" x14ac:dyDescent="0.25">
      <c r="A77" s="10">
        <v>70</v>
      </c>
      <c r="B77" s="24">
        <f>IF($D77&lt;=0,"",EDATE(Übersicht!$C$18,($A77-1)*12/Übersicht!$Q$6))</f>
        <v>48152</v>
      </c>
      <c r="C77" s="10">
        <f t="shared" si="6"/>
        <v>2031</v>
      </c>
      <c r="D77" s="25">
        <f t="shared" si="10"/>
        <v>245153.18</v>
      </c>
      <c r="E77" s="12">
        <f t="shared" si="7"/>
        <v>1400</v>
      </c>
      <c r="F77" s="12">
        <f>IF($D77&lt;=0,0,ROUND($D77*Übersicht!$Q$7,2))</f>
        <v>735.46</v>
      </c>
      <c r="G77" s="12">
        <f>IF($D77&lt;=0,0,MIN($D77,IF(Übersicht!$C$13="Annuitätendarlehen",MAX(0,Übersicht!$Q$9-$F77),IF(Übersicht!$C$13="Ratendarlehen",Übersicht!$Q$10,IF($A77&gt;=Übersicht!$Q$11,$D77,0)))))</f>
        <v>664.54</v>
      </c>
      <c r="H77" s="12">
        <f>IF($D77-$G77&lt;=0,0,IF(MOD($A77,Übersicht!$Q$6)=0,IF($A77/Übersicht!$Q$6&gt;=Übersicht!$C$21,MIN(Übersicht!$C$20,$D77-$G77),0),0))</f>
        <v>0</v>
      </c>
      <c r="I77" s="12">
        <f t="shared" si="8"/>
        <v>1400</v>
      </c>
      <c r="J77" s="26">
        <f t="shared" si="9"/>
        <v>244488.64</v>
      </c>
      <c r="K77" s="14" t="str">
        <f>IF($D77&lt;=0,"",IF($J77&lt;=0.005,"Volltilgung erreicht",IF($A77=Übersicht!$Q$13,"Ende der Zinsbindung",IF($H77&gt;0,"Sondertilgung",""))))</f>
        <v/>
      </c>
      <c r="L77" s="23">
        <f>IF($N76&lt;=0,0,ROUND($N76*Übersicht!$Q$7,2))</f>
        <v>785.2</v>
      </c>
      <c r="M77" s="23">
        <f>IF($N76&lt;=0,0,MIN($N76,IF(Übersicht!$C$13="Annuitätendarlehen",MAX(0,Übersicht!$Q$9-$L77),IF(Übersicht!$C$13="Ratendarlehen",Übersicht!$Q$10,IF($A77&gt;=Übersicht!$Q$11,$N76,0)))))</f>
        <v>614.79999999999995</v>
      </c>
      <c r="N77" s="23">
        <f t="shared" si="11"/>
        <v>261118.31</v>
      </c>
    </row>
    <row r="78" spans="1:14" ht="15" customHeight="1" x14ac:dyDescent="0.25">
      <c r="A78" s="5">
        <v>71</v>
      </c>
      <c r="B78" s="20">
        <f>IF($D78&lt;=0,"",EDATE(Übersicht!$C$18,($A78-1)*12/Übersicht!$Q$6))</f>
        <v>48182</v>
      </c>
      <c r="C78" s="5">
        <f t="shared" si="6"/>
        <v>2031</v>
      </c>
      <c r="D78" s="21">
        <f t="shared" si="10"/>
        <v>244488.64</v>
      </c>
      <c r="E78" s="7">
        <f t="shared" si="7"/>
        <v>1400</v>
      </c>
      <c r="F78" s="7">
        <f>IF($D78&lt;=0,0,ROUND($D78*Übersicht!$Q$7,2))</f>
        <v>733.47</v>
      </c>
      <c r="G78" s="7">
        <f>IF($D78&lt;=0,0,MIN($D78,IF(Übersicht!$C$13="Annuitätendarlehen",MAX(0,Übersicht!$Q$9-$F78),IF(Übersicht!$C$13="Ratendarlehen",Übersicht!$Q$10,IF($A78&gt;=Übersicht!$Q$11,$D78,0)))))</f>
        <v>666.53</v>
      </c>
      <c r="H78" s="7">
        <f>IF($D78-$G78&lt;=0,0,IF(MOD($A78,Übersicht!$Q$6)=0,IF($A78/Übersicht!$Q$6&gt;=Übersicht!$C$21,MIN(Übersicht!$C$20,$D78-$G78),0),0))</f>
        <v>0</v>
      </c>
      <c r="I78" s="7">
        <f t="shared" si="8"/>
        <v>1400</v>
      </c>
      <c r="J78" s="22">
        <f t="shared" si="9"/>
        <v>243822.11</v>
      </c>
      <c r="K78" s="9" t="str">
        <f>IF($D78&lt;=0,"",IF($J78&lt;=0.005,"Volltilgung erreicht",IF($A78=Übersicht!$Q$13,"Ende der Zinsbindung",IF($H78&gt;0,"Sondertilgung",""))))</f>
        <v/>
      </c>
      <c r="L78" s="23">
        <f>IF($N77&lt;=0,0,ROUND($N77*Übersicht!$Q$7,2))</f>
        <v>783.35</v>
      </c>
      <c r="M78" s="23">
        <f>IF($N77&lt;=0,0,MIN($N77,IF(Übersicht!$C$13="Annuitätendarlehen",MAX(0,Übersicht!$Q$9-$L78),IF(Übersicht!$C$13="Ratendarlehen",Übersicht!$Q$10,IF($A78&gt;=Übersicht!$Q$11,$N77,0)))))</f>
        <v>616.65</v>
      </c>
      <c r="N78" s="23">
        <f t="shared" si="11"/>
        <v>260501.66</v>
      </c>
    </row>
    <row r="79" spans="1:14" ht="15" customHeight="1" x14ac:dyDescent="0.25">
      <c r="A79" s="10">
        <v>72</v>
      </c>
      <c r="B79" s="24">
        <f>IF($D79&lt;=0,"",EDATE(Übersicht!$C$18,($A79-1)*12/Übersicht!$Q$6))</f>
        <v>48213</v>
      </c>
      <c r="C79" s="10">
        <f t="shared" si="6"/>
        <v>2031</v>
      </c>
      <c r="D79" s="25">
        <f t="shared" si="10"/>
        <v>243822.11</v>
      </c>
      <c r="E79" s="12">
        <f t="shared" si="7"/>
        <v>1400</v>
      </c>
      <c r="F79" s="12">
        <f>IF($D79&lt;=0,0,ROUND($D79*Übersicht!$Q$7,2))</f>
        <v>731.47</v>
      </c>
      <c r="G79" s="12">
        <f>IF($D79&lt;=0,0,MIN($D79,IF(Übersicht!$C$13="Annuitätendarlehen",MAX(0,Übersicht!$Q$9-$F79),IF(Übersicht!$C$13="Ratendarlehen",Übersicht!$Q$10,IF($A79&gt;=Übersicht!$Q$11,$D79,0)))))</f>
        <v>668.53</v>
      </c>
      <c r="H79" s="12">
        <f>IF($D79-$G79&lt;=0,0,IF(MOD($A79,Übersicht!$Q$6)=0,IF($A79/Übersicht!$Q$6&gt;=Übersicht!$C$21,MIN(Übersicht!$C$20,$D79-$G79),0),0))</f>
        <v>3000</v>
      </c>
      <c r="I79" s="12">
        <f t="shared" si="8"/>
        <v>4400</v>
      </c>
      <c r="J79" s="26">
        <f t="shared" si="9"/>
        <v>240153.58</v>
      </c>
      <c r="K79" s="14" t="str">
        <f>IF($D79&lt;=0,"",IF($J79&lt;=0.005,"Volltilgung erreicht",IF($A79=Übersicht!$Q$13,"Ende der Zinsbindung",IF($H79&gt;0,"Sondertilgung",""))))</f>
        <v>Sondertilgung</v>
      </c>
      <c r="L79" s="23">
        <f>IF($N78&lt;=0,0,ROUND($N78*Übersicht!$Q$7,2))</f>
        <v>781.5</v>
      </c>
      <c r="M79" s="23">
        <f>IF($N78&lt;=0,0,MIN($N78,IF(Übersicht!$C$13="Annuitätendarlehen",MAX(0,Übersicht!$Q$9-$L79),IF(Übersicht!$C$13="Ratendarlehen",Übersicht!$Q$10,IF($A79&gt;=Übersicht!$Q$11,$N78,0)))))</f>
        <v>618.5</v>
      </c>
      <c r="N79" s="23">
        <f t="shared" si="11"/>
        <v>259883.16</v>
      </c>
    </row>
    <row r="80" spans="1:14" ht="15" customHeight="1" x14ac:dyDescent="0.25">
      <c r="A80" s="5">
        <v>73</v>
      </c>
      <c r="B80" s="20">
        <f>IF($D80&lt;=0,"",EDATE(Übersicht!$C$18,($A80-1)*12/Übersicht!$Q$6))</f>
        <v>48244</v>
      </c>
      <c r="C80" s="5">
        <f t="shared" si="6"/>
        <v>2032</v>
      </c>
      <c r="D80" s="21">
        <f t="shared" si="10"/>
        <v>240153.58</v>
      </c>
      <c r="E80" s="7">
        <f t="shared" si="7"/>
        <v>1400</v>
      </c>
      <c r="F80" s="7">
        <f>IF($D80&lt;=0,0,ROUND($D80*Übersicht!$Q$7,2))</f>
        <v>720.46</v>
      </c>
      <c r="G80" s="7">
        <f>IF($D80&lt;=0,0,MIN($D80,IF(Übersicht!$C$13="Annuitätendarlehen",MAX(0,Übersicht!$Q$9-$F80),IF(Übersicht!$C$13="Ratendarlehen",Übersicht!$Q$10,IF($A80&gt;=Übersicht!$Q$11,$D80,0)))))</f>
        <v>679.54</v>
      </c>
      <c r="H80" s="7">
        <f>IF($D80-$G80&lt;=0,0,IF(MOD($A80,Übersicht!$Q$6)=0,IF($A80/Übersicht!$Q$6&gt;=Übersicht!$C$21,MIN(Übersicht!$C$20,$D80-$G80),0),0))</f>
        <v>0</v>
      </c>
      <c r="I80" s="7">
        <f t="shared" si="8"/>
        <v>1400</v>
      </c>
      <c r="J80" s="22">
        <f t="shared" si="9"/>
        <v>239474.04</v>
      </c>
      <c r="K80" s="9" t="str">
        <f>IF($D80&lt;=0,"",IF($J80&lt;=0.005,"Volltilgung erreicht",IF($A80=Übersicht!$Q$13,"Ende der Zinsbindung",IF($H80&gt;0,"Sondertilgung",""))))</f>
        <v/>
      </c>
      <c r="L80" s="23">
        <f>IF($N79&lt;=0,0,ROUND($N79*Übersicht!$Q$7,2))</f>
        <v>779.65</v>
      </c>
      <c r="M80" s="23">
        <f>IF($N79&lt;=0,0,MIN($N79,IF(Übersicht!$C$13="Annuitätendarlehen",MAX(0,Übersicht!$Q$9-$L80),IF(Übersicht!$C$13="Ratendarlehen",Übersicht!$Q$10,IF($A80&gt;=Übersicht!$Q$11,$N79,0)))))</f>
        <v>620.35</v>
      </c>
      <c r="N80" s="23">
        <f t="shared" si="11"/>
        <v>259262.81</v>
      </c>
    </row>
    <row r="81" spans="1:14" ht="15" customHeight="1" x14ac:dyDescent="0.25">
      <c r="A81" s="10">
        <v>74</v>
      </c>
      <c r="B81" s="24">
        <f>IF($D81&lt;=0,"",EDATE(Übersicht!$C$18,($A81-1)*12/Übersicht!$Q$6))</f>
        <v>48273</v>
      </c>
      <c r="C81" s="10">
        <f t="shared" si="6"/>
        <v>2032</v>
      </c>
      <c r="D81" s="25">
        <f t="shared" si="10"/>
        <v>239474.04</v>
      </c>
      <c r="E81" s="12">
        <f t="shared" si="7"/>
        <v>1400</v>
      </c>
      <c r="F81" s="12">
        <f>IF($D81&lt;=0,0,ROUND($D81*Übersicht!$Q$7,2))</f>
        <v>718.42</v>
      </c>
      <c r="G81" s="12">
        <f>IF($D81&lt;=0,0,MIN($D81,IF(Übersicht!$C$13="Annuitätendarlehen",MAX(0,Übersicht!$Q$9-$F81),IF(Übersicht!$C$13="Ratendarlehen",Übersicht!$Q$10,IF($A81&gt;=Übersicht!$Q$11,$D81,0)))))</f>
        <v>681.58</v>
      </c>
      <c r="H81" s="12">
        <f>IF($D81-$G81&lt;=0,0,IF(MOD($A81,Übersicht!$Q$6)=0,IF($A81/Übersicht!$Q$6&gt;=Übersicht!$C$21,MIN(Übersicht!$C$20,$D81-$G81),0),0))</f>
        <v>0</v>
      </c>
      <c r="I81" s="12">
        <f t="shared" si="8"/>
        <v>1400</v>
      </c>
      <c r="J81" s="26">
        <f t="shared" si="9"/>
        <v>238792.46</v>
      </c>
      <c r="K81" s="14" t="str">
        <f>IF($D81&lt;=0,"",IF($J81&lt;=0.005,"Volltilgung erreicht",IF($A81=Übersicht!$Q$13,"Ende der Zinsbindung",IF($H81&gt;0,"Sondertilgung",""))))</f>
        <v/>
      </c>
      <c r="L81" s="23">
        <f>IF($N80&lt;=0,0,ROUND($N80*Übersicht!$Q$7,2))</f>
        <v>777.79</v>
      </c>
      <c r="M81" s="23">
        <f>IF($N80&lt;=0,0,MIN($N80,IF(Übersicht!$C$13="Annuitätendarlehen",MAX(0,Übersicht!$Q$9-$L81),IF(Übersicht!$C$13="Ratendarlehen",Übersicht!$Q$10,IF($A81&gt;=Übersicht!$Q$11,$N80,0)))))</f>
        <v>622.21</v>
      </c>
      <c r="N81" s="23">
        <f t="shared" si="11"/>
        <v>258640.6</v>
      </c>
    </row>
    <row r="82" spans="1:14" ht="15" customHeight="1" x14ac:dyDescent="0.25">
      <c r="A82" s="5">
        <v>75</v>
      </c>
      <c r="B82" s="20">
        <f>IF($D82&lt;=0,"",EDATE(Übersicht!$C$18,($A82-1)*12/Übersicht!$Q$6))</f>
        <v>48304</v>
      </c>
      <c r="C82" s="5">
        <f t="shared" si="6"/>
        <v>2032</v>
      </c>
      <c r="D82" s="21">
        <f t="shared" si="10"/>
        <v>238792.46</v>
      </c>
      <c r="E82" s="7">
        <f t="shared" si="7"/>
        <v>1400</v>
      </c>
      <c r="F82" s="7">
        <f>IF($D82&lt;=0,0,ROUND($D82*Übersicht!$Q$7,2))</f>
        <v>716.38</v>
      </c>
      <c r="G82" s="7">
        <f>IF($D82&lt;=0,0,MIN($D82,IF(Übersicht!$C$13="Annuitätendarlehen",MAX(0,Übersicht!$Q$9-$F82),IF(Übersicht!$C$13="Ratendarlehen",Übersicht!$Q$10,IF($A82&gt;=Übersicht!$Q$11,$D82,0)))))</f>
        <v>683.62</v>
      </c>
      <c r="H82" s="7">
        <f>IF($D82-$G82&lt;=0,0,IF(MOD($A82,Übersicht!$Q$6)=0,IF($A82/Übersicht!$Q$6&gt;=Übersicht!$C$21,MIN(Übersicht!$C$20,$D82-$G82),0),0))</f>
        <v>0</v>
      </c>
      <c r="I82" s="7">
        <f t="shared" si="8"/>
        <v>1400</v>
      </c>
      <c r="J82" s="22">
        <f t="shared" si="9"/>
        <v>238108.84</v>
      </c>
      <c r="K82" s="9" t="str">
        <f>IF($D82&lt;=0,"",IF($J82&lt;=0.005,"Volltilgung erreicht",IF($A82=Übersicht!$Q$13,"Ende der Zinsbindung",IF($H82&gt;0,"Sondertilgung",""))))</f>
        <v/>
      </c>
      <c r="L82" s="23">
        <f>IF($N81&lt;=0,0,ROUND($N81*Übersicht!$Q$7,2))</f>
        <v>775.92</v>
      </c>
      <c r="M82" s="23">
        <f>IF($N81&lt;=0,0,MIN($N81,IF(Übersicht!$C$13="Annuitätendarlehen",MAX(0,Übersicht!$Q$9-$L82),IF(Übersicht!$C$13="Ratendarlehen",Übersicht!$Q$10,IF($A82&gt;=Übersicht!$Q$11,$N81,0)))))</f>
        <v>624.08000000000004</v>
      </c>
      <c r="N82" s="23">
        <f t="shared" si="11"/>
        <v>258016.52</v>
      </c>
    </row>
    <row r="83" spans="1:14" ht="15" customHeight="1" x14ac:dyDescent="0.25">
      <c r="A83" s="10">
        <v>76</v>
      </c>
      <c r="B83" s="24">
        <f>IF($D83&lt;=0,"",EDATE(Übersicht!$C$18,($A83-1)*12/Übersicht!$Q$6))</f>
        <v>48334</v>
      </c>
      <c r="C83" s="10">
        <f t="shared" si="6"/>
        <v>2032</v>
      </c>
      <c r="D83" s="25">
        <f t="shared" si="10"/>
        <v>238108.84</v>
      </c>
      <c r="E83" s="12">
        <f t="shared" si="7"/>
        <v>1400</v>
      </c>
      <c r="F83" s="12">
        <f>IF($D83&lt;=0,0,ROUND($D83*Übersicht!$Q$7,2))</f>
        <v>714.33</v>
      </c>
      <c r="G83" s="12">
        <f>IF($D83&lt;=0,0,MIN($D83,IF(Übersicht!$C$13="Annuitätendarlehen",MAX(0,Übersicht!$Q$9-$F83),IF(Übersicht!$C$13="Ratendarlehen",Übersicht!$Q$10,IF($A83&gt;=Übersicht!$Q$11,$D83,0)))))</f>
        <v>685.67</v>
      </c>
      <c r="H83" s="12">
        <f>IF($D83-$G83&lt;=0,0,IF(MOD($A83,Übersicht!$Q$6)=0,IF($A83/Übersicht!$Q$6&gt;=Übersicht!$C$21,MIN(Übersicht!$C$20,$D83-$G83),0),0))</f>
        <v>0</v>
      </c>
      <c r="I83" s="12">
        <f t="shared" si="8"/>
        <v>1400</v>
      </c>
      <c r="J83" s="26">
        <f t="shared" si="9"/>
        <v>237423.17</v>
      </c>
      <c r="K83" s="14" t="str">
        <f>IF($D83&lt;=0,"",IF($J83&lt;=0.005,"Volltilgung erreicht",IF($A83=Übersicht!$Q$13,"Ende der Zinsbindung",IF($H83&gt;0,"Sondertilgung",""))))</f>
        <v/>
      </c>
      <c r="L83" s="23">
        <f>IF($N82&lt;=0,0,ROUND($N82*Übersicht!$Q$7,2))</f>
        <v>774.05</v>
      </c>
      <c r="M83" s="23">
        <f>IF($N82&lt;=0,0,MIN($N82,IF(Übersicht!$C$13="Annuitätendarlehen",MAX(0,Übersicht!$Q$9-$L83),IF(Übersicht!$C$13="Ratendarlehen",Übersicht!$Q$10,IF($A83&gt;=Übersicht!$Q$11,$N82,0)))))</f>
        <v>625.95000000000005</v>
      </c>
      <c r="N83" s="23">
        <f t="shared" si="11"/>
        <v>257390.57</v>
      </c>
    </row>
    <row r="84" spans="1:14" ht="15" customHeight="1" x14ac:dyDescent="0.25">
      <c r="A84" s="5">
        <v>77</v>
      </c>
      <c r="B84" s="20">
        <f>IF($D84&lt;=0,"",EDATE(Übersicht!$C$18,($A84-1)*12/Übersicht!$Q$6))</f>
        <v>48365</v>
      </c>
      <c r="C84" s="5">
        <f t="shared" si="6"/>
        <v>2032</v>
      </c>
      <c r="D84" s="21">
        <f t="shared" si="10"/>
        <v>237423.17</v>
      </c>
      <c r="E84" s="7">
        <f t="shared" si="7"/>
        <v>1400</v>
      </c>
      <c r="F84" s="7">
        <f>IF($D84&lt;=0,0,ROUND($D84*Übersicht!$Q$7,2))</f>
        <v>712.27</v>
      </c>
      <c r="G84" s="7">
        <f>IF($D84&lt;=0,0,MIN($D84,IF(Übersicht!$C$13="Annuitätendarlehen",MAX(0,Übersicht!$Q$9-$F84),IF(Übersicht!$C$13="Ratendarlehen",Übersicht!$Q$10,IF($A84&gt;=Übersicht!$Q$11,$D84,0)))))</f>
        <v>687.73</v>
      </c>
      <c r="H84" s="7">
        <f>IF($D84-$G84&lt;=0,0,IF(MOD($A84,Übersicht!$Q$6)=0,IF($A84/Übersicht!$Q$6&gt;=Übersicht!$C$21,MIN(Übersicht!$C$20,$D84-$G84),0),0))</f>
        <v>0</v>
      </c>
      <c r="I84" s="7">
        <f t="shared" si="8"/>
        <v>1400</v>
      </c>
      <c r="J84" s="22">
        <f t="shared" si="9"/>
        <v>236735.44</v>
      </c>
      <c r="K84" s="9" t="str">
        <f>IF($D84&lt;=0,"",IF($J84&lt;=0.005,"Volltilgung erreicht",IF($A84=Übersicht!$Q$13,"Ende der Zinsbindung",IF($H84&gt;0,"Sondertilgung",""))))</f>
        <v/>
      </c>
      <c r="L84" s="23">
        <f>IF($N83&lt;=0,0,ROUND($N83*Übersicht!$Q$7,2))</f>
        <v>772.17</v>
      </c>
      <c r="M84" s="23">
        <f>IF($N83&lt;=0,0,MIN($N83,IF(Übersicht!$C$13="Annuitätendarlehen",MAX(0,Übersicht!$Q$9-$L84),IF(Übersicht!$C$13="Ratendarlehen",Übersicht!$Q$10,IF($A84&gt;=Übersicht!$Q$11,$N83,0)))))</f>
        <v>627.83000000000004</v>
      </c>
      <c r="N84" s="23">
        <f t="shared" si="11"/>
        <v>256762.74</v>
      </c>
    </row>
    <row r="85" spans="1:14" ht="15" customHeight="1" x14ac:dyDescent="0.25">
      <c r="A85" s="10">
        <v>78</v>
      </c>
      <c r="B85" s="24">
        <f>IF($D85&lt;=0,"",EDATE(Übersicht!$C$18,($A85-1)*12/Übersicht!$Q$6))</f>
        <v>48395</v>
      </c>
      <c r="C85" s="10">
        <f t="shared" si="6"/>
        <v>2032</v>
      </c>
      <c r="D85" s="25">
        <f t="shared" si="10"/>
        <v>236735.44</v>
      </c>
      <c r="E85" s="12">
        <f t="shared" si="7"/>
        <v>1400</v>
      </c>
      <c r="F85" s="12">
        <f>IF($D85&lt;=0,0,ROUND($D85*Übersicht!$Q$7,2))</f>
        <v>710.21</v>
      </c>
      <c r="G85" s="12">
        <f>IF($D85&lt;=0,0,MIN($D85,IF(Übersicht!$C$13="Annuitätendarlehen",MAX(0,Übersicht!$Q$9-$F85),IF(Übersicht!$C$13="Ratendarlehen",Übersicht!$Q$10,IF($A85&gt;=Übersicht!$Q$11,$D85,0)))))</f>
        <v>689.79</v>
      </c>
      <c r="H85" s="12">
        <f>IF($D85-$G85&lt;=0,0,IF(MOD($A85,Übersicht!$Q$6)=0,IF($A85/Übersicht!$Q$6&gt;=Übersicht!$C$21,MIN(Übersicht!$C$20,$D85-$G85),0),0))</f>
        <v>0</v>
      </c>
      <c r="I85" s="12">
        <f t="shared" si="8"/>
        <v>1400</v>
      </c>
      <c r="J85" s="26">
        <f t="shared" si="9"/>
        <v>236045.65</v>
      </c>
      <c r="K85" s="14" t="str">
        <f>IF($D85&lt;=0,"",IF($J85&lt;=0.005,"Volltilgung erreicht",IF($A85=Übersicht!$Q$13,"Ende der Zinsbindung",IF($H85&gt;0,"Sondertilgung",""))))</f>
        <v/>
      </c>
      <c r="L85" s="23">
        <f>IF($N84&lt;=0,0,ROUND($N84*Übersicht!$Q$7,2))</f>
        <v>770.29</v>
      </c>
      <c r="M85" s="23">
        <f>IF($N84&lt;=0,0,MIN($N84,IF(Übersicht!$C$13="Annuitätendarlehen",MAX(0,Übersicht!$Q$9-$L85),IF(Übersicht!$C$13="Ratendarlehen",Übersicht!$Q$10,IF($A85&gt;=Übersicht!$Q$11,$N84,0)))))</f>
        <v>629.71</v>
      </c>
      <c r="N85" s="23">
        <f t="shared" si="11"/>
        <v>256133.03</v>
      </c>
    </row>
    <row r="86" spans="1:14" ht="15" customHeight="1" x14ac:dyDescent="0.25">
      <c r="A86" s="5">
        <v>79</v>
      </c>
      <c r="B86" s="20">
        <f>IF($D86&lt;=0,"",EDATE(Übersicht!$C$18,($A86-1)*12/Übersicht!$Q$6))</f>
        <v>48426</v>
      </c>
      <c r="C86" s="5">
        <f t="shared" si="6"/>
        <v>2032</v>
      </c>
      <c r="D86" s="21">
        <f t="shared" si="10"/>
        <v>236045.65</v>
      </c>
      <c r="E86" s="7">
        <f t="shared" si="7"/>
        <v>1400</v>
      </c>
      <c r="F86" s="7">
        <f>IF($D86&lt;=0,0,ROUND($D86*Übersicht!$Q$7,2))</f>
        <v>708.14</v>
      </c>
      <c r="G86" s="7">
        <f>IF($D86&lt;=0,0,MIN($D86,IF(Übersicht!$C$13="Annuitätendarlehen",MAX(0,Übersicht!$Q$9-$F86),IF(Übersicht!$C$13="Ratendarlehen",Übersicht!$Q$10,IF($A86&gt;=Übersicht!$Q$11,$D86,0)))))</f>
        <v>691.86</v>
      </c>
      <c r="H86" s="7">
        <f>IF($D86-$G86&lt;=0,0,IF(MOD($A86,Übersicht!$Q$6)=0,IF($A86/Übersicht!$Q$6&gt;=Übersicht!$C$21,MIN(Übersicht!$C$20,$D86-$G86),0),0))</f>
        <v>0</v>
      </c>
      <c r="I86" s="7">
        <f t="shared" si="8"/>
        <v>1400</v>
      </c>
      <c r="J86" s="22">
        <f t="shared" si="9"/>
        <v>235353.79</v>
      </c>
      <c r="K86" s="9" t="str">
        <f>IF($D86&lt;=0,"",IF($J86&lt;=0.005,"Volltilgung erreicht",IF($A86=Übersicht!$Q$13,"Ende der Zinsbindung",IF($H86&gt;0,"Sondertilgung",""))))</f>
        <v/>
      </c>
      <c r="L86" s="23">
        <f>IF($N85&lt;=0,0,ROUND($N85*Übersicht!$Q$7,2))</f>
        <v>768.4</v>
      </c>
      <c r="M86" s="23">
        <f>IF($N85&lt;=0,0,MIN($N85,IF(Übersicht!$C$13="Annuitätendarlehen",MAX(0,Übersicht!$Q$9-$L86),IF(Übersicht!$C$13="Ratendarlehen",Übersicht!$Q$10,IF($A86&gt;=Übersicht!$Q$11,$N85,0)))))</f>
        <v>631.6</v>
      </c>
      <c r="N86" s="23">
        <f t="shared" si="11"/>
        <v>255501.43</v>
      </c>
    </row>
    <row r="87" spans="1:14" ht="15" customHeight="1" x14ac:dyDescent="0.25">
      <c r="A87" s="10">
        <v>80</v>
      </c>
      <c r="B87" s="24">
        <f>IF($D87&lt;=0,"",EDATE(Übersicht!$C$18,($A87-1)*12/Übersicht!$Q$6))</f>
        <v>48457</v>
      </c>
      <c r="C87" s="10">
        <f t="shared" si="6"/>
        <v>2032</v>
      </c>
      <c r="D87" s="25">
        <f t="shared" si="10"/>
        <v>235353.79</v>
      </c>
      <c r="E87" s="12">
        <f t="shared" si="7"/>
        <v>1400</v>
      </c>
      <c r="F87" s="12">
        <f>IF($D87&lt;=0,0,ROUND($D87*Übersicht!$Q$7,2))</f>
        <v>706.06</v>
      </c>
      <c r="G87" s="12">
        <f>IF($D87&lt;=0,0,MIN($D87,IF(Übersicht!$C$13="Annuitätendarlehen",MAX(0,Übersicht!$Q$9-$F87),IF(Übersicht!$C$13="Ratendarlehen",Übersicht!$Q$10,IF($A87&gt;=Übersicht!$Q$11,$D87,0)))))</f>
        <v>693.94</v>
      </c>
      <c r="H87" s="12">
        <f>IF($D87-$G87&lt;=0,0,IF(MOD($A87,Übersicht!$Q$6)=0,IF($A87/Übersicht!$Q$6&gt;=Übersicht!$C$21,MIN(Übersicht!$C$20,$D87-$G87),0),0))</f>
        <v>0</v>
      </c>
      <c r="I87" s="12">
        <f t="shared" si="8"/>
        <v>1400</v>
      </c>
      <c r="J87" s="26">
        <f t="shared" si="9"/>
        <v>234659.85</v>
      </c>
      <c r="K87" s="14" t="str">
        <f>IF($D87&lt;=0,"",IF($J87&lt;=0.005,"Volltilgung erreicht",IF($A87=Übersicht!$Q$13,"Ende der Zinsbindung",IF($H87&gt;0,"Sondertilgung",""))))</f>
        <v/>
      </c>
      <c r="L87" s="23">
        <f>IF($N86&lt;=0,0,ROUND($N86*Übersicht!$Q$7,2))</f>
        <v>766.5</v>
      </c>
      <c r="M87" s="23">
        <f>IF($N86&lt;=0,0,MIN($N86,IF(Übersicht!$C$13="Annuitätendarlehen",MAX(0,Übersicht!$Q$9-$L87),IF(Übersicht!$C$13="Ratendarlehen",Übersicht!$Q$10,IF($A87&gt;=Übersicht!$Q$11,$N86,0)))))</f>
        <v>633.5</v>
      </c>
      <c r="N87" s="23">
        <f t="shared" si="11"/>
        <v>254867.93</v>
      </c>
    </row>
    <row r="88" spans="1:14" ht="15" customHeight="1" x14ac:dyDescent="0.25">
      <c r="A88" s="5">
        <v>81</v>
      </c>
      <c r="B88" s="20">
        <f>IF($D88&lt;=0,"",EDATE(Übersicht!$C$18,($A88-1)*12/Übersicht!$Q$6))</f>
        <v>48487</v>
      </c>
      <c r="C88" s="5">
        <f t="shared" si="6"/>
        <v>2032</v>
      </c>
      <c r="D88" s="21">
        <f t="shared" si="10"/>
        <v>234659.85</v>
      </c>
      <c r="E88" s="7">
        <f t="shared" si="7"/>
        <v>1400</v>
      </c>
      <c r="F88" s="7">
        <f>IF($D88&lt;=0,0,ROUND($D88*Übersicht!$Q$7,2))</f>
        <v>703.98</v>
      </c>
      <c r="G88" s="7">
        <f>IF($D88&lt;=0,0,MIN($D88,IF(Übersicht!$C$13="Annuitätendarlehen",MAX(0,Übersicht!$Q$9-$F88),IF(Übersicht!$C$13="Ratendarlehen",Übersicht!$Q$10,IF($A88&gt;=Übersicht!$Q$11,$D88,0)))))</f>
        <v>696.02</v>
      </c>
      <c r="H88" s="7">
        <f>IF($D88-$G88&lt;=0,0,IF(MOD($A88,Übersicht!$Q$6)=0,IF($A88/Übersicht!$Q$6&gt;=Übersicht!$C$21,MIN(Übersicht!$C$20,$D88-$G88),0),0))</f>
        <v>0</v>
      </c>
      <c r="I88" s="7">
        <f t="shared" si="8"/>
        <v>1400</v>
      </c>
      <c r="J88" s="22">
        <f t="shared" si="9"/>
        <v>233963.83</v>
      </c>
      <c r="K88" s="9" t="str">
        <f>IF($D88&lt;=0,"",IF($J88&lt;=0.005,"Volltilgung erreicht",IF($A88=Übersicht!$Q$13,"Ende der Zinsbindung",IF($H88&gt;0,"Sondertilgung",""))))</f>
        <v/>
      </c>
      <c r="L88" s="23">
        <f>IF($N87&lt;=0,0,ROUND($N87*Übersicht!$Q$7,2))</f>
        <v>764.6</v>
      </c>
      <c r="M88" s="23">
        <f>IF($N87&lt;=0,0,MIN($N87,IF(Übersicht!$C$13="Annuitätendarlehen",MAX(0,Übersicht!$Q$9-$L88),IF(Übersicht!$C$13="Ratendarlehen",Übersicht!$Q$10,IF($A88&gt;=Übersicht!$Q$11,$N87,0)))))</f>
        <v>635.4</v>
      </c>
      <c r="N88" s="23">
        <f t="shared" si="11"/>
        <v>254232.53</v>
      </c>
    </row>
    <row r="89" spans="1:14" ht="15" customHeight="1" x14ac:dyDescent="0.25">
      <c r="A89" s="10">
        <v>82</v>
      </c>
      <c r="B89" s="24">
        <f>IF($D89&lt;=0,"",EDATE(Übersicht!$C$18,($A89-1)*12/Übersicht!$Q$6))</f>
        <v>48518</v>
      </c>
      <c r="C89" s="10">
        <f t="shared" si="6"/>
        <v>2032</v>
      </c>
      <c r="D89" s="25">
        <f t="shared" si="10"/>
        <v>233963.83</v>
      </c>
      <c r="E89" s="12">
        <f t="shared" si="7"/>
        <v>1400</v>
      </c>
      <c r="F89" s="12">
        <f>IF($D89&lt;=0,0,ROUND($D89*Übersicht!$Q$7,2))</f>
        <v>701.89</v>
      </c>
      <c r="G89" s="12">
        <f>IF($D89&lt;=0,0,MIN($D89,IF(Übersicht!$C$13="Annuitätendarlehen",MAX(0,Übersicht!$Q$9-$F89),IF(Übersicht!$C$13="Ratendarlehen",Übersicht!$Q$10,IF($A89&gt;=Übersicht!$Q$11,$D89,0)))))</f>
        <v>698.11</v>
      </c>
      <c r="H89" s="12">
        <f>IF($D89-$G89&lt;=0,0,IF(MOD($A89,Übersicht!$Q$6)=0,IF($A89/Übersicht!$Q$6&gt;=Übersicht!$C$21,MIN(Übersicht!$C$20,$D89-$G89),0),0))</f>
        <v>0</v>
      </c>
      <c r="I89" s="12">
        <f t="shared" si="8"/>
        <v>1400</v>
      </c>
      <c r="J89" s="26">
        <f t="shared" si="9"/>
        <v>233265.72</v>
      </c>
      <c r="K89" s="14" t="str">
        <f>IF($D89&lt;=0,"",IF($J89&lt;=0.005,"Volltilgung erreicht",IF($A89=Übersicht!$Q$13,"Ende der Zinsbindung",IF($H89&gt;0,"Sondertilgung",""))))</f>
        <v/>
      </c>
      <c r="L89" s="23">
        <f>IF($N88&lt;=0,0,ROUND($N88*Übersicht!$Q$7,2))</f>
        <v>762.7</v>
      </c>
      <c r="M89" s="23">
        <f>IF($N88&lt;=0,0,MIN($N88,IF(Übersicht!$C$13="Annuitätendarlehen",MAX(0,Übersicht!$Q$9-$L89),IF(Übersicht!$C$13="Ratendarlehen",Übersicht!$Q$10,IF($A89&gt;=Übersicht!$Q$11,$N88,0)))))</f>
        <v>637.29999999999995</v>
      </c>
      <c r="N89" s="23">
        <f t="shared" si="11"/>
        <v>253595.23</v>
      </c>
    </row>
    <row r="90" spans="1:14" ht="15" customHeight="1" x14ac:dyDescent="0.25">
      <c r="A90" s="5">
        <v>83</v>
      </c>
      <c r="B90" s="20">
        <f>IF($D90&lt;=0,"",EDATE(Übersicht!$C$18,($A90-1)*12/Übersicht!$Q$6))</f>
        <v>48548</v>
      </c>
      <c r="C90" s="5">
        <f t="shared" si="6"/>
        <v>2032</v>
      </c>
      <c r="D90" s="21">
        <f t="shared" si="10"/>
        <v>233265.72</v>
      </c>
      <c r="E90" s="7">
        <f t="shared" si="7"/>
        <v>1400</v>
      </c>
      <c r="F90" s="7">
        <f>IF($D90&lt;=0,0,ROUND($D90*Übersicht!$Q$7,2))</f>
        <v>699.8</v>
      </c>
      <c r="G90" s="7">
        <f>IF($D90&lt;=0,0,MIN($D90,IF(Übersicht!$C$13="Annuitätendarlehen",MAX(0,Übersicht!$Q$9-$F90),IF(Übersicht!$C$13="Ratendarlehen",Übersicht!$Q$10,IF($A90&gt;=Übersicht!$Q$11,$D90,0)))))</f>
        <v>700.2</v>
      </c>
      <c r="H90" s="7">
        <f>IF($D90-$G90&lt;=0,0,IF(MOD($A90,Übersicht!$Q$6)=0,IF($A90/Übersicht!$Q$6&gt;=Übersicht!$C$21,MIN(Übersicht!$C$20,$D90-$G90),0),0))</f>
        <v>0</v>
      </c>
      <c r="I90" s="7">
        <f t="shared" si="8"/>
        <v>1400</v>
      </c>
      <c r="J90" s="22">
        <f t="shared" si="9"/>
        <v>232565.52</v>
      </c>
      <c r="K90" s="9" t="str">
        <f>IF($D90&lt;=0,"",IF($J90&lt;=0.005,"Volltilgung erreicht",IF($A90=Übersicht!$Q$13,"Ende der Zinsbindung",IF($H90&gt;0,"Sondertilgung",""))))</f>
        <v/>
      </c>
      <c r="L90" s="23">
        <f>IF($N89&lt;=0,0,ROUND($N89*Übersicht!$Q$7,2))</f>
        <v>760.79</v>
      </c>
      <c r="M90" s="23">
        <f>IF($N89&lt;=0,0,MIN($N89,IF(Übersicht!$C$13="Annuitätendarlehen",MAX(0,Übersicht!$Q$9-$L90),IF(Übersicht!$C$13="Ratendarlehen",Übersicht!$Q$10,IF($A90&gt;=Übersicht!$Q$11,$N89,0)))))</f>
        <v>639.21</v>
      </c>
      <c r="N90" s="23">
        <f t="shared" si="11"/>
        <v>252956.02</v>
      </c>
    </row>
    <row r="91" spans="1:14" ht="15" customHeight="1" x14ac:dyDescent="0.25">
      <c r="A91" s="10">
        <v>84</v>
      </c>
      <c r="B91" s="24">
        <f>IF($D91&lt;=0,"",EDATE(Übersicht!$C$18,($A91-1)*12/Übersicht!$Q$6))</f>
        <v>48579</v>
      </c>
      <c r="C91" s="10">
        <f t="shared" si="6"/>
        <v>2032</v>
      </c>
      <c r="D91" s="25">
        <f t="shared" si="10"/>
        <v>232565.52</v>
      </c>
      <c r="E91" s="12">
        <f t="shared" si="7"/>
        <v>1400</v>
      </c>
      <c r="F91" s="12">
        <f>IF($D91&lt;=0,0,ROUND($D91*Übersicht!$Q$7,2))</f>
        <v>697.7</v>
      </c>
      <c r="G91" s="12">
        <f>IF($D91&lt;=0,0,MIN($D91,IF(Übersicht!$C$13="Annuitätendarlehen",MAX(0,Übersicht!$Q$9-$F91),IF(Übersicht!$C$13="Ratendarlehen",Übersicht!$Q$10,IF($A91&gt;=Übersicht!$Q$11,$D91,0)))))</f>
        <v>702.3</v>
      </c>
      <c r="H91" s="12">
        <f>IF($D91-$G91&lt;=0,0,IF(MOD($A91,Übersicht!$Q$6)=0,IF($A91/Übersicht!$Q$6&gt;=Übersicht!$C$21,MIN(Übersicht!$C$20,$D91-$G91),0),0))</f>
        <v>3000</v>
      </c>
      <c r="I91" s="12">
        <f t="shared" si="8"/>
        <v>4400</v>
      </c>
      <c r="J91" s="26">
        <f t="shared" si="9"/>
        <v>228863.22</v>
      </c>
      <c r="K91" s="14" t="str">
        <f>IF($D91&lt;=0,"",IF($J91&lt;=0.005,"Volltilgung erreicht",IF($A91=Übersicht!$Q$13,"Ende der Zinsbindung",IF($H91&gt;0,"Sondertilgung",""))))</f>
        <v>Sondertilgung</v>
      </c>
      <c r="L91" s="23">
        <f>IF($N90&lt;=0,0,ROUND($N90*Übersicht!$Q$7,2))</f>
        <v>758.87</v>
      </c>
      <c r="M91" s="23">
        <f>IF($N90&lt;=0,0,MIN($N90,IF(Übersicht!$C$13="Annuitätendarlehen",MAX(0,Übersicht!$Q$9-$L91),IF(Übersicht!$C$13="Ratendarlehen",Übersicht!$Q$10,IF($A91&gt;=Übersicht!$Q$11,$N90,0)))))</f>
        <v>641.13</v>
      </c>
      <c r="N91" s="23">
        <f t="shared" si="11"/>
        <v>252314.89</v>
      </c>
    </row>
    <row r="92" spans="1:14" ht="15" customHeight="1" x14ac:dyDescent="0.25">
      <c r="A92" s="5">
        <v>85</v>
      </c>
      <c r="B92" s="20">
        <f>IF($D92&lt;=0,"",EDATE(Übersicht!$C$18,($A92-1)*12/Übersicht!$Q$6))</f>
        <v>48610</v>
      </c>
      <c r="C92" s="5">
        <f t="shared" si="6"/>
        <v>2033</v>
      </c>
      <c r="D92" s="21">
        <f t="shared" si="10"/>
        <v>228863.22</v>
      </c>
      <c r="E92" s="7">
        <f t="shared" si="7"/>
        <v>1400</v>
      </c>
      <c r="F92" s="7">
        <f>IF($D92&lt;=0,0,ROUND($D92*Übersicht!$Q$7,2))</f>
        <v>686.59</v>
      </c>
      <c r="G92" s="7">
        <f>IF($D92&lt;=0,0,MIN($D92,IF(Übersicht!$C$13="Annuitätendarlehen",MAX(0,Übersicht!$Q$9-$F92),IF(Übersicht!$C$13="Ratendarlehen",Übersicht!$Q$10,IF($A92&gt;=Übersicht!$Q$11,$D92,0)))))</f>
        <v>713.41</v>
      </c>
      <c r="H92" s="7">
        <f>IF($D92-$G92&lt;=0,0,IF(MOD($A92,Übersicht!$Q$6)=0,IF($A92/Übersicht!$Q$6&gt;=Übersicht!$C$21,MIN(Übersicht!$C$20,$D92-$G92),0),0))</f>
        <v>0</v>
      </c>
      <c r="I92" s="7">
        <f t="shared" si="8"/>
        <v>1400</v>
      </c>
      <c r="J92" s="22">
        <f t="shared" si="9"/>
        <v>228149.81</v>
      </c>
      <c r="K92" s="9" t="str">
        <f>IF($D92&lt;=0,"",IF($J92&lt;=0.005,"Volltilgung erreicht",IF($A92=Übersicht!$Q$13,"Ende der Zinsbindung",IF($H92&gt;0,"Sondertilgung",""))))</f>
        <v/>
      </c>
      <c r="L92" s="23">
        <f>IF($N91&lt;=0,0,ROUND($N91*Übersicht!$Q$7,2))</f>
        <v>756.94</v>
      </c>
      <c r="M92" s="23">
        <f>IF($N91&lt;=0,0,MIN($N91,IF(Übersicht!$C$13="Annuitätendarlehen",MAX(0,Übersicht!$Q$9-$L92),IF(Übersicht!$C$13="Ratendarlehen",Übersicht!$Q$10,IF($A92&gt;=Übersicht!$Q$11,$N91,0)))))</f>
        <v>643.05999999999995</v>
      </c>
      <c r="N92" s="23">
        <f t="shared" si="11"/>
        <v>251671.83</v>
      </c>
    </row>
    <row r="93" spans="1:14" ht="15" customHeight="1" x14ac:dyDescent="0.25">
      <c r="A93" s="10">
        <v>86</v>
      </c>
      <c r="B93" s="24">
        <f>IF($D93&lt;=0,"",EDATE(Übersicht!$C$18,($A93-1)*12/Übersicht!$Q$6))</f>
        <v>48638</v>
      </c>
      <c r="C93" s="10">
        <f t="shared" si="6"/>
        <v>2033</v>
      </c>
      <c r="D93" s="25">
        <f t="shared" si="10"/>
        <v>228149.81</v>
      </c>
      <c r="E93" s="12">
        <f t="shared" si="7"/>
        <v>1400</v>
      </c>
      <c r="F93" s="12">
        <f>IF($D93&lt;=0,0,ROUND($D93*Übersicht!$Q$7,2))</f>
        <v>684.45</v>
      </c>
      <c r="G93" s="12">
        <f>IF($D93&lt;=0,0,MIN($D93,IF(Übersicht!$C$13="Annuitätendarlehen",MAX(0,Übersicht!$Q$9-$F93),IF(Übersicht!$C$13="Ratendarlehen",Übersicht!$Q$10,IF($A93&gt;=Übersicht!$Q$11,$D93,0)))))</f>
        <v>715.55</v>
      </c>
      <c r="H93" s="12">
        <f>IF($D93-$G93&lt;=0,0,IF(MOD($A93,Übersicht!$Q$6)=0,IF($A93/Übersicht!$Q$6&gt;=Übersicht!$C$21,MIN(Übersicht!$C$20,$D93-$G93),0),0))</f>
        <v>0</v>
      </c>
      <c r="I93" s="12">
        <f t="shared" si="8"/>
        <v>1400</v>
      </c>
      <c r="J93" s="26">
        <f t="shared" si="9"/>
        <v>227434.26</v>
      </c>
      <c r="K93" s="14" t="str">
        <f>IF($D93&lt;=0,"",IF($J93&lt;=0.005,"Volltilgung erreicht",IF($A93=Übersicht!$Q$13,"Ende der Zinsbindung",IF($H93&gt;0,"Sondertilgung",""))))</f>
        <v/>
      </c>
      <c r="L93" s="23">
        <f>IF($N92&lt;=0,0,ROUND($N92*Übersicht!$Q$7,2))</f>
        <v>755.02</v>
      </c>
      <c r="M93" s="23">
        <f>IF($N92&lt;=0,0,MIN($N92,IF(Übersicht!$C$13="Annuitätendarlehen",MAX(0,Übersicht!$Q$9-$L93),IF(Übersicht!$C$13="Ratendarlehen",Übersicht!$Q$10,IF($A93&gt;=Übersicht!$Q$11,$N92,0)))))</f>
        <v>644.98</v>
      </c>
      <c r="N93" s="23">
        <f t="shared" si="11"/>
        <v>251026.85</v>
      </c>
    </row>
    <row r="94" spans="1:14" ht="15" customHeight="1" x14ac:dyDescent="0.25">
      <c r="A94" s="5">
        <v>87</v>
      </c>
      <c r="B94" s="20">
        <f>IF($D94&lt;=0,"",EDATE(Übersicht!$C$18,($A94-1)*12/Übersicht!$Q$6))</f>
        <v>48669</v>
      </c>
      <c r="C94" s="5">
        <f t="shared" si="6"/>
        <v>2033</v>
      </c>
      <c r="D94" s="21">
        <f t="shared" si="10"/>
        <v>227434.26</v>
      </c>
      <c r="E94" s="7">
        <f t="shared" si="7"/>
        <v>1400</v>
      </c>
      <c r="F94" s="7">
        <f>IF($D94&lt;=0,0,ROUND($D94*Übersicht!$Q$7,2))</f>
        <v>682.3</v>
      </c>
      <c r="G94" s="7">
        <f>IF($D94&lt;=0,0,MIN($D94,IF(Übersicht!$C$13="Annuitätendarlehen",MAX(0,Übersicht!$Q$9-$F94),IF(Übersicht!$C$13="Ratendarlehen",Übersicht!$Q$10,IF($A94&gt;=Übersicht!$Q$11,$D94,0)))))</f>
        <v>717.7</v>
      </c>
      <c r="H94" s="7">
        <f>IF($D94-$G94&lt;=0,0,IF(MOD($A94,Übersicht!$Q$6)=0,IF($A94/Übersicht!$Q$6&gt;=Übersicht!$C$21,MIN(Übersicht!$C$20,$D94-$G94),0),0))</f>
        <v>0</v>
      </c>
      <c r="I94" s="7">
        <f t="shared" si="8"/>
        <v>1400</v>
      </c>
      <c r="J94" s="22">
        <f t="shared" si="9"/>
        <v>226716.56</v>
      </c>
      <c r="K94" s="9" t="str">
        <f>IF($D94&lt;=0,"",IF($J94&lt;=0.005,"Volltilgung erreicht",IF($A94=Übersicht!$Q$13,"Ende der Zinsbindung",IF($H94&gt;0,"Sondertilgung",""))))</f>
        <v/>
      </c>
      <c r="L94" s="23">
        <f>IF($N93&lt;=0,0,ROUND($N93*Übersicht!$Q$7,2))</f>
        <v>753.08</v>
      </c>
      <c r="M94" s="23">
        <f>IF($N93&lt;=0,0,MIN($N93,IF(Übersicht!$C$13="Annuitätendarlehen",MAX(0,Übersicht!$Q$9-$L94),IF(Übersicht!$C$13="Ratendarlehen",Übersicht!$Q$10,IF($A94&gt;=Übersicht!$Q$11,$N93,0)))))</f>
        <v>646.91999999999996</v>
      </c>
      <c r="N94" s="23">
        <f t="shared" si="11"/>
        <v>250379.93</v>
      </c>
    </row>
    <row r="95" spans="1:14" ht="15" customHeight="1" x14ac:dyDescent="0.25">
      <c r="A95" s="10">
        <v>88</v>
      </c>
      <c r="B95" s="24">
        <f>IF($D95&lt;=0,"",EDATE(Übersicht!$C$18,($A95-1)*12/Übersicht!$Q$6))</f>
        <v>48699</v>
      </c>
      <c r="C95" s="10">
        <f t="shared" si="6"/>
        <v>2033</v>
      </c>
      <c r="D95" s="25">
        <f t="shared" si="10"/>
        <v>226716.56</v>
      </c>
      <c r="E95" s="12">
        <f t="shared" si="7"/>
        <v>1400</v>
      </c>
      <c r="F95" s="12">
        <f>IF($D95&lt;=0,0,ROUND($D95*Übersicht!$Q$7,2))</f>
        <v>680.15</v>
      </c>
      <c r="G95" s="12">
        <f>IF($D95&lt;=0,0,MIN($D95,IF(Übersicht!$C$13="Annuitätendarlehen",MAX(0,Übersicht!$Q$9-$F95),IF(Übersicht!$C$13="Ratendarlehen",Übersicht!$Q$10,IF($A95&gt;=Übersicht!$Q$11,$D95,0)))))</f>
        <v>719.85</v>
      </c>
      <c r="H95" s="12">
        <f>IF($D95-$G95&lt;=0,0,IF(MOD($A95,Übersicht!$Q$6)=0,IF($A95/Übersicht!$Q$6&gt;=Übersicht!$C$21,MIN(Übersicht!$C$20,$D95-$G95),0),0))</f>
        <v>0</v>
      </c>
      <c r="I95" s="12">
        <f t="shared" si="8"/>
        <v>1400</v>
      </c>
      <c r="J95" s="26">
        <f t="shared" si="9"/>
        <v>225996.71</v>
      </c>
      <c r="K95" s="14" t="str">
        <f>IF($D95&lt;=0,"",IF($J95&lt;=0.005,"Volltilgung erreicht",IF($A95=Übersicht!$Q$13,"Ende der Zinsbindung",IF($H95&gt;0,"Sondertilgung",""))))</f>
        <v/>
      </c>
      <c r="L95" s="23">
        <f>IF($N94&lt;=0,0,ROUND($N94*Übersicht!$Q$7,2))</f>
        <v>751.14</v>
      </c>
      <c r="M95" s="23">
        <f>IF($N94&lt;=0,0,MIN($N94,IF(Übersicht!$C$13="Annuitätendarlehen",MAX(0,Übersicht!$Q$9-$L95),IF(Übersicht!$C$13="Ratendarlehen",Übersicht!$Q$10,IF($A95&gt;=Übersicht!$Q$11,$N94,0)))))</f>
        <v>648.86</v>
      </c>
      <c r="N95" s="23">
        <f t="shared" si="11"/>
        <v>249731.07</v>
      </c>
    </row>
    <row r="96" spans="1:14" ht="15" customHeight="1" x14ac:dyDescent="0.25">
      <c r="A96" s="5">
        <v>89</v>
      </c>
      <c r="B96" s="20">
        <f>IF($D96&lt;=0,"",EDATE(Übersicht!$C$18,($A96-1)*12/Übersicht!$Q$6))</f>
        <v>48730</v>
      </c>
      <c r="C96" s="5">
        <f t="shared" si="6"/>
        <v>2033</v>
      </c>
      <c r="D96" s="21">
        <f t="shared" si="10"/>
        <v>225996.71</v>
      </c>
      <c r="E96" s="7">
        <f t="shared" si="7"/>
        <v>1400</v>
      </c>
      <c r="F96" s="7">
        <f>IF($D96&lt;=0,0,ROUND($D96*Übersicht!$Q$7,2))</f>
        <v>677.99</v>
      </c>
      <c r="G96" s="7">
        <f>IF($D96&lt;=0,0,MIN($D96,IF(Übersicht!$C$13="Annuitätendarlehen",MAX(0,Übersicht!$Q$9-$F96),IF(Übersicht!$C$13="Ratendarlehen",Übersicht!$Q$10,IF($A96&gt;=Übersicht!$Q$11,$D96,0)))))</f>
        <v>722.01</v>
      </c>
      <c r="H96" s="7">
        <f>IF($D96-$G96&lt;=0,0,IF(MOD($A96,Übersicht!$Q$6)=0,IF($A96/Übersicht!$Q$6&gt;=Übersicht!$C$21,MIN(Übersicht!$C$20,$D96-$G96),0),0))</f>
        <v>0</v>
      </c>
      <c r="I96" s="7">
        <f t="shared" si="8"/>
        <v>1400</v>
      </c>
      <c r="J96" s="22">
        <f t="shared" si="9"/>
        <v>225274.7</v>
      </c>
      <c r="K96" s="9" t="str">
        <f>IF($D96&lt;=0,"",IF($J96&lt;=0.005,"Volltilgung erreicht",IF($A96=Übersicht!$Q$13,"Ende der Zinsbindung",IF($H96&gt;0,"Sondertilgung",""))))</f>
        <v/>
      </c>
      <c r="L96" s="23">
        <f>IF($N95&lt;=0,0,ROUND($N95*Übersicht!$Q$7,2))</f>
        <v>749.19</v>
      </c>
      <c r="M96" s="23">
        <f>IF($N95&lt;=0,0,MIN($N95,IF(Übersicht!$C$13="Annuitätendarlehen",MAX(0,Übersicht!$Q$9-$L96),IF(Übersicht!$C$13="Ratendarlehen",Übersicht!$Q$10,IF($A96&gt;=Übersicht!$Q$11,$N95,0)))))</f>
        <v>650.80999999999995</v>
      </c>
      <c r="N96" s="23">
        <f t="shared" si="11"/>
        <v>249080.26</v>
      </c>
    </row>
    <row r="97" spans="1:14" ht="15" customHeight="1" x14ac:dyDescent="0.25">
      <c r="A97" s="10">
        <v>90</v>
      </c>
      <c r="B97" s="24">
        <f>IF($D97&lt;=0,"",EDATE(Übersicht!$C$18,($A97-1)*12/Übersicht!$Q$6))</f>
        <v>48760</v>
      </c>
      <c r="C97" s="10">
        <f t="shared" si="6"/>
        <v>2033</v>
      </c>
      <c r="D97" s="25">
        <f t="shared" si="10"/>
        <v>225274.7</v>
      </c>
      <c r="E97" s="12">
        <f t="shared" si="7"/>
        <v>1400</v>
      </c>
      <c r="F97" s="12">
        <f>IF($D97&lt;=0,0,ROUND($D97*Übersicht!$Q$7,2))</f>
        <v>675.82</v>
      </c>
      <c r="G97" s="12">
        <f>IF($D97&lt;=0,0,MIN($D97,IF(Übersicht!$C$13="Annuitätendarlehen",MAX(0,Übersicht!$Q$9-$F97),IF(Übersicht!$C$13="Ratendarlehen",Übersicht!$Q$10,IF($A97&gt;=Übersicht!$Q$11,$D97,0)))))</f>
        <v>724.18</v>
      </c>
      <c r="H97" s="12">
        <f>IF($D97-$G97&lt;=0,0,IF(MOD($A97,Übersicht!$Q$6)=0,IF($A97/Übersicht!$Q$6&gt;=Übersicht!$C$21,MIN(Übersicht!$C$20,$D97-$G97),0),0))</f>
        <v>0</v>
      </c>
      <c r="I97" s="12">
        <f t="shared" si="8"/>
        <v>1400</v>
      </c>
      <c r="J97" s="26">
        <f t="shared" si="9"/>
        <v>224550.52</v>
      </c>
      <c r="K97" s="14" t="str">
        <f>IF($D97&lt;=0,"",IF($J97&lt;=0.005,"Volltilgung erreicht",IF($A97=Übersicht!$Q$13,"Ende der Zinsbindung",IF($H97&gt;0,"Sondertilgung",""))))</f>
        <v/>
      </c>
      <c r="L97" s="23">
        <f>IF($N96&lt;=0,0,ROUND($N96*Übersicht!$Q$7,2))</f>
        <v>747.24</v>
      </c>
      <c r="M97" s="23">
        <f>IF($N96&lt;=0,0,MIN($N96,IF(Übersicht!$C$13="Annuitätendarlehen",MAX(0,Übersicht!$Q$9-$L97),IF(Übersicht!$C$13="Ratendarlehen",Übersicht!$Q$10,IF($A97&gt;=Übersicht!$Q$11,$N96,0)))))</f>
        <v>652.76</v>
      </c>
      <c r="N97" s="23">
        <f t="shared" si="11"/>
        <v>248427.5</v>
      </c>
    </row>
    <row r="98" spans="1:14" ht="15" customHeight="1" x14ac:dyDescent="0.25">
      <c r="A98" s="5">
        <v>91</v>
      </c>
      <c r="B98" s="20">
        <f>IF($D98&lt;=0,"",EDATE(Übersicht!$C$18,($A98-1)*12/Übersicht!$Q$6))</f>
        <v>48791</v>
      </c>
      <c r="C98" s="5">
        <f t="shared" si="6"/>
        <v>2033</v>
      </c>
      <c r="D98" s="21">
        <f t="shared" si="10"/>
        <v>224550.52</v>
      </c>
      <c r="E98" s="7">
        <f t="shared" si="7"/>
        <v>1400</v>
      </c>
      <c r="F98" s="7">
        <f>IF($D98&lt;=0,0,ROUND($D98*Übersicht!$Q$7,2))</f>
        <v>673.65</v>
      </c>
      <c r="G98" s="7">
        <f>IF($D98&lt;=0,0,MIN($D98,IF(Übersicht!$C$13="Annuitätendarlehen",MAX(0,Übersicht!$Q$9-$F98),IF(Übersicht!$C$13="Ratendarlehen",Übersicht!$Q$10,IF($A98&gt;=Übersicht!$Q$11,$D98,0)))))</f>
        <v>726.35</v>
      </c>
      <c r="H98" s="7">
        <f>IF($D98-$G98&lt;=0,0,IF(MOD($A98,Übersicht!$Q$6)=0,IF($A98/Übersicht!$Q$6&gt;=Übersicht!$C$21,MIN(Übersicht!$C$20,$D98-$G98),0),0))</f>
        <v>0</v>
      </c>
      <c r="I98" s="7">
        <f t="shared" si="8"/>
        <v>1400</v>
      </c>
      <c r="J98" s="22">
        <f t="shared" si="9"/>
        <v>223824.17</v>
      </c>
      <c r="K98" s="9" t="str">
        <f>IF($D98&lt;=0,"",IF($J98&lt;=0.005,"Volltilgung erreicht",IF($A98=Übersicht!$Q$13,"Ende der Zinsbindung",IF($H98&gt;0,"Sondertilgung",""))))</f>
        <v/>
      </c>
      <c r="L98" s="23">
        <f>IF($N97&lt;=0,0,ROUND($N97*Übersicht!$Q$7,2))</f>
        <v>745.28</v>
      </c>
      <c r="M98" s="23">
        <f>IF($N97&lt;=0,0,MIN($N97,IF(Übersicht!$C$13="Annuitätendarlehen",MAX(0,Übersicht!$Q$9-$L98),IF(Übersicht!$C$13="Ratendarlehen",Übersicht!$Q$10,IF($A98&gt;=Übersicht!$Q$11,$N97,0)))))</f>
        <v>654.72</v>
      </c>
      <c r="N98" s="23">
        <f t="shared" si="11"/>
        <v>247772.78</v>
      </c>
    </row>
    <row r="99" spans="1:14" ht="15" customHeight="1" x14ac:dyDescent="0.25">
      <c r="A99" s="10">
        <v>92</v>
      </c>
      <c r="B99" s="24">
        <f>IF($D99&lt;=0,"",EDATE(Übersicht!$C$18,($A99-1)*12/Übersicht!$Q$6))</f>
        <v>48822</v>
      </c>
      <c r="C99" s="10">
        <f t="shared" si="6"/>
        <v>2033</v>
      </c>
      <c r="D99" s="25">
        <f t="shared" si="10"/>
        <v>223824.17</v>
      </c>
      <c r="E99" s="12">
        <f t="shared" si="7"/>
        <v>1400</v>
      </c>
      <c r="F99" s="12">
        <f>IF($D99&lt;=0,0,ROUND($D99*Übersicht!$Q$7,2))</f>
        <v>671.47</v>
      </c>
      <c r="G99" s="12">
        <f>IF($D99&lt;=0,0,MIN($D99,IF(Übersicht!$C$13="Annuitätendarlehen",MAX(0,Übersicht!$Q$9-$F99),IF(Übersicht!$C$13="Ratendarlehen",Übersicht!$Q$10,IF($A99&gt;=Übersicht!$Q$11,$D99,0)))))</f>
        <v>728.53</v>
      </c>
      <c r="H99" s="12">
        <f>IF($D99-$G99&lt;=0,0,IF(MOD($A99,Übersicht!$Q$6)=0,IF($A99/Übersicht!$Q$6&gt;=Übersicht!$C$21,MIN(Übersicht!$C$20,$D99-$G99),0),0))</f>
        <v>0</v>
      </c>
      <c r="I99" s="12">
        <f t="shared" si="8"/>
        <v>1400</v>
      </c>
      <c r="J99" s="26">
        <f t="shared" si="9"/>
        <v>223095.64</v>
      </c>
      <c r="K99" s="14" t="str">
        <f>IF($D99&lt;=0,"",IF($J99&lt;=0.005,"Volltilgung erreicht",IF($A99=Übersicht!$Q$13,"Ende der Zinsbindung",IF($H99&gt;0,"Sondertilgung",""))))</f>
        <v/>
      </c>
      <c r="L99" s="23">
        <f>IF($N98&lt;=0,0,ROUND($N98*Übersicht!$Q$7,2))</f>
        <v>743.32</v>
      </c>
      <c r="M99" s="23">
        <f>IF($N98&lt;=0,0,MIN($N98,IF(Übersicht!$C$13="Annuitätendarlehen",MAX(0,Übersicht!$Q$9-$L99),IF(Übersicht!$C$13="Ratendarlehen",Übersicht!$Q$10,IF($A99&gt;=Übersicht!$Q$11,$N98,0)))))</f>
        <v>656.68</v>
      </c>
      <c r="N99" s="23">
        <f t="shared" si="11"/>
        <v>247116.1</v>
      </c>
    </row>
    <row r="100" spans="1:14" ht="15" customHeight="1" x14ac:dyDescent="0.25">
      <c r="A100" s="5">
        <v>93</v>
      </c>
      <c r="B100" s="20">
        <f>IF($D100&lt;=0,"",EDATE(Übersicht!$C$18,($A100-1)*12/Übersicht!$Q$6))</f>
        <v>48852</v>
      </c>
      <c r="C100" s="5">
        <f t="shared" si="6"/>
        <v>2033</v>
      </c>
      <c r="D100" s="21">
        <f t="shared" si="10"/>
        <v>223095.64</v>
      </c>
      <c r="E100" s="7">
        <f t="shared" si="7"/>
        <v>1400</v>
      </c>
      <c r="F100" s="7">
        <f>IF($D100&lt;=0,0,ROUND($D100*Übersicht!$Q$7,2))</f>
        <v>669.29</v>
      </c>
      <c r="G100" s="7">
        <f>IF($D100&lt;=0,0,MIN($D100,IF(Übersicht!$C$13="Annuitätendarlehen",MAX(0,Übersicht!$Q$9-$F100),IF(Übersicht!$C$13="Ratendarlehen",Übersicht!$Q$10,IF($A100&gt;=Übersicht!$Q$11,$D100,0)))))</f>
        <v>730.71</v>
      </c>
      <c r="H100" s="7">
        <f>IF($D100-$G100&lt;=0,0,IF(MOD($A100,Übersicht!$Q$6)=0,IF($A100/Übersicht!$Q$6&gt;=Übersicht!$C$21,MIN(Übersicht!$C$20,$D100-$G100),0),0))</f>
        <v>0</v>
      </c>
      <c r="I100" s="7">
        <f t="shared" si="8"/>
        <v>1400</v>
      </c>
      <c r="J100" s="22">
        <f t="shared" si="9"/>
        <v>222364.93</v>
      </c>
      <c r="K100" s="9" t="str">
        <f>IF($D100&lt;=0,"",IF($J100&lt;=0.005,"Volltilgung erreicht",IF($A100=Übersicht!$Q$13,"Ende der Zinsbindung",IF($H100&gt;0,"Sondertilgung",""))))</f>
        <v/>
      </c>
      <c r="L100" s="23">
        <f>IF($N99&lt;=0,0,ROUND($N99*Übersicht!$Q$7,2))</f>
        <v>741.35</v>
      </c>
      <c r="M100" s="23">
        <f>IF($N99&lt;=0,0,MIN($N99,IF(Übersicht!$C$13="Annuitätendarlehen",MAX(0,Übersicht!$Q$9-$L100),IF(Übersicht!$C$13="Ratendarlehen",Übersicht!$Q$10,IF($A100&gt;=Übersicht!$Q$11,$N99,0)))))</f>
        <v>658.65</v>
      </c>
      <c r="N100" s="23">
        <f t="shared" si="11"/>
        <v>246457.45</v>
      </c>
    </row>
    <row r="101" spans="1:14" ht="15" customHeight="1" x14ac:dyDescent="0.25">
      <c r="A101" s="10">
        <v>94</v>
      </c>
      <c r="B101" s="24">
        <f>IF($D101&lt;=0,"",EDATE(Übersicht!$C$18,($A101-1)*12/Übersicht!$Q$6))</f>
        <v>48883</v>
      </c>
      <c r="C101" s="10">
        <f t="shared" si="6"/>
        <v>2033</v>
      </c>
      <c r="D101" s="25">
        <f t="shared" si="10"/>
        <v>222364.93</v>
      </c>
      <c r="E101" s="12">
        <f t="shared" si="7"/>
        <v>1400</v>
      </c>
      <c r="F101" s="12">
        <f>IF($D101&lt;=0,0,ROUND($D101*Übersicht!$Q$7,2))</f>
        <v>667.09</v>
      </c>
      <c r="G101" s="12">
        <f>IF($D101&lt;=0,0,MIN($D101,IF(Übersicht!$C$13="Annuitätendarlehen",MAX(0,Übersicht!$Q$9-$F101),IF(Übersicht!$C$13="Ratendarlehen",Übersicht!$Q$10,IF($A101&gt;=Übersicht!$Q$11,$D101,0)))))</f>
        <v>732.91</v>
      </c>
      <c r="H101" s="12">
        <f>IF($D101-$G101&lt;=0,0,IF(MOD($A101,Übersicht!$Q$6)=0,IF($A101/Übersicht!$Q$6&gt;=Übersicht!$C$21,MIN(Übersicht!$C$20,$D101-$G101),0),0))</f>
        <v>0</v>
      </c>
      <c r="I101" s="12">
        <f t="shared" si="8"/>
        <v>1400</v>
      </c>
      <c r="J101" s="26">
        <f t="shared" si="9"/>
        <v>221632.02</v>
      </c>
      <c r="K101" s="14" t="str">
        <f>IF($D101&lt;=0,"",IF($J101&lt;=0.005,"Volltilgung erreicht",IF($A101=Übersicht!$Q$13,"Ende der Zinsbindung",IF($H101&gt;0,"Sondertilgung",""))))</f>
        <v/>
      </c>
      <c r="L101" s="23">
        <f>IF($N100&lt;=0,0,ROUND($N100*Übersicht!$Q$7,2))</f>
        <v>739.37</v>
      </c>
      <c r="M101" s="23">
        <f>IF($N100&lt;=0,0,MIN($N100,IF(Übersicht!$C$13="Annuitätendarlehen",MAX(0,Übersicht!$Q$9-$L101),IF(Übersicht!$C$13="Ratendarlehen",Übersicht!$Q$10,IF($A101&gt;=Übersicht!$Q$11,$N100,0)))))</f>
        <v>660.63</v>
      </c>
      <c r="N101" s="23">
        <f t="shared" si="11"/>
        <v>245796.82</v>
      </c>
    </row>
    <row r="102" spans="1:14" ht="15" customHeight="1" x14ac:dyDescent="0.25">
      <c r="A102" s="5">
        <v>95</v>
      </c>
      <c r="B102" s="20">
        <f>IF($D102&lt;=0,"",EDATE(Übersicht!$C$18,($A102-1)*12/Übersicht!$Q$6))</f>
        <v>48913</v>
      </c>
      <c r="C102" s="5">
        <f t="shared" si="6"/>
        <v>2033</v>
      </c>
      <c r="D102" s="21">
        <f t="shared" si="10"/>
        <v>221632.02</v>
      </c>
      <c r="E102" s="7">
        <f t="shared" si="7"/>
        <v>1400</v>
      </c>
      <c r="F102" s="7">
        <f>IF($D102&lt;=0,0,ROUND($D102*Übersicht!$Q$7,2))</f>
        <v>664.9</v>
      </c>
      <c r="G102" s="7">
        <f>IF($D102&lt;=0,0,MIN($D102,IF(Übersicht!$C$13="Annuitätendarlehen",MAX(0,Übersicht!$Q$9-$F102),IF(Übersicht!$C$13="Ratendarlehen",Übersicht!$Q$10,IF($A102&gt;=Übersicht!$Q$11,$D102,0)))))</f>
        <v>735.1</v>
      </c>
      <c r="H102" s="7">
        <f>IF($D102-$G102&lt;=0,0,IF(MOD($A102,Übersicht!$Q$6)=0,IF($A102/Übersicht!$Q$6&gt;=Übersicht!$C$21,MIN(Übersicht!$C$20,$D102-$G102),0),0))</f>
        <v>0</v>
      </c>
      <c r="I102" s="7">
        <f t="shared" si="8"/>
        <v>1400</v>
      </c>
      <c r="J102" s="22">
        <f t="shared" si="9"/>
        <v>220896.92</v>
      </c>
      <c r="K102" s="9" t="str">
        <f>IF($D102&lt;=0,"",IF($J102&lt;=0.005,"Volltilgung erreicht",IF($A102=Übersicht!$Q$13,"Ende der Zinsbindung",IF($H102&gt;0,"Sondertilgung",""))))</f>
        <v/>
      </c>
      <c r="L102" s="23">
        <f>IF($N101&lt;=0,0,ROUND($N101*Übersicht!$Q$7,2))</f>
        <v>737.39</v>
      </c>
      <c r="M102" s="23">
        <f>IF($N101&lt;=0,0,MIN($N101,IF(Übersicht!$C$13="Annuitätendarlehen",MAX(0,Übersicht!$Q$9-$L102),IF(Übersicht!$C$13="Ratendarlehen",Übersicht!$Q$10,IF($A102&gt;=Übersicht!$Q$11,$N101,0)))))</f>
        <v>662.61</v>
      </c>
      <c r="N102" s="23">
        <f t="shared" si="11"/>
        <v>245134.21</v>
      </c>
    </row>
    <row r="103" spans="1:14" ht="15" customHeight="1" x14ac:dyDescent="0.25">
      <c r="A103" s="10">
        <v>96</v>
      </c>
      <c r="B103" s="24">
        <f>IF($D103&lt;=0,"",EDATE(Übersicht!$C$18,($A103-1)*12/Übersicht!$Q$6))</f>
        <v>48944</v>
      </c>
      <c r="C103" s="10">
        <f t="shared" si="6"/>
        <v>2033</v>
      </c>
      <c r="D103" s="25">
        <f t="shared" si="10"/>
        <v>220896.92</v>
      </c>
      <c r="E103" s="12">
        <f t="shared" si="7"/>
        <v>1400</v>
      </c>
      <c r="F103" s="12">
        <f>IF($D103&lt;=0,0,ROUND($D103*Übersicht!$Q$7,2))</f>
        <v>662.69</v>
      </c>
      <c r="G103" s="12">
        <f>IF($D103&lt;=0,0,MIN($D103,IF(Übersicht!$C$13="Annuitätendarlehen",MAX(0,Übersicht!$Q$9-$F103),IF(Übersicht!$C$13="Ratendarlehen",Übersicht!$Q$10,IF($A103&gt;=Übersicht!$Q$11,$D103,0)))))</f>
        <v>737.31</v>
      </c>
      <c r="H103" s="12">
        <f>IF($D103-$G103&lt;=0,0,IF(MOD($A103,Übersicht!$Q$6)=0,IF($A103/Übersicht!$Q$6&gt;=Übersicht!$C$21,MIN(Übersicht!$C$20,$D103-$G103),0),0))</f>
        <v>3000</v>
      </c>
      <c r="I103" s="12">
        <f t="shared" si="8"/>
        <v>4400</v>
      </c>
      <c r="J103" s="26">
        <f t="shared" si="9"/>
        <v>217159.61</v>
      </c>
      <c r="K103" s="14" t="str">
        <f>IF($D103&lt;=0,"",IF($J103&lt;=0.005,"Volltilgung erreicht",IF($A103=Übersicht!$Q$13,"Ende der Zinsbindung",IF($H103&gt;0,"Sondertilgung",""))))</f>
        <v>Sondertilgung</v>
      </c>
      <c r="L103" s="23">
        <f>IF($N102&lt;=0,0,ROUND($N102*Übersicht!$Q$7,2))</f>
        <v>735.4</v>
      </c>
      <c r="M103" s="23">
        <f>IF($N102&lt;=0,0,MIN($N102,IF(Übersicht!$C$13="Annuitätendarlehen",MAX(0,Übersicht!$Q$9-$L103),IF(Übersicht!$C$13="Ratendarlehen",Übersicht!$Q$10,IF($A103&gt;=Übersicht!$Q$11,$N102,0)))))</f>
        <v>664.6</v>
      </c>
      <c r="N103" s="23">
        <f t="shared" si="11"/>
        <v>244469.61</v>
      </c>
    </row>
    <row r="104" spans="1:14" ht="15" customHeight="1" x14ac:dyDescent="0.25">
      <c r="A104" s="5">
        <v>97</v>
      </c>
      <c r="B104" s="20">
        <f>IF($D104&lt;=0,"",EDATE(Übersicht!$C$18,($A104-1)*12/Übersicht!$Q$6))</f>
        <v>48975</v>
      </c>
      <c r="C104" s="5">
        <f t="shared" si="6"/>
        <v>2034</v>
      </c>
      <c r="D104" s="21">
        <f t="shared" si="10"/>
        <v>217159.61</v>
      </c>
      <c r="E104" s="7">
        <f t="shared" si="7"/>
        <v>1400</v>
      </c>
      <c r="F104" s="7">
        <f>IF($D104&lt;=0,0,ROUND($D104*Übersicht!$Q$7,2))</f>
        <v>651.48</v>
      </c>
      <c r="G104" s="7">
        <f>IF($D104&lt;=0,0,MIN($D104,IF(Übersicht!$C$13="Annuitätendarlehen",MAX(0,Übersicht!$Q$9-$F104),IF(Übersicht!$C$13="Ratendarlehen",Übersicht!$Q$10,IF($A104&gt;=Übersicht!$Q$11,$D104,0)))))</f>
        <v>748.52</v>
      </c>
      <c r="H104" s="7">
        <f>IF($D104-$G104&lt;=0,0,IF(MOD($A104,Übersicht!$Q$6)=0,IF($A104/Übersicht!$Q$6&gt;=Übersicht!$C$21,MIN(Übersicht!$C$20,$D104-$G104),0),0))</f>
        <v>0</v>
      </c>
      <c r="I104" s="7">
        <f t="shared" si="8"/>
        <v>1400</v>
      </c>
      <c r="J104" s="22">
        <f t="shared" si="9"/>
        <v>216411.09</v>
      </c>
      <c r="K104" s="9" t="str">
        <f>IF($D104&lt;=0,"",IF($J104&lt;=0.005,"Volltilgung erreicht",IF($A104=Übersicht!$Q$13,"Ende der Zinsbindung",IF($H104&gt;0,"Sondertilgung",""))))</f>
        <v/>
      </c>
      <c r="L104" s="23">
        <f>IF($N103&lt;=0,0,ROUND($N103*Übersicht!$Q$7,2))</f>
        <v>733.41</v>
      </c>
      <c r="M104" s="23">
        <f>IF($N103&lt;=0,0,MIN($N103,IF(Übersicht!$C$13="Annuitätendarlehen",MAX(0,Übersicht!$Q$9-$L104),IF(Übersicht!$C$13="Ratendarlehen",Übersicht!$Q$10,IF($A104&gt;=Übersicht!$Q$11,$N103,0)))))</f>
        <v>666.59</v>
      </c>
      <c r="N104" s="23">
        <f t="shared" si="11"/>
        <v>243803.02</v>
      </c>
    </row>
    <row r="105" spans="1:14" ht="15" customHeight="1" x14ac:dyDescent="0.25">
      <c r="A105" s="10">
        <v>98</v>
      </c>
      <c r="B105" s="24">
        <f>IF($D105&lt;=0,"",EDATE(Übersicht!$C$18,($A105-1)*12/Übersicht!$Q$6))</f>
        <v>49003</v>
      </c>
      <c r="C105" s="10">
        <f t="shared" si="6"/>
        <v>2034</v>
      </c>
      <c r="D105" s="25">
        <f t="shared" si="10"/>
        <v>216411.09</v>
      </c>
      <c r="E105" s="12">
        <f t="shared" si="7"/>
        <v>1400</v>
      </c>
      <c r="F105" s="12">
        <f>IF($D105&lt;=0,0,ROUND($D105*Übersicht!$Q$7,2))</f>
        <v>649.23</v>
      </c>
      <c r="G105" s="12">
        <f>IF($D105&lt;=0,0,MIN($D105,IF(Übersicht!$C$13="Annuitätendarlehen",MAX(0,Übersicht!$Q$9-$F105),IF(Übersicht!$C$13="Ratendarlehen",Übersicht!$Q$10,IF($A105&gt;=Übersicht!$Q$11,$D105,0)))))</f>
        <v>750.77</v>
      </c>
      <c r="H105" s="12">
        <f>IF($D105-$G105&lt;=0,0,IF(MOD($A105,Übersicht!$Q$6)=0,IF($A105/Übersicht!$Q$6&gt;=Übersicht!$C$21,MIN(Übersicht!$C$20,$D105-$G105),0),0))</f>
        <v>0</v>
      </c>
      <c r="I105" s="12">
        <f t="shared" si="8"/>
        <v>1400</v>
      </c>
      <c r="J105" s="26">
        <f t="shared" si="9"/>
        <v>215660.32</v>
      </c>
      <c r="K105" s="14" t="str">
        <f>IF($D105&lt;=0,"",IF($J105&lt;=0.005,"Volltilgung erreicht",IF($A105=Übersicht!$Q$13,"Ende der Zinsbindung",IF($H105&gt;0,"Sondertilgung",""))))</f>
        <v/>
      </c>
      <c r="L105" s="23">
        <f>IF($N104&lt;=0,0,ROUND($N104*Übersicht!$Q$7,2))</f>
        <v>731.41</v>
      </c>
      <c r="M105" s="23">
        <f>IF($N104&lt;=0,0,MIN($N104,IF(Übersicht!$C$13="Annuitätendarlehen",MAX(0,Übersicht!$Q$9-$L105),IF(Übersicht!$C$13="Ratendarlehen",Übersicht!$Q$10,IF($A105&gt;=Übersicht!$Q$11,$N104,0)))))</f>
        <v>668.59</v>
      </c>
      <c r="N105" s="23">
        <f t="shared" si="11"/>
        <v>243134.43</v>
      </c>
    </row>
    <row r="106" spans="1:14" ht="15" customHeight="1" x14ac:dyDescent="0.25">
      <c r="A106" s="5">
        <v>99</v>
      </c>
      <c r="B106" s="20">
        <f>IF($D106&lt;=0,"",EDATE(Übersicht!$C$18,($A106-1)*12/Übersicht!$Q$6))</f>
        <v>49034</v>
      </c>
      <c r="C106" s="5">
        <f t="shared" si="6"/>
        <v>2034</v>
      </c>
      <c r="D106" s="21">
        <f t="shared" si="10"/>
        <v>215660.32</v>
      </c>
      <c r="E106" s="7">
        <f t="shared" si="7"/>
        <v>1400</v>
      </c>
      <c r="F106" s="7">
        <f>IF($D106&lt;=0,0,ROUND($D106*Übersicht!$Q$7,2))</f>
        <v>646.98</v>
      </c>
      <c r="G106" s="7">
        <f>IF($D106&lt;=0,0,MIN($D106,IF(Übersicht!$C$13="Annuitätendarlehen",MAX(0,Übersicht!$Q$9-$F106),IF(Übersicht!$C$13="Ratendarlehen",Übersicht!$Q$10,IF($A106&gt;=Übersicht!$Q$11,$D106,0)))))</f>
        <v>753.02</v>
      </c>
      <c r="H106" s="7">
        <f>IF($D106-$G106&lt;=0,0,IF(MOD($A106,Übersicht!$Q$6)=0,IF($A106/Übersicht!$Q$6&gt;=Übersicht!$C$21,MIN(Übersicht!$C$20,$D106-$G106),0),0))</f>
        <v>0</v>
      </c>
      <c r="I106" s="7">
        <f t="shared" si="8"/>
        <v>1400</v>
      </c>
      <c r="J106" s="22">
        <f t="shared" si="9"/>
        <v>214907.3</v>
      </c>
      <c r="K106" s="9" t="str">
        <f>IF($D106&lt;=0,"",IF($J106&lt;=0.005,"Volltilgung erreicht",IF($A106=Übersicht!$Q$13,"Ende der Zinsbindung",IF($H106&gt;0,"Sondertilgung",""))))</f>
        <v/>
      </c>
      <c r="L106" s="23">
        <f>IF($N105&lt;=0,0,ROUND($N105*Übersicht!$Q$7,2))</f>
        <v>729.4</v>
      </c>
      <c r="M106" s="23">
        <f>IF($N105&lt;=0,0,MIN($N105,IF(Übersicht!$C$13="Annuitätendarlehen",MAX(0,Übersicht!$Q$9-$L106),IF(Übersicht!$C$13="Ratendarlehen",Übersicht!$Q$10,IF($A106&gt;=Übersicht!$Q$11,$N105,0)))))</f>
        <v>670.6</v>
      </c>
      <c r="N106" s="23">
        <f t="shared" si="11"/>
        <v>242463.83</v>
      </c>
    </row>
    <row r="107" spans="1:14" ht="15" customHeight="1" x14ac:dyDescent="0.25">
      <c r="A107" s="10">
        <v>100</v>
      </c>
      <c r="B107" s="24">
        <f>IF($D107&lt;=0,"",EDATE(Übersicht!$C$18,($A107-1)*12/Übersicht!$Q$6))</f>
        <v>49064</v>
      </c>
      <c r="C107" s="10">
        <f t="shared" si="6"/>
        <v>2034</v>
      </c>
      <c r="D107" s="25">
        <f t="shared" si="10"/>
        <v>214907.3</v>
      </c>
      <c r="E107" s="12">
        <f t="shared" si="7"/>
        <v>1400</v>
      </c>
      <c r="F107" s="12">
        <f>IF($D107&lt;=0,0,ROUND($D107*Übersicht!$Q$7,2))</f>
        <v>644.72</v>
      </c>
      <c r="G107" s="12">
        <f>IF($D107&lt;=0,0,MIN($D107,IF(Übersicht!$C$13="Annuitätendarlehen",MAX(0,Übersicht!$Q$9-$F107),IF(Übersicht!$C$13="Ratendarlehen",Übersicht!$Q$10,IF($A107&gt;=Übersicht!$Q$11,$D107,0)))))</f>
        <v>755.28</v>
      </c>
      <c r="H107" s="12">
        <f>IF($D107-$G107&lt;=0,0,IF(MOD($A107,Übersicht!$Q$6)=0,IF($A107/Übersicht!$Q$6&gt;=Übersicht!$C$21,MIN(Übersicht!$C$20,$D107-$G107),0),0))</f>
        <v>0</v>
      </c>
      <c r="I107" s="12">
        <f t="shared" si="8"/>
        <v>1400</v>
      </c>
      <c r="J107" s="26">
        <f t="shared" si="9"/>
        <v>214152.02</v>
      </c>
      <c r="K107" s="14" t="str">
        <f>IF($D107&lt;=0,"",IF($J107&lt;=0.005,"Volltilgung erreicht",IF($A107=Übersicht!$Q$13,"Ende der Zinsbindung",IF($H107&gt;0,"Sondertilgung",""))))</f>
        <v/>
      </c>
      <c r="L107" s="23">
        <f>IF($N106&lt;=0,0,ROUND($N106*Übersicht!$Q$7,2))</f>
        <v>727.39</v>
      </c>
      <c r="M107" s="23">
        <f>IF($N106&lt;=0,0,MIN($N106,IF(Übersicht!$C$13="Annuitätendarlehen",MAX(0,Übersicht!$Q$9-$L107),IF(Übersicht!$C$13="Ratendarlehen",Übersicht!$Q$10,IF($A107&gt;=Übersicht!$Q$11,$N106,0)))))</f>
        <v>672.61</v>
      </c>
      <c r="N107" s="23">
        <f t="shared" si="11"/>
        <v>241791.22</v>
      </c>
    </row>
    <row r="108" spans="1:14" ht="15" customHeight="1" x14ac:dyDescent="0.25">
      <c r="A108" s="5">
        <v>101</v>
      </c>
      <c r="B108" s="20">
        <f>IF($D108&lt;=0,"",EDATE(Übersicht!$C$18,($A108-1)*12/Übersicht!$Q$6))</f>
        <v>49095</v>
      </c>
      <c r="C108" s="5">
        <f t="shared" si="6"/>
        <v>2034</v>
      </c>
      <c r="D108" s="21">
        <f t="shared" si="10"/>
        <v>214152.02</v>
      </c>
      <c r="E108" s="7">
        <f t="shared" si="7"/>
        <v>1400</v>
      </c>
      <c r="F108" s="7">
        <f>IF($D108&lt;=0,0,ROUND($D108*Übersicht!$Q$7,2))</f>
        <v>642.46</v>
      </c>
      <c r="G108" s="7">
        <f>IF($D108&lt;=0,0,MIN($D108,IF(Übersicht!$C$13="Annuitätendarlehen",MAX(0,Übersicht!$Q$9-$F108),IF(Übersicht!$C$13="Ratendarlehen",Übersicht!$Q$10,IF($A108&gt;=Übersicht!$Q$11,$D108,0)))))</f>
        <v>757.54</v>
      </c>
      <c r="H108" s="7">
        <f>IF($D108-$G108&lt;=0,0,IF(MOD($A108,Übersicht!$Q$6)=0,IF($A108/Übersicht!$Q$6&gt;=Übersicht!$C$21,MIN(Übersicht!$C$20,$D108-$G108),0),0))</f>
        <v>0</v>
      </c>
      <c r="I108" s="7">
        <f t="shared" si="8"/>
        <v>1400</v>
      </c>
      <c r="J108" s="22">
        <f t="shared" si="9"/>
        <v>213394.48</v>
      </c>
      <c r="K108" s="9" t="str">
        <f>IF($D108&lt;=0,"",IF($J108&lt;=0.005,"Volltilgung erreicht",IF($A108=Übersicht!$Q$13,"Ende der Zinsbindung",IF($H108&gt;0,"Sondertilgung",""))))</f>
        <v/>
      </c>
      <c r="L108" s="23">
        <f>IF($N107&lt;=0,0,ROUND($N107*Übersicht!$Q$7,2))</f>
        <v>725.37</v>
      </c>
      <c r="M108" s="23">
        <f>IF($N107&lt;=0,0,MIN($N107,IF(Übersicht!$C$13="Annuitätendarlehen",MAX(0,Übersicht!$Q$9-$L108),IF(Übersicht!$C$13="Ratendarlehen",Übersicht!$Q$10,IF($A108&gt;=Übersicht!$Q$11,$N107,0)))))</f>
        <v>674.63</v>
      </c>
      <c r="N108" s="23">
        <f t="shared" si="11"/>
        <v>241116.59</v>
      </c>
    </row>
    <row r="109" spans="1:14" ht="15" customHeight="1" x14ac:dyDescent="0.25">
      <c r="A109" s="10">
        <v>102</v>
      </c>
      <c r="B109" s="24">
        <f>IF($D109&lt;=0,"",EDATE(Übersicht!$C$18,($A109-1)*12/Übersicht!$Q$6))</f>
        <v>49125</v>
      </c>
      <c r="C109" s="10">
        <f t="shared" si="6"/>
        <v>2034</v>
      </c>
      <c r="D109" s="25">
        <f t="shared" si="10"/>
        <v>213394.48</v>
      </c>
      <c r="E109" s="12">
        <f t="shared" si="7"/>
        <v>1400</v>
      </c>
      <c r="F109" s="12">
        <f>IF($D109&lt;=0,0,ROUND($D109*Übersicht!$Q$7,2))</f>
        <v>640.17999999999995</v>
      </c>
      <c r="G109" s="12">
        <f>IF($D109&lt;=0,0,MIN($D109,IF(Übersicht!$C$13="Annuitätendarlehen",MAX(0,Übersicht!$Q$9-$F109),IF(Übersicht!$C$13="Ratendarlehen",Übersicht!$Q$10,IF($A109&gt;=Übersicht!$Q$11,$D109,0)))))</f>
        <v>759.82</v>
      </c>
      <c r="H109" s="12">
        <f>IF($D109-$G109&lt;=0,0,IF(MOD($A109,Übersicht!$Q$6)=0,IF($A109/Übersicht!$Q$6&gt;=Übersicht!$C$21,MIN(Übersicht!$C$20,$D109-$G109),0),0))</f>
        <v>0</v>
      </c>
      <c r="I109" s="12">
        <f t="shared" si="8"/>
        <v>1400</v>
      </c>
      <c r="J109" s="26">
        <f t="shared" si="9"/>
        <v>212634.66</v>
      </c>
      <c r="K109" s="14" t="str">
        <f>IF($D109&lt;=0,"",IF($J109&lt;=0.005,"Volltilgung erreicht",IF($A109=Übersicht!$Q$13,"Ende der Zinsbindung",IF($H109&gt;0,"Sondertilgung",""))))</f>
        <v/>
      </c>
      <c r="L109" s="23">
        <f>IF($N108&lt;=0,0,ROUND($N108*Übersicht!$Q$7,2))</f>
        <v>723.35</v>
      </c>
      <c r="M109" s="23">
        <f>IF($N108&lt;=0,0,MIN($N108,IF(Übersicht!$C$13="Annuitätendarlehen",MAX(0,Übersicht!$Q$9-$L109),IF(Übersicht!$C$13="Ratendarlehen",Übersicht!$Q$10,IF($A109&gt;=Übersicht!$Q$11,$N108,0)))))</f>
        <v>676.65</v>
      </c>
      <c r="N109" s="23">
        <f t="shared" si="11"/>
        <v>240439.94</v>
      </c>
    </row>
    <row r="110" spans="1:14" ht="15" customHeight="1" x14ac:dyDescent="0.25">
      <c r="A110" s="5">
        <v>103</v>
      </c>
      <c r="B110" s="20">
        <f>IF($D110&lt;=0,"",EDATE(Übersicht!$C$18,($A110-1)*12/Übersicht!$Q$6))</f>
        <v>49156</v>
      </c>
      <c r="C110" s="5">
        <f t="shared" si="6"/>
        <v>2034</v>
      </c>
      <c r="D110" s="21">
        <f t="shared" si="10"/>
        <v>212634.66</v>
      </c>
      <c r="E110" s="7">
        <f t="shared" si="7"/>
        <v>1400</v>
      </c>
      <c r="F110" s="7">
        <f>IF($D110&lt;=0,0,ROUND($D110*Übersicht!$Q$7,2))</f>
        <v>637.9</v>
      </c>
      <c r="G110" s="7">
        <f>IF($D110&lt;=0,0,MIN($D110,IF(Übersicht!$C$13="Annuitätendarlehen",MAX(0,Übersicht!$Q$9-$F110),IF(Übersicht!$C$13="Ratendarlehen",Übersicht!$Q$10,IF($A110&gt;=Übersicht!$Q$11,$D110,0)))))</f>
        <v>762.1</v>
      </c>
      <c r="H110" s="7">
        <f>IF($D110-$G110&lt;=0,0,IF(MOD($A110,Übersicht!$Q$6)=0,IF($A110/Übersicht!$Q$6&gt;=Übersicht!$C$21,MIN(Übersicht!$C$20,$D110-$G110),0),0))</f>
        <v>0</v>
      </c>
      <c r="I110" s="7">
        <f t="shared" si="8"/>
        <v>1400</v>
      </c>
      <c r="J110" s="22">
        <f t="shared" si="9"/>
        <v>211872.56</v>
      </c>
      <c r="K110" s="9" t="str">
        <f>IF($D110&lt;=0,"",IF($J110&lt;=0.005,"Volltilgung erreicht",IF($A110=Übersicht!$Q$13,"Ende der Zinsbindung",IF($H110&gt;0,"Sondertilgung",""))))</f>
        <v/>
      </c>
      <c r="L110" s="23">
        <f>IF($N109&lt;=0,0,ROUND($N109*Übersicht!$Q$7,2))</f>
        <v>721.32</v>
      </c>
      <c r="M110" s="23">
        <f>IF($N109&lt;=0,0,MIN($N109,IF(Übersicht!$C$13="Annuitätendarlehen",MAX(0,Übersicht!$Q$9-$L110),IF(Übersicht!$C$13="Ratendarlehen",Übersicht!$Q$10,IF($A110&gt;=Übersicht!$Q$11,$N109,0)))))</f>
        <v>678.68</v>
      </c>
      <c r="N110" s="23">
        <f t="shared" si="11"/>
        <v>239761.26</v>
      </c>
    </row>
    <row r="111" spans="1:14" ht="15" customHeight="1" x14ac:dyDescent="0.25">
      <c r="A111" s="10">
        <v>104</v>
      </c>
      <c r="B111" s="24">
        <f>IF($D111&lt;=0,"",EDATE(Übersicht!$C$18,($A111-1)*12/Übersicht!$Q$6))</f>
        <v>49187</v>
      </c>
      <c r="C111" s="10">
        <f t="shared" si="6"/>
        <v>2034</v>
      </c>
      <c r="D111" s="25">
        <f t="shared" si="10"/>
        <v>211872.56</v>
      </c>
      <c r="E111" s="12">
        <f t="shared" si="7"/>
        <v>1400</v>
      </c>
      <c r="F111" s="12">
        <f>IF($D111&lt;=0,0,ROUND($D111*Übersicht!$Q$7,2))</f>
        <v>635.62</v>
      </c>
      <c r="G111" s="12">
        <f>IF($D111&lt;=0,0,MIN($D111,IF(Übersicht!$C$13="Annuitätendarlehen",MAX(0,Übersicht!$Q$9-$F111),IF(Übersicht!$C$13="Ratendarlehen",Übersicht!$Q$10,IF($A111&gt;=Übersicht!$Q$11,$D111,0)))))</f>
        <v>764.38</v>
      </c>
      <c r="H111" s="12">
        <f>IF($D111-$G111&lt;=0,0,IF(MOD($A111,Übersicht!$Q$6)=0,IF($A111/Übersicht!$Q$6&gt;=Übersicht!$C$21,MIN(Übersicht!$C$20,$D111-$G111),0),0))</f>
        <v>0</v>
      </c>
      <c r="I111" s="12">
        <f t="shared" si="8"/>
        <v>1400</v>
      </c>
      <c r="J111" s="26">
        <f t="shared" si="9"/>
        <v>211108.18</v>
      </c>
      <c r="K111" s="14" t="str">
        <f>IF($D111&lt;=0,"",IF($J111&lt;=0.005,"Volltilgung erreicht",IF($A111=Übersicht!$Q$13,"Ende der Zinsbindung",IF($H111&gt;0,"Sondertilgung",""))))</f>
        <v/>
      </c>
      <c r="L111" s="23">
        <f>IF($N110&lt;=0,0,ROUND($N110*Übersicht!$Q$7,2))</f>
        <v>719.28</v>
      </c>
      <c r="M111" s="23">
        <f>IF($N110&lt;=0,0,MIN($N110,IF(Übersicht!$C$13="Annuitätendarlehen",MAX(0,Übersicht!$Q$9-$L111),IF(Übersicht!$C$13="Ratendarlehen",Übersicht!$Q$10,IF($A111&gt;=Übersicht!$Q$11,$N110,0)))))</f>
        <v>680.72</v>
      </c>
      <c r="N111" s="23">
        <f t="shared" si="11"/>
        <v>239080.54</v>
      </c>
    </row>
    <row r="112" spans="1:14" ht="15" customHeight="1" x14ac:dyDescent="0.25">
      <c r="A112" s="5">
        <v>105</v>
      </c>
      <c r="B112" s="20">
        <f>IF($D112&lt;=0,"",EDATE(Übersicht!$C$18,($A112-1)*12/Übersicht!$Q$6))</f>
        <v>49217</v>
      </c>
      <c r="C112" s="5">
        <f t="shared" si="6"/>
        <v>2034</v>
      </c>
      <c r="D112" s="21">
        <f t="shared" si="10"/>
        <v>211108.18</v>
      </c>
      <c r="E112" s="7">
        <f t="shared" si="7"/>
        <v>1400</v>
      </c>
      <c r="F112" s="7">
        <f>IF($D112&lt;=0,0,ROUND($D112*Übersicht!$Q$7,2))</f>
        <v>633.32000000000005</v>
      </c>
      <c r="G112" s="7">
        <f>IF($D112&lt;=0,0,MIN($D112,IF(Übersicht!$C$13="Annuitätendarlehen",MAX(0,Übersicht!$Q$9-$F112),IF(Übersicht!$C$13="Ratendarlehen",Übersicht!$Q$10,IF($A112&gt;=Übersicht!$Q$11,$D112,0)))))</f>
        <v>766.68</v>
      </c>
      <c r="H112" s="7">
        <f>IF($D112-$G112&lt;=0,0,IF(MOD($A112,Übersicht!$Q$6)=0,IF($A112/Übersicht!$Q$6&gt;=Übersicht!$C$21,MIN(Übersicht!$C$20,$D112-$G112),0),0))</f>
        <v>0</v>
      </c>
      <c r="I112" s="7">
        <f t="shared" si="8"/>
        <v>1400</v>
      </c>
      <c r="J112" s="22">
        <f t="shared" si="9"/>
        <v>210341.5</v>
      </c>
      <c r="K112" s="9" t="str">
        <f>IF($D112&lt;=0,"",IF($J112&lt;=0.005,"Volltilgung erreicht",IF($A112=Übersicht!$Q$13,"Ende der Zinsbindung",IF($H112&gt;0,"Sondertilgung",""))))</f>
        <v/>
      </c>
      <c r="L112" s="23">
        <f>IF($N111&lt;=0,0,ROUND($N111*Übersicht!$Q$7,2))</f>
        <v>717.24</v>
      </c>
      <c r="M112" s="23">
        <f>IF($N111&lt;=0,0,MIN($N111,IF(Übersicht!$C$13="Annuitätendarlehen",MAX(0,Übersicht!$Q$9-$L112),IF(Übersicht!$C$13="Ratendarlehen",Übersicht!$Q$10,IF($A112&gt;=Übersicht!$Q$11,$N111,0)))))</f>
        <v>682.76</v>
      </c>
      <c r="N112" s="23">
        <f t="shared" si="11"/>
        <v>238397.78</v>
      </c>
    </row>
    <row r="113" spans="1:14" ht="15" customHeight="1" x14ac:dyDescent="0.25">
      <c r="A113" s="10">
        <v>106</v>
      </c>
      <c r="B113" s="24">
        <f>IF($D113&lt;=0,"",EDATE(Übersicht!$C$18,($A113-1)*12/Übersicht!$Q$6))</f>
        <v>49248</v>
      </c>
      <c r="C113" s="10">
        <f t="shared" si="6"/>
        <v>2034</v>
      </c>
      <c r="D113" s="25">
        <f t="shared" si="10"/>
        <v>210341.5</v>
      </c>
      <c r="E113" s="12">
        <f t="shared" si="7"/>
        <v>1400</v>
      </c>
      <c r="F113" s="12">
        <f>IF($D113&lt;=0,0,ROUND($D113*Übersicht!$Q$7,2))</f>
        <v>631.02</v>
      </c>
      <c r="G113" s="12">
        <f>IF($D113&lt;=0,0,MIN($D113,IF(Übersicht!$C$13="Annuitätendarlehen",MAX(0,Übersicht!$Q$9-$F113),IF(Übersicht!$C$13="Ratendarlehen",Übersicht!$Q$10,IF($A113&gt;=Übersicht!$Q$11,$D113,0)))))</f>
        <v>768.98</v>
      </c>
      <c r="H113" s="12">
        <f>IF($D113-$G113&lt;=0,0,IF(MOD($A113,Übersicht!$Q$6)=0,IF($A113/Übersicht!$Q$6&gt;=Übersicht!$C$21,MIN(Übersicht!$C$20,$D113-$G113),0),0))</f>
        <v>0</v>
      </c>
      <c r="I113" s="12">
        <f t="shared" si="8"/>
        <v>1400</v>
      </c>
      <c r="J113" s="26">
        <f t="shared" si="9"/>
        <v>209572.52</v>
      </c>
      <c r="K113" s="14" t="str">
        <f>IF($D113&lt;=0,"",IF($J113&lt;=0.005,"Volltilgung erreicht",IF($A113=Übersicht!$Q$13,"Ende der Zinsbindung",IF($H113&gt;0,"Sondertilgung",""))))</f>
        <v/>
      </c>
      <c r="L113" s="23">
        <f>IF($N112&lt;=0,0,ROUND($N112*Übersicht!$Q$7,2))</f>
        <v>715.19</v>
      </c>
      <c r="M113" s="23">
        <f>IF($N112&lt;=0,0,MIN($N112,IF(Übersicht!$C$13="Annuitätendarlehen",MAX(0,Übersicht!$Q$9-$L113),IF(Übersicht!$C$13="Ratendarlehen",Übersicht!$Q$10,IF($A113&gt;=Übersicht!$Q$11,$N112,0)))))</f>
        <v>684.81</v>
      </c>
      <c r="N113" s="23">
        <f t="shared" si="11"/>
        <v>237712.97</v>
      </c>
    </row>
    <row r="114" spans="1:14" ht="15" customHeight="1" x14ac:dyDescent="0.25">
      <c r="A114" s="5">
        <v>107</v>
      </c>
      <c r="B114" s="20">
        <f>IF($D114&lt;=0,"",EDATE(Übersicht!$C$18,($A114-1)*12/Übersicht!$Q$6))</f>
        <v>49278</v>
      </c>
      <c r="C114" s="5">
        <f t="shared" si="6"/>
        <v>2034</v>
      </c>
      <c r="D114" s="21">
        <f t="shared" si="10"/>
        <v>209572.52</v>
      </c>
      <c r="E114" s="7">
        <f t="shared" si="7"/>
        <v>1400</v>
      </c>
      <c r="F114" s="7">
        <f>IF($D114&lt;=0,0,ROUND($D114*Übersicht!$Q$7,2))</f>
        <v>628.72</v>
      </c>
      <c r="G114" s="7">
        <f>IF($D114&lt;=0,0,MIN($D114,IF(Übersicht!$C$13="Annuitätendarlehen",MAX(0,Übersicht!$Q$9-$F114),IF(Übersicht!$C$13="Ratendarlehen",Übersicht!$Q$10,IF($A114&gt;=Übersicht!$Q$11,$D114,0)))))</f>
        <v>771.28</v>
      </c>
      <c r="H114" s="7">
        <f>IF($D114-$G114&lt;=0,0,IF(MOD($A114,Übersicht!$Q$6)=0,IF($A114/Übersicht!$Q$6&gt;=Übersicht!$C$21,MIN(Übersicht!$C$20,$D114-$G114),0),0))</f>
        <v>0</v>
      </c>
      <c r="I114" s="7">
        <f t="shared" si="8"/>
        <v>1400</v>
      </c>
      <c r="J114" s="22">
        <f t="shared" si="9"/>
        <v>208801.24</v>
      </c>
      <c r="K114" s="9" t="str">
        <f>IF($D114&lt;=0,"",IF($J114&lt;=0.005,"Volltilgung erreicht",IF($A114=Übersicht!$Q$13,"Ende der Zinsbindung",IF($H114&gt;0,"Sondertilgung",""))))</f>
        <v/>
      </c>
      <c r="L114" s="23">
        <f>IF($N113&lt;=0,0,ROUND($N113*Übersicht!$Q$7,2))</f>
        <v>713.14</v>
      </c>
      <c r="M114" s="23">
        <f>IF($N113&lt;=0,0,MIN($N113,IF(Übersicht!$C$13="Annuitätendarlehen",MAX(0,Übersicht!$Q$9-$L114),IF(Übersicht!$C$13="Ratendarlehen",Übersicht!$Q$10,IF($A114&gt;=Übersicht!$Q$11,$N113,0)))))</f>
        <v>686.86</v>
      </c>
      <c r="N114" s="23">
        <f t="shared" si="11"/>
        <v>237026.11</v>
      </c>
    </row>
    <row r="115" spans="1:14" ht="15" customHeight="1" x14ac:dyDescent="0.25">
      <c r="A115" s="10">
        <v>108</v>
      </c>
      <c r="B115" s="24">
        <f>IF($D115&lt;=0,"",EDATE(Übersicht!$C$18,($A115-1)*12/Übersicht!$Q$6))</f>
        <v>49309</v>
      </c>
      <c r="C115" s="10">
        <f t="shared" si="6"/>
        <v>2034</v>
      </c>
      <c r="D115" s="25">
        <f t="shared" si="10"/>
        <v>208801.24</v>
      </c>
      <c r="E115" s="12">
        <f t="shared" si="7"/>
        <v>1400</v>
      </c>
      <c r="F115" s="12">
        <f>IF($D115&lt;=0,0,ROUND($D115*Übersicht!$Q$7,2))</f>
        <v>626.4</v>
      </c>
      <c r="G115" s="12">
        <f>IF($D115&lt;=0,0,MIN($D115,IF(Übersicht!$C$13="Annuitätendarlehen",MAX(0,Übersicht!$Q$9-$F115),IF(Übersicht!$C$13="Ratendarlehen",Übersicht!$Q$10,IF($A115&gt;=Übersicht!$Q$11,$D115,0)))))</f>
        <v>773.6</v>
      </c>
      <c r="H115" s="12">
        <f>IF($D115-$G115&lt;=0,0,IF(MOD($A115,Übersicht!$Q$6)=0,IF($A115/Übersicht!$Q$6&gt;=Übersicht!$C$21,MIN(Übersicht!$C$20,$D115-$G115),0),0))</f>
        <v>3000</v>
      </c>
      <c r="I115" s="12">
        <f t="shared" si="8"/>
        <v>4400</v>
      </c>
      <c r="J115" s="26">
        <f t="shared" si="9"/>
        <v>205027.64</v>
      </c>
      <c r="K115" s="14" t="str">
        <f>IF($D115&lt;=0,"",IF($J115&lt;=0.005,"Volltilgung erreicht",IF($A115=Übersicht!$Q$13,"Ende der Zinsbindung",IF($H115&gt;0,"Sondertilgung",""))))</f>
        <v>Sondertilgung</v>
      </c>
      <c r="L115" s="23">
        <f>IF($N114&lt;=0,0,ROUND($N114*Übersicht!$Q$7,2))</f>
        <v>711.08</v>
      </c>
      <c r="M115" s="23">
        <f>IF($N114&lt;=0,0,MIN($N114,IF(Übersicht!$C$13="Annuitätendarlehen",MAX(0,Übersicht!$Q$9-$L115),IF(Übersicht!$C$13="Ratendarlehen",Übersicht!$Q$10,IF($A115&gt;=Übersicht!$Q$11,$N114,0)))))</f>
        <v>688.92</v>
      </c>
      <c r="N115" s="23">
        <f t="shared" si="11"/>
        <v>236337.19</v>
      </c>
    </row>
    <row r="116" spans="1:14" ht="15" customHeight="1" x14ac:dyDescent="0.25">
      <c r="A116" s="5">
        <v>109</v>
      </c>
      <c r="B116" s="20">
        <f>IF($D116&lt;=0,"",EDATE(Übersicht!$C$18,($A116-1)*12/Übersicht!$Q$6))</f>
        <v>49340</v>
      </c>
      <c r="C116" s="5">
        <f t="shared" si="6"/>
        <v>2035</v>
      </c>
      <c r="D116" s="21">
        <f t="shared" si="10"/>
        <v>205027.64</v>
      </c>
      <c r="E116" s="7">
        <f t="shared" si="7"/>
        <v>1400</v>
      </c>
      <c r="F116" s="7">
        <f>IF($D116&lt;=0,0,ROUND($D116*Übersicht!$Q$7,2))</f>
        <v>615.08000000000004</v>
      </c>
      <c r="G116" s="7">
        <f>IF($D116&lt;=0,0,MIN($D116,IF(Übersicht!$C$13="Annuitätendarlehen",MAX(0,Übersicht!$Q$9-$F116),IF(Übersicht!$C$13="Ratendarlehen",Übersicht!$Q$10,IF($A116&gt;=Übersicht!$Q$11,$D116,0)))))</f>
        <v>784.92</v>
      </c>
      <c r="H116" s="7">
        <f>IF($D116-$G116&lt;=0,0,IF(MOD($A116,Übersicht!$Q$6)=0,IF($A116/Übersicht!$Q$6&gt;=Übersicht!$C$21,MIN(Übersicht!$C$20,$D116-$G116),0),0))</f>
        <v>0</v>
      </c>
      <c r="I116" s="7">
        <f t="shared" si="8"/>
        <v>1400</v>
      </c>
      <c r="J116" s="22">
        <f t="shared" si="9"/>
        <v>204242.72</v>
      </c>
      <c r="K116" s="9" t="str">
        <f>IF($D116&lt;=0,"",IF($J116&lt;=0.005,"Volltilgung erreicht",IF($A116=Übersicht!$Q$13,"Ende der Zinsbindung",IF($H116&gt;0,"Sondertilgung",""))))</f>
        <v/>
      </c>
      <c r="L116" s="23">
        <f>IF($N115&lt;=0,0,ROUND($N115*Übersicht!$Q$7,2))</f>
        <v>709.01</v>
      </c>
      <c r="M116" s="23">
        <f>IF($N115&lt;=0,0,MIN($N115,IF(Übersicht!$C$13="Annuitätendarlehen",MAX(0,Übersicht!$Q$9-$L116),IF(Übersicht!$C$13="Ratendarlehen",Übersicht!$Q$10,IF($A116&gt;=Übersicht!$Q$11,$N115,0)))))</f>
        <v>690.99</v>
      </c>
      <c r="N116" s="23">
        <f t="shared" si="11"/>
        <v>235646.2</v>
      </c>
    </row>
    <row r="117" spans="1:14" ht="15" customHeight="1" x14ac:dyDescent="0.25">
      <c r="A117" s="10">
        <v>110</v>
      </c>
      <c r="B117" s="24">
        <f>IF($D117&lt;=0,"",EDATE(Übersicht!$C$18,($A117-1)*12/Übersicht!$Q$6))</f>
        <v>49368</v>
      </c>
      <c r="C117" s="10">
        <f t="shared" si="6"/>
        <v>2035</v>
      </c>
      <c r="D117" s="25">
        <f t="shared" si="10"/>
        <v>204242.72</v>
      </c>
      <c r="E117" s="12">
        <f t="shared" si="7"/>
        <v>1400</v>
      </c>
      <c r="F117" s="12">
        <f>IF($D117&lt;=0,0,ROUND($D117*Übersicht!$Q$7,2))</f>
        <v>612.73</v>
      </c>
      <c r="G117" s="12">
        <f>IF($D117&lt;=0,0,MIN($D117,IF(Übersicht!$C$13="Annuitätendarlehen",MAX(0,Übersicht!$Q$9-$F117),IF(Übersicht!$C$13="Ratendarlehen",Übersicht!$Q$10,IF($A117&gt;=Übersicht!$Q$11,$D117,0)))))</f>
        <v>787.27</v>
      </c>
      <c r="H117" s="12">
        <f>IF($D117-$G117&lt;=0,0,IF(MOD($A117,Übersicht!$Q$6)=0,IF($A117/Übersicht!$Q$6&gt;=Übersicht!$C$21,MIN(Übersicht!$C$20,$D117-$G117),0),0))</f>
        <v>0</v>
      </c>
      <c r="I117" s="12">
        <f t="shared" si="8"/>
        <v>1400</v>
      </c>
      <c r="J117" s="26">
        <f t="shared" si="9"/>
        <v>203455.45</v>
      </c>
      <c r="K117" s="14" t="str">
        <f>IF($D117&lt;=0,"",IF($J117&lt;=0.005,"Volltilgung erreicht",IF($A117=Übersicht!$Q$13,"Ende der Zinsbindung",IF($H117&gt;0,"Sondertilgung",""))))</f>
        <v/>
      </c>
      <c r="L117" s="23">
        <f>IF($N116&lt;=0,0,ROUND($N116*Übersicht!$Q$7,2))</f>
        <v>706.94</v>
      </c>
      <c r="M117" s="23">
        <f>IF($N116&lt;=0,0,MIN($N116,IF(Übersicht!$C$13="Annuitätendarlehen",MAX(0,Übersicht!$Q$9-$L117),IF(Übersicht!$C$13="Ratendarlehen",Übersicht!$Q$10,IF($A117&gt;=Übersicht!$Q$11,$N116,0)))))</f>
        <v>693.06</v>
      </c>
      <c r="N117" s="23">
        <f t="shared" si="11"/>
        <v>234953.14</v>
      </c>
    </row>
    <row r="118" spans="1:14" ht="15" customHeight="1" x14ac:dyDescent="0.25">
      <c r="A118" s="5">
        <v>111</v>
      </c>
      <c r="B118" s="20">
        <f>IF($D118&lt;=0,"",EDATE(Übersicht!$C$18,($A118-1)*12/Übersicht!$Q$6))</f>
        <v>49399</v>
      </c>
      <c r="C118" s="5">
        <f t="shared" si="6"/>
        <v>2035</v>
      </c>
      <c r="D118" s="21">
        <f t="shared" si="10"/>
        <v>203455.45</v>
      </c>
      <c r="E118" s="7">
        <f t="shared" si="7"/>
        <v>1400</v>
      </c>
      <c r="F118" s="7">
        <f>IF($D118&lt;=0,0,ROUND($D118*Übersicht!$Q$7,2))</f>
        <v>610.37</v>
      </c>
      <c r="G118" s="7">
        <f>IF($D118&lt;=0,0,MIN($D118,IF(Übersicht!$C$13="Annuitätendarlehen",MAX(0,Übersicht!$Q$9-$F118),IF(Übersicht!$C$13="Ratendarlehen",Übersicht!$Q$10,IF($A118&gt;=Übersicht!$Q$11,$D118,0)))))</f>
        <v>789.63</v>
      </c>
      <c r="H118" s="7">
        <f>IF($D118-$G118&lt;=0,0,IF(MOD($A118,Übersicht!$Q$6)=0,IF($A118/Übersicht!$Q$6&gt;=Übersicht!$C$21,MIN(Übersicht!$C$20,$D118-$G118),0),0))</f>
        <v>0</v>
      </c>
      <c r="I118" s="7">
        <f t="shared" si="8"/>
        <v>1400</v>
      </c>
      <c r="J118" s="22">
        <f t="shared" si="9"/>
        <v>202665.82</v>
      </c>
      <c r="K118" s="9" t="str">
        <f>IF($D118&lt;=0,"",IF($J118&lt;=0.005,"Volltilgung erreicht",IF($A118=Übersicht!$Q$13,"Ende der Zinsbindung",IF($H118&gt;0,"Sondertilgung",""))))</f>
        <v/>
      </c>
      <c r="L118" s="23">
        <f>IF($N117&lt;=0,0,ROUND($N117*Übersicht!$Q$7,2))</f>
        <v>704.86</v>
      </c>
      <c r="M118" s="23">
        <f>IF($N117&lt;=0,0,MIN($N117,IF(Übersicht!$C$13="Annuitätendarlehen",MAX(0,Übersicht!$Q$9-$L118),IF(Übersicht!$C$13="Ratendarlehen",Übersicht!$Q$10,IF($A118&gt;=Übersicht!$Q$11,$N117,0)))))</f>
        <v>695.14</v>
      </c>
      <c r="N118" s="23">
        <f t="shared" si="11"/>
        <v>234258</v>
      </c>
    </row>
    <row r="119" spans="1:14" ht="15" customHeight="1" x14ac:dyDescent="0.25">
      <c r="A119" s="10">
        <v>112</v>
      </c>
      <c r="B119" s="24">
        <f>IF($D119&lt;=0,"",EDATE(Übersicht!$C$18,($A119-1)*12/Übersicht!$Q$6))</f>
        <v>49429</v>
      </c>
      <c r="C119" s="10">
        <f t="shared" si="6"/>
        <v>2035</v>
      </c>
      <c r="D119" s="25">
        <f t="shared" si="10"/>
        <v>202665.82</v>
      </c>
      <c r="E119" s="12">
        <f t="shared" si="7"/>
        <v>1400</v>
      </c>
      <c r="F119" s="12">
        <f>IF($D119&lt;=0,0,ROUND($D119*Übersicht!$Q$7,2))</f>
        <v>608</v>
      </c>
      <c r="G119" s="12">
        <f>IF($D119&lt;=0,0,MIN($D119,IF(Übersicht!$C$13="Annuitätendarlehen",MAX(0,Übersicht!$Q$9-$F119),IF(Übersicht!$C$13="Ratendarlehen",Übersicht!$Q$10,IF($A119&gt;=Übersicht!$Q$11,$D119,0)))))</f>
        <v>792</v>
      </c>
      <c r="H119" s="12">
        <f>IF($D119-$G119&lt;=0,0,IF(MOD($A119,Übersicht!$Q$6)=0,IF($A119/Übersicht!$Q$6&gt;=Übersicht!$C$21,MIN(Übersicht!$C$20,$D119-$G119),0),0))</f>
        <v>0</v>
      </c>
      <c r="I119" s="12">
        <f t="shared" si="8"/>
        <v>1400</v>
      </c>
      <c r="J119" s="26">
        <f t="shared" si="9"/>
        <v>201873.82</v>
      </c>
      <c r="K119" s="14" t="str">
        <f>IF($D119&lt;=0,"",IF($J119&lt;=0.005,"Volltilgung erreicht",IF($A119=Übersicht!$Q$13,"Ende der Zinsbindung",IF($H119&gt;0,"Sondertilgung",""))))</f>
        <v/>
      </c>
      <c r="L119" s="23">
        <f>IF($N118&lt;=0,0,ROUND($N118*Übersicht!$Q$7,2))</f>
        <v>702.77</v>
      </c>
      <c r="M119" s="23">
        <f>IF($N118&lt;=0,0,MIN($N118,IF(Übersicht!$C$13="Annuitätendarlehen",MAX(0,Übersicht!$Q$9-$L119),IF(Übersicht!$C$13="Ratendarlehen",Übersicht!$Q$10,IF($A119&gt;=Übersicht!$Q$11,$N118,0)))))</f>
        <v>697.23</v>
      </c>
      <c r="N119" s="23">
        <f t="shared" si="11"/>
        <v>233560.77</v>
      </c>
    </row>
    <row r="120" spans="1:14" ht="15" customHeight="1" x14ac:dyDescent="0.25">
      <c r="A120" s="5">
        <v>113</v>
      </c>
      <c r="B120" s="20">
        <f>IF($D120&lt;=0,"",EDATE(Übersicht!$C$18,($A120-1)*12/Übersicht!$Q$6))</f>
        <v>49460</v>
      </c>
      <c r="C120" s="5">
        <f t="shared" si="6"/>
        <v>2035</v>
      </c>
      <c r="D120" s="21">
        <f t="shared" si="10"/>
        <v>201873.82</v>
      </c>
      <c r="E120" s="7">
        <f t="shared" si="7"/>
        <v>1400</v>
      </c>
      <c r="F120" s="7">
        <f>IF($D120&lt;=0,0,ROUND($D120*Übersicht!$Q$7,2))</f>
        <v>605.62</v>
      </c>
      <c r="G120" s="7">
        <f>IF($D120&lt;=0,0,MIN($D120,IF(Übersicht!$C$13="Annuitätendarlehen",MAX(0,Übersicht!$Q$9-$F120),IF(Übersicht!$C$13="Ratendarlehen",Übersicht!$Q$10,IF($A120&gt;=Übersicht!$Q$11,$D120,0)))))</f>
        <v>794.38</v>
      </c>
      <c r="H120" s="7">
        <f>IF($D120-$G120&lt;=0,0,IF(MOD($A120,Übersicht!$Q$6)=0,IF($A120/Übersicht!$Q$6&gt;=Übersicht!$C$21,MIN(Übersicht!$C$20,$D120-$G120),0),0))</f>
        <v>0</v>
      </c>
      <c r="I120" s="7">
        <f t="shared" si="8"/>
        <v>1400</v>
      </c>
      <c r="J120" s="22">
        <f t="shared" si="9"/>
        <v>201079.44</v>
      </c>
      <c r="K120" s="9" t="str">
        <f>IF($D120&lt;=0,"",IF($J120&lt;=0.005,"Volltilgung erreicht",IF($A120=Übersicht!$Q$13,"Ende der Zinsbindung",IF($H120&gt;0,"Sondertilgung",""))))</f>
        <v/>
      </c>
      <c r="L120" s="23">
        <f>IF($N119&lt;=0,0,ROUND($N119*Übersicht!$Q$7,2))</f>
        <v>700.68</v>
      </c>
      <c r="M120" s="23">
        <f>IF($N119&lt;=0,0,MIN($N119,IF(Übersicht!$C$13="Annuitätendarlehen",MAX(0,Übersicht!$Q$9-$L120),IF(Übersicht!$C$13="Ratendarlehen",Übersicht!$Q$10,IF($A120&gt;=Übersicht!$Q$11,$N119,0)))))</f>
        <v>699.32</v>
      </c>
      <c r="N120" s="23">
        <f t="shared" si="11"/>
        <v>232861.45</v>
      </c>
    </row>
    <row r="121" spans="1:14" ht="15" customHeight="1" x14ac:dyDescent="0.25">
      <c r="A121" s="10">
        <v>114</v>
      </c>
      <c r="B121" s="24">
        <f>IF($D121&lt;=0,"",EDATE(Übersicht!$C$18,($A121-1)*12/Übersicht!$Q$6))</f>
        <v>49490</v>
      </c>
      <c r="C121" s="10">
        <f t="shared" si="6"/>
        <v>2035</v>
      </c>
      <c r="D121" s="25">
        <f t="shared" si="10"/>
        <v>201079.44</v>
      </c>
      <c r="E121" s="12">
        <f t="shared" si="7"/>
        <v>1400</v>
      </c>
      <c r="F121" s="12">
        <f>IF($D121&lt;=0,0,ROUND($D121*Übersicht!$Q$7,2))</f>
        <v>603.24</v>
      </c>
      <c r="G121" s="12">
        <f>IF($D121&lt;=0,0,MIN($D121,IF(Übersicht!$C$13="Annuitätendarlehen",MAX(0,Übersicht!$Q$9-$F121),IF(Übersicht!$C$13="Ratendarlehen",Übersicht!$Q$10,IF($A121&gt;=Übersicht!$Q$11,$D121,0)))))</f>
        <v>796.76</v>
      </c>
      <c r="H121" s="12">
        <f>IF($D121-$G121&lt;=0,0,IF(MOD($A121,Übersicht!$Q$6)=0,IF($A121/Übersicht!$Q$6&gt;=Übersicht!$C$21,MIN(Übersicht!$C$20,$D121-$G121),0),0))</f>
        <v>0</v>
      </c>
      <c r="I121" s="12">
        <f t="shared" si="8"/>
        <v>1400</v>
      </c>
      <c r="J121" s="26">
        <f t="shared" si="9"/>
        <v>200282.68</v>
      </c>
      <c r="K121" s="14" t="str">
        <f>IF($D121&lt;=0,"",IF($J121&lt;=0.005,"Volltilgung erreicht",IF($A121=Übersicht!$Q$13,"Ende der Zinsbindung",IF($H121&gt;0,"Sondertilgung",""))))</f>
        <v/>
      </c>
      <c r="L121" s="23">
        <f>IF($N120&lt;=0,0,ROUND($N120*Übersicht!$Q$7,2))</f>
        <v>698.58</v>
      </c>
      <c r="M121" s="23">
        <f>IF($N120&lt;=0,0,MIN($N120,IF(Übersicht!$C$13="Annuitätendarlehen",MAX(0,Übersicht!$Q$9-$L121),IF(Übersicht!$C$13="Ratendarlehen",Übersicht!$Q$10,IF($A121&gt;=Übersicht!$Q$11,$N120,0)))))</f>
        <v>701.42</v>
      </c>
      <c r="N121" s="23">
        <f t="shared" si="11"/>
        <v>232160.03</v>
      </c>
    </row>
    <row r="122" spans="1:14" ht="15" customHeight="1" x14ac:dyDescent="0.25">
      <c r="A122" s="5">
        <v>115</v>
      </c>
      <c r="B122" s="20">
        <f>IF($D122&lt;=0,"",EDATE(Übersicht!$C$18,($A122-1)*12/Übersicht!$Q$6))</f>
        <v>49521</v>
      </c>
      <c r="C122" s="5">
        <f t="shared" si="6"/>
        <v>2035</v>
      </c>
      <c r="D122" s="21">
        <f t="shared" si="10"/>
        <v>200282.68</v>
      </c>
      <c r="E122" s="7">
        <f t="shared" si="7"/>
        <v>1400</v>
      </c>
      <c r="F122" s="7">
        <f>IF($D122&lt;=0,0,ROUND($D122*Übersicht!$Q$7,2))</f>
        <v>600.85</v>
      </c>
      <c r="G122" s="7">
        <f>IF($D122&lt;=0,0,MIN($D122,IF(Übersicht!$C$13="Annuitätendarlehen",MAX(0,Übersicht!$Q$9-$F122),IF(Übersicht!$C$13="Ratendarlehen",Übersicht!$Q$10,IF($A122&gt;=Übersicht!$Q$11,$D122,0)))))</f>
        <v>799.15</v>
      </c>
      <c r="H122" s="7">
        <f>IF($D122-$G122&lt;=0,0,IF(MOD($A122,Übersicht!$Q$6)=0,IF($A122/Übersicht!$Q$6&gt;=Übersicht!$C$21,MIN(Übersicht!$C$20,$D122-$G122),0),0))</f>
        <v>0</v>
      </c>
      <c r="I122" s="7">
        <f t="shared" si="8"/>
        <v>1400</v>
      </c>
      <c r="J122" s="22">
        <f t="shared" si="9"/>
        <v>199483.53</v>
      </c>
      <c r="K122" s="9" t="str">
        <f>IF($D122&lt;=0,"",IF($J122&lt;=0.005,"Volltilgung erreicht",IF($A122=Übersicht!$Q$13,"Ende der Zinsbindung",IF($H122&gt;0,"Sondertilgung",""))))</f>
        <v/>
      </c>
      <c r="L122" s="23">
        <f>IF($N121&lt;=0,0,ROUND($N121*Übersicht!$Q$7,2))</f>
        <v>696.48</v>
      </c>
      <c r="M122" s="23">
        <f>IF($N121&lt;=0,0,MIN($N121,IF(Übersicht!$C$13="Annuitätendarlehen",MAX(0,Übersicht!$Q$9-$L122),IF(Übersicht!$C$13="Ratendarlehen",Übersicht!$Q$10,IF($A122&gt;=Übersicht!$Q$11,$N121,0)))))</f>
        <v>703.52</v>
      </c>
      <c r="N122" s="23">
        <f t="shared" si="11"/>
        <v>231456.51</v>
      </c>
    </row>
    <row r="123" spans="1:14" ht="15" customHeight="1" x14ac:dyDescent="0.25">
      <c r="A123" s="10">
        <v>116</v>
      </c>
      <c r="B123" s="24">
        <f>IF($D123&lt;=0,"",EDATE(Übersicht!$C$18,($A123-1)*12/Übersicht!$Q$6))</f>
        <v>49552</v>
      </c>
      <c r="C123" s="10">
        <f t="shared" si="6"/>
        <v>2035</v>
      </c>
      <c r="D123" s="25">
        <f t="shared" si="10"/>
        <v>199483.53</v>
      </c>
      <c r="E123" s="12">
        <f t="shared" si="7"/>
        <v>1400</v>
      </c>
      <c r="F123" s="12">
        <f>IF($D123&lt;=0,0,ROUND($D123*Übersicht!$Q$7,2))</f>
        <v>598.45000000000005</v>
      </c>
      <c r="G123" s="12">
        <f>IF($D123&lt;=0,0,MIN($D123,IF(Übersicht!$C$13="Annuitätendarlehen",MAX(0,Übersicht!$Q$9-$F123),IF(Übersicht!$C$13="Ratendarlehen",Übersicht!$Q$10,IF($A123&gt;=Übersicht!$Q$11,$D123,0)))))</f>
        <v>801.55</v>
      </c>
      <c r="H123" s="12">
        <f>IF($D123-$G123&lt;=0,0,IF(MOD($A123,Übersicht!$Q$6)=0,IF($A123/Übersicht!$Q$6&gt;=Übersicht!$C$21,MIN(Übersicht!$C$20,$D123-$G123),0),0))</f>
        <v>0</v>
      </c>
      <c r="I123" s="12">
        <f t="shared" si="8"/>
        <v>1400</v>
      </c>
      <c r="J123" s="26">
        <f t="shared" si="9"/>
        <v>198681.98</v>
      </c>
      <c r="K123" s="14" t="str">
        <f>IF($D123&lt;=0,"",IF($J123&lt;=0.005,"Volltilgung erreicht",IF($A123=Übersicht!$Q$13,"Ende der Zinsbindung",IF($H123&gt;0,"Sondertilgung",""))))</f>
        <v/>
      </c>
      <c r="L123" s="23">
        <f>IF($N122&lt;=0,0,ROUND($N122*Übersicht!$Q$7,2))</f>
        <v>694.37</v>
      </c>
      <c r="M123" s="23">
        <f>IF($N122&lt;=0,0,MIN($N122,IF(Übersicht!$C$13="Annuitätendarlehen",MAX(0,Übersicht!$Q$9-$L123),IF(Übersicht!$C$13="Ratendarlehen",Übersicht!$Q$10,IF($A123&gt;=Übersicht!$Q$11,$N122,0)))))</f>
        <v>705.63</v>
      </c>
      <c r="N123" s="23">
        <f t="shared" si="11"/>
        <v>230750.88</v>
      </c>
    </row>
    <row r="124" spans="1:14" ht="15" customHeight="1" x14ac:dyDescent="0.25">
      <c r="A124" s="5">
        <v>117</v>
      </c>
      <c r="B124" s="20">
        <f>IF($D124&lt;=0,"",EDATE(Übersicht!$C$18,($A124-1)*12/Übersicht!$Q$6))</f>
        <v>49582</v>
      </c>
      <c r="C124" s="5">
        <f t="shared" si="6"/>
        <v>2035</v>
      </c>
      <c r="D124" s="21">
        <f t="shared" si="10"/>
        <v>198681.98</v>
      </c>
      <c r="E124" s="7">
        <f t="shared" si="7"/>
        <v>1400</v>
      </c>
      <c r="F124" s="7">
        <f>IF($D124&lt;=0,0,ROUND($D124*Übersicht!$Q$7,2))</f>
        <v>596.04999999999995</v>
      </c>
      <c r="G124" s="7">
        <f>IF($D124&lt;=0,0,MIN($D124,IF(Übersicht!$C$13="Annuitätendarlehen",MAX(0,Übersicht!$Q$9-$F124),IF(Übersicht!$C$13="Ratendarlehen",Übersicht!$Q$10,IF($A124&gt;=Übersicht!$Q$11,$D124,0)))))</f>
        <v>803.95</v>
      </c>
      <c r="H124" s="7">
        <f>IF($D124-$G124&lt;=0,0,IF(MOD($A124,Übersicht!$Q$6)=0,IF($A124/Übersicht!$Q$6&gt;=Übersicht!$C$21,MIN(Übersicht!$C$20,$D124-$G124),0),0))</f>
        <v>0</v>
      </c>
      <c r="I124" s="7">
        <f t="shared" si="8"/>
        <v>1400</v>
      </c>
      <c r="J124" s="22">
        <f t="shared" si="9"/>
        <v>197878.03</v>
      </c>
      <c r="K124" s="9" t="str">
        <f>IF($D124&lt;=0,"",IF($J124&lt;=0.005,"Volltilgung erreicht",IF($A124=Übersicht!$Q$13,"Ende der Zinsbindung",IF($H124&gt;0,"Sondertilgung",""))))</f>
        <v/>
      </c>
      <c r="L124" s="23">
        <f>IF($N123&lt;=0,0,ROUND($N123*Übersicht!$Q$7,2))</f>
        <v>692.25</v>
      </c>
      <c r="M124" s="23">
        <f>IF($N123&lt;=0,0,MIN($N123,IF(Übersicht!$C$13="Annuitätendarlehen",MAX(0,Übersicht!$Q$9-$L124),IF(Übersicht!$C$13="Ratendarlehen",Übersicht!$Q$10,IF($A124&gt;=Übersicht!$Q$11,$N123,0)))))</f>
        <v>707.75</v>
      </c>
      <c r="N124" s="23">
        <f t="shared" si="11"/>
        <v>230043.13</v>
      </c>
    </row>
    <row r="125" spans="1:14" ht="15" customHeight="1" x14ac:dyDescent="0.25">
      <c r="A125" s="10">
        <v>118</v>
      </c>
      <c r="B125" s="24">
        <f>IF($D125&lt;=0,"",EDATE(Übersicht!$C$18,($A125-1)*12/Übersicht!$Q$6))</f>
        <v>49613</v>
      </c>
      <c r="C125" s="10">
        <f t="shared" si="6"/>
        <v>2035</v>
      </c>
      <c r="D125" s="25">
        <f t="shared" si="10"/>
        <v>197878.03</v>
      </c>
      <c r="E125" s="12">
        <f t="shared" si="7"/>
        <v>1400</v>
      </c>
      <c r="F125" s="12">
        <f>IF($D125&lt;=0,0,ROUND($D125*Übersicht!$Q$7,2))</f>
        <v>593.63</v>
      </c>
      <c r="G125" s="12">
        <f>IF($D125&lt;=0,0,MIN($D125,IF(Übersicht!$C$13="Annuitätendarlehen",MAX(0,Übersicht!$Q$9-$F125),IF(Übersicht!$C$13="Ratendarlehen",Übersicht!$Q$10,IF($A125&gt;=Übersicht!$Q$11,$D125,0)))))</f>
        <v>806.37</v>
      </c>
      <c r="H125" s="12">
        <f>IF($D125-$G125&lt;=0,0,IF(MOD($A125,Übersicht!$Q$6)=0,IF($A125/Übersicht!$Q$6&gt;=Übersicht!$C$21,MIN(Übersicht!$C$20,$D125-$G125),0),0))</f>
        <v>0</v>
      </c>
      <c r="I125" s="12">
        <f t="shared" si="8"/>
        <v>1400</v>
      </c>
      <c r="J125" s="26">
        <f t="shared" si="9"/>
        <v>197071.66</v>
      </c>
      <c r="K125" s="14" t="str">
        <f>IF($D125&lt;=0,"",IF($J125&lt;=0.005,"Volltilgung erreicht",IF($A125=Übersicht!$Q$13,"Ende der Zinsbindung",IF($H125&gt;0,"Sondertilgung",""))))</f>
        <v/>
      </c>
      <c r="L125" s="23">
        <f>IF($N124&lt;=0,0,ROUND($N124*Übersicht!$Q$7,2))</f>
        <v>690.13</v>
      </c>
      <c r="M125" s="23">
        <f>IF($N124&lt;=0,0,MIN($N124,IF(Übersicht!$C$13="Annuitätendarlehen",MAX(0,Übersicht!$Q$9-$L125),IF(Übersicht!$C$13="Ratendarlehen",Übersicht!$Q$10,IF($A125&gt;=Übersicht!$Q$11,$N124,0)))))</f>
        <v>709.87</v>
      </c>
      <c r="N125" s="23">
        <f t="shared" si="11"/>
        <v>229333.26</v>
      </c>
    </row>
    <row r="126" spans="1:14" ht="15" customHeight="1" x14ac:dyDescent="0.25">
      <c r="A126" s="5">
        <v>119</v>
      </c>
      <c r="B126" s="20">
        <f>IF($D126&lt;=0,"",EDATE(Übersicht!$C$18,($A126-1)*12/Übersicht!$Q$6))</f>
        <v>49643</v>
      </c>
      <c r="C126" s="5">
        <f t="shared" si="6"/>
        <v>2035</v>
      </c>
      <c r="D126" s="21">
        <f t="shared" si="10"/>
        <v>197071.66</v>
      </c>
      <c r="E126" s="7">
        <f t="shared" si="7"/>
        <v>1400</v>
      </c>
      <c r="F126" s="7">
        <f>IF($D126&lt;=0,0,ROUND($D126*Übersicht!$Q$7,2))</f>
        <v>591.21</v>
      </c>
      <c r="G126" s="7">
        <f>IF($D126&lt;=0,0,MIN($D126,IF(Übersicht!$C$13="Annuitätendarlehen",MAX(0,Übersicht!$Q$9-$F126),IF(Übersicht!$C$13="Ratendarlehen",Übersicht!$Q$10,IF($A126&gt;=Übersicht!$Q$11,$D126,0)))))</f>
        <v>808.79</v>
      </c>
      <c r="H126" s="7">
        <f>IF($D126-$G126&lt;=0,0,IF(MOD($A126,Übersicht!$Q$6)=0,IF($A126/Übersicht!$Q$6&gt;=Übersicht!$C$21,MIN(Übersicht!$C$20,$D126-$G126),0),0))</f>
        <v>0</v>
      </c>
      <c r="I126" s="7">
        <f t="shared" si="8"/>
        <v>1400</v>
      </c>
      <c r="J126" s="22">
        <f t="shared" si="9"/>
        <v>196262.87</v>
      </c>
      <c r="K126" s="9" t="str">
        <f>IF($D126&lt;=0,"",IF($J126&lt;=0.005,"Volltilgung erreicht",IF($A126=Übersicht!$Q$13,"Ende der Zinsbindung",IF($H126&gt;0,"Sondertilgung",""))))</f>
        <v/>
      </c>
      <c r="L126" s="23">
        <f>IF($N125&lt;=0,0,ROUND($N125*Übersicht!$Q$7,2))</f>
        <v>688</v>
      </c>
      <c r="M126" s="23">
        <f>IF($N125&lt;=0,0,MIN($N125,IF(Übersicht!$C$13="Annuitätendarlehen",MAX(0,Übersicht!$Q$9-$L126),IF(Übersicht!$C$13="Ratendarlehen",Übersicht!$Q$10,IF($A126&gt;=Übersicht!$Q$11,$N125,0)))))</f>
        <v>712</v>
      </c>
      <c r="N126" s="23">
        <f t="shared" si="11"/>
        <v>228621.26</v>
      </c>
    </row>
    <row r="127" spans="1:14" ht="15" customHeight="1" x14ac:dyDescent="0.25">
      <c r="A127" s="10">
        <v>120</v>
      </c>
      <c r="B127" s="24">
        <f>IF($D127&lt;=0,"",EDATE(Übersicht!$C$18,($A127-1)*12/Übersicht!$Q$6))</f>
        <v>49674</v>
      </c>
      <c r="C127" s="10">
        <f t="shared" si="6"/>
        <v>2035</v>
      </c>
      <c r="D127" s="25">
        <f t="shared" si="10"/>
        <v>196262.87</v>
      </c>
      <c r="E127" s="12">
        <f t="shared" si="7"/>
        <v>1400</v>
      </c>
      <c r="F127" s="12">
        <f>IF($D127&lt;=0,0,ROUND($D127*Übersicht!$Q$7,2))</f>
        <v>588.79</v>
      </c>
      <c r="G127" s="12">
        <f>IF($D127&lt;=0,0,MIN($D127,IF(Übersicht!$C$13="Annuitätendarlehen",MAX(0,Übersicht!$Q$9-$F127),IF(Übersicht!$C$13="Ratendarlehen",Übersicht!$Q$10,IF($A127&gt;=Übersicht!$Q$11,$D127,0)))))</f>
        <v>811.21</v>
      </c>
      <c r="H127" s="12">
        <f>IF($D127-$G127&lt;=0,0,IF(MOD($A127,Übersicht!$Q$6)=0,IF($A127/Übersicht!$Q$6&gt;=Übersicht!$C$21,MIN(Übersicht!$C$20,$D127-$G127),0),0))</f>
        <v>3000</v>
      </c>
      <c r="I127" s="12">
        <f t="shared" si="8"/>
        <v>4400</v>
      </c>
      <c r="J127" s="26">
        <f t="shared" si="9"/>
        <v>192451.66</v>
      </c>
      <c r="K127" s="14" t="str">
        <f>IF($D127&lt;=0,"",IF($J127&lt;=0.005,"Volltilgung erreicht",IF($A127=Übersicht!$Q$13,"Ende der Zinsbindung",IF($H127&gt;0,"Sondertilgung",""))))</f>
        <v>Sondertilgung</v>
      </c>
      <c r="L127" s="23">
        <f>IF($N126&lt;=0,0,ROUND($N126*Übersicht!$Q$7,2))</f>
        <v>685.86</v>
      </c>
      <c r="M127" s="23">
        <f>IF($N126&lt;=0,0,MIN($N126,IF(Übersicht!$C$13="Annuitätendarlehen",MAX(0,Übersicht!$Q$9-$L127),IF(Übersicht!$C$13="Ratendarlehen",Übersicht!$Q$10,IF($A127&gt;=Übersicht!$Q$11,$N126,0)))))</f>
        <v>714.14</v>
      </c>
      <c r="N127" s="23">
        <f t="shared" si="11"/>
        <v>227907.12</v>
      </c>
    </row>
    <row r="128" spans="1:14" ht="15" customHeight="1" x14ac:dyDescent="0.25">
      <c r="A128" s="5">
        <v>121</v>
      </c>
      <c r="B128" s="20">
        <f>IF($D128&lt;=0,"",EDATE(Übersicht!$C$18,($A128-1)*12/Übersicht!$Q$6))</f>
        <v>49705</v>
      </c>
      <c r="C128" s="5">
        <f t="shared" si="6"/>
        <v>2036</v>
      </c>
      <c r="D128" s="21">
        <f t="shared" si="10"/>
        <v>192451.66</v>
      </c>
      <c r="E128" s="7">
        <f t="shared" si="7"/>
        <v>1400</v>
      </c>
      <c r="F128" s="7">
        <f>IF($D128&lt;=0,0,ROUND($D128*Übersicht!$Q$7,2))</f>
        <v>577.35</v>
      </c>
      <c r="G128" s="7">
        <f>IF($D128&lt;=0,0,MIN($D128,IF(Übersicht!$C$13="Annuitätendarlehen",MAX(0,Übersicht!$Q$9-$F128),IF(Übersicht!$C$13="Ratendarlehen",Übersicht!$Q$10,IF($A128&gt;=Übersicht!$Q$11,$D128,0)))))</f>
        <v>822.65</v>
      </c>
      <c r="H128" s="7">
        <f>IF($D128-$G128&lt;=0,0,IF(MOD($A128,Übersicht!$Q$6)=0,IF($A128/Übersicht!$Q$6&gt;=Übersicht!$C$21,MIN(Übersicht!$C$20,$D128-$G128),0),0))</f>
        <v>0</v>
      </c>
      <c r="I128" s="7">
        <f t="shared" si="8"/>
        <v>1400</v>
      </c>
      <c r="J128" s="22">
        <f t="shared" si="9"/>
        <v>191629.01</v>
      </c>
      <c r="K128" s="9" t="str">
        <f>IF($D128&lt;=0,"",IF($J128&lt;=0.005,"Volltilgung erreicht",IF($A128=Übersicht!$Q$13,"Ende der Zinsbindung",IF($H128&gt;0,"Sondertilgung",""))))</f>
        <v/>
      </c>
      <c r="L128" s="23">
        <f>IF($N127&lt;=0,0,ROUND($N127*Übersicht!$Q$7,2))</f>
        <v>683.72</v>
      </c>
      <c r="M128" s="23">
        <f>IF($N127&lt;=0,0,MIN($N127,IF(Übersicht!$C$13="Annuitätendarlehen",MAX(0,Übersicht!$Q$9-$L128),IF(Übersicht!$C$13="Ratendarlehen",Übersicht!$Q$10,IF($A128&gt;=Übersicht!$Q$11,$N127,0)))))</f>
        <v>716.28</v>
      </c>
      <c r="N128" s="23">
        <f t="shared" si="11"/>
        <v>227190.84</v>
      </c>
    </row>
    <row r="129" spans="1:14" ht="15" customHeight="1" x14ac:dyDescent="0.25">
      <c r="A129" s="10">
        <v>122</v>
      </c>
      <c r="B129" s="24">
        <f>IF($D129&lt;=0,"",EDATE(Übersicht!$C$18,($A129-1)*12/Übersicht!$Q$6))</f>
        <v>49734</v>
      </c>
      <c r="C129" s="10">
        <f t="shared" si="6"/>
        <v>2036</v>
      </c>
      <c r="D129" s="25">
        <f t="shared" si="10"/>
        <v>191629.01</v>
      </c>
      <c r="E129" s="12">
        <f t="shared" si="7"/>
        <v>1400</v>
      </c>
      <c r="F129" s="12">
        <f>IF($D129&lt;=0,0,ROUND($D129*Übersicht!$Q$7,2))</f>
        <v>574.89</v>
      </c>
      <c r="G129" s="12">
        <f>IF($D129&lt;=0,0,MIN($D129,IF(Übersicht!$C$13="Annuitätendarlehen",MAX(0,Übersicht!$Q$9-$F129),IF(Übersicht!$C$13="Ratendarlehen",Übersicht!$Q$10,IF($A129&gt;=Übersicht!$Q$11,$D129,0)))))</f>
        <v>825.11</v>
      </c>
      <c r="H129" s="12">
        <f>IF($D129-$G129&lt;=0,0,IF(MOD($A129,Übersicht!$Q$6)=0,IF($A129/Übersicht!$Q$6&gt;=Übersicht!$C$21,MIN(Übersicht!$C$20,$D129-$G129),0),0))</f>
        <v>0</v>
      </c>
      <c r="I129" s="12">
        <f t="shared" si="8"/>
        <v>1400</v>
      </c>
      <c r="J129" s="26">
        <f t="shared" si="9"/>
        <v>190803.9</v>
      </c>
      <c r="K129" s="14" t="str">
        <f>IF($D129&lt;=0,"",IF($J129&lt;=0.005,"Volltilgung erreicht",IF($A129=Übersicht!$Q$13,"Ende der Zinsbindung",IF($H129&gt;0,"Sondertilgung",""))))</f>
        <v/>
      </c>
      <c r="L129" s="23">
        <f>IF($N128&lt;=0,0,ROUND($N128*Übersicht!$Q$7,2))</f>
        <v>681.57</v>
      </c>
      <c r="M129" s="23">
        <f>IF($N128&lt;=0,0,MIN($N128,IF(Übersicht!$C$13="Annuitätendarlehen",MAX(0,Übersicht!$Q$9-$L129),IF(Übersicht!$C$13="Ratendarlehen",Übersicht!$Q$10,IF($A129&gt;=Übersicht!$Q$11,$N128,0)))))</f>
        <v>718.43</v>
      </c>
      <c r="N129" s="23">
        <f t="shared" si="11"/>
        <v>226472.41</v>
      </c>
    </row>
    <row r="130" spans="1:14" ht="15" customHeight="1" x14ac:dyDescent="0.25">
      <c r="A130" s="5">
        <v>123</v>
      </c>
      <c r="B130" s="20">
        <f>IF($D130&lt;=0,"",EDATE(Übersicht!$C$18,($A130-1)*12/Übersicht!$Q$6))</f>
        <v>49765</v>
      </c>
      <c r="C130" s="5">
        <f t="shared" si="6"/>
        <v>2036</v>
      </c>
      <c r="D130" s="21">
        <f t="shared" si="10"/>
        <v>190803.9</v>
      </c>
      <c r="E130" s="7">
        <f t="shared" si="7"/>
        <v>1400</v>
      </c>
      <c r="F130" s="7">
        <f>IF($D130&lt;=0,0,ROUND($D130*Übersicht!$Q$7,2))</f>
        <v>572.41</v>
      </c>
      <c r="G130" s="7">
        <f>IF($D130&lt;=0,0,MIN($D130,IF(Übersicht!$C$13="Annuitätendarlehen",MAX(0,Übersicht!$Q$9-$F130),IF(Übersicht!$C$13="Ratendarlehen",Übersicht!$Q$10,IF($A130&gt;=Übersicht!$Q$11,$D130,0)))))</f>
        <v>827.59</v>
      </c>
      <c r="H130" s="7">
        <f>IF($D130-$G130&lt;=0,0,IF(MOD($A130,Übersicht!$Q$6)=0,IF($A130/Übersicht!$Q$6&gt;=Übersicht!$C$21,MIN(Übersicht!$C$20,$D130-$G130),0),0))</f>
        <v>0</v>
      </c>
      <c r="I130" s="7">
        <f t="shared" si="8"/>
        <v>1400</v>
      </c>
      <c r="J130" s="22">
        <f t="shared" si="9"/>
        <v>189976.31</v>
      </c>
      <c r="K130" s="9" t="str">
        <f>IF($D130&lt;=0,"",IF($J130&lt;=0.005,"Volltilgung erreicht",IF($A130=Übersicht!$Q$13,"Ende der Zinsbindung",IF($H130&gt;0,"Sondertilgung",""))))</f>
        <v/>
      </c>
      <c r="L130" s="23">
        <f>IF($N129&lt;=0,0,ROUND($N129*Übersicht!$Q$7,2))</f>
        <v>679.42</v>
      </c>
      <c r="M130" s="23">
        <f>IF($N129&lt;=0,0,MIN($N129,IF(Übersicht!$C$13="Annuitätendarlehen",MAX(0,Übersicht!$Q$9-$L130),IF(Übersicht!$C$13="Ratendarlehen",Übersicht!$Q$10,IF($A130&gt;=Übersicht!$Q$11,$N129,0)))))</f>
        <v>720.58</v>
      </c>
      <c r="N130" s="23">
        <f t="shared" si="11"/>
        <v>225751.83</v>
      </c>
    </row>
    <row r="131" spans="1:14" ht="15" customHeight="1" x14ac:dyDescent="0.25">
      <c r="A131" s="10">
        <v>124</v>
      </c>
      <c r="B131" s="24">
        <f>IF($D131&lt;=0,"",EDATE(Übersicht!$C$18,($A131-1)*12/Übersicht!$Q$6))</f>
        <v>49795</v>
      </c>
      <c r="C131" s="10">
        <f t="shared" si="6"/>
        <v>2036</v>
      </c>
      <c r="D131" s="25">
        <f t="shared" si="10"/>
        <v>189976.31</v>
      </c>
      <c r="E131" s="12">
        <f t="shared" si="7"/>
        <v>1400</v>
      </c>
      <c r="F131" s="12">
        <f>IF($D131&lt;=0,0,ROUND($D131*Übersicht!$Q$7,2))</f>
        <v>569.92999999999995</v>
      </c>
      <c r="G131" s="12">
        <f>IF($D131&lt;=0,0,MIN($D131,IF(Übersicht!$C$13="Annuitätendarlehen",MAX(0,Übersicht!$Q$9-$F131),IF(Übersicht!$C$13="Ratendarlehen",Übersicht!$Q$10,IF($A131&gt;=Übersicht!$Q$11,$D131,0)))))</f>
        <v>830.07</v>
      </c>
      <c r="H131" s="12">
        <f>IF($D131-$G131&lt;=0,0,IF(MOD($A131,Übersicht!$Q$6)=0,IF($A131/Übersicht!$Q$6&gt;=Übersicht!$C$21,MIN(Übersicht!$C$20,$D131-$G131),0),0))</f>
        <v>0</v>
      </c>
      <c r="I131" s="12">
        <f t="shared" si="8"/>
        <v>1400</v>
      </c>
      <c r="J131" s="26">
        <f t="shared" si="9"/>
        <v>189146.23999999999</v>
      </c>
      <c r="K131" s="14" t="str">
        <f>IF($D131&lt;=0,"",IF($J131&lt;=0.005,"Volltilgung erreicht",IF($A131=Übersicht!$Q$13,"Ende der Zinsbindung",IF($H131&gt;0,"Sondertilgung",""))))</f>
        <v/>
      </c>
      <c r="L131" s="23">
        <f>IF($N130&lt;=0,0,ROUND($N130*Übersicht!$Q$7,2))</f>
        <v>677.26</v>
      </c>
      <c r="M131" s="23">
        <f>IF($N130&lt;=0,0,MIN($N130,IF(Übersicht!$C$13="Annuitätendarlehen",MAX(0,Übersicht!$Q$9-$L131),IF(Übersicht!$C$13="Ratendarlehen",Übersicht!$Q$10,IF($A131&gt;=Übersicht!$Q$11,$N130,0)))))</f>
        <v>722.74</v>
      </c>
      <c r="N131" s="23">
        <f t="shared" si="11"/>
        <v>225029.09</v>
      </c>
    </row>
    <row r="132" spans="1:14" ht="15" customHeight="1" x14ac:dyDescent="0.25">
      <c r="A132" s="5">
        <v>125</v>
      </c>
      <c r="B132" s="20">
        <f>IF($D132&lt;=0,"",EDATE(Übersicht!$C$18,($A132-1)*12/Übersicht!$Q$6))</f>
        <v>49826</v>
      </c>
      <c r="C132" s="5">
        <f t="shared" si="6"/>
        <v>2036</v>
      </c>
      <c r="D132" s="21">
        <f t="shared" si="10"/>
        <v>189146.23999999999</v>
      </c>
      <c r="E132" s="7">
        <f t="shared" si="7"/>
        <v>1400</v>
      </c>
      <c r="F132" s="7">
        <f>IF($D132&lt;=0,0,ROUND($D132*Übersicht!$Q$7,2))</f>
        <v>567.44000000000005</v>
      </c>
      <c r="G132" s="7">
        <f>IF($D132&lt;=0,0,MIN($D132,IF(Übersicht!$C$13="Annuitätendarlehen",MAX(0,Übersicht!$Q$9-$F132),IF(Übersicht!$C$13="Ratendarlehen",Übersicht!$Q$10,IF($A132&gt;=Übersicht!$Q$11,$D132,0)))))</f>
        <v>832.56</v>
      </c>
      <c r="H132" s="7">
        <f>IF($D132-$G132&lt;=0,0,IF(MOD($A132,Übersicht!$Q$6)=0,IF($A132/Übersicht!$Q$6&gt;=Übersicht!$C$21,MIN(Übersicht!$C$20,$D132-$G132),0),0))</f>
        <v>0</v>
      </c>
      <c r="I132" s="7">
        <f t="shared" si="8"/>
        <v>1400</v>
      </c>
      <c r="J132" s="22">
        <f t="shared" si="9"/>
        <v>188313.68</v>
      </c>
      <c r="K132" s="9" t="str">
        <f>IF($D132&lt;=0,"",IF($J132&lt;=0.005,"Volltilgung erreicht",IF($A132=Übersicht!$Q$13,"Ende der Zinsbindung",IF($H132&gt;0,"Sondertilgung",""))))</f>
        <v/>
      </c>
      <c r="L132" s="23">
        <f>IF($N131&lt;=0,0,ROUND($N131*Übersicht!$Q$7,2))</f>
        <v>675.09</v>
      </c>
      <c r="M132" s="23">
        <f>IF($N131&lt;=0,0,MIN($N131,IF(Übersicht!$C$13="Annuitätendarlehen",MAX(0,Übersicht!$Q$9-$L132),IF(Übersicht!$C$13="Ratendarlehen",Übersicht!$Q$10,IF($A132&gt;=Übersicht!$Q$11,$N131,0)))))</f>
        <v>724.91</v>
      </c>
      <c r="N132" s="23">
        <f t="shared" si="11"/>
        <v>224304.18</v>
      </c>
    </row>
    <row r="133" spans="1:14" ht="15" customHeight="1" x14ac:dyDescent="0.25">
      <c r="A133" s="10">
        <v>126</v>
      </c>
      <c r="B133" s="24">
        <f>IF($D133&lt;=0,"",EDATE(Übersicht!$C$18,($A133-1)*12/Übersicht!$Q$6))</f>
        <v>49856</v>
      </c>
      <c r="C133" s="10">
        <f t="shared" si="6"/>
        <v>2036</v>
      </c>
      <c r="D133" s="25">
        <f t="shared" si="10"/>
        <v>188313.68</v>
      </c>
      <c r="E133" s="12">
        <f t="shared" si="7"/>
        <v>1400</v>
      </c>
      <c r="F133" s="12">
        <f>IF($D133&lt;=0,0,ROUND($D133*Übersicht!$Q$7,2))</f>
        <v>564.94000000000005</v>
      </c>
      <c r="G133" s="12">
        <f>IF($D133&lt;=0,0,MIN($D133,IF(Übersicht!$C$13="Annuitätendarlehen",MAX(0,Übersicht!$Q$9-$F133),IF(Übersicht!$C$13="Ratendarlehen",Übersicht!$Q$10,IF($A133&gt;=Übersicht!$Q$11,$D133,0)))))</f>
        <v>835.06</v>
      </c>
      <c r="H133" s="12">
        <f>IF($D133-$G133&lt;=0,0,IF(MOD($A133,Übersicht!$Q$6)=0,IF($A133/Übersicht!$Q$6&gt;=Übersicht!$C$21,MIN(Übersicht!$C$20,$D133-$G133),0),0))</f>
        <v>0</v>
      </c>
      <c r="I133" s="12">
        <f t="shared" si="8"/>
        <v>1400</v>
      </c>
      <c r="J133" s="26">
        <f t="shared" si="9"/>
        <v>187478.62</v>
      </c>
      <c r="K133" s="14" t="str">
        <f>IF($D133&lt;=0,"",IF($J133&lt;=0.005,"Volltilgung erreicht",IF($A133=Übersicht!$Q$13,"Ende der Zinsbindung",IF($H133&gt;0,"Sondertilgung",""))))</f>
        <v/>
      </c>
      <c r="L133" s="23">
        <f>IF($N132&lt;=0,0,ROUND($N132*Übersicht!$Q$7,2))</f>
        <v>672.91</v>
      </c>
      <c r="M133" s="23">
        <f>IF($N132&lt;=0,0,MIN($N132,IF(Übersicht!$C$13="Annuitätendarlehen",MAX(0,Übersicht!$Q$9-$L133),IF(Übersicht!$C$13="Ratendarlehen",Übersicht!$Q$10,IF($A133&gt;=Übersicht!$Q$11,$N132,0)))))</f>
        <v>727.09</v>
      </c>
      <c r="N133" s="23">
        <f t="shared" si="11"/>
        <v>223577.09</v>
      </c>
    </row>
    <row r="134" spans="1:14" ht="15" customHeight="1" x14ac:dyDescent="0.25">
      <c r="A134" s="5">
        <v>127</v>
      </c>
      <c r="B134" s="20">
        <f>IF($D134&lt;=0,"",EDATE(Übersicht!$C$18,($A134-1)*12/Übersicht!$Q$6))</f>
        <v>49887</v>
      </c>
      <c r="C134" s="5">
        <f t="shared" si="6"/>
        <v>2036</v>
      </c>
      <c r="D134" s="21">
        <f t="shared" si="10"/>
        <v>187478.62</v>
      </c>
      <c r="E134" s="7">
        <f t="shared" si="7"/>
        <v>1400</v>
      </c>
      <c r="F134" s="7">
        <f>IF($D134&lt;=0,0,ROUND($D134*Übersicht!$Q$7,2))</f>
        <v>562.44000000000005</v>
      </c>
      <c r="G134" s="7">
        <f>IF($D134&lt;=0,0,MIN($D134,IF(Übersicht!$C$13="Annuitätendarlehen",MAX(0,Übersicht!$Q$9-$F134),IF(Übersicht!$C$13="Ratendarlehen",Übersicht!$Q$10,IF($A134&gt;=Übersicht!$Q$11,$D134,0)))))</f>
        <v>837.56</v>
      </c>
      <c r="H134" s="7">
        <f>IF($D134-$G134&lt;=0,0,IF(MOD($A134,Übersicht!$Q$6)=0,IF($A134/Übersicht!$Q$6&gt;=Übersicht!$C$21,MIN(Übersicht!$C$20,$D134-$G134),0),0))</f>
        <v>0</v>
      </c>
      <c r="I134" s="7">
        <f t="shared" si="8"/>
        <v>1400</v>
      </c>
      <c r="J134" s="22">
        <f t="shared" si="9"/>
        <v>186641.06</v>
      </c>
      <c r="K134" s="9" t="str">
        <f>IF($D134&lt;=0,"",IF($J134&lt;=0.005,"Volltilgung erreicht",IF($A134=Übersicht!$Q$13,"Ende der Zinsbindung",IF($H134&gt;0,"Sondertilgung",""))))</f>
        <v/>
      </c>
      <c r="L134" s="23">
        <f>IF($N133&lt;=0,0,ROUND($N133*Übersicht!$Q$7,2))</f>
        <v>670.73</v>
      </c>
      <c r="M134" s="23">
        <f>IF($N133&lt;=0,0,MIN($N133,IF(Übersicht!$C$13="Annuitätendarlehen",MAX(0,Übersicht!$Q$9-$L134),IF(Übersicht!$C$13="Ratendarlehen",Übersicht!$Q$10,IF($A134&gt;=Übersicht!$Q$11,$N133,0)))))</f>
        <v>729.27</v>
      </c>
      <c r="N134" s="23">
        <f t="shared" si="11"/>
        <v>222847.82</v>
      </c>
    </row>
    <row r="135" spans="1:14" ht="15" customHeight="1" x14ac:dyDescent="0.25">
      <c r="A135" s="10">
        <v>128</v>
      </c>
      <c r="B135" s="24">
        <f>IF($D135&lt;=0,"",EDATE(Übersicht!$C$18,($A135-1)*12/Übersicht!$Q$6))</f>
        <v>49918</v>
      </c>
      <c r="C135" s="10">
        <f t="shared" si="6"/>
        <v>2036</v>
      </c>
      <c r="D135" s="25">
        <f t="shared" si="10"/>
        <v>186641.06</v>
      </c>
      <c r="E135" s="12">
        <f t="shared" si="7"/>
        <v>1400</v>
      </c>
      <c r="F135" s="12">
        <f>IF($D135&lt;=0,0,ROUND($D135*Übersicht!$Q$7,2))</f>
        <v>559.91999999999996</v>
      </c>
      <c r="G135" s="12">
        <f>IF($D135&lt;=0,0,MIN($D135,IF(Übersicht!$C$13="Annuitätendarlehen",MAX(0,Übersicht!$Q$9-$F135),IF(Übersicht!$C$13="Ratendarlehen",Übersicht!$Q$10,IF($A135&gt;=Übersicht!$Q$11,$D135,0)))))</f>
        <v>840.08</v>
      </c>
      <c r="H135" s="12">
        <f>IF($D135-$G135&lt;=0,0,IF(MOD($A135,Übersicht!$Q$6)=0,IF($A135/Übersicht!$Q$6&gt;=Übersicht!$C$21,MIN(Übersicht!$C$20,$D135-$G135),0),0))</f>
        <v>0</v>
      </c>
      <c r="I135" s="12">
        <f t="shared" si="8"/>
        <v>1400</v>
      </c>
      <c r="J135" s="26">
        <f t="shared" si="9"/>
        <v>185800.98</v>
      </c>
      <c r="K135" s="14" t="str">
        <f>IF($D135&lt;=0,"",IF($J135&lt;=0.005,"Volltilgung erreicht",IF($A135=Übersicht!$Q$13,"Ende der Zinsbindung",IF($H135&gt;0,"Sondertilgung",""))))</f>
        <v/>
      </c>
      <c r="L135" s="23">
        <f>IF($N134&lt;=0,0,ROUND($N134*Übersicht!$Q$7,2))</f>
        <v>668.54</v>
      </c>
      <c r="M135" s="23">
        <f>IF($N134&lt;=0,0,MIN($N134,IF(Übersicht!$C$13="Annuitätendarlehen",MAX(0,Übersicht!$Q$9-$L135),IF(Übersicht!$C$13="Ratendarlehen",Übersicht!$Q$10,IF($A135&gt;=Übersicht!$Q$11,$N134,0)))))</f>
        <v>731.46</v>
      </c>
      <c r="N135" s="23">
        <f t="shared" si="11"/>
        <v>222116.36</v>
      </c>
    </row>
    <row r="136" spans="1:14" ht="15" customHeight="1" x14ac:dyDescent="0.25">
      <c r="A136" s="5">
        <v>129</v>
      </c>
      <c r="B136" s="20">
        <f>IF($D136&lt;=0,"",EDATE(Übersicht!$C$18,($A136-1)*12/Übersicht!$Q$6))</f>
        <v>49948</v>
      </c>
      <c r="C136" s="5">
        <f t="shared" ref="C136:C199" si="12">IF($B136="","",YEAR($B136))</f>
        <v>2036</v>
      </c>
      <c r="D136" s="21">
        <f t="shared" si="10"/>
        <v>185800.98</v>
      </c>
      <c r="E136" s="7">
        <f t="shared" ref="E136:E199" si="13">IF($D136&lt;=0,0,$F136+$G136)</f>
        <v>1400</v>
      </c>
      <c r="F136" s="7">
        <f>IF($D136&lt;=0,0,ROUND($D136*Übersicht!$Q$7,2))</f>
        <v>557.4</v>
      </c>
      <c r="G136" s="7">
        <f>IF($D136&lt;=0,0,MIN($D136,IF(Übersicht!$C$13="Annuitätendarlehen",MAX(0,Übersicht!$Q$9-$F136),IF(Übersicht!$C$13="Ratendarlehen",Übersicht!$Q$10,IF($A136&gt;=Übersicht!$Q$11,$D136,0)))))</f>
        <v>842.6</v>
      </c>
      <c r="H136" s="7">
        <f>IF($D136-$G136&lt;=0,0,IF(MOD($A136,Übersicht!$Q$6)=0,IF($A136/Übersicht!$Q$6&gt;=Übersicht!$C$21,MIN(Übersicht!$C$20,$D136-$G136),0),0))</f>
        <v>0</v>
      </c>
      <c r="I136" s="7">
        <f t="shared" ref="I136:I199" si="14">IF($D136&lt;=0,0,$E136+$H136)</f>
        <v>1400</v>
      </c>
      <c r="J136" s="22">
        <f t="shared" ref="J136:J199" si="15">IF($D136&lt;=0,0,ROUND($D136-$G136-$H136,2))</f>
        <v>184958.38</v>
      </c>
      <c r="K136" s="9" t="str">
        <f>IF($D136&lt;=0,"",IF($J136&lt;=0.005,"Volltilgung erreicht",IF($A136=Übersicht!$Q$13,"Ende der Zinsbindung",IF($H136&gt;0,"Sondertilgung",""))))</f>
        <v/>
      </c>
      <c r="L136" s="23">
        <f>IF($N135&lt;=0,0,ROUND($N135*Übersicht!$Q$7,2))</f>
        <v>666.35</v>
      </c>
      <c r="M136" s="23">
        <f>IF($N135&lt;=0,0,MIN($N135,IF(Übersicht!$C$13="Annuitätendarlehen",MAX(0,Übersicht!$Q$9-$L136),IF(Übersicht!$C$13="Ratendarlehen",Übersicht!$Q$10,IF($A136&gt;=Übersicht!$Q$11,$N135,0)))))</f>
        <v>733.65</v>
      </c>
      <c r="N136" s="23">
        <f t="shared" si="11"/>
        <v>221382.71</v>
      </c>
    </row>
    <row r="137" spans="1:14" ht="15" customHeight="1" x14ac:dyDescent="0.25">
      <c r="A137" s="10">
        <v>130</v>
      </c>
      <c r="B137" s="24">
        <f>IF($D137&lt;=0,"",EDATE(Übersicht!$C$18,($A137-1)*12/Übersicht!$Q$6))</f>
        <v>49979</v>
      </c>
      <c r="C137" s="10">
        <f t="shared" si="12"/>
        <v>2036</v>
      </c>
      <c r="D137" s="25">
        <f t="shared" ref="D137:D200" si="16">$J136</f>
        <v>184958.38</v>
      </c>
      <c r="E137" s="12">
        <f t="shared" si="13"/>
        <v>1400</v>
      </c>
      <c r="F137" s="12">
        <f>IF($D137&lt;=0,0,ROUND($D137*Übersicht!$Q$7,2))</f>
        <v>554.88</v>
      </c>
      <c r="G137" s="12">
        <f>IF($D137&lt;=0,0,MIN($D137,IF(Übersicht!$C$13="Annuitätendarlehen",MAX(0,Übersicht!$Q$9-$F137),IF(Übersicht!$C$13="Ratendarlehen",Übersicht!$Q$10,IF($A137&gt;=Übersicht!$Q$11,$D137,0)))))</f>
        <v>845.12</v>
      </c>
      <c r="H137" s="12">
        <f>IF($D137-$G137&lt;=0,0,IF(MOD($A137,Übersicht!$Q$6)=0,IF($A137/Übersicht!$Q$6&gt;=Übersicht!$C$21,MIN(Übersicht!$C$20,$D137-$G137),0),0))</f>
        <v>0</v>
      </c>
      <c r="I137" s="12">
        <f t="shared" si="14"/>
        <v>1400</v>
      </c>
      <c r="J137" s="26">
        <f t="shared" si="15"/>
        <v>184113.26</v>
      </c>
      <c r="K137" s="14" t="str">
        <f>IF($D137&lt;=0,"",IF($J137&lt;=0.005,"Volltilgung erreicht",IF($A137=Übersicht!$Q$13,"Ende der Zinsbindung",IF($H137&gt;0,"Sondertilgung",""))))</f>
        <v/>
      </c>
      <c r="L137" s="23">
        <f>IF($N136&lt;=0,0,ROUND($N136*Übersicht!$Q$7,2))</f>
        <v>664.15</v>
      </c>
      <c r="M137" s="23">
        <f>IF($N136&lt;=0,0,MIN($N136,IF(Übersicht!$C$13="Annuitätendarlehen",MAX(0,Übersicht!$Q$9-$L137),IF(Übersicht!$C$13="Ratendarlehen",Übersicht!$Q$10,IF($A137&gt;=Übersicht!$Q$11,$N136,0)))))</f>
        <v>735.85</v>
      </c>
      <c r="N137" s="23">
        <f t="shared" ref="N137:N200" si="17">IF($N136&lt;=0,0,ROUND($N136-$M137,2))</f>
        <v>220646.86</v>
      </c>
    </row>
    <row r="138" spans="1:14" ht="15" customHeight="1" x14ac:dyDescent="0.25">
      <c r="A138" s="5">
        <v>131</v>
      </c>
      <c r="B138" s="20">
        <f>IF($D138&lt;=0,"",EDATE(Übersicht!$C$18,($A138-1)*12/Übersicht!$Q$6))</f>
        <v>50009</v>
      </c>
      <c r="C138" s="5">
        <f t="shared" si="12"/>
        <v>2036</v>
      </c>
      <c r="D138" s="21">
        <f t="shared" si="16"/>
        <v>184113.26</v>
      </c>
      <c r="E138" s="7">
        <f t="shared" si="13"/>
        <v>1400</v>
      </c>
      <c r="F138" s="7">
        <f>IF($D138&lt;=0,0,ROUND($D138*Übersicht!$Q$7,2))</f>
        <v>552.34</v>
      </c>
      <c r="G138" s="7">
        <f>IF($D138&lt;=0,0,MIN($D138,IF(Übersicht!$C$13="Annuitätendarlehen",MAX(0,Übersicht!$Q$9-$F138),IF(Übersicht!$C$13="Ratendarlehen",Übersicht!$Q$10,IF($A138&gt;=Übersicht!$Q$11,$D138,0)))))</f>
        <v>847.66</v>
      </c>
      <c r="H138" s="7">
        <f>IF($D138-$G138&lt;=0,0,IF(MOD($A138,Übersicht!$Q$6)=0,IF($A138/Übersicht!$Q$6&gt;=Übersicht!$C$21,MIN(Übersicht!$C$20,$D138-$G138),0),0))</f>
        <v>0</v>
      </c>
      <c r="I138" s="7">
        <f t="shared" si="14"/>
        <v>1400</v>
      </c>
      <c r="J138" s="22">
        <f t="shared" si="15"/>
        <v>183265.6</v>
      </c>
      <c r="K138" s="9" t="str">
        <f>IF($D138&lt;=0,"",IF($J138&lt;=0.005,"Volltilgung erreicht",IF($A138=Übersicht!$Q$13,"Ende der Zinsbindung",IF($H138&gt;0,"Sondertilgung",""))))</f>
        <v/>
      </c>
      <c r="L138" s="23">
        <f>IF($N137&lt;=0,0,ROUND($N137*Übersicht!$Q$7,2))</f>
        <v>661.94</v>
      </c>
      <c r="M138" s="23">
        <f>IF($N137&lt;=0,0,MIN($N137,IF(Übersicht!$C$13="Annuitätendarlehen",MAX(0,Übersicht!$Q$9-$L138),IF(Übersicht!$C$13="Ratendarlehen",Übersicht!$Q$10,IF($A138&gt;=Übersicht!$Q$11,$N137,0)))))</f>
        <v>738.06</v>
      </c>
      <c r="N138" s="23">
        <f t="shared" si="17"/>
        <v>219908.8</v>
      </c>
    </row>
    <row r="139" spans="1:14" ht="15" customHeight="1" x14ac:dyDescent="0.25">
      <c r="A139" s="10">
        <v>132</v>
      </c>
      <c r="B139" s="24">
        <f>IF($D139&lt;=0,"",EDATE(Übersicht!$C$18,($A139-1)*12/Übersicht!$Q$6))</f>
        <v>50040</v>
      </c>
      <c r="C139" s="10">
        <f t="shared" si="12"/>
        <v>2036</v>
      </c>
      <c r="D139" s="25">
        <f t="shared" si="16"/>
        <v>183265.6</v>
      </c>
      <c r="E139" s="12">
        <f t="shared" si="13"/>
        <v>1400</v>
      </c>
      <c r="F139" s="12">
        <f>IF($D139&lt;=0,0,ROUND($D139*Übersicht!$Q$7,2))</f>
        <v>549.79999999999995</v>
      </c>
      <c r="G139" s="12">
        <f>IF($D139&lt;=0,0,MIN($D139,IF(Übersicht!$C$13="Annuitätendarlehen",MAX(0,Übersicht!$Q$9-$F139),IF(Übersicht!$C$13="Ratendarlehen",Übersicht!$Q$10,IF($A139&gt;=Übersicht!$Q$11,$D139,0)))))</f>
        <v>850.2</v>
      </c>
      <c r="H139" s="12">
        <f>IF($D139-$G139&lt;=0,0,IF(MOD($A139,Übersicht!$Q$6)=0,IF($A139/Übersicht!$Q$6&gt;=Übersicht!$C$21,MIN(Übersicht!$C$20,$D139-$G139),0),0))</f>
        <v>3000</v>
      </c>
      <c r="I139" s="12">
        <f t="shared" si="14"/>
        <v>4400</v>
      </c>
      <c r="J139" s="26">
        <f t="shared" si="15"/>
        <v>179415.4</v>
      </c>
      <c r="K139" s="14" t="str">
        <f>IF($D139&lt;=0,"",IF($J139&lt;=0.005,"Volltilgung erreicht",IF($A139=Übersicht!$Q$13,"Ende der Zinsbindung",IF($H139&gt;0,"Sondertilgung",""))))</f>
        <v>Sondertilgung</v>
      </c>
      <c r="L139" s="23">
        <f>IF($N138&lt;=0,0,ROUND($N138*Übersicht!$Q$7,2))</f>
        <v>659.73</v>
      </c>
      <c r="M139" s="23">
        <f>IF($N138&lt;=0,0,MIN($N138,IF(Übersicht!$C$13="Annuitätendarlehen",MAX(0,Übersicht!$Q$9-$L139),IF(Übersicht!$C$13="Ratendarlehen",Übersicht!$Q$10,IF($A139&gt;=Übersicht!$Q$11,$N138,0)))))</f>
        <v>740.27</v>
      </c>
      <c r="N139" s="23">
        <f t="shared" si="17"/>
        <v>219168.53</v>
      </c>
    </row>
    <row r="140" spans="1:14" ht="15" customHeight="1" x14ac:dyDescent="0.25">
      <c r="A140" s="5">
        <v>133</v>
      </c>
      <c r="B140" s="20">
        <f>IF($D140&lt;=0,"",EDATE(Übersicht!$C$18,($A140-1)*12/Übersicht!$Q$6))</f>
        <v>50071</v>
      </c>
      <c r="C140" s="5">
        <f t="shared" si="12"/>
        <v>2037</v>
      </c>
      <c r="D140" s="21">
        <f t="shared" si="16"/>
        <v>179415.4</v>
      </c>
      <c r="E140" s="7">
        <f t="shared" si="13"/>
        <v>1400</v>
      </c>
      <c r="F140" s="7">
        <f>IF($D140&lt;=0,0,ROUND($D140*Übersicht!$Q$7,2))</f>
        <v>538.25</v>
      </c>
      <c r="G140" s="7">
        <f>IF($D140&lt;=0,0,MIN($D140,IF(Übersicht!$C$13="Annuitätendarlehen",MAX(0,Übersicht!$Q$9-$F140),IF(Übersicht!$C$13="Ratendarlehen",Übersicht!$Q$10,IF($A140&gt;=Übersicht!$Q$11,$D140,0)))))</f>
        <v>861.75</v>
      </c>
      <c r="H140" s="7">
        <f>IF($D140-$G140&lt;=0,0,IF(MOD($A140,Übersicht!$Q$6)=0,IF($A140/Übersicht!$Q$6&gt;=Übersicht!$C$21,MIN(Übersicht!$C$20,$D140-$G140),0),0))</f>
        <v>0</v>
      </c>
      <c r="I140" s="7">
        <f t="shared" si="14"/>
        <v>1400</v>
      </c>
      <c r="J140" s="22">
        <f t="shared" si="15"/>
        <v>178553.65</v>
      </c>
      <c r="K140" s="9" t="str">
        <f>IF($D140&lt;=0,"",IF($J140&lt;=0.005,"Volltilgung erreicht",IF($A140=Übersicht!$Q$13,"Ende der Zinsbindung",IF($H140&gt;0,"Sondertilgung",""))))</f>
        <v/>
      </c>
      <c r="L140" s="23">
        <f>IF($N139&lt;=0,0,ROUND($N139*Übersicht!$Q$7,2))</f>
        <v>657.51</v>
      </c>
      <c r="M140" s="23">
        <f>IF($N139&lt;=0,0,MIN($N139,IF(Übersicht!$C$13="Annuitätendarlehen",MAX(0,Übersicht!$Q$9-$L140),IF(Übersicht!$C$13="Ratendarlehen",Übersicht!$Q$10,IF($A140&gt;=Übersicht!$Q$11,$N139,0)))))</f>
        <v>742.49</v>
      </c>
      <c r="N140" s="23">
        <f t="shared" si="17"/>
        <v>218426.04</v>
      </c>
    </row>
    <row r="141" spans="1:14" ht="15" customHeight="1" x14ac:dyDescent="0.25">
      <c r="A141" s="10">
        <v>134</v>
      </c>
      <c r="B141" s="24">
        <f>IF($D141&lt;=0,"",EDATE(Übersicht!$C$18,($A141-1)*12/Übersicht!$Q$6))</f>
        <v>50099</v>
      </c>
      <c r="C141" s="10">
        <f t="shared" si="12"/>
        <v>2037</v>
      </c>
      <c r="D141" s="25">
        <f t="shared" si="16"/>
        <v>178553.65</v>
      </c>
      <c r="E141" s="12">
        <f t="shared" si="13"/>
        <v>1400</v>
      </c>
      <c r="F141" s="12">
        <f>IF($D141&lt;=0,0,ROUND($D141*Übersicht!$Q$7,2))</f>
        <v>535.66</v>
      </c>
      <c r="G141" s="12">
        <f>IF($D141&lt;=0,0,MIN($D141,IF(Übersicht!$C$13="Annuitätendarlehen",MAX(0,Übersicht!$Q$9-$F141),IF(Übersicht!$C$13="Ratendarlehen",Übersicht!$Q$10,IF($A141&gt;=Übersicht!$Q$11,$D141,0)))))</f>
        <v>864.34</v>
      </c>
      <c r="H141" s="12">
        <f>IF($D141-$G141&lt;=0,0,IF(MOD($A141,Übersicht!$Q$6)=0,IF($A141/Übersicht!$Q$6&gt;=Übersicht!$C$21,MIN(Übersicht!$C$20,$D141-$G141),0),0))</f>
        <v>0</v>
      </c>
      <c r="I141" s="12">
        <f t="shared" si="14"/>
        <v>1400</v>
      </c>
      <c r="J141" s="26">
        <f t="shared" si="15"/>
        <v>177689.31</v>
      </c>
      <c r="K141" s="14" t="str">
        <f>IF($D141&lt;=0,"",IF($J141&lt;=0.005,"Volltilgung erreicht",IF($A141=Übersicht!$Q$13,"Ende der Zinsbindung",IF($H141&gt;0,"Sondertilgung",""))))</f>
        <v/>
      </c>
      <c r="L141" s="23">
        <f>IF($N140&lt;=0,0,ROUND($N140*Übersicht!$Q$7,2))</f>
        <v>655.28</v>
      </c>
      <c r="M141" s="23">
        <f>IF($N140&lt;=0,0,MIN($N140,IF(Übersicht!$C$13="Annuitätendarlehen",MAX(0,Übersicht!$Q$9-$L141),IF(Übersicht!$C$13="Ratendarlehen",Übersicht!$Q$10,IF($A141&gt;=Übersicht!$Q$11,$N140,0)))))</f>
        <v>744.72</v>
      </c>
      <c r="N141" s="23">
        <f t="shared" si="17"/>
        <v>217681.32</v>
      </c>
    </row>
    <row r="142" spans="1:14" ht="15" customHeight="1" x14ac:dyDescent="0.25">
      <c r="A142" s="5">
        <v>135</v>
      </c>
      <c r="B142" s="20">
        <f>IF($D142&lt;=0,"",EDATE(Übersicht!$C$18,($A142-1)*12/Übersicht!$Q$6))</f>
        <v>50130</v>
      </c>
      <c r="C142" s="5">
        <f t="shared" si="12"/>
        <v>2037</v>
      </c>
      <c r="D142" s="21">
        <f t="shared" si="16"/>
        <v>177689.31</v>
      </c>
      <c r="E142" s="7">
        <f t="shared" si="13"/>
        <v>1400</v>
      </c>
      <c r="F142" s="7">
        <f>IF($D142&lt;=0,0,ROUND($D142*Übersicht!$Q$7,2))</f>
        <v>533.07000000000005</v>
      </c>
      <c r="G142" s="7">
        <f>IF($D142&lt;=0,0,MIN($D142,IF(Übersicht!$C$13="Annuitätendarlehen",MAX(0,Übersicht!$Q$9-$F142),IF(Übersicht!$C$13="Ratendarlehen",Übersicht!$Q$10,IF($A142&gt;=Übersicht!$Q$11,$D142,0)))))</f>
        <v>866.93</v>
      </c>
      <c r="H142" s="7">
        <f>IF($D142-$G142&lt;=0,0,IF(MOD($A142,Übersicht!$Q$6)=0,IF($A142/Übersicht!$Q$6&gt;=Übersicht!$C$21,MIN(Übersicht!$C$20,$D142-$G142),0),0))</f>
        <v>0</v>
      </c>
      <c r="I142" s="7">
        <f t="shared" si="14"/>
        <v>1400</v>
      </c>
      <c r="J142" s="22">
        <f t="shared" si="15"/>
        <v>176822.38</v>
      </c>
      <c r="K142" s="9" t="str">
        <f>IF($D142&lt;=0,"",IF($J142&lt;=0.005,"Volltilgung erreicht",IF($A142=Übersicht!$Q$13,"Ende der Zinsbindung",IF($H142&gt;0,"Sondertilgung",""))))</f>
        <v/>
      </c>
      <c r="L142" s="23">
        <f>IF($N141&lt;=0,0,ROUND($N141*Übersicht!$Q$7,2))</f>
        <v>653.04</v>
      </c>
      <c r="M142" s="23">
        <f>IF($N141&lt;=0,0,MIN($N141,IF(Übersicht!$C$13="Annuitätendarlehen",MAX(0,Übersicht!$Q$9-$L142),IF(Übersicht!$C$13="Ratendarlehen",Übersicht!$Q$10,IF($A142&gt;=Übersicht!$Q$11,$N141,0)))))</f>
        <v>746.96</v>
      </c>
      <c r="N142" s="23">
        <f t="shared" si="17"/>
        <v>216934.36</v>
      </c>
    </row>
    <row r="143" spans="1:14" ht="15" customHeight="1" x14ac:dyDescent="0.25">
      <c r="A143" s="10">
        <v>136</v>
      </c>
      <c r="B143" s="24">
        <f>IF($D143&lt;=0,"",EDATE(Übersicht!$C$18,($A143-1)*12/Übersicht!$Q$6))</f>
        <v>50160</v>
      </c>
      <c r="C143" s="10">
        <f t="shared" si="12"/>
        <v>2037</v>
      </c>
      <c r="D143" s="25">
        <f t="shared" si="16"/>
        <v>176822.38</v>
      </c>
      <c r="E143" s="12">
        <f t="shared" si="13"/>
        <v>1400</v>
      </c>
      <c r="F143" s="12">
        <f>IF($D143&lt;=0,0,ROUND($D143*Übersicht!$Q$7,2))</f>
        <v>530.47</v>
      </c>
      <c r="G143" s="12">
        <f>IF($D143&lt;=0,0,MIN($D143,IF(Übersicht!$C$13="Annuitätendarlehen",MAX(0,Übersicht!$Q$9-$F143),IF(Übersicht!$C$13="Ratendarlehen",Übersicht!$Q$10,IF($A143&gt;=Übersicht!$Q$11,$D143,0)))))</f>
        <v>869.53</v>
      </c>
      <c r="H143" s="12">
        <f>IF($D143-$G143&lt;=0,0,IF(MOD($A143,Übersicht!$Q$6)=0,IF($A143/Übersicht!$Q$6&gt;=Übersicht!$C$21,MIN(Übersicht!$C$20,$D143-$G143),0),0))</f>
        <v>0</v>
      </c>
      <c r="I143" s="12">
        <f t="shared" si="14"/>
        <v>1400</v>
      </c>
      <c r="J143" s="26">
        <f t="shared" si="15"/>
        <v>175952.85</v>
      </c>
      <c r="K143" s="14" t="str">
        <f>IF($D143&lt;=0,"",IF($J143&lt;=0.005,"Volltilgung erreicht",IF($A143=Übersicht!$Q$13,"Ende der Zinsbindung",IF($H143&gt;0,"Sondertilgung",""))))</f>
        <v/>
      </c>
      <c r="L143" s="23">
        <f>IF($N142&lt;=0,0,ROUND($N142*Übersicht!$Q$7,2))</f>
        <v>650.79999999999995</v>
      </c>
      <c r="M143" s="23">
        <f>IF($N142&lt;=0,0,MIN($N142,IF(Übersicht!$C$13="Annuitätendarlehen",MAX(0,Übersicht!$Q$9-$L143),IF(Übersicht!$C$13="Ratendarlehen",Übersicht!$Q$10,IF($A143&gt;=Übersicht!$Q$11,$N142,0)))))</f>
        <v>749.2</v>
      </c>
      <c r="N143" s="23">
        <f t="shared" si="17"/>
        <v>216185.16</v>
      </c>
    </row>
    <row r="144" spans="1:14" ht="15" customHeight="1" x14ac:dyDescent="0.25">
      <c r="A144" s="5">
        <v>137</v>
      </c>
      <c r="B144" s="20">
        <f>IF($D144&lt;=0,"",EDATE(Übersicht!$C$18,($A144-1)*12/Übersicht!$Q$6))</f>
        <v>50191</v>
      </c>
      <c r="C144" s="5">
        <f t="shared" si="12"/>
        <v>2037</v>
      </c>
      <c r="D144" s="21">
        <f t="shared" si="16"/>
        <v>175952.85</v>
      </c>
      <c r="E144" s="7">
        <f t="shared" si="13"/>
        <v>1400</v>
      </c>
      <c r="F144" s="7">
        <f>IF($D144&lt;=0,0,ROUND($D144*Übersicht!$Q$7,2))</f>
        <v>527.86</v>
      </c>
      <c r="G144" s="7">
        <f>IF($D144&lt;=0,0,MIN($D144,IF(Übersicht!$C$13="Annuitätendarlehen",MAX(0,Übersicht!$Q$9-$F144),IF(Übersicht!$C$13="Ratendarlehen",Übersicht!$Q$10,IF($A144&gt;=Übersicht!$Q$11,$D144,0)))))</f>
        <v>872.14</v>
      </c>
      <c r="H144" s="7">
        <f>IF($D144-$G144&lt;=0,0,IF(MOD($A144,Übersicht!$Q$6)=0,IF($A144/Übersicht!$Q$6&gt;=Übersicht!$C$21,MIN(Übersicht!$C$20,$D144-$G144),0),0))</f>
        <v>0</v>
      </c>
      <c r="I144" s="7">
        <f t="shared" si="14"/>
        <v>1400</v>
      </c>
      <c r="J144" s="22">
        <f t="shared" si="15"/>
        <v>175080.71</v>
      </c>
      <c r="K144" s="9" t="str">
        <f>IF($D144&lt;=0,"",IF($J144&lt;=0.005,"Volltilgung erreicht",IF($A144=Übersicht!$Q$13,"Ende der Zinsbindung",IF($H144&gt;0,"Sondertilgung",""))))</f>
        <v/>
      </c>
      <c r="L144" s="23">
        <f>IF($N143&lt;=0,0,ROUND($N143*Übersicht!$Q$7,2))</f>
        <v>648.55999999999995</v>
      </c>
      <c r="M144" s="23">
        <f>IF($N143&lt;=0,0,MIN($N143,IF(Übersicht!$C$13="Annuitätendarlehen",MAX(0,Übersicht!$Q$9-$L144),IF(Übersicht!$C$13="Ratendarlehen",Übersicht!$Q$10,IF($A144&gt;=Übersicht!$Q$11,$N143,0)))))</f>
        <v>751.44</v>
      </c>
      <c r="N144" s="23">
        <f t="shared" si="17"/>
        <v>215433.72</v>
      </c>
    </row>
    <row r="145" spans="1:14" ht="15" customHeight="1" x14ac:dyDescent="0.25">
      <c r="A145" s="10">
        <v>138</v>
      </c>
      <c r="B145" s="24">
        <f>IF($D145&lt;=0,"",EDATE(Übersicht!$C$18,($A145-1)*12/Übersicht!$Q$6))</f>
        <v>50221</v>
      </c>
      <c r="C145" s="10">
        <f t="shared" si="12"/>
        <v>2037</v>
      </c>
      <c r="D145" s="25">
        <f t="shared" si="16"/>
        <v>175080.71</v>
      </c>
      <c r="E145" s="12">
        <f t="shared" si="13"/>
        <v>1400</v>
      </c>
      <c r="F145" s="12">
        <f>IF($D145&lt;=0,0,ROUND($D145*Übersicht!$Q$7,2))</f>
        <v>525.24</v>
      </c>
      <c r="G145" s="12">
        <f>IF($D145&lt;=0,0,MIN($D145,IF(Übersicht!$C$13="Annuitätendarlehen",MAX(0,Übersicht!$Q$9-$F145),IF(Übersicht!$C$13="Ratendarlehen",Übersicht!$Q$10,IF($A145&gt;=Übersicht!$Q$11,$D145,0)))))</f>
        <v>874.76</v>
      </c>
      <c r="H145" s="12">
        <f>IF($D145-$G145&lt;=0,0,IF(MOD($A145,Übersicht!$Q$6)=0,IF($A145/Übersicht!$Q$6&gt;=Übersicht!$C$21,MIN(Übersicht!$C$20,$D145-$G145),0),0))</f>
        <v>0</v>
      </c>
      <c r="I145" s="12">
        <f t="shared" si="14"/>
        <v>1400</v>
      </c>
      <c r="J145" s="26">
        <f t="shared" si="15"/>
        <v>174205.95</v>
      </c>
      <c r="K145" s="14" t="str">
        <f>IF($D145&lt;=0,"",IF($J145&lt;=0.005,"Volltilgung erreicht",IF($A145=Übersicht!$Q$13,"Ende der Zinsbindung",IF($H145&gt;0,"Sondertilgung",""))))</f>
        <v/>
      </c>
      <c r="L145" s="23">
        <f>IF($N144&lt;=0,0,ROUND($N144*Übersicht!$Q$7,2))</f>
        <v>646.29999999999995</v>
      </c>
      <c r="M145" s="23">
        <f>IF($N144&lt;=0,0,MIN($N144,IF(Übersicht!$C$13="Annuitätendarlehen",MAX(0,Übersicht!$Q$9-$L145),IF(Übersicht!$C$13="Ratendarlehen",Übersicht!$Q$10,IF($A145&gt;=Übersicht!$Q$11,$N144,0)))))</f>
        <v>753.7</v>
      </c>
      <c r="N145" s="23">
        <f t="shared" si="17"/>
        <v>214680.02</v>
      </c>
    </row>
    <row r="146" spans="1:14" ht="15" customHeight="1" x14ac:dyDescent="0.25">
      <c r="A146" s="5">
        <v>139</v>
      </c>
      <c r="B146" s="20">
        <f>IF($D146&lt;=0,"",EDATE(Übersicht!$C$18,($A146-1)*12/Übersicht!$Q$6))</f>
        <v>50252</v>
      </c>
      <c r="C146" s="5">
        <f t="shared" si="12"/>
        <v>2037</v>
      </c>
      <c r="D146" s="21">
        <f t="shared" si="16"/>
        <v>174205.95</v>
      </c>
      <c r="E146" s="7">
        <f t="shared" si="13"/>
        <v>1400</v>
      </c>
      <c r="F146" s="7">
        <f>IF($D146&lt;=0,0,ROUND($D146*Übersicht!$Q$7,2))</f>
        <v>522.62</v>
      </c>
      <c r="G146" s="7">
        <f>IF($D146&lt;=0,0,MIN($D146,IF(Übersicht!$C$13="Annuitätendarlehen",MAX(0,Übersicht!$Q$9-$F146),IF(Übersicht!$C$13="Ratendarlehen",Übersicht!$Q$10,IF($A146&gt;=Übersicht!$Q$11,$D146,0)))))</f>
        <v>877.38</v>
      </c>
      <c r="H146" s="7">
        <f>IF($D146-$G146&lt;=0,0,IF(MOD($A146,Übersicht!$Q$6)=0,IF($A146/Übersicht!$Q$6&gt;=Übersicht!$C$21,MIN(Übersicht!$C$20,$D146-$G146),0),0))</f>
        <v>0</v>
      </c>
      <c r="I146" s="7">
        <f t="shared" si="14"/>
        <v>1400</v>
      </c>
      <c r="J146" s="22">
        <f t="shared" si="15"/>
        <v>173328.57</v>
      </c>
      <c r="K146" s="9" t="str">
        <f>IF($D146&lt;=0,"",IF($J146&lt;=0.005,"Volltilgung erreicht",IF($A146=Übersicht!$Q$13,"Ende der Zinsbindung",IF($H146&gt;0,"Sondertilgung",""))))</f>
        <v/>
      </c>
      <c r="L146" s="23">
        <f>IF($N145&lt;=0,0,ROUND($N145*Übersicht!$Q$7,2))</f>
        <v>644.04</v>
      </c>
      <c r="M146" s="23">
        <f>IF($N145&lt;=0,0,MIN($N145,IF(Übersicht!$C$13="Annuitätendarlehen",MAX(0,Übersicht!$Q$9-$L146),IF(Übersicht!$C$13="Ratendarlehen",Übersicht!$Q$10,IF($A146&gt;=Übersicht!$Q$11,$N145,0)))))</f>
        <v>755.96</v>
      </c>
      <c r="N146" s="23">
        <f t="shared" si="17"/>
        <v>213924.06</v>
      </c>
    </row>
    <row r="147" spans="1:14" ht="15" customHeight="1" x14ac:dyDescent="0.25">
      <c r="A147" s="10">
        <v>140</v>
      </c>
      <c r="B147" s="24">
        <f>IF($D147&lt;=0,"",EDATE(Übersicht!$C$18,($A147-1)*12/Übersicht!$Q$6))</f>
        <v>50283</v>
      </c>
      <c r="C147" s="10">
        <f t="shared" si="12"/>
        <v>2037</v>
      </c>
      <c r="D147" s="25">
        <f t="shared" si="16"/>
        <v>173328.57</v>
      </c>
      <c r="E147" s="12">
        <f t="shared" si="13"/>
        <v>1400</v>
      </c>
      <c r="F147" s="12">
        <f>IF($D147&lt;=0,0,ROUND($D147*Übersicht!$Q$7,2))</f>
        <v>519.99</v>
      </c>
      <c r="G147" s="12">
        <f>IF($D147&lt;=0,0,MIN($D147,IF(Übersicht!$C$13="Annuitätendarlehen",MAX(0,Übersicht!$Q$9-$F147),IF(Übersicht!$C$13="Ratendarlehen",Übersicht!$Q$10,IF($A147&gt;=Übersicht!$Q$11,$D147,0)))))</f>
        <v>880.01</v>
      </c>
      <c r="H147" s="12">
        <f>IF($D147-$G147&lt;=0,0,IF(MOD($A147,Übersicht!$Q$6)=0,IF($A147/Übersicht!$Q$6&gt;=Übersicht!$C$21,MIN(Übersicht!$C$20,$D147-$G147),0),0))</f>
        <v>0</v>
      </c>
      <c r="I147" s="12">
        <f t="shared" si="14"/>
        <v>1400</v>
      </c>
      <c r="J147" s="26">
        <f t="shared" si="15"/>
        <v>172448.56</v>
      </c>
      <c r="K147" s="14" t="str">
        <f>IF($D147&lt;=0,"",IF($J147&lt;=0.005,"Volltilgung erreicht",IF($A147=Übersicht!$Q$13,"Ende der Zinsbindung",IF($H147&gt;0,"Sondertilgung",""))))</f>
        <v/>
      </c>
      <c r="L147" s="23">
        <f>IF($N146&lt;=0,0,ROUND($N146*Übersicht!$Q$7,2))</f>
        <v>641.77</v>
      </c>
      <c r="M147" s="23">
        <f>IF($N146&lt;=0,0,MIN($N146,IF(Übersicht!$C$13="Annuitätendarlehen",MAX(0,Übersicht!$Q$9-$L147),IF(Übersicht!$C$13="Ratendarlehen",Übersicht!$Q$10,IF($A147&gt;=Übersicht!$Q$11,$N146,0)))))</f>
        <v>758.23</v>
      </c>
      <c r="N147" s="23">
        <f t="shared" si="17"/>
        <v>213165.83</v>
      </c>
    </row>
    <row r="148" spans="1:14" ht="15" customHeight="1" x14ac:dyDescent="0.25">
      <c r="A148" s="5">
        <v>141</v>
      </c>
      <c r="B148" s="20">
        <f>IF($D148&lt;=0,"",EDATE(Übersicht!$C$18,($A148-1)*12/Übersicht!$Q$6))</f>
        <v>50313</v>
      </c>
      <c r="C148" s="5">
        <f t="shared" si="12"/>
        <v>2037</v>
      </c>
      <c r="D148" s="21">
        <f t="shared" si="16"/>
        <v>172448.56</v>
      </c>
      <c r="E148" s="7">
        <f t="shared" si="13"/>
        <v>1400</v>
      </c>
      <c r="F148" s="7">
        <f>IF($D148&lt;=0,0,ROUND($D148*Übersicht!$Q$7,2))</f>
        <v>517.35</v>
      </c>
      <c r="G148" s="7">
        <f>IF($D148&lt;=0,0,MIN($D148,IF(Übersicht!$C$13="Annuitätendarlehen",MAX(0,Übersicht!$Q$9-$F148),IF(Übersicht!$C$13="Ratendarlehen",Übersicht!$Q$10,IF($A148&gt;=Übersicht!$Q$11,$D148,0)))))</f>
        <v>882.65</v>
      </c>
      <c r="H148" s="7">
        <f>IF($D148-$G148&lt;=0,0,IF(MOD($A148,Übersicht!$Q$6)=0,IF($A148/Übersicht!$Q$6&gt;=Übersicht!$C$21,MIN(Übersicht!$C$20,$D148-$G148),0),0))</f>
        <v>0</v>
      </c>
      <c r="I148" s="7">
        <f t="shared" si="14"/>
        <v>1400</v>
      </c>
      <c r="J148" s="22">
        <f t="shared" si="15"/>
        <v>171565.91</v>
      </c>
      <c r="K148" s="9" t="str">
        <f>IF($D148&lt;=0,"",IF($J148&lt;=0.005,"Volltilgung erreicht",IF($A148=Übersicht!$Q$13,"Ende der Zinsbindung",IF($H148&gt;0,"Sondertilgung",""))))</f>
        <v/>
      </c>
      <c r="L148" s="23">
        <f>IF($N147&lt;=0,0,ROUND($N147*Übersicht!$Q$7,2))</f>
        <v>639.5</v>
      </c>
      <c r="M148" s="23">
        <f>IF($N147&lt;=0,0,MIN($N147,IF(Übersicht!$C$13="Annuitätendarlehen",MAX(0,Übersicht!$Q$9-$L148),IF(Übersicht!$C$13="Ratendarlehen",Übersicht!$Q$10,IF($A148&gt;=Übersicht!$Q$11,$N147,0)))))</f>
        <v>760.5</v>
      </c>
      <c r="N148" s="23">
        <f t="shared" si="17"/>
        <v>212405.33</v>
      </c>
    </row>
    <row r="149" spans="1:14" ht="15" customHeight="1" x14ac:dyDescent="0.25">
      <c r="A149" s="10">
        <v>142</v>
      </c>
      <c r="B149" s="24">
        <f>IF($D149&lt;=0,"",EDATE(Übersicht!$C$18,($A149-1)*12/Übersicht!$Q$6))</f>
        <v>50344</v>
      </c>
      <c r="C149" s="10">
        <f t="shared" si="12"/>
        <v>2037</v>
      </c>
      <c r="D149" s="25">
        <f t="shared" si="16"/>
        <v>171565.91</v>
      </c>
      <c r="E149" s="12">
        <f t="shared" si="13"/>
        <v>1400</v>
      </c>
      <c r="F149" s="12">
        <f>IF($D149&lt;=0,0,ROUND($D149*Übersicht!$Q$7,2))</f>
        <v>514.70000000000005</v>
      </c>
      <c r="G149" s="12">
        <f>IF($D149&lt;=0,0,MIN($D149,IF(Übersicht!$C$13="Annuitätendarlehen",MAX(0,Übersicht!$Q$9-$F149),IF(Übersicht!$C$13="Ratendarlehen",Übersicht!$Q$10,IF($A149&gt;=Übersicht!$Q$11,$D149,0)))))</f>
        <v>885.3</v>
      </c>
      <c r="H149" s="12">
        <f>IF($D149-$G149&lt;=0,0,IF(MOD($A149,Übersicht!$Q$6)=0,IF($A149/Übersicht!$Q$6&gt;=Übersicht!$C$21,MIN(Übersicht!$C$20,$D149-$G149),0),0))</f>
        <v>0</v>
      </c>
      <c r="I149" s="12">
        <f t="shared" si="14"/>
        <v>1400</v>
      </c>
      <c r="J149" s="26">
        <f t="shared" si="15"/>
        <v>170680.61</v>
      </c>
      <c r="K149" s="14" t="str">
        <f>IF($D149&lt;=0,"",IF($J149&lt;=0.005,"Volltilgung erreicht",IF($A149=Übersicht!$Q$13,"Ende der Zinsbindung",IF($H149&gt;0,"Sondertilgung",""))))</f>
        <v/>
      </c>
      <c r="L149" s="23">
        <f>IF($N148&lt;=0,0,ROUND($N148*Übersicht!$Q$7,2))</f>
        <v>637.22</v>
      </c>
      <c r="M149" s="23">
        <f>IF($N148&lt;=0,0,MIN($N148,IF(Übersicht!$C$13="Annuitätendarlehen",MAX(0,Übersicht!$Q$9-$L149),IF(Übersicht!$C$13="Ratendarlehen",Übersicht!$Q$10,IF($A149&gt;=Übersicht!$Q$11,$N148,0)))))</f>
        <v>762.78</v>
      </c>
      <c r="N149" s="23">
        <f t="shared" si="17"/>
        <v>211642.55</v>
      </c>
    </row>
    <row r="150" spans="1:14" ht="15" customHeight="1" x14ac:dyDescent="0.25">
      <c r="A150" s="5">
        <v>143</v>
      </c>
      <c r="B150" s="20">
        <f>IF($D150&lt;=0,"",EDATE(Übersicht!$C$18,($A150-1)*12/Übersicht!$Q$6))</f>
        <v>50374</v>
      </c>
      <c r="C150" s="5">
        <f t="shared" si="12"/>
        <v>2037</v>
      </c>
      <c r="D150" s="21">
        <f t="shared" si="16"/>
        <v>170680.61</v>
      </c>
      <c r="E150" s="7">
        <f t="shared" si="13"/>
        <v>1400</v>
      </c>
      <c r="F150" s="7">
        <f>IF($D150&lt;=0,0,ROUND($D150*Übersicht!$Q$7,2))</f>
        <v>512.04</v>
      </c>
      <c r="G150" s="7">
        <f>IF($D150&lt;=0,0,MIN($D150,IF(Übersicht!$C$13="Annuitätendarlehen",MAX(0,Übersicht!$Q$9-$F150),IF(Übersicht!$C$13="Ratendarlehen",Übersicht!$Q$10,IF($A150&gt;=Übersicht!$Q$11,$D150,0)))))</f>
        <v>887.96</v>
      </c>
      <c r="H150" s="7">
        <f>IF($D150-$G150&lt;=0,0,IF(MOD($A150,Übersicht!$Q$6)=0,IF($A150/Übersicht!$Q$6&gt;=Übersicht!$C$21,MIN(Übersicht!$C$20,$D150-$G150),0),0))</f>
        <v>0</v>
      </c>
      <c r="I150" s="7">
        <f t="shared" si="14"/>
        <v>1400</v>
      </c>
      <c r="J150" s="22">
        <f t="shared" si="15"/>
        <v>169792.65</v>
      </c>
      <c r="K150" s="9" t="str">
        <f>IF($D150&lt;=0,"",IF($J150&lt;=0.005,"Volltilgung erreicht",IF($A150=Übersicht!$Q$13,"Ende der Zinsbindung",IF($H150&gt;0,"Sondertilgung",""))))</f>
        <v/>
      </c>
      <c r="L150" s="23">
        <f>IF($N149&lt;=0,0,ROUND($N149*Übersicht!$Q$7,2))</f>
        <v>634.92999999999995</v>
      </c>
      <c r="M150" s="23">
        <f>IF($N149&lt;=0,0,MIN($N149,IF(Übersicht!$C$13="Annuitätendarlehen",MAX(0,Übersicht!$Q$9-$L150),IF(Übersicht!$C$13="Ratendarlehen",Übersicht!$Q$10,IF($A150&gt;=Übersicht!$Q$11,$N149,0)))))</f>
        <v>765.07</v>
      </c>
      <c r="N150" s="23">
        <f t="shared" si="17"/>
        <v>210877.48</v>
      </c>
    </row>
    <row r="151" spans="1:14" ht="15" customHeight="1" x14ac:dyDescent="0.25">
      <c r="A151" s="10">
        <v>144</v>
      </c>
      <c r="B151" s="24">
        <f>IF($D151&lt;=0,"",EDATE(Übersicht!$C$18,($A151-1)*12/Übersicht!$Q$6))</f>
        <v>50405</v>
      </c>
      <c r="C151" s="10">
        <f t="shared" si="12"/>
        <v>2037</v>
      </c>
      <c r="D151" s="25">
        <f t="shared" si="16"/>
        <v>169792.65</v>
      </c>
      <c r="E151" s="12">
        <f t="shared" si="13"/>
        <v>1400</v>
      </c>
      <c r="F151" s="12">
        <f>IF($D151&lt;=0,0,ROUND($D151*Übersicht!$Q$7,2))</f>
        <v>509.38</v>
      </c>
      <c r="G151" s="12">
        <f>IF($D151&lt;=0,0,MIN($D151,IF(Übersicht!$C$13="Annuitätendarlehen",MAX(0,Übersicht!$Q$9-$F151),IF(Übersicht!$C$13="Ratendarlehen",Übersicht!$Q$10,IF($A151&gt;=Übersicht!$Q$11,$D151,0)))))</f>
        <v>890.62</v>
      </c>
      <c r="H151" s="12">
        <f>IF($D151-$G151&lt;=0,0,IF(MOD($A151,Übersicht!$Q$6)=0,IF($A151/Übersicht!$Q$6&gt;=Übersicht!$C$21,MIN(Übersicht!$C$20,$D151-$G151),0),0))</f>
        <v>3000</v>
      </c>
      <c r="I151" s="12">
        <f t="shared" si="14"/>
        <v>4400</v>
      </c>
      <c r="J151" s="26">
        <f t="shared" si="15"/>
        <v>165902.03</v>
      </c>
      <c r="K151" s="14" t="str">
        <f>IF($D151&lt;=0,"",IF($J151&lt;=0.005,"Volltilgung erreicht",IF($A151=Übersicht!$Q$13,"Ende der Zinsbindung",IF($H151&gt;0,"Sondertilgung",""))))</f>
        <v>Sondertilgung</v>
      </c>
      <c r="L151" s="23">
        <f>IF($N150&lt;=0,0,ROUND($N150*Übersicht!$Q$7,2))</f>
        <v>632.63</v>
      </c>
      <c r="M151" s="23">
        <f>IF($N150&lt;=0,0,MIN($N150,IF(Übersicht!$C$13="Annuitätendarlehen",MAX(0,Übersicht!$Q$9-$L151),IF(Übersicht!$C$13="Ratendarlehen",Übersicht!$Q$10,IF($A151&gt;=Übersicht!$Q$11,$N150,0)))))</f>
        <v>767.37</v>
      </c>
      <c r="N151" s="23">
        <f t="shared" si="17"/>
        <v>210110.11</v>
      </c>
    </row>
    <row r="152" spans="1:14" ht="15" customHeight="1" x14ac:dyDescent="0.25">
      <c r="A152" s="5">
        <v>145</v>
      </c>
      <c r="B152" s="20">
        <f>IF($D152&lt;=0,"",EDATE(Übersicht!$C$18,($A152-1)*12/Übersicht!$Q$6))</f>
        <v>50436</v>
      </c>
      <c r="C152" s="5">
        <f t="shared" si="12"/>
        <v>2038</v>
      </c>
      <c r="D152" s="21">
        <f t="shared" si="16"/>
        <v>165902.03</v>
      </c>
      <c r="E152" s="7">
        <f t="shared" si="13"/>
        <v>1400</v>
      </c>
      <c r="F152" s="7">
        <f>IF($D152&lt;=0,0,ROUND($D152*Übersicht!$Q$7,2))</f>
        <v>497.71</v>
      </c>
      <c r="G152" s="7">
        <f>IF($D152&lt;=0,0,MIN($D152,IF(Übersicht!$C$13="Annuitätendarlehen",MAX(0,Übersicht!$Q$9-$F152),IF(Übersicht!$C$13="Ratendarlehen",Übersicht!$Q$10,IF($A152&gt;=Übersicht!$Q$11,$D152,0)))))</f>
        <v>902.29</v>
      </c>
      <c r="H152" s="7">
        <f>IF($D152-$G152&lt;=0,0,IF(MOD($A152,Übersicht!$Q$6)=0,IF($A152/Übersicht!$Q$6&gt;=Übersicht!$C$21,MIN(Übersicht!$C$20,$D152-$G152),0),0))</f>
        <v>0</v>
      </c>
      <c r="I152" s="7">
        <f t="shared" si="14"/>
        <v>1400</v>
      </c>
      <c r="J152" s="22">
        <f t="shared" si="15"/>
        <v>164999.74</v>
      </c>
      <c r="K152" s="9" t="str">
        <f>IF($D152&lt;=0,"",IF($J152&lt;=0.005,"Volltilgung erreicht",IF($A152=Übersicht!$Q$13,"Ende der Zinsbindung",IF($H152&gt;0,"Sondertilgung",""))))</f>
        <v/>
      </c>
      <c r="L152" s="23">
        <f>IF($N151&lt;=0,0,ROUND($N151*Übersicht!$Q$7,2))</f>
        <v>630.33000000000004</v>
      </c>
      <c r="M152" s="23">
        <f>IF($N151&lt;=0,0,MIN($N151,IF(Übersicht!$C$13="Annuitätendarlehen",MAX(0,Übersicht!$Q$9-$L152),IF(Übersicht!$C$13="Ratendarlehen",Übersicht!$Q$10,IF($A152&gt;=Übersicht!$Q$11,$N151,0)))))</f>
        <v>769.67</v>
      </c>
      <c r="N152" s="23">
        <f t="shared" si="17"/>
        <v>209340.44</v>
      </c>
    </row>
    <row r="153" spans="1:14" ht="15" customHeight="1" x14ac:dyDescent="0.25">
      <c r="A153" s="10">
        <v>146</v>
      </c>
      <c r="B153" s="24">
        <f>IF($D153&lt;=0,"",EDATE(Übersicht!$C$18,($A153-1)*12/Übersicht!$Q$6))</f>
        <v>50464</v>
      </c>
      <c r="C153" s="10">
        <f t="shared" si="12"/>
        <v>2038</v>
      </c>
      <c r="D153" s="25">
        <f t="shared" si="16"/>
        <v>164999.74</v>
      </c>
      <c r="E153" s="12">
        <f t="shared" si="13"/>
        <v>1400</v>
      </c>
      <c r="F153" s="12">
        <f>IF($D153&lt;=0,0,ROUND($D153*Übersicht!$Q$7,2))</f>
        <v>495</v>
      </c>
      <c r="G153" s="12">
        <f>IF($D153&lt;=0,0,MIN($D153,IF(Übersicht!$C$13="Annuitätendarlehen",MAX(0,Übersicht!$Q$9-$F153),IF(Übersicht!$C$13="Ratendarlehen",Übersicht!$Q$10,IF($A153&gt;=Übersicht!$Q$11,$D153,0)))))</f>
        <v>905</v>
      </c>
      <c r="H153" s="12">
        <f>IF($D153-$G153&lt;=0,0,IF(MOD($A153,Übersicht!$Q$6)=0,IF($A153/Übersicht!$Q$6&gt;=Übersicht!$C$21,MIN(Übersicht!$C$20,$D153-$G153),0),0))</f>
        <v>0</v>
      </c>
      <c r="I153" s="12">
        <f t="shared" si="14"/>
        <v>1400</v>
      </c>
      <c r="J153" s="26">
        <f t="shared" si="15"/>
        <v>164094.74</v>
      </c>
      <c r="K153" s="14" t="str">
        <f>IF($D153&lt;=0,"",IF($J153&lt;=0.005,"Volltilgung erreicht",IF($A153=Übersicht!$Q$13,"Ende der Zinsbindung",IF($H153&gt;0,"Sondertilgung",""))))</f>
        <v/>
      </c>
      <c r="L153" s="23">
        <f>IF($N152&lt;=0,0,ROUND($N152*Übersicht!$Q$7,2))</f>
        <v>628.02</v>
      </c>
      <c r="M153" s="23">
        <f>IF($N152&lt;=0,0,MIN($N152,IF(Übersicht!$C$13="Annuitätendarlehen",MAX(0,Übersicht!$Q$9-$L153),IF(Übersicht!$C$13="Ratendarlehen",Übersicht!$Q$10,IF($A153&gt;=Übersicht!$Q$11,$N152,0)))))</f>
        <v>771.98</v>
      </c>
      <c r="N153" s="23">
        <f t="shared" si="17"/>
        <v>208568.46</v>
      </c>
    </row>
    <row r="154" spans="1:14" ht="15" customHeight="1" x14ac:dyDescent="0.25">
      <c r="A154" s="5">
        <v>147</v>
      </c>
      <c r="B154" s="20">
        <f>IF($D154&lt;=0,"",EDATE(Übersicht!$C$18,($A154-1)*12/Übersicht!$Q$6))</f>
        <v>50495</v>
      </c>
      <c r="C154" s="5">
        <f t="shared" si="12"/>
        <v>2038</v>
      </c>
      <c r="D154" s="21">
        <f t="shared" si="16"/>
        <v>164094.74</v>
      </c>
      <c r="E154" s="7">
        <f t="shared" si="13"/>
        <v>1400</v>
      </c>
      <c r="F154" s="7">
        <f>IF($D154&lt;=0,0,ROUND($D154*Übersicht!$Q$7,2))</f>
        <v>492.28</v>
      </c>
      <c r="G154" s="7">
        <f>IF($D154&lt;=0,0,MIN($D154,IF(Übersicht!$C$13="Annuitätendarlehen",MAX(0,Übersicht!$Q$9-$F154),IF(Übersicht!$C$13="Ratendarlehen",Übersicht!$Q$10,IF($A154&gt;=Übersicht!$Q$11,$D154,0)))))</f>
        <v>907.72</v>
      </c>
      <c r="H154" s="7">
        <f>IF($D154-$G154&lt;=0,0,IF(MOD($A154,Übersicht!$Q$6)=0,IF($A154/Übersicht!$Q$6&gt;=Übersicht!$C$21,MIN(Übersicht!$C$20,$D154-$G154),0),0))</f>
        <v>0</v>
      </c>
      <c r="I154" s="7">
        <f t="shared" si="14"/>
        <v>1400</v>
      </c>
      <c r="J154" s="22">
        <f t="shared" si="15"/>
        <v>163187.01999999999</v>
      </c>
      <c r="K154" s="9" t="str">
        <f>IF($D154&lt;=0,"",IF($J154&lt;=0.005,"Volltilgung erreicht",IF($A154=Übersicht!$Q$13,"Ende der Zinsbindung",IF($H154&gt;0,"Sondertilgung",""))))</f>
        <v/>
      </c>
      <c r="L154" s="23">
        <f>IF($N153&lt;=0,0,ROUND($N153*Übersicht!$Q$7,2))</f>
        <v>625.71</v>
      </c>
      <c r="M154" s="23">
        <f>IF($N153&lt;=0,0,MIN($N153,IF(Übersicht!$C$13="Annuitätendarlehen",MAX(0,Übersicht!$Q$9-$L154),IF(Übersicht!$C$13="Ratendarlehen",Übersicht!$Q$10,IF($A154&gt;=Übersicht!$Q$11,$N153,0)))))</f>
        <v>774.29</v>
      </c>
      <c r="N154" s="23">
        <f t="shared" si="17"/>
        <v>207794.17</v>
      </c>
    </row>
    <row r="155" spans="1:14" ht="15" customHeight="1" x14ac:dyDescent="0.25">
      <c r="A155" s="10">
        <v>148</v>
      </c>
      <c r="B155" s="24">
        <f>IF($D155&lt;=0,"",EDATE(Übersicht!$C$18,($A155-1)*12/Übersicht!$Q$6))</f>
        <v>50525</v>
      </c>
      <c r="C155" s="10">
        <f t="shared" si="12"/>
        <v>2038</v>
      </c>
      <c r="D155" s="25">
        <f t="shared" si="16"/>
        <v>163187.01999999999</v>
      </c>
      <c r="E155" s="12">
        <f t="shared" si="13"/>
        <v>1400</v>
      </c>
      <c r="F155" s="12">
        <f>IF($D155&lt;=0,0,ROUND($D155*Übersicht!$Q$7,2))</f>
        <v>489.56</v>
      </c>
      <c r="G155" s="12">
        <f>IF($D155&lt;=0,0,MIN($D155,IF(Übersicht!$C$13="Annuitätendarlehen",MAX(0,Übersicht!$Q$9-$F155),IF(Übersicht!$C$13="Ratendarlehen",Übersicht!$Q$10,IF($A155&gt;=Übersicht!$Q$11,$D155,0)))))</f>
        <v>910.44</v>
      </c>
      <c r="H155" s="12">
        <f>IF($D155-$G155&lt;=0,0,IF(MOD($A155,Übersicht!$Q$6)=0,IF($A155/Übersicht!$Q$6&gt;=Übersicht!$C$21,MIN(Übersicht!$C$20,$D155-$G155),0),0))</f>
        <v>0</v>
      </c>
      <c r="I155" s="12">
        <f t="shared" si="14"/>
        <v>1400</v>
      </c>
      <c r="J155" s="26">
        <f t="shared" si="15"/>
        <v>162276.57999999999</v>
      </c>
      <c r="K155" s="14" t="str">
        <f>IF($D155&lt;=0,"",IF($J155&lt;=0.005,"Volltilgung erreicht",IF($A155=Übersicht!$Q$13,"Ende der Zinsbindung",IF($H155&gt;0,"Sondertilgung",""))))</f>
        <v/>
      </c>
      <c r="L155" s="23">
        <f>IF($N154&lt;=0,0,ROUND($N154*Übersicht!$Q$7,2))</f>
        <v>623.38</v>
      </c>
      <c r="M155" s="23">
        <f>IF($N154&lt;=0,0,MIN($N154,IF(Übersicht!$C$13="Annuitätendarlehen",MAX(0,Übersicht!$Q$9-$L155),IF(Übersicht!$C$13="Ratendarlehen",Übersicht!$Q$10,IF($A155&gt;=Übersicht!$Q$11,$N154,0)))))</f>
        <v>776.62</v>
      </c>
      <c r="N155" s="23">
        <f t="shared" si="17"/>
        <v>207017.55</v>
      </c>
    </row>
    <row r="156" spans="1:14" ht="15" customHeight="1" x14ac:dyDescent="0.25">
      <c r="A156" s="5">
        <v>149</v>
      </c>
      <c r="B156" s="20">
        <f>IF($D156&lt;=0,"",EDATE(Übersicht!$C$18,($A156-1)*12/Übersicht!$Q$6))</f>
        <v>50556</v>
      </c>
      <c r="C156" s="5">
        <f t="shared" si="12"/>
        <v>2038</v>
      </c>
      <c r="D156" s="21">
        <f t="shared" si="16"/>
        <v>162276.57999999999</v>
      </c>
      <c r="E156" s="7">
        <f t="shared" si="13"/>
        <v>1400</v>
      </c>
      <c r="F156" s="7">
        <f>IF($D156&lt;=0,0,ROUND($D156*Übersicht!$Q$7,2))</f>
        <v>486.83</v>
      </c>
      <c r="G156" s="7">
        <f>IF($D156&lt;=0,0,MIN($D156,IF(Übersicht!$C$13="Annuitätendarlehen",MAX(0,Übersicht!$Q$9-$F156),IF(Übersicht!$C$13="Ratendarlehen",Übersicht!$Q$10,IF($A156&gt;=Übersicht!$Q$11,$D156,0)))))</f>
        <v>913.17000000000007</v>
      </c>
      <c r="H156" s="7">
        <f>IF($D156-$G156&lt;=0,0,IF(MOD($A156,Übersicht!$Q$6)=0,IF($A156/Übersicht!$Q$6&gt;=Übersicht!$C$21,MIN(Übersicht!$C$20,$D156-$G156),0),0))</f>
        <v>0</v>
      </c>
      <c r="I156" s="7">
        <f t="shared" si="14"/>
        <v>1400</v>
      </c>
      <c r="J156" s="22">
        <f t="shared" si="15"/>
        <v>161363.41</v>
      </c>
      <c r="K156" s="9" t="str">
        <f>IF($D156&lt;=0,"",IF($J156&lt;=0.005,"Volltilgung erreicht",IF($A156=Übersicht!$Q$13,"Ende der Zinsbindung",IF($H156&gt;0,"Sondertilgung",""))))</f>
        <v/>
      </c>
      <c r="L156" s="23">
        <f>IF($N155&lt;=0,0,ROUND($N155*Übersicht!$Q$7,2))</f>
        <v>621.04999999999995</v>
      </c>
      <c r="M156" s="23">
        <f>IF($N155&lt;=0,0,MIN($N155,IF(Übersicht!$C$13="Annuitätendarlehen",MAX(0,Übersicht!$Q$9-$L156),IF(Übersicht!$C$13="Ratendarlehen",Übersicht!$Q$10,IF($A156&gt;=Übersicht!$Q$11,$N155,0)))))</f>
        <v>778.95</v>
      </c>
      <c r="N156" s="23">
        <f t="shared" si="17"/>
        <v>206238.6</v>
      </c>
    </row>
    <row r="157" spans="1:14" ht="15" customHeight="1" x14ac:dyDescent="0.25">
      <c r="A157" s="10">
        <v>150</v>
      </c>
      <c r="B157" s="24">
        <f>IF($D157&lt;=0,"",EDATE(Übersicht!$C$18,($A157-1)*12/Übersicht!$Q$6))</f>
        <v>50586</v>
      </c>
      <c r="C157" s="10">
        <f t="shared" si="12"/>
        <v>2038</v>
      </c>
      <c r="D157" s="25">
        <f t="shared" si="16"/>
        <v>161363.41</v>
      </c>
      <c r="E157" s="12">
        <f t="shared" si="13"/>
        <v>1400</v>
      </c>
      <c r="F157" s="12">
        <f>IF($D157&lt;=0,0,ROUND($D157*Übersicht!$Q$7,2))</f>
        <v>484.09</v>
      </c>
      <c r="G157" s="12">
        <f>IF($D157&lt;=0,0,MIN($D157,IF(Übersicht!$C$13="Annuitätendarlehen",MAX(0,Übersicht!$Q$9-$F157),IF(Übersicht!$C$13="Ratendarlehen",Übersicht!$Q$10,IF($A157&gt;=Übersicht!$Q$11,$D157,0)))))</f>
        <v>915.91000000000008</v>
      </c>
      <c r="H157" s="12">
        <f>IF($D157-$G157&lt;=0,0,IF(MOD($A157,Übersicht!$Q$6)=0,IF($A157/Übersicht!$Q$6&gt;=Übersicht!$C$21,MIN(Übersicht!$C$20,$D157-$G157),0),0))</f>
        <v>0</v>
      </c>
      <c r="I157" s="12">
        <f t="shared" si="14"/>
        <v>1400</v>
      </c>
      <c r="J157" s="26">
        <f t="shared" si="15"/>
        <v>160447.5</v>
      </c>
      <c r="K157" s="14" t="str">
        <f>IF($D157&lt;=0,"",IF($J157&lt;=0.005,"Volltilgung erreicht",IF($A157=Übersicht!$Q$13,"Ende der Zinsbindung",IF($H157&gt;0,"Sondertilgung",""))))</f>
        <v/>
      </c>
      <c r="L157" s="23">
        <f>IF($N156&lt;=0,0,ROUND($N156*Übersicht!$Q$7,2))</f>
        <v>618.72</v>
      </c>
      <c r="M157" s="23">
        <f>IF($N156&lt;=0,0,MIN($N156,IF(Übersicht!$C$13="Annuitätendarlehen",MAX(0,Übersicht!$Q$9-$L157),IF(Übersicht!$C$13="Ratendarlehen",Übersicht!$Q$10,IF($A157&gt;=Übersicht!$Q$11,$N156,0)))))</f>
        <v>781.28</v>
      </c>
      <c r="N157" s="23">
        <f t="shared" si="17"/>
        <v>205457.32</v>
      </c>
    </row>
    <row r="158" spans="1:14" ht="15" customHeight="1" x14ac:dyDescent="0.25">
      <c r="A158" s="5">
        <v>151</v>
      </c>
      <c r="B158" s="20">
        <f>IF($D158&lt;=0,"",EDATE(Übersicht!$C$18,($A158-1)*12/Übersicht!$Q$6))</f>
        <v>50617</v>
      </c>
      <c r="C158" s="5">
        <f t="shared" si="12"/>
        <v>2038</v>
      </c>
      <c r="D158" s="21">
        <f t="shared" si="16"/>
        <v>160447.5</v>
      </c>
      <c r="E158" s="7">
        <f t="shared" si="13"/>
        <v>1400</v>
      </c>
      <c r="F158" s="7">
        <f>IF($D158&lt;=0,0,ROUND($D158*Übersicht!$Q$7,2))</f>
        <v>481.34</v>
      </c>
      <c r="G158" s="7">
        <f>IF($D158&lt;=0,0,MIN($D158,IF(Übersicht!$C$13="Annuitätendarlehen",MAX(0,Übersicht!$Q$9-$F158),IF(Übersicht!$C$13="Ratendarlehen",Übersicht!$Q$10,IF($A158&gt;=Übersicht!$Q$11,$D158,0)))))</f>
        <v>918.66000000000008</v>
      </c>
      <c r="H158" s="7">
        <f>IF($D158-$G158&lt;=0,0,IF(MOD($A158,Übersicht!$Q$6)=0,IF($A158/Übersicht!$Q$6&gt;=Übersicht!$C$21,MIN(Übersicht!$C$20,$D158-$G158),0),0))</f>
        <v>0</v>
      </c>
      <c r="I158" s="7">
        <f t="shared" si="14"/>
        <v>1400</v>
      </c>
      <c r="J158" s="22">
        <f t="shared" si="15"/>
        <v>159528.84</v>
      </c>
      <c r="K158" s="9" t="str">
        <f>IF($D158&lt;=0,"",IF($J158&lt;=0.005,"Volltilgung erreicht",IF($A158=Übersicht!$Q$13,"Ende der Zinsbindung",IF($H158&gt;0,"Sondertilgung",""))))</f>
        <v/>
      </c>
      <c r="L158" s="23">
        <f>IF($N157&lt;=0,0,ROUND($N157*Übersicht!$Q$7,2))</f>
        <v>616.37</v>
      </c>
      <c r="M158" s="23">
        <f>IF($N157&lt;=0,0,MIN($N157,IF(Übersicht!$C$13="Annuitätendarlehen",MAX(0,Übersicht!$Q$9-$L158),IF(Übersicht!$C$13="Ratendarlehen",Übersicht!$Q$10,IF($A158&gt;=Übersicht!$Q$11,$N157,0)))))</f>
        <v>783.63</v>
      </c>
      <c r="N158" s="23">
        <f t="shared" si="17"/>
        <v>204673.69</v>
      </c>
    </row>
    <row r="159" spans="1:14" ht="15" customHeight="1" x14ac:dyDescent="0.25">
      <c r="A159" s="10">
        <v>152</v>
      </c>
      <c r="B159" s="24">
        <f>IF($D159&lt;=0,"",EDATE(Übersicht!$C$18,($A159-1)*12/Übersicht!$Q$6))</f>
        <v>50648</v>
      </c>
      <c r="C159" s="10">
        <f t="shared" si="12"/>
        <v>2038</v>
      </c>
      <c r="D159" s="25">
        <f t="shared" si="16"/>
        <v>159528.84</v>
      </c>
      <c r="E159" s="12">
        <f t="shared" si="13"/>
        <v>1400</v>
      </c>
      <c r="F159" s="12">
        <f>IF($D159&lt;=0,0,ROUND($D159*Übersicht!$Q$7,2))</f>
        <v>478.59</v>
      </c>
      <c r="G159" s="12">
        <f>IF($D159&lt;=0,0,MIN($D159,IF(Übersicht!$C$13="Annuitätendarlehen",MAX(0,Übersicht!$Q$9-$F159),IF(Übersicht!$C$13="Ratendarlehen",Übersicht!$Q$10,IF($A159&gt;=Übersicht!$Q$11,$D159,0)))))</f>
        <v>921.41000000000008</v>
      </c>
      <c r="H159" s="12">
        <f>IF($D159-$G159&lt;=0,0,IF(MOD($A159,Übersicht!$Q$6)=0,IF($A159/Übersicht!$Q$6&gt;=Übersicht!$C$21,MIN(Übersicht!$C$20,$D159-$G159),0),0))</f>
        <v>0</v>
      </c>
      <c r="I159" s="12">
        <f t="shared" si="14"/>
        <v>1400</v>
      </c>
      <c r="J159" s="26">
        <f t="shared" si="15"/>
        <v>158607.43</v>
      </c>
      <c r="K159" s="14" t="str">
        <f>IF($D159&lt;=0,"",IF($J159&lt;=0.005,"Volltilgung erreicht",IF($A159=Übersicht!$Q$13,"Ende der Zinsbindung",IF($H159&gt;0,"Sondertilgung",""))))</f>
        <v/>
      </c>
      <c r="L159" s="23">
        <f>IF($N158&lt;=0,0,ROUND($N158*Übersicht!$Q$7,2))</f>
        <v>614.02</v>
      </c>
      <c r="M159" s="23">
        <f>IF($N158&lt;=0,0,MIN($N158,IF(Übersicht!$C$13="Annuitätendarlehen",MAX(0,Übersicht!$Q$9-$L159),IF(Übersicht!$C$13="Ratendarlehen",Übersicht!$Q$10,IF($A159&gt;=Übersicht!$Q$11,$N158,0)))))</f>
        <v>785.98</v>
      </c>
      <c r="N159" s="23">
        <f t="shared" si="17"/>
        <v>203887.71</v>
      </c>
    </row>
    <row r="160" spans="1:14" ht="15" customHeight="1" x14ac:dyDescent="0.25">
      <c r="A160" s="5">
        <v>153</v>
      </c>
      <c r="B160" s="20">
        <f>IF($D160&lt;=0,"",EDATE(Übersicht!$C$18,($A160-1)*12/Übersicht!$Q$6))</f>
        <v>50678</v>
      </c>
      <c r="C160" s="5">
        <f t="shared" si="12"/>
        <v>2038</v>
      </c>
      <c r="D160" s="21">
        <f t="shared" si="16"/>
        <v>158607.43</v>
      </c>
      <c r="E160" s="7">
        <f t="shared" si="13"/>
        <v>1400</v>
      </c>
      <c r="F160" s="7">
        <f>IF($D160&lt;=0,0,ROUND($D160*Übersicht!$Q$7,2))</f>
        <v>475.82</v>
      </c>
      <c r="G160" s="7">
        <f>IF($D160&lt;=0,0,MIN($D160,IF(Übersicht!$C$13="Annuitätendarlehen",MAX(0,Übersicht!$Q$9-$F160),IF(Übersicht!$C$13="Ratendarlehen",Übersicht!$Q$10,IF($A160&gt;=Übersicht!$Q$11,$D160,0)))))</f>
        <v>924.18000000000006</v>
      </c>
      <c r="H160" s="7">
        <f>IF($D160-$G160&lt;=0,0,IF(MOD($A160,Übersicht!$Q$6)=0,IF($A160/Übersicht!$Q$6&gt;=Übersicht!$C$21,MIN(Übersicht!$C$20,$D160-$G160),0),0))</f>
        <v>0</v>
      </c>
      <c r="I160" s="7">
        <f t="shared" si="14"/>
        <v>1400</v>
      </c>
      <c r="J160" s="22">
        <f t="shared" si="15"/>
        <v>157683.25</v>
      </c>
      <c r="K160" s="9" t="str">
        <f>IF($D160&lt;=0,"",IF($J160&lt;=0.005,"Volltilgung erreicht",IF($A160=Übersicht!$Q$13,"Ende der Zinsbindung",IF($H160&gt;0,"Sondertilgung",""))))</f>
        <v/>
      </c>
      <c r="L160" s="23">
        <f>IF($N159&lt;=0,0,ROUND($N159*Übersicht!$Q$7,2))</f>
        <v>611.66</v>
      </c>
      <c r="M160" s="23">
        <f>IF($N159&lt;=0,0,MIN($N159,IF(Übersicht!$C$13="Annuitätendarlehen",MAX(0,Übersicht!$Q$9-$L160),IF(Übersicht!$C$13="Ratendarlehen",Übersicht!$Q$10,IF($A160&gt;=Übersicht!$Q$11,$N159,0)))))</f>
        <v>788.34</v>
      </c>
      <c r="N160" s="23">
        <f t="shared" si="17"/>
        <v>203099.37</v>
      </c>
    </row>
    <row r="161" spans="1:14" ht="15" customHeight="1" x14ac:dyDescent="0.25">
      <c r="A161" s="10">
        <v>154</v>
      </c>
      <c r="B161" s="24">
        <f>IF($D161&lt;=0,"",EDATE(Übersicht!$C$18,($A161-1)*12/Übersicht!$Q$6))</f>
        <v>50709</v>
      </c>
      <c r="C161" s="10">
        <f t="shared" si="12"/>
        <v>2038</v>
      </c>
      <c r="D161" s="25">
        <f t="shared" si="16"/>
        <v>157683.25</v>
      </c>
      <c r="E161" s="12">
        <f t="shared" si="13"/>
        <v>1400</v>
      </c>
      <c r="F161" s="12">
        <f>IF($D161&lt;=0,0,ROUND($D161*Übersicht!$Q$7,2))</f>
        <v>473.05</v>
      </c>
      <c r="G161" s="12">
        <f>IF($D161&lt;=0,0,MIN($D161,IF(Übersicht!$C$13="Annuitätendarlehen",MAX(0,Übersicht!$Q$9-$F161),IF(Übersicht!$C$13="Ratendarlehen",Übersicht!$Q$10,IF($A161&gt;=Übersicht!$Q$11,$D161,0)))))</f>
        <v>926.95</v>
      </c>
      <c r="H161" s="12">
        <f>IF($D161-$G161&lt;=0,0,IF(MOD($A161,Übersicht!$Q$6)=0,IF($A161/Übersicht!$Q$6&gt;=Übersicht!$C$21,MIN(Übersicht!$C$20,$D161-$G161),0),0))</f>
        <v>0</v>
      </c>
      <c r="I161" s="12">
        <f t="shared" si="14"/>
        <v>1400</v>
      </c>
      <c r="J161" s="26">
        <f t="shared" si="15"/>
        <v>156756.29999999999</v>
      </c>
      <c r="K161" s="14" t="str">
        <f>IF($D161&lt;=0,"",IF($J161&lt;=0.005,"Volltilgung erreicht",IF($A161=Übersicht!$Q$13,"Ende der Zinsbindung",IF($H161&gt;0,"Sondertilgung",""))))</f>
        <v/>
      </c>
      <c r="L161" s="23">
        <f>IF($N160&lt;=0,0,ROUND($N160*Übersicht!$Q$7,2))</f>
        <v>609.29999999999995</v>
      </c>
      <c r="M161" s="23">
        <f>IF($N160&lt;=0,0,MIN($N160,IF(Übersicht!$C$13="Annuitätendarlehen",MAX(0,Übersicht!$Q$9-$L161),IF(Übersicht!$C$13="Ratendarlehen",Übersicht!$Q$10,IF($A161&gt;=Übersicht!$Q$11,$N160,0)))))</f>
        <v>790.7</v>
      </c>
      <c r="N161" s="23">
        <f t="shared" si="17"/>
        <v>202308.67</v>
      </c>
    </row>
    <row r="162" spans="1:14" ht="15" customHeight="1" x14ac:dyDescent="0.25">
      <c r="A162" s="5">
        <v>155</v>
      </c>
      <c r="B162" s="20">
        <f>IF($D162&lt;=0,"",EDATE(Übersicht!$C$18,($A162-1)*12/Übersicht!$Q$6))</f>
        <v>50739</v>
      </c>
      <c r="C162" s="5">
        <f t="shared" si="12"/>
        <v>2038</v>
      </c>
      <c r="D162" s="21">
        <f t="shared" si="16"/>
        <v>156756.29999999999</v>
      </c>
      <c r="E162" s="7">
        <f t="shared" si="13"/>
        <v>1400</v>
      </c>
      <c r="F162" s="7">
        <f>IF($D162&lt;=0,0,ROUND($D162*Übersicht!$Q$7,2))</f>
        <v>470.27</v>
      </c>
      <c r="G162" s="7">
        <f>IF($D162&lt;=0,0,MIN($D162,IF(Übersicht!$C$13="Annuitätendarlehen",MAX(0,Übersicht!$Q$9-$F162),IF(Übersicht!$C$13="Ratendarlehen",Übersicht!$Q$10,IF($A162&gt;=Übersicht!$Q$11,$D162,0)))))</f>
        <v>929.73</v>
      </c>
      <c r="H162" s="7">
        <f>IF($D162-$G162&lt;=0,0,IF(MOD($A162,Übersicht!$Q$6)=0,IF($A162/Übersicht!$Q$6&gt;=Übersicht!$C$21,MIN(Übersicht!$C$20,$D162-$G162),0),0))</f>
        <v>0</v>
      </c>
      <c r="I162" s="7">
        <f t="shared" si="14"/>
        <v>1400</v>
      </c>
      <c r="J162" s="22">
        <f t="shared" si="15"/>
        <v>155826.57</v>
      </c>
      <c r="K162" s="9" t="str">
        <f>IF($D162&lt;=0,"",IF($J162&lt;=0.005,"Volltilgung erreicht",IF($A162=Übersicht!$Q$13,"Ende der Zinsbindung",IF($H162&gt;0,"Sondertilgung",""))))</f>
        <v/>
      </c>
      <c r="L162" s="23">
        <f>IF($N161&lt;=0,0,ROUND($N161*Übersicht!$Q$7,2))</f>
        <v>606.92999999999995</v>
      </c>
      <c r="M162" s="23">
        <f>IF($N161&lt;=0,0,MIN($N161,IF(Übersicht!$C$13="Annuitätendarlehen",MAX(0,Übersicht!$Q$9-$L162),IF(Übersicht!$C$13="Ratendarlehen",Übersicht!$Q$10,IF($A162&gt;=Übersicht!$Q$11,$N161,0)))))</f>
        <v>793.07</v>
      </c>
      <c r="N162" s="23">
        <f t="shared" si="17"/>
        <v>201515.6</v>
      </c>
    </row>
    <row r="163" spans="1:14" ht="15" customHeight="1" x14ac:dyDescent="0.25">
      <c r="A163" s="10">
        <v>156</v>
      </c>
      <c r="B163" s="24">
        <f>IF($D163&lt;=0,"",EDATE(Übersicht!$C$18,($A163-1)*12/Übersicht!$Q$6))</f>
        <v>50770</v>
      </c>
      <c r="C163" s="10">
        <f t="shared" si="12"/>
        <v>2038</v>
      </c>
      <c r="D163" s="25">
        <f t="shared" si="16"/>
        <v>155826.57</v>
      </c>
      <c r="E163" s="12">
        <f t="shared" si="13"/>
        <v>1400</v>
      </c>
      <c r="F163" s="12">
        <f>IF($D163&lt;=0,0,ROUND($D163*Übersicht!$Q$7,2))</f>
        <v>467.48</v>
      </c>
      <c r="G163" s="12">
        <f>IF($D163&lt;=0,0,MIN($D163,IF(Übersicht!$C$13="Annuitätendarlehen",MAX(0,Übersicht!$Q$9-$F163),IF(Übersicht!$C$13="Ratendarlehen",Übersicht!$Q$10,IF($A163&gt;=Übersicht!$Q$11,$D163,0)))))</f>
        <v>932.52</v>
      </c>
      <c r="H163" s="12">
        <f>IF($D163-$G163&lt;=0,0,IF(MOD($A163,Übersicht!$Q$6)=0,IF($A163/Übersicht!$Q$6&gt;=Übersicht!$C$21,MIN(Übersicht!$C$20,$D163-$G163),0),0))</f>
        <v>3000</v>
      </c>
      <c r="I163" s="12">
        <f t="shared" si="14"/>
        <v>4400</v>
      </c>
      <c r="J163" s="26">
        <f t="shared" si="15"/>
        <v>151894.04999999999</v>
      </c>
      <c r="K163" s="14" t="str">
        <f>IF($D163&lt;=0,"",IF($J163&lt;=0.005,"Volltilgung erreicht",IF($A163=Übersicht!$Q$13,"Ende der Zinsbindung",IF($H163&gt;0,"Sondertilgung",""))))</f>
        <v>Sondertilgung</v>
      </c>
      <c r="L163" s="23">
        <f>IF($N162&lt;=0,0,ROUND($N162*Übersicht!$Q$7,2))</f>
        <v>604.54999999999995</v>
      </c>
      <c r="M163" s="23">
        <f>IF($N162&lt;=0,0,MIN($N162,IF(Übersicht!$C$13="Annuitätendarlehen",MAX(0,Übersicht!$Q$9-$L163),IF(Übersicht!$C$13="Ratendarlehen",Übersicht!$Q$10,IF($A163&gt;=Übersicht!$Q$11,$N162,0)))))</f>
        <v>795.45</v>
      </c>
      <c r="N163" s="23">
        <f t="shared" si="17"/>
        <v>200720.15</v>
      </c>
    </row>
    <row r="164" spans="1:14" ht="15" customHeight="1" x14ac:dyDescent="0.25">
      <c r="A164" s="5">
        <v>157</v>
      </c>
      <c r="B164" s="20">
        <f>IF($D164&lt;=0,"",EDATE(Übersicht!$C$18,($A164-1)*12/Übersicht!$Q$6))</f>
        <v>50801</v>
      </c>
      <c r="C164" s="5">
        <f t="shared" si="12"/>
        <v>2039</v>
      </c>
      <c r="D164" s="21">
        <f t="shared" si="16"/>
        <v>151894.04999999999</v>
      </c>
      <c r="E164" s="7">
        <f t="shared" si="13"/>
        <v>1400</v>
      </c>
      <c r="F164" s="7">
        <f>IF($D164&lt;=0,0,ROUND($D164*Übersicht!$Q$7,2))</f>
        <v>455.68</v>
      </c>
      <c r="G164" s="7">
        <f>IF($D164&lt;=0,0,MIN($D164,IF(Übersicht!$C$13="Annuitätendarlehen",MAX(0,Übersicht!$Q$9-$F164),IF(Übersicht!$C$13="Ratendarlehen",Übersicht!$Q$10,IF($A164&gt;=Übersicht!$Q$11,$D164,0)))))</f>
        <v>944.31999999999994</v>
      </c>
      <c r="H164" s="7">
        <f>IF($D164-$G164&lt;=0,0,IF(MOD($A164,Übersicht!$Q$6)=0,IF($A164/Übersicht!$Q$6&gt;=Übersicht!$C$21,MIN(Übersicht!$C$20,$D164-$G164),0),0))</f>
        <v>0</v>
      </c>
      <c r="I164" s="7">
        <f t="shared" si="14"/>
        <v>1400</v>
      </c>
      <c r="J164" s="22">
        <f t="shared" si="15"/>
        <v>150949.73000000001</v>
      </c>
      <c r="K164" s="9" t="str">
        <f>IF($D164&lt;=0,"",IF($J164&lt;=0.005,"Volltilgung erreicht",IF($A164=Übersicht!$Q$13,"Ende der Zinsbindung",IF($H164&gt;0,"Sondertilgung",""))))</f>
        <v/>
      </c>
      <c r="L164" s="23">
        <f>IF($N163&lt;=0,0,ROUND($N163*Übersicht!$Q$7,2))</f>
        <v>602.16</v>
      </c>
      <c r="M164" s="23">
        <f>IF($N163&lt;=0,0,MIN($N163,IF(Übersicht!$C$13="Annuitätendarlehen",MAX(0,Übersicht!$Q$9-$L164),IF(Übersicht!$C$13="Ratendarlehen",Übersicht!$Q$10,IF($A164&gt;=Übersicht!$Q$11,$N163,0)))))</f>
        <v>797.84</v>
      </c>
      <c r="N164" s="23">
        <f t="shared" si="17"/>
        <v>199922.31</v>
      </c>
    </row>
    <row r="165" spans="1:14" ht="15" customHeight="1" x14ac:dyDescent="0.25">
      <c r="A165" s="10">
        <v>158</v>
      </c>
      <c r="B165" s="24">
        <f>IF($D165&lt;=0,"",EDATE(Übersicht!$C$18,($A165-1)*12/Übersicht!$Q$6))</f>
        <v>50829</v>
      </c>
      <c r="C165" s="10">
        <f t="shared" si="12"/>
        <v>2039</v>
      </c>
      <c r="D165" s="25">
        <f t="shared" si="16"/>
        <v>150949.73000000001</v>
      </c>
      <c r="E165" s="12">
        <f t="shared" si="13"/>
        <v>1400</v>
      </c>
      <c r="F165" s="12">
        <f>IF($D165&lt;=0,0,ROUND($D165*Übersicht!$Q$7,2))</f>
        <v>452.85</v>
      </c>
      <c r="G165" s="12">
        <f>IF($D165&lt;=0,0,MIN($D165,IF(Übersicht!$C$13="Annuitätendarlehen",MAX(0,Übersicht!$Q$9-$F165),IF(Übersicht!$C$13="Ratendarlehen",Übersicht!$Q$10,IF($A165&gt;=Übersicht!$Q$11,$D165,0)))))</f>
        <v>947.15</v>
      </c>
      <c r="H165" s="12">
        <f>IF($D165-$G165&lt;=0,0,IF(MOD($A165,Übersicht!$Q$6)=0,IF($A165/Übersicht!$Q$6&gt;=Übersicht!$C$21,MIN(Übersicht!$C$20,$D165-$G165),0),0))</f>
        <v>0</v>
      </c>
      <c r="I165" s="12">
        <f t="shared" si="14"/>
        <v>1400</v>
      </c>
      <c r="J165" s="26">
        <f t="shared" si="15"/>
        <v>150002.57999999999</v>
      </c>
      <c r="K165" s="14" t="str">
        <f>IF($D165&lt;=0,"",IF($J165&lt;=0.005,"Volltilgung erreicht",IF($A165=Übersicht!$Q$13,"Ende der Zinsbindung",IF($H165&gt;0,"Sondertilgung",""))))</f>
        <v/>
      </c>
      <c r="L165" s="23">
        <f>IF($N164&lt;=0,0,ROUND($N164*Übersicht!$Q$7,2))</f>
        <v>599.77</v>
      </c>
      <c r="M165" s="23">
        <f>IF($N164&lt;=0,0,MIN($N164,IF(Übersicht!$C$13="Annuitätendarlehen",MAX(0,Übersicht!$Q$9-$L165),IF(Übersicht!$C$13="Ratendarlehen",Übersicht!$Q$10,IF($A165&gt;=Übersicht!$Q$11,$N164,0)))))</f>
        <v>800.23</v>
      </c>
      <c r="N165" s="23">
        <f t="shared" si="17"/>
        <v>199122.08</v>
      </c>
    </row>
    <row r="166" spans="1:14" ht="15" customHeight="1" x14ac:dyDescent="0.25">
      <c r="A166" s="5">
        <v>159</v>
      </c>
      <c r="B166" s="20">
        <f>IF($D166&lt;=0,"",EDATE(Übersicht!$C$18,($A166-1)*12/Übersicht!$Q$6))</f>
        <v>50860</v>
      </c>
      <c r="C166" s="5">
        <f t="shared" si="12"/>
        <v>2039</v>
      </c>
      <c r="D166" s="21">
        <f t="shared" si="16"/>
        <v>150002.57999999999</v>
      </c>
      <c r="E166" s="7">
        <f t="shared" si="13"/>
        <v>1400</v>
      </c>
      <c r="F166" s="7">
        <f>IF($D166&lt;=0,0,ROUND($D166*Übersicht!$Q$7,2))</f>
        <v>450.01</v>
      </c>
      <c r="G166" s="7">
        <f>IF($D166&lt;=0,0,MIN($D166,IF(Übersicht!$C$13="Annuitätendarlehen",MAX(0,Übersicht!$Q$9-$F166),IF(Übersicht!$C$13="Ratendarlehen",Übersicht!$Q$10,IF($A166&gt;=Übersicht!$Q$11,$D166,0)))))</f>
        <v>949.99</v>
      </c>
      <c r="H166" s="7">
        <f>IF($D166-$G166&lt;=0,0,IF(MOD($A166,Übersicht!$Q$6)=0,IF($A166/Übersicht!$Q$6&gt;=Übersicht!$C$21,MIN(Übersicht!$C$20,$D166-$G166),0),0))</f>
        <v>0</v>
      </c>
      <c r="I166" s="7">
        <f t="shared" si="14"/>
        <v>1400</v>
      </c>
      <c r="J166" s="22">
        <f t="shared" si="15"/>
        <v>149052.59</v>
      </c>
      <c r="K166" s="9" t="str">
        <f>IF($D166&lt;=0,"",IF($J166&lt;=0.005,"Volltilgung erreicht",IF($A166=Übersicht!$Q$13,"Ende der Zinsbindung",IF($H166&gt;0,"Sondertilgung",""))))</f>
        <v/>
      </c>
      <c r="L166" s="23">
        <f>IF($N165&lt;=0,0,ROUND($N165*Übersicht!$Q$7,2))</f>
        <v>597.37</v>
      </c>
      <c r="M166" s="23">
        <f>IF($N165&lt;=0,0,MIN($N165,IF(Übersicht!$C$13="Annuitätendarlehen",MAX(0,Übersicht!$Q$9-$L166),IF(Übersicht!$C$13="Ratendarlehen",Übersicht!$Q$10,IF($A166&gt;=Übersicht!$Q$11,$N165,0)))))</f>
        <v>802.63</v>
      </c>
      <c r="N166" s="23">
        <f t="shared" si="17"/>
        <v>198319.45</v>
      </c>
    </row>
    <row r="167" spans="1:14" ht="15" customHeight="1" x14ac:dyDescent="0.25">
      <c r="A167" s="10">
        <v>160</v>
      </c>
      <c r="B167" s="24">
        <f>IF($D167&lt;=0,"",EDATE(Übersicht!$C$18,($A167-1)*12/Übersicht!$Q$6))</f>
        <v>50890</v>
      </c>
      <c r="C167" s="10">
        <f t="shared" si="12"/>
        <v>2039</v>
      </c>
      <c r="D167" s="25">
        <f t="shared" si="16"/>
        <v>149052.59</v>
      </c>
      <c r="E167" s="12">
        <f t="shared" si="13"/>
        <v>1400</v>
      </c>
      <c r="F167" s="12">
        <f>IF($D167&lt;=0,0,ROUND($D167*Übersicht!$Q$7,2))</f>
        <v>447.16</v>
      </c>
      <c r="G167" s="12">
        <f>IF($D167&lt;=0,0,MIN($D167,IF(Übersicht!$C$13="Annuitätendarlehen",MAX(0,Übersicht!$Q$9-$F167),IF(Übersicht!$C$13="Ratendarlehen",Übersicht!$Q$10,IF($A167&gt;=Übersicht!$Q$11,$D167,0)))))</f>
        <v>952.83999999999992</v>
      </c>
      <c r="H167" s="12">
        <f>IF($D167-$G167&lt;=0,0,IF(MOD($A167,Übersicht!$Q$6)=0,IF($A167/Übersicht!$Q$6&gt;=Übersicht!$C$21,MIN(Übersicht!$C$20,$D167-$G167),0),0))</f>
        <v>0</v>
      </c>
      <c r="I167" s="12">
        <f t="shared" si="14"/>
        <v>1400</v>
      </c>
      <c r="J167" s="26">
        <f t="shared" si="15"/>
        <v>148099.75</v>
      </c>
      <c r="K167" s="14" t="str">
        <f>IF($D167&lt;=0,"",IF($J167&lt;=0.005,"Volltilgung erreicht",IF($A167=Übersicht!$Q$13,"Ende der Zinsbindung",IF($H167&gt;0,"Sondertilgung",""))))</f>
        <v/>
      </c>
      <c r="L167" s="23">
        <f>IF($N166&lt;=0,0,ROUND($N166*Übersicht!$Q$7,2))</f>
        <v>594.96</v>
      </c>
      <c r="M167" s="23">
        <f>IF($N166&lt;=0,0,MIN($N166,IF(Übersicht!$C$13="Annuitätendarlehen",MAX(0,Übersicht!$Q$9-$L167),IF(Übersicht!$C$13="Ratendarlehen",Übersicht!$Q$10,IF($A167&gt;=Übersicht!$Q$11,$N166,0)))))</f>
        <v>805.04</v>
      </c>
      <c r="N167" s="23">
        <f t="shared" si="17"/>
        <v>197514.41</v>
      </c>
    </row>
    <row r="168" spans="1:14" ht="15" customHeight="1" x14ac:dyDescent="0.25">
      <c r="A168" s="5">
        <v>161</v>
      </c>
      <c r="B168" s="20">
        <f>IF($D168&lt;=0,"",EDATE(Übersicht!$C$18,($A168-1)*12/Übersicht!$Q$6))</f>
        <v>50921</v>
      </c>
      <c r="C168" s="5">
        <f t="shared" si="12"/>
        <v>2039</v>
      </c>
      <c r="D168" s="21">
        <f t="shared" si="16"/>
        <v>148099.75</v>
      </c>
      <c r="E168" s="7">
        <f t="shared" si="13"/>
        <v>1400</v>
      </c>
      <c r="F168" s="7">
        <f>IF($D168&lt;=0,0,ROUND($D168*Übersicht!$Q$7,2))</f>
        <v>444.3</v>
      </c>
      <c r="G168" s="7">
        <f>IF($D168&lt;=0,0,MIN($D168,IF(Übersicht!$C$13="Annuitätendarlehen",MAX(0,Übersicht!$Q$9-$F168),IF(Übersicht!$C$13="Ratendarlehen",Übersicht!$Q$10,IF($A168&gt;=Übersicht!$Q$11,$D168,0)))))</f>
        <v>955.7</v>
      </c>
      <c r="H168" s="7">
        <f>IF($D168-$G168&lt;=0,0,IF(MOD($A168,Übersicht!$Q$6)=0,IF($A168/Übersicht!$Q$6&gt;=Übersicht!$C$21,MIN(Übersicht!$C$20,$D168-$G168),0),0))</f>
        <v>0</v>
      </c>
      <c r="I168" s="7">
        <f t="shared" si="14"/>
        <v>1400</v>
      </c>
      <c r="J168" s="22">
        <f t="shared" si="15"/>
        <v>147144.04999999999</v>
      </c>
      <c r="K168" s="9" t="str">
        <f>IF($D168&lt;=0,"",IF($J168&lt;=0.005,"Volltilgung erreicht",IF($A168=Übersicht!$Q$13,"Ende der Zinsbindung",IF($H168&gt;0,"Sondertilgung",""))))</f>
        <v/>
      </c>
      <c r="L168" s="23">
        <f>IF($N167&lt;=0,0,ROUND($N167*Übersicht!$Q$7,2))</f>
        <v>592.54</v>
      </c>
      <c r="M168" s="23">
        <f>IF($N167&lt;=0,0,MIN($N167,IF(Übersicht!$C$13="Annuitätendarlehen",MAX(0,Übersicht!$Q$9-$L168),IF(Übersicht!$C$13="Ratendarlehen",Übersicht!$Q$10,IF($A168&gt;=Übersicht!$Q$11,$N167,0)))))</f>
        <v>807.46</v>
      </c>
      <c r="N168" s="23">
        <f t="shared" si="17"/>
        <v>196706.95</v>
      </c>
    </row>
    <row r="169" spans="1:14" ht="15" customHeight="1" x14ac:dyDescent="0.25">
      <c r="A169" s="10">
        <v>162</v>
      </c>
      <c r="B169" s="24">
        <f>IF($D169&lt;=0,"",EDATE(Übersicht!$C$18,($A169-1)*12/Übersicht!$Q$6))</f>
        <v>50951</v>
      </c>
      <c r="C169" s="10">
        <f t="shared" si="12"/>
        <v>2039</v>
      </c>
      <c r="D169" s="25">
        <f t="shared" si="16"/>
        <v>147144.04999999999</v>
      </c>
      <c r="E169" s="12">
        <f t="shared" si="13"/>
        <v>1400</v>
      </c>
      <c r="F169" s="12">
        <f>IF($D169&lt;=0,0,ROUND($D169*Übersicht!$Q$7,2))</f>
        <v>441.43</v>
      </c>
      <c r="G169" s="12">
        <f>IF($D169&lt;=0,0,MIN($D169,IF(Übersicht!$C$13="Annuitätendarlehen",MAX(0,Übersicht!$Q$9-$F169),IF(Übersicht!$C$13="Ratendarlehen",Übersicht!$Q$10,IF($A169&gt;=Übersicht!$Q$11,$D169,0)))))</f>
        <v>958.56999999999994</v>
      </c>
      <c r="H169" s="12">
        <f>IF($D169-$G169&lt;=0,0,IF(MOD($A169,Übersicht!$Q$6)=0,IF($A169/Übersicht!$Q$6&gt;=Übersicht!$C$21,MIN(Übersicht!$C$20,$D169-$G169),0),0))</f>
        <v>0</v>
      </c>
      <c r="I169" s="12">
        <f t="shared" si="14"/>
        <v>1400</v>
      </c>
      <c r="J169" s="26">
        <f t="shared" si="15"/>
        <v>146185.48000000001</v>
      </c>
      <c r="K169" s="14" t="str">
        <f>IF($D169&lt;=0,"",IF($J169&lt;=0.005,"Volltilgung erreicht",IF($A169=Übersicht!$Q$13,"Ende der Zinsbindung",IF($H169&gt;0,"Sondertilgung",""))))</f>
        <v/>
      </c>
      <c r="L169" s="23">
        <f>IF($N168&lt;=0,0,ROUND($N168*Übersicht!$Q$7,2))</f>
        <v>590.12</v>
      </c>
      <c r="M169" s="23">
        <f>IF($N168&lt;=0,0,MIN($N168,IF(Übersicht!$C$13="Annuitätendarlehen",MAX(0,Übersicht!$Q$9-$L169),IF(Übersicht!$C$13="Ratendarlehen",Übersicht!$Q$10,IF($A169&gt;=Übersicht!$Q$11,$N168,0)))))</f>
        <v>809.88</v>
      </c>
      <c r="N169" s="23">
        <f t="shared" si="17"/>
        <v>195897.07</v>
      </c>
    </row>
    <row r="170" spans="1:14" ht="15" customHeight="1" x14ac:dyDescent="0.25">
      <c r="A170" s="5">
        <v>163</v>
      </c>
      <c r="B170" s="20">
        <f>IF($D170&lt;=0,"",EDATE(Übersicht!$C$18,($A170-1)*12/Übersicht!$Q$6))</f>
        <v>50982</v>
      </c>
      <c r="C170" s="5">
        <f t="shared" si="12"/>
        <v>2039</v>
      </c>
      <c r="D170" s="21">
        <f t="shared" si="16"/>
        <v>146185.48000000001</v>
      </c>
      <c r="E170" s="7">
        <f t="shared" si="13"/>
        <v>1400</v>
      </c>
      <c r="F170" s="7">
        <f>IF($D170&lt;=0,0,ROUND($D170*Übersicht!$Q$7,2))</f>
        <v>438.56</v>
      </c>
      <c r="G170" s="7">
        <f>IF($D170&lt;=0,0,MIN($D170,IF(Übersicht!$C$13="Annuitätendarlehen",MAX(0,Übersicht!$Q$9-$F170),IF(Übersicht!$C$13="Ratendarlehen",Übersicht!$Q$10,IF($A170&gt;=Übersicht!$Q$11,$D170,0)))))</f>
        <v>961.44</v>
      </c>
      <c r="H170" s="7">
        <f>IF($D170-$G170&lt;=0,0,IF(MOD($A170,Übersicht!$Q$6)=0,IF($A170/Übersicht!$Q$6&gt;=Übersicht!$C$21,MIN(Übersicht!$C$20,$D170-$G170),0),0))</f>
        <v>0</v>
      </c>
      <c r="I170" s="7">
        <f t="shared" si="14"/>
        <v>1400</v>
      </c>
      <c r="J170" s="22">
        <f t="shared" si="15"/>
        <v>145224.04</v>
      </c>
      <c r="K170" s="9" t="str">
        <f>IF($D170&lt;=0,"",IF($J170&lt;=0.005,"Volltilgung erreicht",IF($A170=Übersicht!$Q$13,"Ende der Zinsbindung",IF($H170&gt;0,"Sondertilgung",""))))</f>
        <v/>
      </c>
      <c r="L170" s="23">
        <f>IF($N169&lt;=0,0,ROUND($N169*Übersicht!$Q$7,2))</f>
        <v>587.69000000000005</v>
      </c>
      <c r="M170" s="23">
        <f>IF($N169&lt;=0,0,MIN($N169,IF(Übersicht!$C$13="Annuitätendarlehen",MAX(0,Übersicht!$Q$9-$L170),IF(Übersicht!$C$13="Ratendarlehen",Übersicht!$Q$10,IF($A170&gt;=Übersicht!$Q$11,$N169,0)))))</f>
        <v>812.31</v>
      </c>
      <c r="N170" s="23">
        <f t="shared" si="17"/>
        <v>195084.76</v>
      </c>
    </row>
    <row r="171" spans="1:14" ht="15" customHeight="1" x14ac:dyDescent="0.25">
      <c r="A171" s="10">
        <v>164</v>
      </c>
      <c r="B171" s="24">
        <f>IF($D171&lt;=0,"",EDATE(Übersicht!$C$18,($A171-1)*12/Übersicht!$Q$6))</f>
        <v>51013</v>
      </c>
      <c r="C171" s="10">
        <f t="shared" si="12"/>
        <v>2039</v>
      </c>
      <c r="D171" s="25">
        <f t="shared" si="16"/>
        <v>145224.04</v>
      </c>
      <c r="E171" s="12">
        <f t="shared" si="13"/>
        <v>1400</v>
      </c>
      <c r="F171" s="12">
        <f>IF($D171&lt;=0,0,ROUND($D171*Übersicht!$Q$7,2))</f>
        <v>435.67</v>
      </c>
      <c r="G171" s="12">
        <f>IF($D171&lt;=0,0,MIN($D171,IF(Übersicht!$C$13="Annuitätendarlehen",MAX(0,Übersicht!$Q$9-$F171),IF(Übersicht!$C$13="Ratendarlehen",Übersicht!$Q$10,IF($A171&gt;=Übersicht!$Q$11,$D171,0)))))</f>
        <v>964.32999999999993</v>
      </c>
      <c r="H171" s="12">
        <f>IF($D171-$G171&lt;=0,0,IF(MOD($A171,Übersicht!$Q$6)=0,IF($A171/Übersicht!$Q$6&gt;=Übersicht!$C$21,MIN(Übersicht!$C$20,$D171-$G171),0),0))</f>
        <v>0</v>
      </c>
      <c r="I171" s="12">
        <f t="shared" si="14"/>
        <v>1400</v>
      </c>
      <c r="J171" s="26">
        <f t="shared" si="15"/>
        <v>144259.71</v>
      </c>
      <c r="K171" s="14" t="str">
        <f>IF($D171&lt;=0,"",IF($J171&lt;=0.005,"Volltilgung erreicht",IF($A171=Übersicht!$Q$13,"Ende der Zinsbindung",IF($H171&gt;0,"Sondertilgung",""))))</f>
        <v/>
      </c>
      <c r="L171" s="23">
        <f>IF($N170&lt;=0,0,ROUND($N170*Übersicht!$Q$7,2))</f>
        <v>585.25</v>
      </c>
      <c r="M171" s="23">
        <f>IF($N170&lt;=0,0,MIN($N170,IF(Übersicht!$C$13="Annuitätendarlehen",MAX(0,Übersicht!$Q$9-$L171),IF(Übersicht!$C$13="Ratendarlehen",Übersicht!$Q$10,IF($A171&gt;=Übersicht!$Q$11,$N170,0)))))</f>
        <v>814.75</v>
      </c>
      <c r="N171" s="23">
        <f t="shared" si="17"/>
        <v>194270.01</v>
      </c>
    </row>
    <row r="172" spans="1:14" ht="15" customHeight="1" x14ac:dyDescent="0.25">
      <c r="A172" s="5">
        <v>165</v>
      </c>
      <c r="B172" s="20">
        <f>IF($D172&lt;=0,"",EDATE(Übersicht!$C$18,($A172-1)*12/Übersicht!$Q$6))</f>
        <v>51043</v>
      </c>
      <c r="C172" s="5">
        <f t="shared" si="12"/>
        <v>2039</v>
      </c>
      <c r="D172" s="21">
        <f t="shared" si="16"/>
        <v>144259.71</v>
      </c>
      <c r="E172" s="7">
        <f t="shared" si="13"/>
        <v>1400</v>
      </c>
      <c r="F172" s="7">
        <f>IF($D172&lt;=0,0,ROUND($D172*Übersicht!$Q$7,2))</f>
        <v>432.78</v>
      </c>
      <c r="G172" s="7">
        <f>IF($D172&lt;=0,0,MIN($D172,IF(Übersicht!$C$13="Annuitätendarlehen",MAX(0,Übersicht!$Q$9-$F172),IF(Übersicht!$C$13="Ratendarlehen",Übersicht!$Q$10,IF($A172&gt;=Übersicht!$Q$11,$D172,0)))))</f>
        <v>967.22</v>
      </c>
      <c r="H172" s="7">
        <f>IF($D172-$G172&lt;=0,0,IF(MOD($A172,Übersicht!$Q$6)=0,IF($A172/Übersicht!$Q$6&gt;=Übersicht!$C$21,MIN(Übersicht!$C$20,$D172-$G172),0),0))</f>
        <v>0</v>
      </c>
      <c r="I172" s="7">
        <f t="shared" si="14"/>
        <v>1400</v>
      </c>
      <c r="J172" s="22">
        <f t="shared" si="15"/>
        <v>143292.49</v>
      </c>
      <c r="K172" s="9" t="str">
        <f>IF($D172&lt;=0,"",IF($J172&lt;=0.005,"Volltilgung erreicht",IF($A172=Übersicht!$Q$13,"Ende der Zinsbindung",IF($H172&gt;0,"Sondertilgung",""))))</f>
        <v/>
      </c>
      <c r="L172" s="23">
        <f>IF($N171&lt;=0,0,ROUND($N171*Übersicht!$Q$7,2))</f>
        <v>582.80999999999995</v>
      </c>
      <c r="M172" s="23">
        <f>IF($N171&lt;=0,0,MIN($N171,IF(Übersicht!$C$13="Annuitätendarlehen",MAX(0,Übersicht!$Q$9-$L172),IF(Übersicht!$C$13="Ratendarlehen",Übersicht!$Q$10,IF($A172&gt;=Übersicht!$Q$11,$N171,0)))))</f>
        <v>817.19</v>
      </c>
      <c r="N172" s="23">
        <f t="shared" si="17"/>
        <v>193452.82</v>
      </c>
    </row>
    <row r="173" spans="1:14" ht="15" customHeight="1" x14ac:dyDescent="0.25">
      <c r="A173" s="10">
        <v>166</v>
      </c>
      <c r="B173" s="24">
        <f>IF($D173&lt;=0,"",EDATE(Übersicht!$C$18,($A173-1)*12/Übersicht!$Q$6))</f>
        <v>51074</v>
      </c>
      <c r="C173" s="10">
        <f t="shared" si="12"/>
        <v>2039</v>
      </c>
      <c r="D173" s="25">
        <f t="shared" si="16"/>
        <v>143292.49</v>
      </c>
      <c r="E173" s="12">
        <f t="shared" si="13"/>
        <v>1400</v>
      </c>
      <c r="F173" s="12">
        <f>IF($D173&lt;=0,0,ROUND($D173*Übersicht!$Q$7,2))</f>
        <v>429.88</v>
      </c>
      <c r="G173" s="12">
        <f>IF($D173&lt;=0,0,MIN($D173,IF(Übersicht!$C$13="Annuitätendarlehen",MAX(0,Übersicht!$Q$9-$F173),IF(Übersicht!$C$13="Ratendarlehen",Übersicht!$Q$10,IF($A173&gt;=Übersicht!$Q$11,$D173,0)))))</f>
        <v>970.12</v>
      </c>
      <c r="H173" s="12">
        <f>IF($D173-$G173&lt;=0,0,IF(MOD($A173,Übersicht!$Q$6)=0,IF($A173/Übersicht!$Q$6&gt;=Übersicht!$C$21,MIN(Übersicht!$C$20,$D173-$G173),0),0))</f>
        <v>0</v>
      </c>
      <c r="I173" s="12">
        <f t="shared" si="14"/>
        <v>1400</v>
      </c>
      <c r="J173" s="26">
        <f t="shared" si="15"/>
        <v>142322.37</v>
      </c>
      <c r="K173" s="14" t="str">
        <f>IF($D173&lt;=0,"",IF($J173&lt;=0.005,"Volltilgung erreicht",IF($A173=Übersicht!$Q$13,"Ende der Zinsbindung",IF($H173&gt;0,"Sondertilgung",""))))</f>
        <v/>
      </c>
      <c r="L173" s="23">
        <f>IF($N172&lt;=0,0,ROUND($N172*Übersicht!$Q$7,2))</f>
        <v>580.36</v>
      </c>
      <c r="M173" s="23">
        <f>IF($N172&lt;=0,0,MIN($N172,IF(Übersicht!$C$13="Annuitätendarlehen",MAX(0,Übersicht!$Q$9-$L173),IF(Übersicht!$C$13="Ratendarlehen",Übersicht!$Q$10,IF($A173&gt;=Übersicht!$Q$11,$N172,0)))))</f>
        <v>819.64</v>
      </c>
      <c r="N173" s="23">
        <f t="shared" si="17"/>
        <v>192633.18</v>
      </c>
    </row>
    <row r="174" spans="1:14" ht="15" customHeight="1" x14ac:dyDescent="0.25">
      <c r="A174" s="5">
        <v>167</v>
      </c>
      <c r="B174" s="20">
        <f>IF($D174&lt;=0,"",EDATE(Übersicht!$C$18,($A174-1)*12/Übersicht!$Q$6))</f>
        <v>51104</v>
      </c>
      <c r="C174" s="5">
        <f t="shared" si="12"/>
        <v>2039</v>
      </c>
      <c r="D174" s="21">
        <f t="shared" si="16"/>
        <v>142322.37</v>
      </c>
      <c r="E174" s="7">
        <f t="shared" si="13"/>
        <v>1400</v>
      </c>
      <c r="F174" s="7">
        <f>IF($D174&lt;=0,0,ROUND($D174*Übersicht!$Q$7,2))</f>
        <v>426.97</v>
      </c>
      <c r="G174" s="7">
        <f>IF($D174&lt;=0,0,MIN($D174,IF(Übersicht!$C$13="Annuitätendarlehen",MAX(0,Übersicht!$Q$9-$F174),IF(Übersicht!$C$13="Ratendarlehen",Übersicht!$Q$10,IF($A174&gt;=Übersicht!$Q$11,$D174,0)))))</f>
        <v>973.03</v>
      </c>
      <c r="H174" s="7">
        <f>IF($D174-$G174&lt;=0,0,IF(MOD($A174,Übersicht!$Q$6)=0,IF($A174/Übersicht!$Q$6&gt;=Übersicht!$C$21,MIN(Übersicht!$C$20,$D174-$G174),0),0))</f>
        <v>0</v>
      </c>
      <c r="I174" s="7">
        <f t="shared" si="14"/>
        <v>1400</v>
      </c>
      <c r="J174" s="22">
        <f t="shared" si="15"/>
        <v>141349.34</v>
      </c>
      <c r="K174" s="9" t="str">
        <f>IF($D174&lt;=0,"",IF($J174&lt;=0.005,"Volltilgung erreicht",IF($A174=Übersicht!$Q$13,"Ende der Zinsbindung",IF($H174&gt;0,"Sondertilgung",""))))</f>
        <v/>
      </c>
      <c r="L174" s="23">
        <f>IF($N173&lt;=0,0,ROUND($N173*Übersicht!$Q$7,2))</f>
        <v>577.9</v>
      </c>
      <c r="M174" s="23">
        <f>IF($N173&lt;=0,0,MIN($N173,IF(Übersicht!$C$13="Annuitätendarlehen",MAX(0,Übersicht!$Q$9-$L174),IF(Übersicht!$C$13="Ratendarlehen",Übersicht!$Q$10,IF($A174&gt;=Übersicht!$Q$11,$N173,0)))))</f>
        <v>822.1</v>
      </c>
      <c r="N174" s="23">
        <f t="shared" si="17"/>
        <v>191811.08</v>
      </c>
    </row>
    <row r="175" spans="1:14" ht="15" customHeight="1" x14ac:dyDescent="0.25">
      <c r="A175" s="10">
        <v>168</v>
      </c>
      <c r="B175" s="24">
        <f>IF($D175&lt;=0,"",EDATE(Übersicht!$C$18,($A175-1)*12/Übersicht!$Q$6))</f>
        <v>51135</v>
      </c>
      <c r="C175" s="10">
        <f t="shared" si="12"/>
        <v>2039</v>
      </c>
      <c r="D175" s="25">
        <f t="shared" si="16"/>
        <v>141349.34</v>
      </c>
      <c r="E175" s="12">
        <f t="shared" si="13"/>
        <v>1400</v>
      </c>
      <c r="F175" s="12">
        <f>IF($D175&lt;=0,0,ROUND($D175*Übersicht!$Q$7,2))</f>
        <v>424.05</v>
      </c>
      <c r="G175" s="12">
        <f>IF($D175&lt;=0,0,MIN($D175,IF(Übersicht!$C$13="Annuitätendarlehen",MAX(0,Übersicht!$Q$9-$F175),IF(Übersicht!$C$13="Ratendarlehen",Übersicht!$Q$10,IF($A175&gt;=Übersicht!$Q$11,$D175,0)))))</f>
        <v>975.95</v>
      </c>
      <c r="H175" s="12">
        <f>IF($D175-$G175&lt;=0,0,IF(MOD($A175,Übersicht!$Q$6)=0,IF($A175/Übersicht!$Q$6&gt;=Übersicht!$C$21,MIN(Übersicht!$C$20,$D175-$G175),0),0))</f>
        <v>3000</v>
      </c>
      <c r="I175" s="12">
        <f t="shared" si="14"/>
        <v>4400</v>
      </c>
      <c r="J175" s="26">
        <f t="shared" si="15"/>
        <v>137373.39000000001</v>
      </c>
      <c r="K175" s="14" t="str">
        <f>IF($D175&lt;=0,"",IF($J175&lt;=0.005,"Volltilgung erreicht",IF($A175=Übersicht!$Q$13,"Ende der Zinsbindung",IF($H175&gt;0,"Sondertilgung",""))))</f>
        <v>Sondertilgung</v>
      </c>
      <c r="L175" s="23">
        <f>IF($N174&lt;=0,0,ROUND($N174*Übersicht!$Q$7,2))</f>
        <v>575.42999999999995</v>
      </c>
      <c r="M175" s="23">
        <f>IF($N174&lt;=0,0,MIN($N174,IF(Übersicht!$C$13="Annuitätendarlehen",MAX(0,Übersicht!$Q$9-$L175),IF(Übersicht!$C$13="Ratendarlehen",Übersicht!$Q$10,IF($A175&gt;=Übersicht!$Q$11,$N174,0)))))</f>
        <v>824.57</v>
      </c>
      <c r="N175" s="23">
        <f t="shared" si="17"/>
        <v>190986.51</v>
      </c>
    </row>
    <row r="176" spans="1:14" ht="15" customHeight="1" x14ac:dyDescent="0.25">
      <c r="A176" s="5">
        <v>169</v>
      </c>
      <c r="B176" s="20">
        <f>IF($D176&lt;=0,"",EDATE(Übersicht!$C$18,($A176-1)*12/Übersicht!$Q$6))</f>
        <v>51166</v>
      </c>
      <c r="C176" s="5">
        <f t="shared" si="12"/>
        <v>2040</v>
      </c>
      <c r="D176" s="21">
        <f t="shared" si="16"/>
        <v>137373.39000000001</v>
      </c>
      <c r="E176" s="7">
        <f t="shared" si="13"/>
        <v>1400</v>
      </c>
      <c r="F176" s="7">
        <f>IF($D176&lt;=0,0,ROUND($D176*Übersicht!$Q$7,2))</f>
        <v>412.12</v>
      </c>
      <c r="G176" s="7">
        <f>IF($D176&lt;=0,0,MIN($D176,IF(Übersicht!$C$13="Annuitätendarlehen",MAX(0,Übersicht!$Q$9-$F176),IF(Übersicht!$C$13="Ratendarlehen",Übersicht!$Q$10,IF($A176&gt;=Übersicht!$Q$11,$D176,0)))))</f>
        <v>987.88</v>
      </c>
      <c r="H176" s="7">
        <f>IF($D176-$G176&lt;=0,0,IF(MOD($A176,Übersicht!$Q$6)=0,IF($A176/Übersicht!$Q$6&gt;=Übersicht!$C$21,MIN(Übersicht!$C$20,$D176-$G176),0),0))</f>
        <v>0</v>
      </c>
      <c r="I176" s="7">
        <f t="shared" si="14"/>
        <v>1400</v>
      </c>
      <c r="J176" s="22">
        <f t="shared" si="15"/>
        <v>136385.51</v>
      </c>
      <c r="K176" s="9" t="str">
        <f>IF($D176&lt;=0,"",IF($J176&lt;=0.005,"Volltilgung erreicht",IF($A176=Übersicht!$Q$13,"Ende der Zinsbindung",IF($H176&gt;0,"Sondertilgung",""))))</f>
        <v/>
      </c>
      <c r="L176" s="23">
        <f>IF($N175&lt;=0,0,ROUND($N175*Übersicht!$Q$7,2))</f>
        <v>572.96</v>
      </c>
      <c r="M176" s="23">
        <f>IF($N175&lt;=0,0,MIN($N175,IF(Übersicht!$C$13="Annuitätendarlehen",MAX(0,Übersicht!$Q$9-$L176),IF(Übersicht!$C$13="Ratendarlehen",Übersicht!$Q$10,IF($A176&gt;=Übersicht!$Q$11,$N175,0)))))</f>
        <v>827.04</v>
      </c>
      <c r="N176" s="23">
        <f t="shared" si="17"/>
        <v>190159.47</v>
      </c>
    </row>
    <row r="177" spans="1:14" ht="15" customHeight="1" x14ac:dyDescent="0.25">
      <c r="A177" s="10">
        <v>170</v>
      </c>
      <c r="B177" s="24">
        <f>IF($D177&lt;=0,"",EDATE(Übersicht!$C$18,($A177-1)*12/Übersicht!$Q$6))</f>
        <v>51195</v>
      </c>
      <c r="C177" s="10">
        <f t="shared" si="12"/>
        <v>2040</v>
      </c>
      <c r="D177" s="25">
        <f t="shared" si="16"/>
        <v>136385.51</v>
      </c>
      <c r="E177" s="12">
        <f t="shared" si="13"/>
        <v>1400</v>
      </c>
      <c r="F177" s="12">
        <f>IF($D177&lt;=0,0,ROUND($D177*Übersicht!$Q$7,2))</f>
        <v>409.16</v>
      </c>
      <c r="G177" s="12">
        <f>IF($D177&lt;=0,0,MIN($D177,IF(Übersicht!$C$13="Annuitätendarlehen",MAX(0,Übersicht!$Q$9-$F177),IF(Übersicht!$C$13="Ratendarlehen",Übersicht!$Q$10,IF($A177&gt;=Übersicht!$Q$11,$D177,0)))))</f>
        <v>990.83999999999992</v>
      </c>
      <c r="H177" s="12">
        <f>IF($D177-$G177&lt;=0,0,IF(MOD($A177,Übersicht!$Q$6)=0,IF($A177/Übersicht!$Q$6&gt;=Übersicht!$C$21,MIN(Übersicht!$C$20,$D177-$G177),0),0))</f>
        <v>0</v>
      </c>
      <c r="I177" s="12">
        <f t="shared" si="14"/>
        <v>1400</v>
      </c>
      <c r="J177" s="26">
        <f t="shared" si="15"/>
        <v>135394.67000000001</v>
      </c>
      <c r="K177" s="14" t="str">
        <f>IF($D177&lt;=0,"",IF($J177&lt;=0.005,"Volltilgung erreicht",IF($A177=Übersicht!$Q$13,"Ende der Zinsbindung",IF($H177&gt;0,"Sondertilgung",""))))</f>
        <v/>
      </c>
      <c r="L177" s="23">
        <f>IF($N176&lt;=0,0,ROUND($N176*Übersicht!$Q$7,2))</f>
        <v>570.48</v>
      </c>
      <c r="M177" s="23">
        <f>IF($N176&lt;=0,0,MIN($N176,IF(Übersicht!$C$13="Annuitätendarlehen",MAX(0,Übersicht!$Q$9-$L177),IF(Übersicht!$C$13="Ratendarlehen",Übersicht!$Q$10,IF($A177&gt;=Übersicht!$Q$11,$N176,0)))))</f>
        <v>829.52</v>
      </c>
      <c r="N177" s="23">
        <f t="shared" si="17"/>
        <v>189329.95</v>
      </c>
    </row>
    <row r="178" spans="1:14" ht="15" customHeight="1" x14ac:dyDescent="0.25">
      <c r="A178" s="5">
        <v>171</v>
      </c>
      <c r="B178" s="20">
        <f>IF($D178&lt;=0,"",EDATE(Übersicht!$C$18,($A178-1)*12/Übersicht!$Q$6))</f>
        <v>51226</v>
      </c>
      <c r="C178" s="5">
        <f t="shared" si="12"/>
        <v>2040</v>
      </c>
      <c r="D178" s="21">
        <f t="shared" si="16"/>
        <v>135394.67000000001</v>
      </c>
      <c r="E178" s="7">
        <f t="shared" si="13"/>
        <v>1400</v>
      </c>
      <c r="F178" s="7">
        <f>IF($D178&lt;=0,0,ROUND($D178*Übersicht!$Q$7,2))</f>
        <v>406.18</v>
      </c>
      <c r="G178" s="7">
        <f>IF($D178&lt;=0,0,MIN($D178,IF(Übersicht!$C$13="Annuitätendarlehen",MAX(0,Übersicht!$Q$9-$F178),IF(Übersicht!$C$13="Ratendarlehen",Übersicht!$Q$10,IF($A178&gt;=Übersicht!$Q$11,$D178,0)))))</f>
        <v>993.81999999999994</v>
      </c>
      <c r="H178" s="7">
        <f>IF($D178-$G178&lt;=0,0,IF(MOD($A178,Übersicht!$Q$6)=0,IF($A178/Übersicht!$Q$6&gt;=Übersicht!$C$21,MIN(Übersicht!$C$20,$D178-$G178),0),0))</f>
        <v>0</v>
      </c>
      <c r="I178" s="7">
        <f t="shared" si="14"/>
        <v>1400</v>
      </c>
      <c r="J178" s="22">
        <f t="shared" si="15"/>
        <v>134400.85</v>
      </c>
      <c r="K178" s="9" t="str">
        <f>IF($D178&lt;=0,"",IF($J178&lt;=0.005,"Volltilgung erreicht",IF($A178=Übersicht!$Q$13,"Ende der Zinsbindung",IF($H178&gt;0,"Sondertilgung",""))))</f>
        <v/>
      </c>
      <c r="L178" s="23">
        <f>IF($N177&lt;=0,0,ROUND($N177*Übersicht!$Q$7,2))</f>
        <v>567.99</v>
      </c>
      <c r="M178" s="23">
        <f>IF($N177&lt;=0,0,MIN($N177,IF(Übersicht!$C$13="Annuitätendarlehen",MAX(0,Übersicht!$Q$9-$L178),IF(Übersicht!$C$13="Ratendarlehen",Übersicht!$Q$10,IF($A178&gt;=Übersicht!$Q$11,$N177,0)))))</f>
        <v>832.01</v>
      </c>
      <c r="N178" s="23">
        <f t="shared" si="17"/>
        <v>188497.94</v>
      </c>
    </row>
    <row r="179" spans="1:14" ht="15" customHeight="1" x14ac:dyDescent="0.25">
      <c r="A179" s="10">
        <v>172</v>
      </c>
      <c r="B179" s="24">
        <f>IF($D179&lt;=0,"",EDATE(Übersicht!$C$18,($A179-1)*12/Übersicht!$Q$6))</f>
        <v>51256</v>
      </c>
      <c r="C179" s="10">
        <f t="shared" si="12"/>
        <v>2040</v>
      </c>
      <c r="D179" s="25">
        <f t="shared" si="16"/>
        <v>134400.85</v>
      </c>
      <c r="E179" s="12">
        <f t="shared" si="13"/>
        <v>1400</v>
      </c>
      <c r="F179" s="12">
        <f>IF($D179&lt;=0,0,ROUND($D179*Übersicht!$Q$7,2))</f>
        <v>403.2</v>
      </c>
      <c r="G179" s="12">
        <f>IF($D179&lt;=0,0,MIN($D179,IF(Übersicht!$C$13="Annuitätendarlehen",MAX(0,Übersicht!$Q$9-$F179),IF(Übersicht!$C$13="Ratendarlehen",Übersicht!$Q$10,IF($A179&gt;=Übersicht!$Q$11,$D179,0)))))</f>
        <v>996.8</v>
      </c>
      <c r="H179" s="12">
        <f>IF($D179-$G179&lt;=0,0,IF(MOD($A179,Übersicht!$Q$6)=0,IF($A179/Übersicht!$Q$6&gt;=Übersicht!$C$21,MIN(Übersicht!$C$20,$D179-$G179),0),0))</f>
        <v>0</v>
      </c>
      <c r="I179" s="12">
        <f t="shared" si="14"/>
        <v>1400</v>
      </c>
      <c r="J179" s="26">
        <f t="shared" si="15"/>
        <v>133404.04999999999</v>
      </c>
      <c r="K179" s="14" t="str">
        <f>IF($D179&lt;=0,"",IF($J179&lt;=0.005,"Volltilgung erreicht",IF($A179=Übersicht!$Q$13,"Ende der Zinsbindung",IF($H179&gt;0,"Sondertilgung",""))))</f>
        <v/>
      </c>
      <c r="L179" s="23">
        <f>IF($N178&lt;=0,0,ROUND($N178*Übersicht!$Q$7,2))</f>
        <v>565.49</v>
      </c>
      <c r="M179" s="23">
        <f>IF($N178&lt;=0,0,MIN($N178,IF(Übersicht!$C$13="Annuitätendarlehen",MAX(0,Übersicht!$Q$9-$L179),IF(Übersicht!$C$13="Ratendarlehen",Übersicht!$Q$10,IF($A179&gt;=Übersicht!$Q$11,$N178,0)))))</f>
        <v>834.51</v>
      </c>
      <c r="N179" s="23">
        <f t="shared" si="17"/>
        <v>187663.43</v>
      </c>
    </row>
    <row r="180" spans="1:14" ht="15" customHeight="1" x14ac:dyDescent="0.25">
      <c r="A180" s="5">
        <v>173</v>
      </c>
      <c r="B180" s="20">
        <f>IF($D180&lt;=0,"",EDATE(Übersicht!$C$18,($A180-1)*12/Übersicht!$Q$6))</f>
        <v>51287</v>
      </c>
      <c r="C180" s="5">
        <f t="shared" si="12"/>
        <v>2040</v>
      </c>
      <c r="D180" s="21">
        <f t="shared" si="16"/>
        <v>133404.04999999999</v>
      </c>
      <c r="E180" s="7">
        <f t="shared" si="13"/>
        <v>1400</v>
      </c>
      <c r="F180" s="7">
        <f>IF($D180&lt;=0,0,ROUND($D180*Übersicht!$Q$7,2))</f>
        <v>400.21</v>
      </c>
      <c r="G180" s="7">
        <f>IF($D180&lt;=0,0,MIN($D180,IF(Übersicht!$C$13="Annuitätendarlehen",MAX(0,Übersicht!$Q$9-$F180),IF(Übersicht!$C$13="Ratendarlehen",Übersicht!$Q$10,IF($A180&gt;=Übersicht!$Q$11,$D180,0)))))</f>
        <v>999.79</v>
      </c>
      <c r="H180" s="7">
        <f>IF($D180-$G180&lt;=0,0,IF(MOD($A180,Übersicht!$Q$6)=0,IF($A180/Übersicht!$Q$6&gt;=Übersicht!$C$21,MIN(Übersicht!$C$20,$D180-$G180),0),0))</f>
        <v>0</v>
      </c>
      <c r="I180" s="7">
        <f t="shared" si="14"/>
        <v>1400</v>
      </c>
      <c r="J180" s="22">
        <f t="shared" si="15"/>
        <v>132404.26</v>
      </c>
      <c r="K180" s="9" t="str">
        <f>IF($D180&lt;=0,"",IF($J180&lt;=0.005,"Volltilgung erreicht",IF($A180=Übersicht!$Q$13,"Ende der Zinsbindung",IF($H180&gt;0,"Sondertilgung",""))))</f>
        <v/>
      </c>
      <c r="L180" s="23">
        <f>IF($N179&lt;=0,0,ROUND($N179*Übersicht!$Q$7,2))</f>
        <v>562.99</v>
      </c>
      <c r="M180" s="23">
        <f>IF($N179&lt;=0,0,MIN($N179,IF(Übersicht!$C$13="Annuitätendarlehen",MAX(0,Übersicht!$Q$9-$L180),IF(Übersicht!$C$13="Ratendarlehen",Übersicht!$Q$10,IF($A180&gt;=Übersicht!$Q$11,$N179,0)))))</f>
        <v>837.01</v>
      </c>
      <c r="N180" s="23">
        <f t="shared" si="17"/>
        <v>186826.42</v>
      </c>
    </row>
    <row r="181" spans="1:14" ht="15" customHeight="1" x14ac:dyDescent="0.25">
      <c r="A181" s="10">
        <v>174</v>
      </c>
      <c r="B181" s="24">
        <f>IF($D181&lt;=0,"",EDATE(Übersicht!$C$18,($A181-1)*12/Übersicht!$Q$6))</f>
        <v>51317</v>
      </c>
      <c r="C181" s="10">
        <f t="shared" si="12"/>
        <v>2040</v>
      </c>
      <c r="D181" s="25">
        <f t="shared" si="16"/>
        <v>132404.26</v>
      </c>
      <c r="E181" s="12">
        <f t="shared" si="13"/>
        <v>1400</v>
      </c>
      <c r="F181" s="12">
        <f>IF($D181&lt;=0,0,ROUND($D181*Übersicht!$Q$7,2))</f>
        <v>397.21</v>
      </c>
      <c r="G181" s="12">
        <f>IF($D181&lt;=0,0,MIN($D181,IF(Übersicht!$C$13="Annuitätendarlehen",MAX(0,Übersicht!$Q$9-$F181),IF(Übersicht!$C$13="Ratendarlehen",Übersicht!$Q$10,IF($A181&gt;=Übersicht!$Q$11,$D181,0)))))</f>
        <v>1002.79</v>
      </c>
      <c r="H181" s="12">
        <f>IF($D181-$G181&lt;=0,0,IF(MOD($A181,Übersicht!$Q$6)=0,IF($A181/Übersicht!$Q$6&gt;=Übersicht!$C$21,MIN(Übersicht!$C$20,$D181-$G181),0),0))</f>
        <v>0</v>
      </c>
      <c r="I181" s="12">
        <f t="shared" si="14"/>
        <v>1400</v>
      </c>
      <c r="J181" s="26">
        <f t="shared" si="15"/>
        <v>131401.47</v>
      </c>
      <c r="K181" s="14" t="str">
        <f>IF($D181&lt;=0,"",IF($J181&lt;=0.005,"Volltilgung erreicht",IF($A181=Übersicht!$Q$13,"Ende der Zinsbindung",IF($H181&gt;0,"Sondertilgung",""))))</f>
        <v/>
      </c>
      <c r="L181" s="23">
        <f>IF($N180&lt;=0,0,ROUND($N180*Übersicht!$Q$7,2))</f>
        <v>560.48</v>
      </c>
      <c r="M181" s="23">
        <f>IF($N180&lt;=0,0,MIN($N180,IF(Übersicht!$C$13="Annuitätendarlehen",MAX(0,Übersicht!$Q$9-$L181),IF(Übersicht!$C$13="Ratendarlehen",Übersicht!$Q$10,IF($A181&gt;=Übersicht!$Q$11,$N180,0)))))</f>
        <v>839.52</v>
      </c>
      <c r="N181" s="23">
        <f t="shared" si="17"/>
        <v>185986.9</v>
      </c>
    </row>
    <row r="182" spans="1:14" ht="15" customHeight="1" x14ac:dyDescent="0.25">
      <c r="A182" s="5">
        <v>175</v>
      </c>
      <c r="B182" s="20">
        <f>IF($D182&lt;=0,"",EDATE(Übersicht!$C$18,($A182-1)*12/Übersicht!$Q$6))</f>
        <v>51348</v>
      </c>
      <c r="C182" s="5">
        <f t="shared" si="12"/>
        <v>2040</v>
      </c>
      <c r="D182" s="21">
        <f t="shared" si="16"/>
        <v>131401.47</v>
      </c>
      <c r="E182" s="7">
        <f t="shared" si="13"/>
        <v>1400</v>
      </c>
      <c r="F182" s="7">
        <f>IF($D182&lt;=0,0,ROUND($D182*Übersicht!$Q$7,2))</f>
        <v>394.2</v>
      </c>
      <c r="G182" s="7">
        <f>IF($D182&lt;=0,0,MIN($D182,IF(Übersicht!$C$13="Annuitätendarlehen",MAX(0,Übersicht!$Q$9-$F182),IF(Übersicht!$C$13="Ratendarlehen",Übersicht!$Q$10,IF($A182&gt;=Übersicht!$Q$11,$D182,0)))))</f>
        <v>1005.8</v>
      </c>
      <c r="H182" s="7">
        <f>IF($D182-$G182&lt;=0,0,IF(MOD($A182,Übersicht!$Q$6)=0,IF($A182/Übersicht!$Q$6&gt;=Übersicht!$C$21,MIN(Übersicht!$C$20,$D182-$G182),0),0))</f>
        <v>0</v>
      </c>
      <c r="I182" s="7">
        <f t="shared" si="14"/>
        <v>1400</v>
      </c>
      <c r="J182" s="22">
        <f t="shared" si="15"/>
        <v>130395.67</v>
      </c>
      <c r="K182" s="9" t="str">
        <f>IF($D182&lt;=0,"",IF($J182&lt;=0.005,"Volltilgung erreicht",IF($A182=Übersicht!$Q$13,"Ende der Zinsbindung",IF($H182&gt;0,"Sondertilgung",""))))</f>
        <v/>
      </c>
      <c r="L182" s="23">
        <f>IF($N181&lt;=0,0,ROUND($N181*Übersicht!$Q$7,2))</f>
        <v>557.96</v>
      </c>
      <c r="M182" s="23">
        <f>IF($N181&lt;=0,0,MIN($N181,IF(Übersicht!$C$13="Annuitätendarlehen",MAX(0,Übersicht!$Q$9-$L182),IF(Übersicht!$C$13="Ratendarlehen",Übersicht!$Q$10,IF($A182&gt;=Übersicht!$Q$11,$N181,0)))))</f>
        <v>842.04</v>
      </c>
      <c r="N182" s="23">
        <f t="shared" si="17"/>
        <v>185144.86</v>
      </c>
    </row>
    <row r="183" spans="1:14" ht="15" customHeight="1" x14ac:dyDescent="0.25">
      <c r="A183" s="10">
        <v>176</v>
      </c>
      <c r="B183" s="24">
        <f>IF($D183&lt;=0,"",EDATE(Übersicht!$C$18,($A183-1)*12/Übersicht!$Q$6))</f>
        <v>51379</v>
      </c>
      <c r="C183" s="10">
        <f t="shared" si="12"/>
        <v>2040</v>
      </c>
      <c r="D183" s="25">
        <f t="shared" si="16"/>
        <v>130395.67</v>
      </c>
      <c r="E183" s="12">
        <f t="shared" si="13"/>
        <v>1400</v>
      </c>
      <c r="F183" s="12">
        <f>IF($D183&lt;=0,0,ROUND($D183*Übersicht!$Q$7,2))</f>
        <v>391.19</v>
      </c>
      <c r="G183" s="12">
        <f>IF($D183&lt;=0,0,MIN($D183,IF(Übersicht!$C$13="Annuitätendarlehen",MAX(0,Übersicht!$Q$9-$F183),IF(Übersicht!$C$13="Ratendarlehen",Übersicht!$Q$10,IF($A183&gt;=Übersicht!$Q$11,$D183,0)))))</f>
        <v>1008.81</v>
      </c>
      <c r="H183" s="12">
        <f>IF($D183-$G183&lt;=0,0,IF(MOD($A183,Übersicht!$Q$6)=0,IF($A183/Übersicht!$Q$6&gt;=Übersicht!$C$21,MIN(Übersicht!$C$20,$D183-$G183),0),0))</f>
        <v>0</v>
      </c>
      <c r="I183" s="12">
        <f t="shared" si="14"/>
        <v>1400</v>
      </c>
      <c r="J183" s="26">
        <f t="shared" si="15"/>
        <v>129386.86</v>
      </c>
      <c r="K183" s="14" t="str">
        <f>IF($D183&lt;=0,"",IF($J183&lt;=0.005,"Volltilgung erreicht",IF($A183=Übersicht!$Q$13,"Ende der Zinsbindung",IF($H183&gt;0,"Sondertilgung",""))))</f>
        <v/>
      </c>
      <c r="L183" s="23">
        <f>IF($N182&lt;=0,0,ROUND($N182*Übersicht!$Q$7,2))</f>
        <v>555.42999999999995</v>
      </c>
      <c r="M183" s="23">
        <f>IF($N182&lt;=0,0,MIN($N182,IF(Übersicht!$C$13="Annuitätendarlehen",MAX(0,Übersicht!$Q$9-$L183),IF(Übersicht!$C$13="Ratendarlehen",Übersicht!$Q$10,IF($A183&gt;=Übersicht!$Q$11,$N182,0)))))</f>
        <v>844.57</v>
      </c>
      <c r="N183" s="23">
        <f t="shared" si="17"/>
        <v>184300.29</v>
      </c>
    </row>
    <row r="184" spans="1:14" ht="15" customHeight="1" x14ac:dyDescent="0.25">
      <c r="A184" s="5">
        <v>177</v>
      </c>
      <c r="B184" s="20">
        <f>IF($D184&lt;=0,"",EDATE(Übersicht!$C$18,($A184-1)*12/Übersicht!$Q$6))</f>
        <v>51409</v>
      </c>
      <c r="C184" s="5">
        <f t="shared" si="12"/>
        <v>2040</v>
      </c>
      <c r="D184" s="21">
        <f t="shared" si="16"/>
        <v>129386.86</v>
      </c>
      <c r="E184" s="7">
        <f t="shared" si="13"/>
        <v>1400</v>
      </c>
      <c r="F184" s="7">
        <f>IF($D184&lt;=0,0,ROUND($D184*Übersicht!$Q$7,2))</f>
        <v>388.16</v>
      </c>
      <c r="G184" s="7">
        <f>IF($D184&lt;=0,0,MIN($D184,IF(Übersicht!$C$13="Annuitätendarlehen",MAX(0,Übersicht!$Q$9-$F184),IF(Übersicht!$C$13="Ratendarlehen",Übersicht!$Q$10,IF($A184&gt;=Übersicht!$Q$11,$D184,0)))))</f>
        <v>1011.8399999999999</v>
      </c>
      <c r="H184" s="7">
        <f>IF($D184-$G184&lt;=0,0,IF(MOD($A184,Übersicht!$Q$6)=0,IF($A184/Übersicht!$Q$6&gt;=Übersicht!$C$21,MIN(Übersicht!$C$20,$D184-$G184),0),0))</f>
        <v>0</v>
      </c>
      <c r="I184" s="7">
        <f t="shared" si="14"/>
        <v>1400</v>
      </c>
      <c r="J184" s="22">
        <f t="shared" si="15"/>
        <v>128375.02</v>
      </c>
      <c r="K184" s="9" t="str">
        <f>IF($D184&lt;=0,"",IF($J184&lt;=0.005,"Volltilgung erreicht",IF($A184=Übersicht!$Q$13,"Ende der Zinsbindung",IF($H184&gt;0,"Sondertilgung",""))))</f>
        <v/>
      </c>
      <c r="L184" s="23">
        <f>IF($N183&lt;=0,0,ROUND($N183*Übersicht!$Q$7,2))</f>
        <v>552.9</v>
      </c>
      <c r="M184" s="23">
        <f>IF($N183&lt;=0,0,MIN($N183,IF(Übersicht!$C$13="Annuitätendarlehen",MAX(0,Übersicht!$Q$9-$L184),IF(Übersicht!$C$13="Ratendarlehen",Übersicht!$Q$10,IF($A184&gt;=Übersicht!$Q$11,$N183,0)))))</f>
        <v>847.1</v>
      </c>
      <c r="N184" s="23">
        <f t="shared" si="17"/>
        <v>183453.19</v>
      </c>
    </row>
    <row r="185" spans="1:14" ht="15" customHeight="1" x14ac:dyDescent="0.25">
      <c r="A185" s="10">
        <v>178</v>
      </c>
      <c r="B185" s="24">
        <f>IF($D185&lt;=0,"",EDATE(Übersicht!$C$18,($A185-1)*12/Übersicht!$Q$6))</f>
        <v>51440</v>
      </c>
      <c r="C185" s="10">
        <f t="shared" si="12"/>
        <v>2040</v>
      </c>
      <c r="D185" s="25">
        <f t="shared" si="16"/>
        <v>128375.02</v>
      </c>
      <c r="E185" s="12">
        <f t="shared" si="13"/>
        <v>1400</v>
      </c>
      <c r="F185" s="12">
        <f>IF($D185&lt;=0,0,ROUND($D185*Übersicht!$Q$7,2))</f>
        <v>385.13</v>
      </c>
      <c r="G185" s="12">
        <f>IF($D185&lt;=0,0,MIN($D185,IF(Übersicht!$C$13="Annuitätendarlehen",MAX(0,Übersicht!$Q$9-$F185),IF(Übersicht!$C$13="Ratendarlehen",Übersicht!$Q$10,IF($A185&gt;=Übersicht!$Q$11,$D185,0)))))</f>
        <v>1014.87</v>
      </c>
      <c r="H185" s="12">
        <f>IF($D185-$G185&lt;=0,0,IF(MOD($A185,Übersicht!$Q$6)=0,IF($A185/Übersicht!$Q$6&gt;=Übersicht!$C$21,MIN(Übersicht!$C$20,$D185-$G185),0),0))</f>
        <v>0</v>
      </c>
      <c r="I185" s="12">
        <f t="shared" si="14"/>
        <v>1400</v>
      </c>
      <c r="J185" s="26">
        <f t="shared" si="15"/>
        <v>127360.15</v>
      </c>
      <c r="K185" s="14" t="str">
        <f>IF($D185&lt;=0,"",IF($J185&lt;=0.005,"Volltilgung erreicht",IF($A185=Übersicht!$Q$13,"Ende der Zinsbindung",IF($H185&gt;0,"Sondertilgung",""))))</f>
        <v/>
      </c>
      <c r="L185" s="23">
        <f>IF($N184&lt;=0,0,ROUND($N184*Übersicht!$Q$7,2))</f>
        <v>550.36</v>
      </c>
      <c r="M185" s="23">
        <f>IF($N184&lt;=0,0,MIN($N184,IF(Übersicht!$C$13="Annuitätendarlehen",MAX(0,Übersicht!$Q$9-$L185),IF(Übersicht!$C$13="Ratendarlehen",Übersicht!$Q$10,IF($A185&gt;=Übersicht!$Q$11,$N184,0)))))</f>
        <v>849.64</v>
      </c>
      <c r="N185" s="23">
        <f t="shared" si="17"/>
        <v>182603.55</v>
      </c>
    </row>
    <row r="186" spans="1:14" ht="15" customHeight="1" x14ac:dyDescent="0.25">
      <c r="A186" s="5">
        <v>179</v>
      </c>
      <c r="B186" s="20">
        <f>IF($D186&lt;=0,"",EDATE(Übersicht!$C$18,($A186-1)*12/Übersicht!$Q$6))</f>
        <v>51470</v>
      </c>
      <c r="C186" s="5">
        <f t="shared" si="12"/>
        <v>2040</v>
      </c>
      <c r="D186" s="21">
        <f t="shared" si="16"/>
        <v>127360.15</v>
      </c>
      <c r="E186" s="7">
        <f t="shared" si="13"/>
        <v>1400</v>
      </c>
      <c r="F186" s="7">
        <f>IF($D186&lt;=0,0,ROUND($D186*Übersicht!$Q$7,2))</f>
        <v>382.08</v>
      </c>
      <c r="G186" s="7">
        <f>IF($D186&lt;=0,0,MIN($D186,IF(Übersicht!$C$13="Annuitätendarlehen",MAX(0,Übersicht!$Q$9-$F186),IF(Übersicht!$C$13="Ratendarlehen",Übersicht!$Q$10,IF($A186&gt;=Übersicht!$Q$11,$D186,0)))))</f>
        <v>1017.9200000000001</v>
      </c>
      <c r="H186" s="7">
        <f>IF($D186-$G186&lt;=0,0,IF(MOD($A186,Übersicht!$Q$6)=0,IF($A186/Übersicht!$Q$6&gt;=Übersicht!$C$21,MIN(Übersicht!$C$20,$D186-$G186),0),0))</f>
        <v>0</v>
      </c>
      <c r="I186" s="7">
        <f t="shared" si="14"/>
        <v>1400</v>
      </c>
      <c r="J186" s="22">
        <f t="shared" si="15"/>
        <v>126342.23</v>
      </c>
      <c r="K186" s="9" t="str">
        <f>IF($D186&lt;=0,"",IF($J186&lt;=0.005,"Volltilgung erreicht",IF($A186=Übersicht!$Q$13,"Ende der Zinsbindung",IF($H186&gt;0,"Sondertilgung",""))))</f>
        <v/>
      </c>
      <c r="L186" s="23">
        <f>IF($N185&lt;=0,0,ROUND($N185*Übersicht!$Q$7,2))</f>
        <v>547.80999999999995</v>
      </c>
      <c r="M186" s="23">
        <f>IF($N185&lt;=0,0,MIN($N185,IF(Übersicht!$C$13="Annuitätendarlehen",MAX(0,Übersicht!$Q$9-$L186),IF(Übersicht!$C$13="Ratendarlehen",Übersicht!$Q$10,IF($A186&gt;=Übersicht!$Q$11,$N185,0)))))</f>
        <v>852.19</v>
      </c>
      <c r="N186" s="23">
        <f t="shared" si="17"/>
        <v>181751.36</v>
      </c>
    </row>
    <row r="187" spans="1:14" ht="15" customHeight="1" x14ac:dyDescent="0.25">
      <c r="A187" s="10">
        <v>180</v>
      </c>
      <c r="B187" s="24">
        <f>IF($D187&lt;=0,"",EDATE(Übersicht!$C$18,($A187-1)*12/Übersicht!$Q$6))</f>
        <v>51501</v>
      </c>
      <c r="C187" s="10">
        <f t="shared" si="12"/>
        <v>2040</v>
      </c>
      <c r="D187" s="25">
        <f t="shared" si="16"/>
        <v>126342.23</v>
      </c>
      <c r="E187" s="12">
        <f t="shared" si="13"/>
        <v>1400</v>
      </c>
      <c r="F187" s="12">
        <f>IF($D187&lt;=0,0,ROUND($D187*Übersicht!$Q$7,2))</f>
        <v>379.03</v>
      </c>
      <c r="G187" s="12">
        <f>IF($D187&lt;=0,0,MIN($D187,IF(Übersicht!$C$13="Annuitätendarlehen",MAX(0,Übersicht!$Q$9-$F187),IF(Übersicht!$C$13="Ratendarlehen",Übersicht!$Q$10,IF($A187&gt;=Übersicht!$Q$11,$D187,0)))))</f>
        <v>1020.97</v>
      </c>
      <c r="H187" s="12">
        <f>IF($D187-$G187&lt;=0,0,IF(MOD($A187,Übersicht!$Q$6)=0,IF($A187/Übersicht!$Q$6&gt;=Übersicht!$C$21,MIN(Übersicht!$C$20,$D187-$G187),0),0))</f>
        <v>3000</v>
      </c>
      <c r="I187" s="12">
        <f t="shared" si="14"/>
        <v>4400</v>
      </c>
      <c r="J187" s="26">
        <f t="shared" si="15"/>
        <v>122321.26</v>
      </c>
      <c r="K187" s="14" t="str">
        <f>IF($D187&lt;=0,"",IF($J187&lt;=0.005,"Volltilgung erreicht",IF($A187=Übersicht!$Q$13,"Ende der Zinsbindung",IF($H187&gt;0,"Sondertilgung",""))))</f>
        <v>Ende der Zinsbindung</v>
      </c>
      <c r="L187" s="23">
        <f>IF($N186&lt;=0,0,ROUND($N186*Übersicht!$Q$7,2))</f>
        <v>545.25</v>
      </c>
      <c r="M187" s="23">
        <f>IF($N186&lt;=0,0,MIN($N186,IF(Übersicht!$C$13="Annuitätendarlehen",MAX(0,Übersicht!$Q$9-$L187),IF(Übersicht!$C$13="Ratendarlehen",Übersicht!$Q$10,IF($A187&gt;=Übersicht!$Q$11,$N186,0)))))</f>
        <v>854.75</v>
      </c>
      <c r="N187" s="23">
        <f t="shared" si="17"/>
        <v>180896.61</v>
      </c>
    </row>
    <row r="188" spans="1:14" ht="15" customHeight="1" x14ac:dyDescent="0.25">
      <c r="A188" s="5">
        <v>181</v>
      </c>
      <c r="B188" s="20">
        <f>IF($D188&lt;=0,"",EDATE(Übersicht!$C$18,($A188-1)*12/Übersicht!$Q$6))</f>
        <v>51532</v>
      </c>
      <c r="C188" s="5">
        <f t="shared" si="12"/>
        <v>2041</v>
      </c>
      <c r="D188" s="21">
        <f t="shared" si="16"/>
        <v>122321.26</v>
      </c>
      <c r="E188" s="7">
        <f t="shared" si="13"/>
        <v>1400</v>
      </c>
      <c r="F188" s="7">
        <f>IF($D188&lt;=0,0,ROUND($D188*Übersicht!$Q$7,2))</f>
        <v>366.96</v>
      </c>
      <c r="G188" s="7">
        <f>IF($D188&lt;=0,0,MIN($D188,IF(Übersicht!$C$13="Annuitätendarlehen",MAX(0,Übersicht!$Q$9-$F188),IF(Übersicht!$C$13="Ratendarlehen",Übersicht!$Q$10,IF($A188&gt;=Übersicht!$Q$11,$D188,0)))))</f>
        <v>1033.04</v>
      </c>
      <c r="H188" s="7">
        <f>IF($D188-$G188&lt;=0,0,IF(MOD($A188,Übersicht!$Q$6)=0,IF($A188/Übersicht!$Q$6&gt;=Übersicht!$C$21,MIN(Übersicht!$C$20,$D188-$G188),0),0))</f>
        <v>0</v>
      </c>
      <c r="I188" s="7">
        <f t="shared" si="14"/>
        <v>1400</v>
      </c>
      <c r="J188" s="22">
        <f t="shared" si="15"/>
        <v>121288.22</v>
      </c>
      <c r="K188" s="9" t="str">
        <f>IF($D188&lt;=0,"",IF($J188&lt;=0.005,"Volltilgung erreicht",IF($A188=Übersicht!$Q$13,"Ende der Zinsbindung",IF($H188&gt;0,"Sondertilgung",""))))</f>
        <v/>
      </c>
      <c r="L188" s="23">
        <f>IF($N187&lt;=0,0,ROUND($N187*Übersicht!$Q$7,2))</f>
        <v>542.69000000000005</v>
      </c>
      <c r="M188" s="23">
        <f>IF($N187&lt;=0,0,MIN($N187,IF(Übersicht!$C$13="Annuitätendarlehen",MAX(0,Übersicht!$Q$9-$L188),IF(Übersicht!$C$13="Ratendarlehen",Übersicht!$Q$10,IF($A188&gt;=Übersicht!$Q$11,$N187,0)))))</f>
        <v>857.31</v>
      </c>
      <c r="N188" s="23">
        <f t="shared" si="17"/>
        <v>180039.3</v>
      </c>
    </row>
    <row r="189" spans="1:14" ht="15" customHeight="1" x14ac:dyDescent="0.25">
      <c r="A189" s="10">
        <v>182</v>
      </c>
      <c r="B189" s="24">
        <f>IF($D189&lt;=0,"",EDATE(Übersicht!$C$18,($A189-1)*12/Übersicht!$Q$6))</f>
        <v>51560</v>
      </c>
      <c r="C189" s="10">
        <f t="shared" si="12"/>
        <v>2041</v>
      </c>
      <c r="D189" s="25">
        <f t="shared" si="16"/>
        <v>121288.22</v>
      </c>
      <c r="E189" s="12">
        <f t="shared" si="13"/>
        <v>1400</v>
      </c>
      <c r="F189" s="12">
        <f>IF($D189&lt;=0,0,ROUND($D189*Übersicht!$Q$7,2))</f>
        <v>363.86</v>
      </c>
      <c r="G189" s="12">
        <f>IF($D189&lt;=0,0,MIN($D189,IF(Übersicht!$C$13="Annuitätendarlehen",MAX(0,Übersicht!$Q$9-$F189),IF(Übersicht!$C$13="Ratendarlehen",Übersicht!$Q$10,IF($A189&gt;=Übersicht!$Q$11,$D189,0)))))</f>
        <v>1036.1399999999999</v>
      </c>
      <c r="H189" s="12">
        <f>IF($D189-$G189&lt;=0,0,IF(MOD($A189,Übersicht!$Q$6)=0,IF($A189/Übersicht!$Q$6&gt;=Übersicht!$C$21,MIN(Übersicht!$C$20,$D189-$G189),0),0))</f>
        <v>0</v>
      </c>
      <c r="I189" s="12">
        <f t="shared" si="14"/>
        <v>1400</v>
      </c>
      <c r="J189" s="26">
        <f t="shared" si="15"/>
        <v>120252.08</v>
      </c>
      <c r="K189" s="14" t="str">
        <f>IF($D189&lt;=0,"",IF($J189&lt;=0.005,"Volltilgung erreicht",IF($A189=Übersicht!$Q$13,"Ende der Zinsbindung",IF($H189&gt;0,"Sondertilgung",""))))</f>
        <v/>
      </c>
      <c r="L189" s="23">
        <f>IF($N188&lt;=0,0,ROUND($N188*Übersicht!$Q$7,2))</f>
        <v>540.12</v>
      </c>
      <c r="M189" s="23">
        <f>IF($N188&lt;=0,0,MIN($N188,IF(Übersicht!$C$13="Annuitätendarlehen",MAX(0,Übersicht!$Q$9-$L189),IF(Übersicht!$C$13="Ratendarlehen",Übersicht!$Q$10,IF($A189&gt;=Übersicht!$Q$11,$N188,0)))))</f>
        <v>859.88</v>
      </c>
      <c r="N189" s="23">
        <f t="shared" si="17"/>
        <v>179179.42</v>
      </c>
    </row>
    <row r="190" spans="1:14" ht="15" customHeight="1" x14ac:dyDescent="0.25">
      <c r="A190" s="5">
        <v>183</v>
      </c>
      <c r="B190" s="20">
        <f>IF($D190&lt;=0,"",EDATE(Übersicht!$C$18,($A190-1)*12/Übersicht!$Q$6))</f>
        <v>51591</v>
      </c>
      <c r="C190" s="5">
        <f t="shared" si="12"/>
        <v>2041</v>
      </c>
      <c r="D190" s="21">
        <f t="shared" si="16"/>
        <v>120252.08</v>
      </c>
      <c r="E190" s="7">
        <f t="shared" si="13"/>
        <v>1400</v>
      </c>
      <c r="F190" s="7">
        <f>IF($D190&lt;=0,0,ROUND($D190*Übersicht!$Q$7,2))</f>
        <v>360.76</v>
      </c>
      <c r="G190" s="7">
        <f>IF($D190&lt;=0,0,MIN($D190,IF(Übersicht!$C$13="Annuitätendarlehen",MAX(0,Übersicht!$Q$9-$F190),IF(Übersicht!$C$13="Ratendarlehen",Übersicht!$Q$10,IF($A190&gt;=Übersicht!$Q$11,$D190,0)))))</f>
        <v>1039.24</v>
      </c>
      <c r="H190" s="7">
        <f>IF($D190-$G190&lt;=0,0,IF(MOD($A190,Übersicht!$Q$6)=0,IF($A190/Übersicht!$Q$6&gt;=Übersicht!$C$21,MIN(Übersicht!$C$20,$D190-$G190),0),0))</f>
        <v>0</v>
      </c>
      <c r="I190" s="7">
        <f t="shared" si="14"/>
        <v>1400</v>
      </c>
      <c r="J190" s="22">
        <f t="shared" si="15"/>
        <v>119212.84</v>
      </c>
      <c r="K190" s="9" t="str">
        <f>IF($D190&lt;=0,"",IF($J190&lt;=0.005,"Volltilgung erreicht",IF($A190=Übersicht!$Q$13,"Ende der Zinsbindung",IF($H190&gt;0,"Sondertilgung",""))))</f>
        <v/>
      </c>
      <c r="L190" s="23">
        <f>IF($N189&lt;=0,0,ROUND($N189*Übersicht!$Q$7,2))</f>
        <v>537.54</v>
      </c>
      <c r="M190" s="23">
        <f>IF($N189&lt;=0,0,MIN($N189,IF(Übersicht!$C$13="Annuitätendarlehen",MAX(0,Übersicht!$Q$9-$L190),IF(Übersicht!$C$13="Ratendarlehen",Übersicht!$Q$10,IF($A190&gt;=Übersicht!$Q$11,$N189,0)))))</f>
        <v>862.46</v>
      </c>
      <c r="N190" s="23">
        <f t="shared" si="17"/>
        <v>178316.96</v>
      </c>
    </row>
    <row r="191" spans="1:14" ht="15" customHeight="1" x14ac:dyDescent="0.25">
      <c r="A191" s="10">
        <v>184</v>
      </c>
      <c r="B191" s="24">
        <f>IF($D191&lt;=0,"",EDATE(Übersicht!$C$18,($A191-1)*12/Übersicht!$Q$6))</f>
        <v>51621</v>
      </c>
      <c r="C191" s="10">
        <f t="shared" si="12"/>
        <v>2041</v>
      </c>
      <c r="D191" s="25">
        <f t="shared" si="16"/>
        <v>119212.84</v>
      </c>
      <c r="E191" s="12">
        <f t="shared" si="13"/>
        <v>1400</v>
      </c>
      <c r="F191" s="12">
        <f>IF($D191&lt;=0,0,ROUND($D191*Übersicht!$Q$7,2))</f>
        <v>357.64</v>
      </c>
      <c r="G191" s="12">
        <f>IF($D191&lt;=0,0,MIN($D191,IF(Übersicht!$C$13="Annuitätendarlehen",MAX(0,Übersicht!$Q$9-$F191),IF(Übersicht!$C$13="Ratendarlehen",Übersicht!$Q$10,IF($A191&gt;=Übersicht!$Q$11,$D191,0)))))</f>
        <v>1042.3600000000001</v>
      </c>
      <c r="H191" s="12">
        <f>IF($D191-$G191&lt;=0,0,IF(MOD($A191,Übersicht!$Q$6)=0,IF($A191/Übersicht!$Q$6&gt;=Übersicht!$C$21,MIN(Übersicht!$C$20,$D191-$G191),0),0))</f>
        <v>0</v>
      </c>
      <c r="I191" s="12">
        <f t="shared" si="14"/>
        <v>1400</v>
      </c>
      <c r="J191" s="26">
        <f t="shared" si="15"/>
        <v>118170.48</v>
      </c>
      <c r="K191" s="14" t="str">
        <f>IF($D191&lt;=0,"",IF($J191&lt;=0.005,"Volltilgung erreicht",IF($A191=Übersicht!$Q$13,"Ende der Zinsbindung",IF($H191&gt;0,"Sondertilgung",""))))</f>
        <v/>
      </c>
      <c r="L191" s="23">
        <f>IF($N190&lt;=0,0,ROUND($N190*Übersicht!$Q$7,2))</f>
        <v>534.95000000000005</v>
      </c>
      <c r="M191" s="23">
        <f>IF($N190&lt;=0,0,MIN($N190,IF(Übersicht!$C$13="Annuitätendarlehen",MAX(0,Übersicht!$Q$9-$L191),IF(Übersicht!$C$13="Ratendarlehen",Übersicht!$Q$10,IF($A191&gt;=Übersicht!$Q$11,$N190,0)))))</f>
        <v>865.05</v>
      </c>
      <c r="N191" s="23">
        <f t="shared" si="17"/>
        <v>177451.91</v>
      </c>
    </row>
    <row r="192" spans="1:14" ht="15" customHeight="1" x14ac:dyDescent="0.25">
      <c r="A192" s="5">
        <v>185</v>
      </c>
      <c r="B192" s="20">
        <f>IF($D192&lt;=0,"",EDATE(Übersicht!$C$18,($A192-1)*12/Übersicht!$Q$6))</f>
        <v>51652</v>
      </c>
      <c r="C192" s="5">
        <f t="shared" si="12"/>
        <v>2041</v>
      </c>
      <c r="D192" s="21">
        <f t="shared" si="16"/>
        <v>118170.48</v>
      </c>
      <c r="E192" s="7">
        <f t="shared" si="13"/>
        <v>1400</v>
      </c>
      <c r="F192" s="7">
        <f>IF($D192&lt;=0,0,ROUND($D192*Übersicht!$Q$7,2))</f>
        <v>354.51</v>
      </c>
      <c r="G192" s="7">
        <f>IF($D192&lt;=0,0,MIN($D192,IF(Übersicht!$C$13="Annuitätendarlehen",MAX(0,Übersicht!$Q$9-$F192),IF(Übersicht!$C$13="Ratendarlehen",Übersicht!$Q$10,IF($A192&gt;=Übersicht!$Q$11,$D192,0)))))</f>
        <v>1045.49</v>
      </c>
      <c r="H192" s="7">
        <f>IF($D192-$G192&lt;=0,0,IF(MOD($A192,Übersicht!$Q$6)=0,IF($A192/Übersicht!$Q$6&gt;=Übersicht!$C$21,MIN(Übersicht!$C$20,$D192-$G192),0),0))</f>
        <v>0</v>
      </c>
      <c r="I192" s="7">
        <f t="shared" si="14"/>
        <v>1400</v>
      </c>
      <c r="J192" s="22">
        <f t="shared" si="15"/>
        <v>117124.99</v>
      </c>
      <c r="K192" s="9" t="str">
        <f>IF($D192&lt;=0,"",IF($J192&lt;=0.005,"Volltilgung erreicht",IF($A192=Übersicht!$Q$13,"Ende der Zinsbindung",IF($H192&gt;0,"Sondertilgung",""))))</f>
        <v/>
      </c>
      <c r="L192" s="23">
        <f>IF($N191&lt;=0,0,ROUND($N191*Übersicht!$Q$7,2))</f>
        <v>532.36</v>
      </c>
      <c r="M192" s="23">
        <f>IF($N191&lt;=0,0,MIN($N191,IF(Übersicht!$C$13="Annuitätendarlehen",MAX(0,Übersicht!$Q$9-$L192),IF(Übersicht!$C$13="Ratendarlehen",Übersicht!$Q$10,IF($A192&gt;=Übersicht!$Q$11,$N191,0)))))</f>
        <v>867.64</v>
      </c>
      <c r="N192" s="23">
        <f t="shared" si="17"/>
        <v>176584.27</v>
      </c>
    </row>
    <row r="193" spans="1:14" ht="15" customHeight="1" x14ac:dyDescent="0.25">
      <c r="A193" s="10">
        <v>186</v>
      </c>
      <c r="B193" s="24">
        <f>IF($D193&lt;=0,"",EDATE(Übersicht!$C$18,($A193-1)*12/Übersicht!$Q$6))</f>
        <v>51682</v>
      </c>
      <c r="C193" s="10">
        <f t="shared" si="12"/>
        <v>2041</v>
      </c>
      <c r="D193" s="25">
        <f t="shared" si="16"/>
        <v>117124.99</v>
      </c>
      <c r="E193" s="12">
        <f t="shared" si="13"/>
        <v>1400</v>
      </c>
      <c r="F193" s="12">
        <f>IF($D193&lt;=0,0,ROUND($D193*Übersicht!$Q$7,2))</f>
        <v>351.37</v>
      </c>
      <c r="G193" s="12">
        <f>IF($D193&lt;=0,0,MIN($D193,IF(Übersicht!$C$13="Annuitätendarlehen",MAX(0,Übersicht!$Q$9-$F193),IF(Übersicht!$C$13="Ratendarlehen",Übersicht!$Q$10,IF($A193&gt;=Übersicht!$Q$11,$D193,0)))))</f>
        <v>1048.6300000000001</v>
      </c>
      <c r="H193" s="12">
        <f>IF($D193-$G193&lt;=0,0,IF(MOD($A193,Übersicht!$Q$6)=0,IF($A193/Übersicht!$Q$6&gt;=Übersicht!$C$21,MIN(Übersicht!$C$20,$D193-$G193),0),0))</f>
        <v>0</v>
      </c>
      <c r="I193" s="12">
        <f t="shared" si="14"/>
        <v>1400</v>
      </c>
      <c r="J193" s="26">
        <f t="shared" si="15"/>
        <v>116076.36</v>
      </c>
      <c r="K193" s="14" t="str">
        <f>IF($D193&lt;=0,"",IF($J193&lt;=0.005,"Volltilgung erreicht",IF($A193=Übersicht!$Q$13,"Ende der Zinsbindung",IF($H193&gt;0,"Sondertilgung",""))))</f>
        <v/>
      </c>
      <c r="L193" s="23">
        <f>IF($N192&lt;=0,0,ROUND($N192*Übersicht!$Q$7,2))</f>
        <v>529.75</v>
      </c>
      <c r="M193" s="23">
        <f>IF($N192&lt;=0,0,MIN($N192,IF(Übersicht!$C$13="Annuitätendarlehen",MAX(0,Übersicht!$Q$9-$L193),IF(Übersicht!$C$13="Ratendarlehen",Übersicht!$Q$10,IF($A193&gt;=Übersicht!$Q$11,$N192,0)))))</f>
        <v>870.25</v>
      </c>
      <c r="N193" s="23">
        <f t="shared" si="17"/>
        <v>175714.02</v>
      </c>
    </row>
    <row r="194" spans="1:14" ht="15" customHeight="1" x14ac:dyDescent="0.25">
      <c r="A194" s="5">
        <v>187</v>
      </c>
      <c r="B194" s="20">
        <f>IF($D194&lt;=0,"",EDATE(Übersicht!$C$18,($A194-1)*12/Übersicht!$Q$6))</f>
        <v>51713</v>
      </c>
      <c r="C194" s="5">
        <f t="shared" si="12"/>
        <v>2041</v>
      </c>
      <c r="D194" s="21">
        <f t="shared" si="16"/>
        <v>116076.36</v>
      </c>
      <c r="E194" s="7">
        <f t="shared" si="13"/>
        <v>1400</v>
      </c>
      <c r="F194" s="7">
        <f>IF($D194&lt;=0,0,ROUND($D194*Übersicht!$Q$7,2))</f>
        <v>348.23</v>
      </c>
      <c r="G194" s="7">
        <f>IF($D194&lt;=0,0,MIN($D194,IF(Übersicht!$C$13="Annuitätendarlehen",MAX(0,Übersicht!$Q$9-$F194),IF(Übersicht!$C$13="Ratendarlehen",Übersicht!$Q$10,IF($A194&gt;=Übersicht!$Q$11,$D194,0)))))</f>
        <v>1051.77</v>
      </c>
      <c r="H194" s="7">
        <f>IF($D194-$G194&lt;=0,0,IF(MOD($A194,Übersicht!$Q$6)=0,IF($A194/Übersicht!$Q$6&gt;=Übersicht!$C$21,MIN(Übersicht!$C$20,$D194-$G194),0),0))</f>
        <v>0</v>
      </c>
      <c r="I194" s="7">
        <f t="shared" si="14"/>
        <v>1400</v>
      </c>
      <c r="J194" s="22">
        <f t="shared" si="15"/>
        <v>115024.59</v>
      </c>
      <c r="K194" s="9" t="str">
        <f>IF($D194&lt;=0,"",IF($J194&lt;=0.005,"Volltilgung erreicht",IF($A194=Übersicht!$Q$13,"Ende der Zinsbindung",IF($H194&gt;0,"Sondertilgung",""))))</f>
        <v/>
      </c>
      <c r="L194" s="23">
        <f>IF($N193&lt;=0,0,ROUND($N193*Übersicht!$Q$7,2))</f>
        <v>527.14</v>
      </c>
      <c r="M194" s="23">
        <f>IF($N193&lt;=0,0,MIN($N193,IF(Übersicht!$C$13="Annuitätendarlehen",MAX(0,Übersicht!$Q$9-$L194),IF(Übersicht!$C$13="Ratendarlehen",Übersicht!$Q$10,IF($A194&gt;=Übersicht!$Q$11,$N193,0)))))</f>
        <v>872.86</v>
      </c>
      <c r="N194" s="23">
        <f t="shared" si="17"/>
        <v>174841.16</v>
      </c>
    </row>
    <row r="195" spans="1:14" ht="15" customHeight="1" x14ac:dyDescent="0.25">
      <c r="A195" s="10">
        <v>188</v>
      </c>
      <c r="B195" s="24">
        <f>IF($D195&lt;=0,"",EDATE(Übersicht!$C$18,($A195-1)*12/Übersicht!$Q$6))</f>
        <v>51744</v>
      </c>
      <c r="C195" s="10">
        <f t="shared" si="12"/>
        <v>2041</v>
      </c>
      <c r="D195" s="25">
        <f t="shared" si="16"/>
        <v>115024.59</v>
      </c>
      <c r="E195" s="12">
        <f t="shared" si="13"/>
        <v>1400</v>
      </c>
      <c r="F195" s="12">
        <f>IF($D195&lt;=0,0,ROUND($D195*Übersicht!$Q$7,2))</f>
        <v>345.07</v>
      </c>
      <c r="G195" s="12">
        <f>IF($D195&lt;=0,0,MIN($D195,IF(Übersicht!$C$13="Annuitätendarlehen",MAX(0,Übersicht!$Q$9-$F195),IF(Übersicht!$C$13="Ratendarlehen",Übersicht!$Q$10,IF($A195&gt;=Übersicht!$Q$11,$D195,0)))))</f>
        <v>1054.93</v>
      </c>
      <c r="H195" s="12">
        <f>IF($D195-$G195&lt;=0,0,IF(MOD($A195,Übersicht!$Q$6)=0,IF($A195/Übersicht!$Q$6&gt;=Übersicht!$C$21,MIN(Übersicht!$C$20,$D195-$G195),0),0))</f>
        <v>0</v>
      </c>
      <c r="I195" s="12">
        <f t="shared" si="14"/>
        <v>1400</v>
      </c>
      <c r="J195" s="26">
        <f t="shared" si="15"/>
        <v>113969.66</v>
      </c>
      <c r="K195" s="14" t="str">
        <f>IF($D195&lt;=0,"",IF($J195&lt;=0.005,"Volltilgung erreicht",IF($A195=Übersicht!$Q$13,"Ende der Zinsbindung",IF($H195&gt;0,"Sondertilgung",""))))</f>
        <v/>
      </c>
      <c r="L195" s="23">
        <f>IF($N194&lt;=0,0,ROUND($N194*Übersicht!$Q$7,2))</f>
        <v>524.52</v>
      </c>
      <c r="M195" s="23">
        <f>IF($N194&lt;=0,0,MIN($N194,IF(Übersicht!$C$13="Annuitätendarlehen",MAX(0,Übersicht!$Q$9-$L195),IF(Übersicht!$C$13="Ratendarlehen",Übersicht!$Q$10,IF($A195&gt;=Übersicht!$Q$11,$N194,0)))))</f>
        <v>875.48</v>
      </c>
      <c r="N195" s="23">
        <f t="shared" si="17"/>
        <v>173965.68</v>
      </c>
    </row>
    <row r="196" spans="1:14" ht="15" customHeight="1" x14ac:dyDescent="0.25">
      <c r="A196" s="5">
        <v>189</v>
      </c>
      <c r="B196" s="20">
        <f>IF($D196&lt;=0,"",EDATE(Übersicht!$C$18,($A196-1)*12/Übersicht!$Q$6))</f>
        <v>51774</v>
      </c>
      <c r="C196" s="5">
        <f t="shared" si="12"/>
        <v>2041</v>
      </c>
      <c r="D196" s="21">
        <f t="shared" si="16"/>
        <v>113969.66</v>
      </c>
      <c r="E196" s="7">
        <f t="shared" si="13"/>
        <v>1400</v>
      </c>
      <c r="F196" s="7">
        <f>IF($D196&lt;=0,0,ROUND($D196*Übersicht!$Q$7,2))</f>
        <v>341.91</v>
      </c>
      <c r="G196" s="7">
        <f>IF($D196&lt;=0,0,MIN($D196,IF(Übersicht!$C$13="Annuitätendarlehen",MAX(0,Übersicht!$Q$9-$F196),IF(Übersicht!$C$13="Ratendarlehen",Übersicht!$Q$10,IF($A196&gt;=Übersicht!$Q$11,$D196,0)))))</f>
        <v>1058.0899999999999</v>
      </c>
      <c r="H196" s="7">
        <f>IF($D196-$G196&lt;=0,0,IF(MOD($A196,Übersicht!$Q$6)=0,IF($A196/Übersicht!$Q$6&gt;=Übersicht!$C$21,MIN(Übersicht!$C$20,$D196-$G196),0),0))</f>
        <v>0</v>
      </c>
      <c r="I196" s="7">
        <f t="shared" si="14"/>
        <v>1400</v>
      </c>
      <c r="J196" s="22">
        <f t="shared" si="15"/>
        <v>112911.57</v>
      </c>
      <c r="K196" s="9" t="str">
        <f>IF($D196&lt;=0,"",IF($J196&lt;=0.005,"Volltilgung erreicht",IF($A196=Übersicht!$Q$13,"Ende der Zinsbindung",IF($H196&gt;0,"Sondertilgung",""))))</f>
        <v/>
      </c>
      <c r="L196" s="23">
        <f>IF($N195&lt;=0,0,ROUND($N195*Übersicht!$Q$7,2))</f>
        <v>521.9</v>
      </c>
      <c r="M196" s="23">
        <f>IF($N195&lt;=0,0,MIN($N195,IF(Übersicht!$C$13="Annuitätendarlehen",MAX(0,Übersicht!$Q$9-$L196),IF(Übersicht!$C$13="Ratendarlehen",Übersicht!$Q$10,IF($A196&gt;=Übersicht!$Q$11,$N195,0)))))</f>
        <v>878.1</v>
      </c>
      <c r="N196" s="23">
        <f t="shared" si="17"/>
        <v>173087.58</v>
      </c>
    </row>
    <row r="197" spans="1:14" ht="15" customHeight="1" x14ac:dyDescent="0.25">
      <c r="A197" s="10">
        <v>190</v>
      </c>
      <c r="B197" s="24">
        <f>IF($D197&lt;=0,"",EDATE(Übersicht!$C$18,($A197-1)*12/Übersicht!$Q$6))</f>
        <v>51805</v>
      </c>
      <c r="C197" s="10">
        <f t="shared" si="12"/>
        <v>2041</v>
      </c>
      <c r="D197" s="25">
        <f t="shared" si="16"/>
        <v>112911.57</v>
      </c>
      <c r="E197" s="12">
        <f t="shared" si="13"/>
        <v>1400</v>
      </c>
      <c r="F197" s="12">
        <f>IF($D197&lt;=0,0,ROUND($D197*Übersicht!$Q$7,2))</f>
        <v>338.73</v>
      </c>
      <c r="G197" s="12">
        <f>IF($D197&lt;=0,0,MIN($D197,IF(Übersicht!$C$13="Annuitätendarlehen",MAX(0,Übersicht!$Q$9-$F197),IF(Übersicht!$C$13="Ratendarlehen",Übersicht!$Q$10,IF($A197&gt;=Übersicht!$Q$11,$D197,0)))))</f>
        <v>1061.27</v>
      </c>
      <c r="H197" s="12">
        <f>IF($D197-$G197&lt;=0,0,IF(MOD($A197,Übersicht!$Q$6)=0,IF($A197/Übersicht!$Q$6&gt;=Übersicht!$C$21,MIN(Übersicht!$C$20,$D197-$G197),0),0))</f>
        <v>0</v>
      </c>
      <c r="I197" s="12">
        <f t="shared" si="14"/>
        <v>1400</v>
      </c>
      <c r="J197" s="26">
        <f t="shared" si="15"/>
        <v>111850.3</v>
      </c>
      <c r="K197" s="14" t="str">
        <f>IF($D197&lt;=0,"",IF($J197&lt;=0.005,"Volltilgung erreicht",IF($A197=Übersicht!$Q$13,"Ende der Zinsbindung",IF($H197&gt;0,"Sondertilgung",""))))</f>
        <v/>
      </c>
      <c r="L197" s="23">
        <f>IF($N196&lt;=0,0,ROUND($N196*Übersicht!$Q$7,2))</f>
        <v>519.26</v>
      </c>
      <c r="M197" s="23">
        <f>IF($N196&lt;=0,0,MIN($N196,IF(Übersicht!$C$13="Annuitätendarlehen",MAX(0,Übersicht!$Q$9-$L197),IF(Übersicht!$C$13="Ratendarlehen",Übersicht!$Q$10,IF($A197&gt;=Übersicht!$Q$11,$N196,0)))))</f>
        <v>880.74</v>
      </c>
      <c r="N197" s="23">
        <f t="shared" si="17"/>
        <v>172206.84</v>
      </c>
    </row>
    <row r="198" spans="1:14" ht="15" customHeight="1" x14ac:dyDescent="0.25">
      <c r="A198" s="5">
        <v>191</v>
      </c>
      <c r="B198" s="20">
        <f>IF($D198&lt;=0,"",EDATE(Übersicht!$C$18,($A198-1)*12/Übersicht!$Q$6))</f>
        <v>51835</v>
      </c>
      <c r="C198" s="5">
        <f t="shared" si="12"/>
        <v>2041</v>
      </c>
      <c r="D198" s="21">
        <f t="shared" si="16"/>
        <v>111850.3</v>
      </c>
      <c r="E198" s="7">
        <f t="shared" si="13"/>
        <v>1400</v>
      </c>
      <c r="F198" s="7">
        <f>IF($D198&lt;=0,0,ROUND($D198*Übersicht!$Q$7,2))</f>
        <v>335.55</v>
      </c>
      <c r="G198" s="7">
        <f>IF($D198&lt;=0,0,MIN($D198,IF(Übersicht!$C$13="Annuitätendarlehen",MAX(0,Übersicht!$Q$9-$F198),IF(Übersicht!$C$13="Ratendarlehen",Übersicht!$Q$10,IF($A198&gt;=Übersicht!$Q$11,$D198,0)))))</f>
        <v>1064.45</v>
      </c>
      <c r="H198" s="7">
        <f>IF($D198-$G198&lt;=0,0,IF(MOD($A198,Übersicht!$Q$6)=0,IF($A198/Übersicht!$Q$6&gt;=Übersicht!$C$21,MIN(Übersicht!$C$20,$D198-$G198),0),0))</f>
        <v>0</v>
      </c>
      <c r="I198" s="7">
        <f t="shared" si="14"/>
        <v>1400</v>
      </c>
      <c r="J198" s="22">
        <f t="shared" si="15"/>
        <v>110785.85</v>
      </c>
      <c r="K198" s="9" t="str">
        <f>IF($D198&lt;=0,"",IF($J198&lt;=0.005,"Volltilgung erreicht",IF($A198=Übersicht!$Q$13,"Ende der Zinsbindung",IF($H198&gt;0,"Sondertilgung",""))))</f>
        <v/>
      </c>
      <c r="L198" s="23">
        <f>IF($N197&lt;=0,0,ROUND($N197*Übersicht!$Q$7,2))</f>
        <v>516.62</v>
      </c>
      <c r="M198" s="23">
        <f>IF($N197&lt;=0,0,MIN($N197,IF(Übersicht!$C$13="Annuitätendarlehen",MAX(0,Übersicht!$Q$9-$L198),IF(Übersicht!$C$13="Ratendarlehen",Übersicht!$Q$10,IF($A198&gt;=Übersicht!$Q$11,$N197,0)))))</f>
        <v>883.38</v>
      </c>
      <c r="N198" s="23">
        <f t="shared" si="17"/>
        <v>171323.46</v>
      </c>
    </row>
    <row r="199" spans="1:14" ht="15" customHeight="1" x14ac:dyDescent="0.25">
      <c r="A199" s="10">
        <v>192</v>
      </c>
      <c r="B199" s="24">
        <f>IF($D199&lt;=0,"",EDATE(Übersicht!$C$18,($A199-1)*12/Übersicht!$Q$6))</f>
        <v>51866</v>
      </c>
      <c r="C199" s="10">
        <f t="shared" si="12"/>
        <v>2041</v>
      </c>
      <c r="D199" s="25">
        <f t="shared" si="16"/>
        <v>110785.85</v>
      </c>
      <c r="E199" s="12">
        <f t="shared" si="13"/>
        <v>1400</v>
      </c>
      <c r="F199" s="12">
        <f>IF($D199&lt;=0,0,ROUND($D199*Übersicht!$Q$7,2))</f>
        <v>332.36</v>
      </c>
      <c r="G199" s="12">
        <f>IF($D199&lt;=0,0,MIN($D199,IF(Übersicht!$C$13="Annuitätendarlehen",MAX(0,Übersicht!$Q$9-$F199),IF(Übersicht!$C$13="Ratendarlehen",Übersicht!$Q$10,IF($A199&gt;=Übersicht!$Q$11,$D199,0)))))</f>
        <v>1067.6399999999999</v>
      </c>
      <c r="H199" s="12">
        <f>IF($D199-$G199&lt;=0,0,IF(MOD($A199,Übersicht!$Q$6)=0,IF($A199/Übersicht!$Q$6&gt;=Übersicht!$C$21,MIN(Übersicht!$C$20,$D199-$G199),0),0))</f>
        <v>3000</v>
      </c>
      <c r="I199" s="12">
        <f t="shared" si="14"/>
        <v>4400</v>
      </c>
      <c r="J199" s="26">
        <f t="shared" si="15"/>
        <v>106718.21</v>
      </c>
      <c r="K199" s="14" t="str">
        <f>IF($D199&lt;=0,"",IF($J199&lt;=0.005,"Volltilgung erreicht",IF($A199=Übersicht!$Q$13,"Ende der Zinsbindung",IF($H199&gt;0,"Sondertilgung",""))))</f>
        <v>Sondertilgung</v>
      </c>
      <c r="L199" s="23">
        <f>IF($N198&lt;=0,0,ROUND($N198*Übersicht!$Q$7,2))</f>
        <v>513.97</v>
      </c>
      <c r="M199" s="23">
        <f>IF($N198&lt;=0,0,MIN($N198,IF(Übersicht!$C$13="Annuitätendarlehen",MAX(0,Übersicht!$Q$9-$L199),IF(Übersicht!$C$13="Ratendarlehen",Übersicht!$Q$10,IF($A199&gt;=Übersicht!$Q$11,$N198,0)))))</f>
        <v>886.03</v>
      </c>
      <c r="N199" s="23">
        <f t="shared" si="17"/>
        <v>170437.43</v>
      </c>
    </row>
    <row r="200" spans="1:14" ht="15" customHeight="1" x14ac:dyDescent="0.25">
      <c r="A200" s="5">
        <v>193</v>
      </c>
      <c r="B200" s="20">
        <f>IF($D200&lt;=0,"",EDATE(Übersicht!$C$18,($A200-1)*12/Übersicht!$Q$6))</f>
        <v>51897</v>
      </c>
      <c r="C200" s="5">
        <f t="shared" ref="C200:C263" si="18">IF($B200="","",YEAR($B200))</f>
        <v>2042</v>
      </c>
      <c r="D200" s="21">
        <f t="shared" si="16"/>
        <v>106718.21</v>
      </c>
      <c r="E200" s="7">
        <f t="shared" ref="E200:E263" si="19">IF($D200&lt;=0,0,$F200+$G200)</f>
        <v>1400</v>
      </c>
      <c r="F200" s="7">
        <f>IF($D200&lt;=0,0,ROUND($D200*Übersicht!$Q$7,2))</f>
        <v>320.14999999999998</v>
      </c>
      <c r="G200" s="7">
        <f>IF($D200&lt;=0,0,MIN($D200,IF(Übersicht!$C$13="Annuitätendarlehen",MAX(0,Übersicht!$Q$9-$F200),IF(Übersicht!$C$13="Ratendarlehen",Übersicht!$Q$10,IF($A200&gt;=Übersicht!$Q$11,$D200,0)))))</f>
        <v>1079.8499999999999</v>
      </c>
      <c r="H200" s="7">
        <f>IF($D200-$G200&lt;=0,0,IF(MOD($A200,Übersicht!$Q$6)=0,IF($A200/Übersicht!$Q$6&gt;=Übersicht!$C$21,MIN(Übersicht!$C$20,$D200-$G200),0),0))</f>
        <v>0</v>
      </c>
      <c r="I200" s="7">
        <f t="shared" ref="I200:I263" si="20">IF($D200&lt;=0,0,$E200+$H200)</f>
        <v>1400</v>
      </c>
      <c r="J200" s="22">
        <f t="shared" ref="J200:J263" si="21">IF($D200&lt;=0,0,ROUND($D200-$G200-$H200,2))</f>
        <v>105638.36</v>
      </c>
      <c r="K200" s="9" t="str">
        <f>IF($D200&lt;=0,"",IF($J200&lt;=0.005,"Volltilgung erreicht",IF($A200=Übersicht!$Q$13,"Ende der Zinsbindung",IF($H200&gt;0,"Sondertilgung",""))))</f>
        <v/>
      </c>
      <c r="L200" s="23">
        <f>IF($N199&lt;=0,0,ROUND($N199*Übersicht!$Q$7,2))</f>
        <v>511.31</v>
      </c>
      <c r="M200" s="23">
        <f>IF($N199&lt;=0,0,MIN($N199,IF(Übersicht!$C$13="Annuitätendarlehen",MAX(0,Übersicht!$Q$9-$L200),IF(Übersicht!$C$13="Ratendarlehen",Übersicht!$Q$10,IF($A200&gt;=Übersicht!$Q$11,$N199,0)))))</f>
        <v>888.69</v>
      </c>
      <c r="N200" s="23">
        <f t="shared" si="17"/>
        <v>169548.74</v>
      </c>
    </row>
    <row r="201" spans="1:14" ht="15" customHeight="1" x14ac:dyDescent="0.25">
      <c r="A201" s="10">
        <v>194</v>
      </c>
      <c r="B201" s="24">
        <f>IF($D201&lt;=0,"",EDATE(Übersicht!$C$18,($A201-1)*12/Übersicht!$Q$6))</f>
        <v>51925</v>
      </c>
      <c r="C201" s="10">
        <f t="shared" si="18"/>
        <v>2042</v>
      </c>
      <c r="D201" s="25">
        <f t="shared" ref="D201:D264" si="22">$J200</f>
        <v>105638.36</v>
      </c>
      <c r="E201" s="12">
        <f t="shared" si="19"/>
        <v>1400</v>
      </c>
      <c r="F201" s="12">
        <f>IF($D201&lt;=0,0,ROUND($D201*Übersicht!$Q$7,2))</f>
        <v>316.92</v>
      </c>
      <c r="G201" s="12">
        <f>IF($D201&lt;=0,0,MIN($D201,IF(Übersicht!$C$13="Annuitätendarlehen",MAX(0,Übersicht!$Q$9-$F201),IF(Übersicht!$C$13="Ratendarlehen",Übersicht!$Q$10,IF($A201&gt;=Übersicht!$Q$11,$D201,0)))))</f>
        <v>1083.08</v>
      </c>
      <c r="H201" s="12">
        <f>IF($D201-$G201&lt;=0,0,IF(MOD($A201,Übersicht!$Q$6)=0,IF($A201/Übersicht!$Q$6&gt;=Übersicht!$C$21,MIN(Übersicht!$C$20,$D201-$G201),0),0))</f>
        <v>0</v>
      </c>
      <c r="I201" s="12">
        <f t="shared" si="20"/>
        <v>1400</v>
      </c>
      <c r="J201" s="26">
        <f t="shared" si="21"/>
        <v>104555.28</v>
      </c>
      <c r="K201" s="14" t="str">
        <f>IF($D201&lt;=0,"",IF($J201&lt;=0.005,"Volltilgung erreicht",IF($A201=Übersicht!$Q$13,"Ende der Zinsbindung",IF($H201&gt;0,"Sondertilgung",""))))</f>
        <v/>
      </c>
      <c r="L201" s="23">
        <f>IF($N200&lt;=0,0,ROUND($N200*Übersicht!$Q$7,2))</f>
        <v>508.65</v>
      </c>
      <c r="M201" s="23">
        <f>IF($N200&lt;=0,0,MIN($N200,IF(Übersicht!$C$13="Annuitätendarlehen",MAX(0,Übersicht!$Q$9-$L201),IF(Übersicht!$C$13="Ratendarlehen",Übersicht!$Q$10,IF($A201&gt;=Übersicht!$Q$11,$N200,0)))))</f>
        <v>891.35</v>
      </c>
      <c r="N201" s="23">
        <f t="shared" ref="N201:N264" si="23">IF($N200&lt;=0,0,ROUND($N200-$M201,2))</f>
        <v>168657.39</v>
      </c>
    </row>
    <row r="202" spans="1:14" ht="15" customHeight="1" x14ac:dyDescent="0.25">
      <c r="A202" s="5">
        <v>195</v>
      </c>
      <c r="B202" s="20">
        <f>IF($D202&lt;=0,"",EDATE(Übersicht!$C$18,($A202-1)*12/Übersicht!$Q$6))</f>
        <v>51956</v>
      </c>
      <c r="C202" s="5">
        <f t="shared" si="18"/>
        <v>2042</v>
      </c>
      <c r="D202" s="21">
        <f t="shared" si="22"/>
        <v>104555.28</v>
      </c>
      <c r="E202" s="7">
        <f t="shared" si="19"/>
        <v>1400</v>
      </c>
      <c r="F202" s="7">
        <f>IF($D202&lt;=0,0,ROUND($D202*Übersicht!$Q$7,2))</f>
        <v>313.67</v>
      </c>
      <c r="G202" s="7">
        <f>IF($D202&lt;=0,0,MIN($D202,IF(Übersicht!$C$13="Annuitätendarlehen",MAX(0,Übersicht!$Q$9-$F202),IF(Übersicht!$C$13="Ratendarlehen",Übersicht!$Q$10,IF($A202&gt;=Übersicht!$Q$11,$D202,0)))))</f>
        <v>1086.33</v>
      </c>
      <c r="H202" s="7">
        <f>IF($D202-$G202&lt;=0,0,IF(MOD($A202,Übersicht!$Q$6)=0,IF($A202/Übersicht!$Q$6&gt;=Übersicht!$C$21,MIN(Übersicht!$C$20,$D202-$G202),0),0))</f>
        <v>0</v>
      </c>
      <c r="I202" s="7">
        <f t="shared" si="20"/>
        <v>1400</v>
      </c>
      <c r="J202" s="22">
        <f t="shared" si="21"/>
        <v>103468.95</v>
      </c>
      <c r="K202" s="9" t="str">
        <f>IF($D202&lt;=0,"",IF($J202&lt;=0.005,"Volltilgung erreicht",IF($A202=Übersicht!$Q$13,"Ende der Zinsbindung",IF($H202&gt;0,"Sondertilgung",""))))</f>
        <v/>
      </c>
      <c r="L202" s="23">
        <f>IF($N201&lt;=0,0,ROUND($N201*Übersicht!$Q$7,2))</f>
        <v>505.97</v>
      </c>
      <c r="M202" s="23">
        <f>IF($N201&lt;=0,0,MIN($N201,IF(Übersicht!$C$13="Annuitätendarlehen",MAX(0,Übersicht!$Q$9-$L202),IF(Übersicht!$C$13="Ratendarlehen",Übersicht!$Q$10,IF($A202&gt;=Übersicht!$Q$11,$N201,0)))))</f>
        <v>894.03</v>
      </c>
      <c r="N202" s="23">
        <f t="shared" si="23"/>
        <v>167763.35999999999</v>
      </c>
    </row>
    <row r="203" spans="1:14" ht="15" customHeight="1" x14ac:dyDescent="0.25">
      <c r="A203" s="10">
        <v>196</v>
      </c>
      <c r="B203" s="24">
        <f>IF($D203&lt;=0,"",EDATE(Übersicht!$C$18,($A203-1)*12/Übersicht!$Q$6))</f>
        <v>51986</v>
      </c>
      <c r="C203" s="10">
        <f t="shared" si="18"/>
        <v>2042</v>
      </c>
      <c r="D203" s="25">
        <f t="shared" si="22"/>
        <v>103468.95</v>
      </c>
      <c r="E203" s="12">
        <f t="shared" si="19"/>
        <v>1400</v>
      </c>
      <c r="F203" s="12">
        <f>IF($D203&lt;=0,0,ROUND($D203*Übersicht!$Q$7,2))</f>
        <v>310.41000000000003</v>
      </c>
      <c r="G203" s="12">
        <f>IF($D203&lt;=0,0,MIN($D203,IF(Übersicht!$C$13="Annuitätendarlehen",MAX(0,Übersicht!$Q$9-$F203),IF(Übersicht!$C$13="Ratendarlehen",Übersicht!$Q$10,IF($A203&gt;=Übersicht!$Q$11,$D203,0)))))</f>
        <v>1089.5899999999999</v>
      </c>
      <c r="H203" s="12">
        <f>IF($D203-$G203&lt;=0,0,IF(MOD($A203,Übersicht!$Q$6)=0,IF($A203/Übersicht!$Q$6&gt;=Übersicht!$C$21,MIN(Übersicht!$C$20,$D203-$G203),0),0))</f>
        <v>0</v>
      </c>
      <c r="I203" s="12">
        <f t="shared" si="20"/>
        <v>1400</v>
      </c>
      <c r="J203" s="26">
        <f t="shared" si="21"/>
        <v>102379.36</v>
      </c>
      <c r="K203" s="14" t="str">
        <f>IF($D203&lt;=0,"",IF($J203&lt;=0.005,"Volltilgung erreicht",IF($A203=Übersicht!$Q$13,"Ende der Zinsbindung",IF($H203&gt;0,"Sondertilgung",""))))</f>
        <v/>
      </c>
      <c r="L203" s="23">
        <f>IF($N202&lt;=0,0,ROUND($N202*Übersicht!$Q$7,2))</f>
        <v>503.29</v>
      </c>
      <c r="M203" s="23">
        <f>IF($N202&lt;=0,0,MIN($N202,IF(Übersicht!$C$13="Annuitätendarlehen",MAX(0,Übersicht!$Q$9-$L203),IF(Übersicht!$C$13="Ratendarlehen",Übersicht!$Q$10,IF($A203&gt;=Übersicht!$Q$11,$N202,0)))))</f>
        <v>896.71</v>
      </c>
      <c r="N203" s="23">
        <f t="shared" si="23"/>
        <v>166866.65</v>
      </c>
    </row>
    <row r="204" spans="1:14" ht="15" customHeight="1" x14ac:dyDescent="0.25">
      <c r="A204" s="5">
        <v>197</v>
      </c>
      <c r="B204" s="20">
        <f>IF($D204&lt;=0,"",EDATE(Übersicht!$C$18,($A204-1)*12/Übersicht!$Q$6))</f>
        <v>52017</v>
      </c>
      <c r="C204" s="5">
        <f t="shared" si="18"/>
        <v>2042</v>
      </c>
      <c r="D204" s="21">
        <f t="shared" si="22"/>
        <v>102379.36</v>
      </c>
      <c r="E204" s="7">
        <f t="shared" si="19"/>
        <v>1400</v>
      </c>
      <c r="F204" s="7">
        <f>IF($D204&lt;=0,0,ROUND($D204*Übersicht!$Q$7,2))</f>
        <v>307.14</v>
      </c>
      <c r="G204" s="7">
        <f>IF($D204&lt;=0,0,MIN($D204,IF(Übersicht!$C$13="Annuitätendarlehen",MAX(0,Übersicht!$Q$9-$F204),IF(Übersicht!$C$13="Ratendarlehen",Übersicht!$Q$10,IF($A204&gt;=Übersicht!$Q$11,$D204,0)))))</f>
        <v>1092.8600000000001</v>
      </c>
      <c r="H204" s="7">
        <f>IF($D204-$G204&lt;=0,0,IF(MOD($A204,Übersicht!$Q$6)=0,IF($A204/Übersicht!$Q$6&gt;=Übersicht!$C$21,MIN(Übersicht!$C$20,$D204-$G204),0),0))</f>
        <v>0</v>
      </c>
      <c r="I204" s="7">
        <f t="shared" si="20"/>
        <v>1400</v>
      </c>
      <c r="J204" s="22">
        <f t="shared" si="21"/>
        <v>101286.5</v>
      </c>
      <c r="K204" s="9" t="str">
        <f>IF($D204&lt;=0,"",IF($J204&lt;=0.005,"Volltilgung erreicht",IF($A204=Übersicht!$Q$13,"Ende der Zinsbindung",IF($H204&gt;0,"Sondertilgung",""))))</f>
        <v/>
      </c>
      <c r="L204" s="23">
        <f>IF($N203&lt;=0,0,ROUND($N203*Übersicht!$Q$7,2))</f>
        <v>500.6</v>
      </c>
      <c r="M204" s="23">
        <f>IF($N203&lt;=0,0,MIN($N203,IF(Übersicht!$C$13="Annuitätendarlehen",MAX(0,Übersicht!$Q$9-$L204),IF(Übersicht!$C$13="Ratendarlehen",Übersicht!$Q$10,IF($A204&gt;=Übersicht!$Q$11,$N203,0)))))</f>
        <v>899.4</v>
      </c>
      <c r="N204" s="23">
        <f t="shared" si="23"/>
        <v>165967.25</v>
      </c>
    </row>
    <row r="205" spans="1:14" ht="15" customHeight="1" x14ac:dyDescent="0.25">
      <c r="A205" s="10">
        <v>198</v>
      </c>
      <c r="B205" s="24">
        <f>IF($D205&lt;=0,"",EDATE(Übersicht!$C$18,($A205-1)*12/Übersicht!$Q$6))</f>
        <v>52047</v>
      </c>
      <c r="C205" s="10">
        <f t="shared" si="18"/>
        <v>2042</v>
      </c>
      <c r="D205" s="25">
        <f t="shared" si="22"/>
        <v>101286.5</v>
      </c>
      <c r="E205" s="12">
        <f t="shared" si="19"/>
        <v>1400</v>
      </c>
      <c r="F205" s="12">
        <f>IF($D205&lt;=0,0,ROUND($D205*Übersicht!$Q$7,2))</f>
        <v>303.86</v>
      </c>
      <c r="G205" s="12">
        <f>IF($D205&lt;=0,0,MIN($D205,IF(Übersicht!$C$13="Annuitätendarlehen",MAX(0,Übersicht!$Q$9-$F205),IF(Übersicht!$C$13="Ratendarlehen",Übersicht!$Q$10,IF($A205&gt;=Übersicht!$Q$11,$D205,0)))))</f>
        <v>1096.1399999999999</v>
      </c>
      <c r="H205" s="12">
        <f>IF($D205-$G205&lt;=0,0,IF(MOD($A205,Übersicht!$Q$6)=0,IF($A205/Übersicht!$Q$6&gt;=Übersicht!$C$21,MIN(Übersicht!$C$20,$D205-$G205),0),0))</f>
        <v>0</v>
      </c>
      <c r="I205" s="12">
        <f t="shared" si="20"/>
        <v>1400</v>
      </c>
      <c r="J205" s="26">
        <f t="shared" si="21"/>
        <v>100190.36</v>
      </c>
      <c r="K205" s="14" t="str">
        <f>IF($D205&lt;=0,"",IF($J205&lt;=0.005,"Volltilgung erreicht",IF($A205=Übersicht!$Q$13,"Ende der Zinsbindung",IF($H205&gt;0,"Sondertilgung",""))))</f>
        <v/>
      </c>
      <c r="L205" s="23">
        <f>IF($N204&lt;=0,0,ROUND($N204*Übersicht!$Q$7,2))</f>
        <v>497.9</v>
      </c>
      <c r="M205" s="23">
        <f>IF($N204&lt;=0,0,MIN($N204,IF(Übersicht!$C$13="Annuitätendarlehen",MAX(0,Übersicht!$Q$9-$L205),IF(Übersicht!$C$13="Ratendarlehen",Übersicht!$Q$10,IF($A205&gt;=Übersicht!$Q$11,$N204,0)))))</f>
        <v>902.1</v>
      </c>
      <c r="N205" s="23">
        <f t="shared" si="23"/>
        <v>165065.15</v>
      </c>
    </row>
    <row r="206" spans="1:14" ht="15" customHeight="1" x14ac:dyDescent="0.25">
      <c r="A206" s="5">
        <v>199</v>
      </c>
      <c r="B206" s="20">
        <f>IF($D206&lt;=0,"",EDATE(Übersicht!$C$18,($A206-1)*12/Übersicht!$Q$6))</f>
        <v>52078</v>
      </c>
      <c r="C206" s="5">
        <f t="shared" si="18"/>
        <v>2042</v>
      </c>
      <c r="D206" s="21">
        <f t="shared" si="22"/>
        <v>100190.36</v>
      </c>
      <c r="E206" s="7">
        <f t="shared" si="19"/>
        <v>1400</v>
      </c>
      <c r="F206" s="7">
        <f>IF($D206&lt;=0,0,ROUND($D206*Übersicht!$Q$7,2))</f>
        <v>300.57</v>
      </c>
      <c r="G206" s="7">
        <f>IF($D206&lt;=0,0,MIN($D206,IF(Übersicht!$C$13="Annuitätendarlehen",MAX(0,Übersicht!$Q$9-$F206),IF(Übersicht!$C$13="Ratendarlehen",Übersicht!$Q$10,IF($A206&gt;=Übersicht!$Q$11,$D206,0)))))</f>
        <v>1099.43</v>
      </c>
      <c r="H206" s="7">
        <f>IF($D206-$G206&lt;=0,0,IF(MOD($A206,Übersicht!$Q$6)=0,IF($A206/Übersicht!$Q$6&gt;=Übersicht!$C$21,MIN(Übersicht!$C$20,$D206-$G206),0),0))</f>
        <v>0</v>
      </c>
      <c r="I206" s="7">
        <f t="shared" si="20"/>
        <v>1400</v>
      </c>
      <c r="J206" s="22">
        <f t="shared" si="21"/>
        <v>99090.93</v>
      </c>
      <c r="K206" s="9" t="str">
        <f>IF($D206&lt;=0,"",IF($J206&lt;=0.005,"Volltilgung erreicht",IF($A206=Übersicht!$Q$13,"Ende der Zinsbindung",IF($H206&gt;0,"Sondertilgung",""))))</f>
        <v/>
      </c>
      <c r="L206" s="23">
        <f>IF($N205&lt;=0,0,ROUND($N205*Übersicht!$Q$7,2))</f>
        <v>495.2</v>
      </c>
      <c r="M206" s="23">
        <f>IF($N205&lt;=0,0,MIN($N205,IF(Übersicht!$C$13="Annuitätendarlehen",MAX(0,Übersicht!$Q$9-$L206),IF(Übersicht!$C$13="Ratendarlehen",Übersicht!$Q$10,IF($A206&gt;=Übersicht!$Q$11,$N205,0)))))</f>
        <v>904.8</v>
      </c>
      <c r="N206" s="23">
        <f t="shared" si="23"/>
        <v>164160.35</v>
      </c>
    </row>
    <row r="207" spans="1:14" ht="15" customHeight="1" x14ac:dyDescent="0.25">
      <c r="A207" s="10">
        <v>200</v>
      </c>
      <c r="B207" s="24">
        <f>IF($D207&lt;=0,"",EDATE(Übersicht!$C$18,($A207-1)*12/Übersicht!$Q$6))</f>
        <v>52109</v>
      </c>
      <c r="C207" s="10">
        <f t="shared" si="18"/>
        <v>2042</v>
      </c>
      <c r="D207" s="25">
        <f t="shared" si="22"/>
        <v>99090.93</v>
      </c>
      <c r="E207" s="12">
        <f t="shared" si="19"/>
        <v>1400</v>
      </c>
      <c r="F207" s="12">
        <f>IF($D207&lt;=0,0,ROUND($D207*Übersicht!$Q$7,2))</f>
        <v>297.27</v>
      </c>
      <c r="G207" s="12">
        <f>IF($D207&lt;=0,0,MIN($D207,IF(Übersicht!$C$13="Annuitätendarlehen",MAX(0,Übersicht!$Q$9-$F207),IF(Übersicht!$C$13="Ratendarlehen",Übersicht!$Q$10,IF($A207&gt;=Übersicht!$Q$11,$D207,0)))))</f>
        <v>1102.73</v>
      </c>
      <c r="H207" s="12">
        <f>IF($D207-$G207&lt;=0,0,IF(MOD($A207,Übersicht!$Q$6)=0,IF($A207/Übersicht!$Q$6&gt;=Übersicht!$C$21,MIN(Übersicht!$C$20,$D207-$G207),0),0))</f>
        <v>0</v>
      </c>
      <c r="I207" s="12">
        <f t="shared" si="20"/>
        <v>1400</v>
      </c>
      <c r="J207" s="26">
        <f t="shared" si="21"/>
        <v>97988.2</v>
      </c>
      <c r="K207" s="14" t="str">
        <f>IF($D207&lt;=0,"",IF($J207&lt;=0.005,"Volltilgung erreicht",IF($A207=Übersicht!$Q$13,"Ende der Zinsbindung",IF($H207&gt;0,"Sondertilgung",""))))</f>
        <v/>
      </c>
      <c r="L207" s="23">
        <f>IF($N206&lt;=0,0,ROUND($N206*Übersicht!$Q$7,2))</f>
        <v>492.48</v>
      </c>
      <c r="M207" s="23">
        <f>IF($N206&lt;=0,0,MIN($N206,IF(Übersicht!$C$13="Annuitätendarlehen",MAX(0,Übersicht!$Q$9-$L207),IF(Übersicht!$C$13="Ratendarlehen",Übersicht!$Q$10,IF($A207&gt;=Übersicht!$Q$11,$N206,0)))))</f>
        <v>907.52</v>
      </c>
      <c r="N207" s="23">
        <f t="shared" si="23"/>
        <v>163252.82999999999</v>
      </c>
    </row>
    <row r="208" spans="1:14" ht="15" customHeight="1" x14ac:dyDescent="0.25">
      <c r="A208" s="5">
        <v>201</v>
      </c>
      <c r="B208" s="20">
        <f>IF($D208&lt;=0,"",EDATE(Übersicht!$C$18,($A208-1)*12/Übersicht!$Q$6))</f>
        <v>52139</v>
      </c>
      <c r="C208" s="5">
        <f t="shared" si="18"/>
        <v>2042</v>
      </c>
      <c r="D208" s="21">
        <f t="shared" si="22"/>
        <v>97988.2</v>
      </c>
      <c r="E208" s="7">
        <f t="shared" si="19"/>
        <v>1400</v>
      </c>
      <c r="F208" s="7">
        <f>IF($D208&lt;=0,0,ROUND($D208*Übersicht!$Q$7,2))</f>
        <v>293.95999999999998</v>
      </c>
      <c r="G208" s="7">
        <f>IF($D208&lt;=0,0,MIN($D208,IF(Übersicht!$C$13="Annuitätendarlehen",MAX(0,Übersicht!$Q$9-$F208),IF(Übersicht!$C$13="Ratendarlehen",Übersicht!$Q$10,IF($A208&gt;=Übersicht!$Q$11,$D208,0)))))</f>
        <v>1106.04</v>
      </c>
      <c r="H208" s="7">
        <f>IF($D208-$G208&lt;=0,0,IF(MOD($A208,Übersicht!$Q$6)=0,IF($A208/Übersicht!$Q$6&gt;=Übersicht!$C$21,MIN(Übersicht!$C$20,$D208-$G208),0),0))</f>
        <v>0</v>
      </c>
      <c r="I208" s="7">
        <f t="shared" si="20"/>
        <v>1400</v>
      </c>
      <c r="J208" s="22">
        <f t="shared" si="21"/>
        <v>96882.16</v>
      </c>
      <c r="K208" s="9" t="str">
        <f>IF($D208&lt;=0,"",IF($J208&lt;=0.005,"Volltilgung erreicht",IF($A208=Übersicht!$Q$13,"Ende der Zinsbindung",IF($H208&gt;0,"Sondertilgung",""))))</f>
        <v/>
      </c>
      <c r="L208" s="23">
        <f>IF($N207&lt;=0,0,ROUND($N207*Übersicht!$Q$7,2))</f>
        <v>489.76</v>
      </c>
      <c r="M208" s="23">
        <f>IF($N207&lt;=0,0,MIN($N207,IF(Übersicht!$C$13="Annuitätendarlehen",MAX(0,Übersicht!$Q$9-$L208),IF(Übersicht!$C$13="Ratendarlehen",Übersicht!$Q$10,IF($A208&gt;=Übersicht!$Q$11,$N207,0)))))</f>
        <v>910.24</v>
      </c>
      <c r="N208" s="23">
        <f t="shared" si="23"/>
        <v>162342.59</v>
      </c>
    </row>
    <row r="209" spans="1:14" ht="15" customHeight="1" x14ac:dyDescent="0.25">
      <c r="A209" s="10">
        <v>202</v>
      </c>
      <c r="B209" s="24">
        <f>IF($D209&lt;=0,"",EDATE(Übersicht!$C$18,($A209-1)*12/Übersicht!$Q$6))</f>
        <v>52170</v>
      </c>
      <c r="C209" s="10">
        <f t="shared" si="18"/>
        <v>2042</v>
      </c>
      <c r="D209" s="25">
        <f t="shared" si="22"/>
        <v>96882.16</v>
      </c>
      <c r="E209" s="12">
        <f t="shared" si="19"/>
        <v>1400</v>
      </c>
      <c r="F209" s="12">
        <f>IF($D209&lt;=0,0,ROUND($D209*Übersicht!$Q$7,2))</f>
        <v>290.64999999999998</v>
      </c>
      <c r="G209" s="12">
        <f>IF($D209&lt;=0,0,MIN($D209,IF(Übersicht!$C$13="Annuitätendarlehen",MAX(0,Übersicht!$Q$9-$F209),IF(Übersicht!$C$13="Ratendarlehen",Übersicht!$Q$10,IF($A209&gt;=Übersicht!$Q$11,$D209,0)))))</f>
        <v>1109.3499999999999</v>
      </c>
      <c r="H209" s="12">
        <f>IF($D209-$G209&lt;=0,0,IF(MOD($A209,Übersicht!$Q$6)=0,IF($A209/Übersicht!$Q$6&gt;=Übersicht!$C$21,MIN(Übersicht!$C$20,$D209-$G209),0),0))</f>
        <v>0</v>
      </c>
      <c r="I209" s="12">
        <f t="shared" si="20"/>
        <v>1400</v>
      </c>
      <c r="J209" s="26">
        <f t="shared" si="21"/>
        <v>95772.81</v>
      </c>
      <c r="K209" s="14" t="str">
        <f>IF($D209&lt;=0,"",IF($J209&lt;=0.005,"Volltilgung erreicht",IF($A209=Übersicht!$Q$13,"Ende der Zinsbindung",IF($H209&gt;0,"Sondertilgung",""))))</f>
        <v/>
      </c>
      <c r="L209" s="23">
        <f>IF($N208&lt;=0,0,ROUND($N208*Übersicht!$Q$7,2))</f>
        <v>487.03</v>
      </c>
      <c r="M209" s="23">
        <f>IF($N208&lt;=0,0,MIN($N208,IF(Übersicht!$C$13="Annuitätendarlehen",MAX(0,Übersicht!$Q$9-$L209),IF(Übersicht!$C$13="Ratendarlehen",Übersicht!$Q$10,IF($A209&gt;=Übersicht!$Q$11,$N208,0)))))</f>
        <v>912.97</v>
      </c>
      <c r="N209" s="23">
        <f t="shared" si="23"/>
        <v>161429.62</v>
      </c>
    </row>
    <row r="210" spans="1:14" ht="15" customHeight="1" x14ac:dyDescent="0.25">
      <c r="A210" s="5">
        <v>203</v>
      </c>
      <c r="B210" s="20">
        <f>IF($D210&lt;=0,"",EDATE(Übersicht!$C$18,($A210-1)*12/Übersicht!$Q$6))</f>
        <v>52200</v>
      </c>
      <c r="C210" s="5">
        <f t="shared" si="18"/>
        <v>2042</v>
      </c>
      <c r="D210" s="21">
        <f t="shared" si="22"/>
        <v>95772.81</v>
      </c>
      <c r="E210" s="7">
        <f t="shared" si="19"/>
        <v>1400</v>
      </c>
      <c r="F210" s="7">
        <f>IF($D210&lt;=0,0,ROUND($D210*Übersicht!$Q$7,2))</f>
        <v>287.32</v>
      </c>
      <c r="G210" s="7">
        <f>IF($D210&lt;=0,0,MIN($D210,IF(Übersicht!$C$13="Annuitätendarlehen",MAX(0,Übersicht!$Q$9-$F210),IF(Übersicht!$C$13="Ratendarlehen",Übersicht!$Q$10,IF($A210&gt;=Übersicht!$Q$11,$D210,0)))))</f>
        <v>1112.68</v>
      </c>
      <c r="H210" s="7">
        <f>IF($D210-$G210&lt;=0,0,IF(MOD($A210,Übersicht!$Q$6)=0,IF($A210/Übersicht!$Q$6&gt;=Übersicht!$C$21,MIN(Übersicht!$C$20,$D210-$G210),0),0))</f>
        <v>0</v>
      </c>
      <c r="I210" s="7">
        <f t="shared" si="20"/>
        <v>1400</v>
      </c>
      <c r="J210" s="22">
        <f t="shared" si="21"/>
        <v>94660.13</v>
      </c>
      <c r="K210" s="9" t="str">
        <f>IF($D210&lt;=0,"",IF($J210&lt;=0.005,"Volltilgung erreicht",IF($A210=Übersicht!$Q$13,"Ende der Zinsbindung",IF($H210&gt;0,"Sondertilgung",""))))</f>
        <v/>
      </c>
      <c r="L210" s="23">
        <f>IF($N209&lt;=0,0,ROUND($N209*Übersicht!$Q$7,2))</f>
        <v>484.29</v>
      </c>
      <c r="M210" s="23">
        <f>IF($N209&lt;=0,0,MIN($N209,IF(Übersicht!$C$13="Annuitätendarlehen",MAX(0,Übersicht!$Q$9-$L210),IF(Übersicht!$C$13="Ratendarlehen",Übersicht!$Q$10,IF($A210&gt;=Übersicht!$Q$11,$N209,0)))))</f>
        <v>915.71</v>
      </c>
      <c r="N210" s="23">
        <f t="shared" si="23"/>
        <v>160513.91</v>
      </c>
    </row>
    <row r="211" spans="1:14" ht="15" customHeight="1" x14ac:dyDescent="0.25">
      <c r="A211" s="10">
        <v>204</v>
      </c>
      <c r="B211" s="24">
        <f>IF($D211&lt;=0,"",EDATE(Übersicht!$C$18,($A211-1)*12/Übersicht!$Q$6))</f>
        <v>52231</v>
      </c>
      <c r="C211" s="10">
        <f t="shared" si="18"/>
        <v>2042</v>
      </c>
      <c r="D211" s="25">
        <f t="shared" si="22"/>
        <v>94660.13</v>
      </c>
      <c r="E211" s="12">
        <f t="shared" si="19"/>
        <v>1400</v>
      </c>
      <c r="F211" s="12">
        <f>IF($D211&lt;=0,0,ROUND($D211*Übersicht!$Q$7,2))</f>
        <v>283.98</v>
      </c>
      <c r="G211" s="12">
        <f>IF($D211&lt;=0,0,MIN($D211,IF(Übersicht!$C$13="Annuitätendarlehen",MAX(0,Übersicht!$Q$9-$F211),IF(Übersicht!$C$13="Ratendarlehen",Übersicht!$Q$10,IF($A211&gt;=Übersicht!$Q$11,$D211,0)))))</f>
        <v>1116.02</v>
      </c>
      <c r="H211" s="12">
        <f>IF($D211-$G211&lt;=0,0,IF(MOD($A211,Übersicht!$Q$6)=0,IF($A211/Übersicht!$Q$6&gt;=Übersicht!$C$21,MIN(Übersicht!$C$20,$D211-$G211),0),0))</f>
        <v>3000</v>
      </c>
      <c r="I211" s="12">
        <f t="shared" si="20"/>
        <v>4400</v>
      </c>
      <c r="J211" s="26">
        <f t="shared" si="21"/>
        <v>90544.11</v>
      </c>
      <c r="K211" s="14" t="str">
        <f>IF($D211&lt;=0,"",IF($J211&lt;=0.005,"Volltilgung erreicht",IF($A211=Übersicht!$Q$13,"Ende der Zinsbindung",IF($H211&gt;0,"Sondertilgung",""))))</f>
        <v>Sondertilgung</v>
      </c>
      <c r="L211" s="23">
        <f>IF($N210&lt;=0,0,ROUND($N210*Übersicht!$Q$7,2))</f>
        <v>481.54</v>
      </c>
      <c r="M211" s="23">
        <f>IF($N210&lt;=0,0,MIN($N210,IF(Übersicht!$C$13="Annuitätendarlehen",MAX(0,Übersicht!$Q$9-$L211),IF(Übersicht!$C$13="Ratendarlehen",Übersicht!$Q$10,IF($A211&gt;=Übersicht!$Q$11,$N210,0)))))</f>
        <v>918.46</v>
      </c>
      <c r="N211" s="23">
        <f t="shared" si="23"/>
        <v>159595.45000000001</v>
      </c>
    </row>
    <row r="212" spans="1:14" ht="15" customHeight="1" x14ac:dyDescent="0.25">
      <c r="A212" s="5">
        <v>205</v>
      </c>
      <c r="B212" s="20">
        <f>IF($D212&lt;=0,"",EDATE(Übersicht!$C$18,($A212-1)*12/Übersicht!$Q$6))</f>
        <v>52262</v>
      </c>
      <c r="C212" s="5">
        <f t="shared" si="18"/>
        <v>2043</v>
      </c>
      <c r="D212" s="21">
        <f t="shared" si="22"/>
        <v>90544.11</v>
      </c>
      <c r="E212" s="7">
        <f t="shared" si="19"/>
        <v>1400</v>
      </c>
      <c r="F212" s="7">
        <f>IF($D212&lt;=0,0,ROUND($D212*Übersicht!$Q$7,2))</f>
        <v>271.63</v>
      </c>
      <c r="G212" s="7">
        <f>IF($D212&lt;=0,0,MIN($D212,IF(Übersicht!$C$13="Annuitätendarlehen",MAX(0,Übersicht!$Q$9-$F212),IF(Übersicht!$C$13="Ratendarlehen",Übersicht!$Q$10,IF($A212&gt;=Übersicht!$Q$11,$D212,0)))))</f>
        <v>1128.3699999999999</v>
      </c>
      <c r="H212" s="7">
        <f>IF($D212-$G212&lt;=0,0,IF(MOD($A212,Übersicht!$Q$6)=0,IF($A212/Übersicht!$Q$6&gt;=Übersicht!$C$21,MIN(Übersicht!$C$20,$D212-$G212),0),0))</f>
        <v>0</v>
      </c>
      <c r="I212" s="7">
        <f t="shared" si="20"/>
        <v>1400</v>
      </c>
      <c r="J212" s="22">
        <f t="shared" si="21"/>
        <v>89415.74</v>
      </c>
      <c r="K212" s="9" t="str">
        <f>IF($D212&lt;=0,"",IF($J212&lt;=0.005,"Volltilgung erreicht",IF($A212=Übersicht!$Q$13,"Ende der Zinsbindung",IF($H212&gt;0,"Sondertilgung",""))))</f>
        <v/>
      </c>
      <c r="L212" s="23">
        <f>IF($N211&lt;=0,0,ROUND($N211*Übersicht!$Q$7,2))</f>
        <v>478.79</v>
      </c>
      <c r="M212" s="23">
        <f>IF($N211&lt;=0,0,MIN($N211,IF(Übersicht!$C$13="Annuitätendarlehen",MAX(0,Übersicht!$Q$9-$L212),IF(Übersicht!$C$13="Ratendarlehen",Übersicht!$Q$10,IF($A212&gt;=Übersicht!$Q$11,$N211,0)))))</f>
        <v>921.21</v>
      </c>
      <c r="N212" s="23">
        <f t="shared" si="23"/>
        <v>158674.23999999999</v>
      </c>
    </row>
    <row r="213" spans="1:14" ht="15" customHeight="1" x14ac:dyDescent="0.25">
      <c r="A213" s="10">
        <v>206</v>
      </c>
      <c r="B213" s="24">
        <f>IF($D213&lt;=0,"",EDATE(Übersicht!$C$18,($A213-1)*12/Übersicht!$Q$6))</f>
        <v>52290</v>
      </c>
      <c r="C213" s="10">
        <f t="shared" si="18"/>
        <v>2043</v>
      </c>
      <c r="D213" s="25">
        <f t="shared" si="22"/>
        <v>89415.74</v>
      </c>
      <c r="E213" s="12">
        <f t="shared" si="19"/>
        <v>1400</v>
      </c>
      <c r="F213" s="12">
        <f>IF($D213&lt;=0,0,ROUND($D213*Übersicht!$Q$7,2))</f>
        <v>268.25</v>
      </c>
      <c r="G213" s="12">
        <f>IF($D213&lt;=0,0,MIN($D213,IF(Übersicht!$C$13="Annuitätendarlehen",MAX(0,Übersicht!$Q$9-$F213),IF(Übersicht!$C$13="Ratendarlehen",Übersicht!$Q$10,IF($A213&gt;=Übersicht!$Q$11,$D213,0)))))</f>
        <v>1131.75</v>
      </c>
      <c r="H213" s="12">
        <f>IF($D213-$G213&lt;=0,0,IF(MOD($A213,Übersicht!$Q$6)=0,IF($A213/Übersicht!$Q$6&gt;=Übersicht!$C$21,MIN(Übersicht!$C$20,$D213-$G213),0),0))</f>
        <v>0</v>
      </c>
      <c r="I213" s="12">
        <f t="shared" si="20"/>
        <v>1400</v>
      </c>
      <c r="J213" s="26">
        <f t="shared" si="21"/>
        <v>88283.99</v>
      </c>
      <c r="K213" s="14" t="str">
        <f>IF($D213&lt;=0,"",IF($J213&lt;=0.005,"Volltilgung erreicht",IF($A213=Übersicht!$Q$13,"Ende der Zinsbindung",IF($H213&gt;0,"Sondertilgung",""))))</f>
        <v/>
      </c>
      <c r="L213" s="23">
        <f>IF($N212&lt;=0,0,ROUND($N212*Übersicht!$Q$7,2))</f>
        <v>476.02</v>
      </c>
      <c r="M213" s="23">
        <f>IF($N212&lt;=0,0,MIN($N212,IF(Übersicht!$C$13="Annuitätendarlehen",MAX(0,Übersicht!$Q$9-$L213),IF(Übersicht!$C$13="Ratendarlehen",Übersicht!$Q$10,IF($A213&gt;=Übersicht!$Q$11,$N212,0)))))</f>
        <v>923.98</v>
      </c>
      <c r="N213" s="23">
        <f t="shared" si="23"/>
        <v>157750.26</v>
      </c>
    </row>
    <row r="214" spans="1:14" ht="15" customHeight="1" x14ac:dyDescent="0.25">
      <c r="A214" s="5">
        <v>207</v>
      </c>
      <c r="B214" s="20">
        <f>IF($D214&lt;=0,"",EDATE(Übersicht!$C$18,($A214-1)*12/Übersicht!$Q$6))</f>
        <v>52321</v>
      </c>
      <c r="C214" s="5">
        <f t="shared" si="18"/>
        <v>2043</v>
      </c>
      <c r="D214" s="21">
        <f t="shared" si="22"/>
        <v>88283.99</v>
      </c>
      <c r="E214" s="7">
        <f t="shared" si="19"/>
        <v>1400</v>
      </c>
      <c r="F214" s="7">
        <f>IF($D214&lt;=0,0,ROUND($D214*Übersicht!$Q$7,2))</f>
        <v>264.85000000000002</v>
      </c>
      <c r="G214" s="7">
        <f>IF($D214&lt;=0,0,MIN($D214,IF(Übersicht!$C$13="Annuitätendarlehen",MAX(0,Übersicht!$Q$9-$F214),IF(Übersicht!$C$13="Ratendarlehen",Übersicht!$Q$10,IF($A214&gt;=Übersicht!$Q$11,$D214,0)))))</f>
        <v>1135.1500000000001</v>
      </c>
      <c r="H214" s="7">
        <f>IF($D214-$G214&lt;=0,0,IF(MOD($A214,Übersicht!$Q$6)=0,IF($A214/Übersicht!$Q$6&gt;=Übersicht!$C$21,MIN(Übersicht!$C$20,$D214-$G214),0),0))</f>
        <v>0</v>
      </c>
      <c r="I214" s="7">
        <f t="shared" si="20"/>
        <v>1400</v>
      </c>
      <c r="J214" s="22">
        <f t="shared" si="21"/>
        <v>87148.84</v>
      </c>
      <c r="K214" s="9" t="str">
        <f>IF($D214&lt;=0,"",IF($J214&lt;=0.005,"Volltilgung erreicht",IF($A214=Übersicht!$Q$13,"Ende der Zinsbindung",IF($H214&gt;0,"Sondertilgung",""))))</f>
        <v/>
      </c>
      <c r="L214" s="23">
        <f>IF($N213&lt;=0,0,ROUND($N213*Übersicht!$Q$7,2))</f>
        <v>473.25</v>
      </c>
      <c r="M214" s="23">
        <f>IF($N213&lt;=0,0,MIN($N213,IF(Übersicht!$C$13="Annuitätendarlehen",MAX(0,Übersicht!$Q$9-$L214),IF(Übersicht!$C$13="Ratendarlehen",Übersicht!$Q$10,IF($A214&gt;=Übersicht!$Q$11,$N213,0)))))</f>
        <v>926.75</v>
      </c>
      <c r="N214" s="23">
        <f t="shared" si="23"/>
        <v>156823.51</v>
      </c>
    </row>
    <row r="215" spans="1:14" ht="15" customHeight="1" x14ac:dyDescent="0.25">
      <c r="A215" s="10">
        <v>208</v>
      </c>
      <c r="B215" s="24">
        <f>IF($D215&lt;=0,"",EDATE(Übersicht!$C$18,($A215-1)*12/Übersicht!$Q$6))</f>
        <v>52351</v>
      </c>
      <c r="C215" s="10">
        <f t="shared" si="18"/>
        <v>2043</v>
      </c>
      <c r="D215" s="25">
        <f t="shared" si="22"/>
        <v>87148.84</v>
      </c>
      <c r="E215" s="12">
        <f t="shared" si="19"/>
        <v>1400</v>
      </c>
      <c r="F215" s="12">
        <f>IF($D215&lt;=0,0,ROUND($D215*Übersicht!$Q$7,2))</f>
        <v>261.45</v>
      </c>
      <c r="G215" s="12">
        <f>IF($D215&lt;=0,0,MIN($D215,IF(Übersicht!$C$13="Annuitätendarlehen",MAX(0,Übersicht!$Q$9-$F215),IF(Übersicht!$C$13="Ratendarlehen",Übersicht!$Q$10,IF($A215&gt;=Übersicht!$Q$11,$D215,0)))))</f>
        <v>1138.55</v>
      </c>
      <c r="H215" s="12">
        <f>IF($D215-$G215&lt;=0,0,IF(MOD($A215,Übersicht!$Q$6)=0,IF($A215/Übersicht!$Q$6&gt;=Übersicht!$C$21,MIN(Übersicht!$C$20,$D215-$G215),0),0))</f>
        <v>0</v>
      </c>
      <c r="I215" s="12">
        <f t="shared" si="20"/>
        <v>1400</v>
      </c>
      <c r="J215" s="26">
        <f t="shared" si="21"/>
        <v>86010.29</v>
      </c>
      <c r="K215" s="14" t="str">
        <f>IF($D215&lt;=0,"",IF($J215&lt;=0.005,"Volltilgung erreicht",IF($A215=Übersicht!$Q$13,"Ende der Zinsbindung",IF($H215&gt;0,"Sondertilgung",""))))</f>
        <v/>
      </c>
      <c r="L215" s="23">
        <f>IF($N214&lt;=0,0,ROUND($N214*Übersicht!$Q$7,2))</f>
        <v>470.47</v>
      </c>
      <c r="M215" s="23">
        <f>IF($N214&lt;=0,0,MIN($N214,IF(Übersicht!$C$13="Annuitätendarlehen",MAX(0,Übersicht!$Q$9-$L215),IF(Übersicht!$C$13="Ratendarlehen",Übersicht!$Q$10,IF($A215&gt;=Übersicht!$Q$11,$N214,0)))))</f>
        <v>929.53</v>
      </c>
      <c r="N215" s="23">
        <f t="shared" si="23"/>
        <v>155893.98000000001</v>
      </c>
    </row>
    <row r="216" spans="1:14" ht="15" customHeight="1" x14ac:dyDescent="0.25">
      <c r="A216" s="5">
        <v>209</v>
      </c>
      <c r="B216" s="20">
        <f>IF($D216&lt;=0,"",EDATE(Übersicht!$C$18,($A216-1)*12/Übersicht!$Q$6))</f>
        <v>52382</v>
      </c>
      <c r="C216" s="5">
        <f t="shared" si="18"/>
        <v>2043</v>
      </c>
      <c r="D216" s="21">
        <f t="shared" si="22"/>
        <v>86010.29</v>
      </c>
      <c r="E216" s="7">
        <f t="shared" si="19"/>
        <v>1400</v>
      </c>
      <c r="F216" s="7">
        <f>IF($D216&lt;=0,0,ROUND($D216*Übersicht!$Q$7,2))</f>
        <v>258.02999999999997</v>
      </c>
      <c r="G216" s="7">
        <f>IF($D216&lt;=0,0,MIN($D216,IF(Übersicht!$C$13="Annuitätendarlehen",MAX(0,Übersicht!$Q$9-$F216),IF(Übersicht!$C$13="Ratendarlehen",Übersicht!$Q$10,IF($A216&gt;=Übersicht!$Q$11,$D216,0)))))</f>
        <v>1141.97</v>
      </c>
      <c r="H216" s="7">
        <f>IF($D216-$G216&lt;=0,0,IF(MOD($A216,Übersicht!$Q$6)=0,IF($A216/Übersicht!$Q$6&gt;=Übersicht!$C$21,MIN(Übersicht!$C$20,$D216-$G216),0),0))</f>
        <v>0</v>
      </c>
      <c r="I216" s="7">
        <f t="shared" si="20"/>
        <v>1400</v>
      </c>
      <c r="J216" s="22">
        <f t="shared" si="21"/>
        <v>84868.32</v>
      </c>
      <c r="K216" s="9" t="str">
        <f>IF($D216&lt;=0,"",IF($J216&lt;=0.005,"Volltilgung erreicht",IF($A216=Übersicht!$Q$13,"Ende der Zinsbindung",IF($H216&gt;0,"Sondertilgung",""))))</f>
        <v/>
      </c>
      <c r="L216" s="23">
        <f>IF($N215&lt;=0,0,ROUND($N215*Übersicht!$Q$7,2))</f>
        <v>467.68</v>
      </c>
      <c r="M216" s="23">
        <f>IF($N215&lt;=0,0,MIN($N215,IF(Übersicht!$C$13="Annuitätendarlehen",MAX(0,Übersicht!$Q$9-$L216),IF(Übersicht!$C$13="Ratendarlehen",Übersicht!$Q$10,IF($A216&gt;=Übersicht!$Q$11,$N215,0)))))</f>
        <v>932.31999999999994</v>
      </c>
      <c r="N216" s="23">
        <f t="shared" si="23"/>
        <v>154961.66</v>
      </c>
    </row>
    <row r="217" spans="1:14" ht="15" customHeight="1" x14ac:dyDescent="0.25">
      <c r="A217" s="10">
        <v>210</v>
      </c>
      <c r="B217" s="24">
        <f>IF($D217&lt;=0,"",EDATE(Übersicht!$C$18,($A217-1)*12/Übersicht!$Q$6))</f>
        <v>52412</v>
      </c>
      <c r="C217" s="10">
        <f t="shared" si="18"/>
        <v>2043</v>
      </c>
      <c r="D217" s="25">
        <f t="shared" si="22"/>
        <v>84868.32</v>
      </c>
      <c r="E217" s="12">
        <f t="shared" si="19"/>
        <v>1400</v>
      </c>
      <c r="F217" s="12">
        <f>IF($D217&lt;=0,0,ROUND($D217*Übersicht!$Q$7,2))</f>
        <v>254.6</v>
      </c>
      <c r="G217" s="12">
        <f>IF($D217&lt;=0,0,MIN($D217,IF(Übersicht!$C$13="Annuitätendarlehen",MAX(0,Übersicht!$Q$9-$F217),IF(Übersicht!$C$13="Ratendarlehen",Übersicht!$Q$10,IF($A217&gt;=Übersicht!$Q$11,$D217,0)))))</f>
        <v>1145.4000000000001</v>
      </c>
      <c r="H217" s="12">
        <f>IF($D217-$G217&lt;=0,0,IF(MOD($A217,Übersicht!$Q$6)=0,IF($A217/Übersicht!$Q$6&gt;=Übersicht!$C$21,MIN(Übersicht!$C$20,$D217-$G217),0),0))</f>
        <v>0</v>
      </c>
      <c r="I217" s="12">
        <f t="shared" si="20"/>
        <v>1400</v>
      </c>
      <c r="J217" s="26">
        <f t="shared" si="21"/>
        <v>83722.92</v>
      </c>
      <c r="K217" s="14" t="str">
        <f>IF($D217&lt;=0,"",IF($J217&lt;=0.005,"Volltilgung erreicht",IF($A217=Übersicht!$Q$13,"Ende der Zinsbindung",IF($H217&gt;0,"Sondertilgung",""))))</f>
        <v/>
      </c>
      <c r="L217" s="23">
        <f>IF($N216&lt;=0,0,ROUND($N216*Übersicht!$Q$7,2))</f>
        <v>464.88</v>
      </c>
      <c r="M217" s="23">
        <f>IF($N216&lt;=0,0,MIN($N216,IF(Übersicht!$C$13="Annuitätendarlehen",MAX(0,Übersicht!$Q$9-$L217),IF(Übersicht!$C$13="Ratendarlehen",Übersicht!$Q$10,IF($A217&gt;=Übersicht!$Q$11,$N216,0)))))</f>
        <v>935.12</v>
      </c>
      <c r="N217" s="23">
        <f t="shared" si="23"/>
        <v>154026.54</v>
      </c>
    </row>
    <row r="218" spans="1:14" ht="15" customHeight="1" x14ac:dyDescent="0.25">
      <c r="A218" s="5">
        <v>211</v>
      </c>
      <c r="B218" s="20">
        <f>IF($D218&lt;=0,"",EDATE(Übersicht!$C$18,($A218-1)*12/Übersicht!$Q$6))</f>
        <v>52443</v>
      </c>
      <c r="C218" s="5">
        <f t="shared" si="18"/>
        <v>2043</v>
      </c>
      <c r="D218" s="21">
        <f t="shared" si="22"/>
        <v>83722.92</v>
      </c>
      <c r="E218" s="7">
        <f t="shared" si="19"/>
        <v>1400</v>
      </c>
      <c r="F218" s="7">
        <f>IF($D218&lt;=0,0,ROUND($D218*Übersicht!$Q$7,2))</f>
        <v>251.17</v>
      </c>
      <c r="G218" s="7">
        <f>IF($D218&lt;=0,0,MIN($D218,IF(Übersicht!$C$13="Annuitätendarlehen",MAX(0,Übersicht!$Q$9-$F218),IF(Übersicht!$C$13="Ratendarlehen",Übersicht!$Q$10,IF($A218&gt;=Übersicht!$Q$11,$D218,0)))))</f>
        <v>1148.83</v>
      </c>
      <c r="H218" s="7">
        <f>IF($D218-$G218&lt;=0,0,IF(MOD($A218,Übersicht!$Q$6)=0,IF($A218/Übersicht!$Q$6&gt;=Übersicht!$C$21,MIN(Übersicht!$C$20,$D218-$G218),0),0))</f>
        <v>0</v>
      </c>
      <c r="I218" s="7">
        <f t="shared" si="20"/>
        <v>1400</v>
      </c>
      <c r="J218" s="22">
        <f t="shared" si="21"/>
        <v>82574.09</v>
      </c>
      <c r="K218" s="9" t="str">
        <f>IF($D218&lt;=0,"",IF($J218&lt;=0.005,"Volltilgung erreicht",IF($A218=Übersicht!$Q$13,"Ende der Zinsbindung",IF($H218&gt;0,"Sondertilgung",""))))</f>
        <v/>
      </c>
      <c r="L218" s="23">
        <f>IF($N217&lt;=0,0,ROUND($N217*Übersicht!$Q$7,2))</f>
        <v>462.08</v>
      </c>
      <c r="M218" s="23">
        <f>IF($N217&lt;=0,0,MIN($N217,IF(Übersicht!$C$13="Annuitätendarlehen",MAX(0,Übersicht!$Q$9-$L218),IF(Übersicht!$C$13="Ratendarlehen",Übersicht!$Q$10,IF($A218&gt;=Übersicht!$Q$11,$N217,0)))))</f>
        <v>937.92000000000007</v>
      </c>
      <c r="N218" s="23">
        <f t="shared" si="23"/>
        <v>153088.62</v>
      </c>
    </row>
    <row r="219" spans="1:14" ht="15" customHeight="1" x14ac:dyDescent="0.25">
      <c r="A219" s="10">
        <v>212</v>
      </c>
      <c r="B219" s="24">
        <f>IF($D219&lt;=0,"",EDATE(Übersicht!$C$18,($A219-1)*12/Übersicht!$Q$6))</f>
        <v>52474</v>
      </c>
      <c r="C219" s="10">
        <f t="shared" si="18"/>
        <v>2043</v>
      </c>
      <c r="D219" s="25">
        <f t="shared" si="22"/>
        <v>82574.09</v>
      </c>
      <c r="E219" s="12">
        <f t="shared" si="19"/>
        <v>1400</v>
      </c>
      <c r="F219" s="12">
        <f>IF($D219&lt;=0,0,ROUND($D219*Übersicht!$Q$7,2))</f>
        <v>247.72</v>
      </c>
      <c r="G219" s="12">
        <f>IF($D219&lt;=0,0,MIN($D219,IF(Übersicht!$C$13="Annuitätendarlehen",MAX(0,Übersicht!$Q$9-$F219),IF(Übersicht!$C$13="Ratendarlehen",Übersicht!$Q$10,IF($A219&gt;=Übersicht!$Q$11,$D219,0)))))</f>
        <v>1152.28</v>
      </c>
      <c r="H219" s="12">
        <f>IF($D219-$G219&lt;=0,0,IF(MOD($A219,Übersicht!$Q$6)=0,IF($A219/Übersicht!$Q$6&gt;=Übersicht!$C$21,MIN(Übersicht!$C$20,$D219-$G219),0),0))</f>
        <v>0</v>
      </c>
      <c r="I219" s="12">
        <f t="shared" si="20"/>
        <v>1400</v>
      </c>
      <c r="J219" s="26">
        <f t="shared" si="21"/>
        <v>81421.81</v>
      </c>
      <c r="K219" s="14" t="str">
        <f>IF($D219&lt;=0,"",IF($J219&lt;=0.005,"Volltilgung erreicht",IF($A219=Übersicht!$Q$13,"Ende der Zinsbindung",IF($H219&gt;0,"Sondertilgung",""))))</f>
        <v/>
      </c>
      <c r="L219" s="23">
        <f>IF($N218&lt;=0,0,ROUND($N218*Übersicht!$Q$7,2))</f>
        <v>459.27</v>
      </c>
      <c r="M219" s="23">
        <f>IF($N218&lt;=0,0,MIN($N218,IF(Übersicht!$C$13="Annuitätendarlehen",MAX(0,Übersicht!$Q$9-$L219),IF(Übersicht!$C$13="Ratendarlehen",Übersicht!$Q$10,IF($A219&gt;=Übersicht!$Q$11,$N218,0)))))</f>
        <v>940.73</v>
      </c>
      <c r="N219" s="23">
        <f t="shared" si="23"/>
        <v>152147.89000000001</v>
      </c>
    </row>
    <row r="220" spans="1:14" ht="15" customHeight="1" x14ac:dyDescent="0.25">
      <c r="A220" s="5">
        <v>213</v>
      </c>
      <c r="B220" s="20">
        <f>IF($D220&lt;=0,"",EDATE(Übersicht!$C$18,($A220-1)*12/Übersicht!$Q$6))</f>
        <v>52504</v>
      </c>
      <c r="C220" s="5">
        <f t="shared" si="18"/>
        <v>2043</v>
      </c>
      <c r="D220" s="21">
        <f t="shared" si="22"/>
        <v>81421.81</v>
      </c>
      <c r="E220" s="7">
        <f t="shared" si="19"/>
        <v>1400</v>
      </c>
      <c r="F220" s="7">
        <f>IF($D220&lt;=0,0,ROUND($D220*Übersicht!$Q$7,2))</f>
        <v>244.27</v>
      </c>
      <c r="G220" s="7">
        <f>IF($D220&lt;=0,0,MIN($D220,IF(Übersicht!$C$13="Annuitätendarlehen",MAX(0,Übersicht!$Q$9-$F220),IF(Übersicht!$C$13="Ratendarlehen",Übersicht!$Q$10,IF($A220&gt;=Übersicht!$Q$11,$D220,0)))))</f>
        <v>1155.73</v>
      </c>
      <c r="H220" s="7">
        <f>IF($D220-$G220&lt;=0,0,IF(MOD($A220,Übersicht!$Q$6)=0,IF($A220/Übersicht!$Q$6&gt;=Übersicht!$C$21,MIN(Übersicht!$C$20,$D220-$G220),0),0))</f>
        <v>0</v>
      </c>
      <c r="I220" s="7">
        <f t="shared" si="20"/>
        <v>1400</v>
      </c>
      <c r="J220" s="22">
        <f t="shared" si="21"/>
        <v>80266.080000000002</v>
      </c>
      <c r="K220" s="9" t="str">
        <f>IF($D220&lt;=0,"",IF($J220&lt;=0.005,"Volltilgung erreicht",IF($A220=Übersicht!$Q$13,"Ende der Zinsbindung",IF($H220&gt;0,"Sondertilgung",""))))</f>
        <v/>
      </c>
      <c r="L220" s="23">
        <f>IF($N219&lt;=0,0,ROUND($N219*Übersicht!$Q$7,2))</f>
        <v>456.44</v>
      </c>
      <c r="M220" s="23">
        <f>IF($N219&lt;=0,0,MIN($N219,IF(Übersicht!$C$13="Annuitätendarlehen",MAX(0,Übersicht!$Q$9-$L220),IF(Übersicht!$C$13="Ratendarlehen",Übersicht!$Q$10,IF($A220&gt;=Übersicht!$Q$11,$N219,0)))))</f>
        <v>943.56</v>
      </c>
      <c r="N220" s="23">
        <f t="shared" si="23"/>
        <v>151204.32999999999</v>
      </c>
    </row>
    <row r="221" spans="1:14" ht="15" customHeight="1" x14ac:dyDescent="0.25">
      <c r="A221" s="10">
        <v>214</v>
      </c>
      <c r="B221" s="24">
        <f>IF($D221&lt;=0,"",EDATE(Übersicht!$C$18,($A221-1)*12/Übersicht!$Q$6))</f>
        <v>52535</v>
      </c>
      <c r="C221" s="10">
        <f t="shared" si="18"/>
        <v>2043</v>
      </c>
      <c r="D221" s="25">
        <f t="shared" si="22"/>
        <v>80266.080000000002</v>
      </c>
      <c r="E221" s="12">
        <f t="shared" si="19"/>
        <v>1400</v>
      </c>
      <c r="F221" s="12">
        <f>IF($D221&lt;=0,0,ROUND($D221*Übersicht!$Q$7,2))</f>
        <v>240.8</v>
      </c>
      <c r="G221" s="12">
        <f>IF($D221&lt;=0,0,MIN($D221,IF(Übersicht!$C$13="Annuitätendarlehen",MAX(0,Übersicht!$Q$9-$F221),IF(Übersicht!$C$13="Ratendarlehen",Übersicht!$Q$10,IF($A221&gt;=Übersicht!$Q$11,$D221,0)))))</f>
        <v>1159.2</v>
      </c>
      <c r="H221" s="12">
        <f>IF($D221-$G221&lt;=0,0,IF(MOD($A221,Übersicht!$Q$6)=0,IF($A221/Übersicht!$Q$6&gt;=Übersicht!$C$21,MIN(Übersicht!$C$20,$D221-$G221),0),0))</f>
        <v>0</v>
      </c>
      <c r="I221" s="12">
        <f t="shared" si="20"/>
        <v>1400</v>
      </c>
      <c r="J221" s="26">
        <f t="shared" si="21"/>
        <v>79106.880000000005</v>
      </c>
      <c r="K221" s="14" t="str">
        <f>IF($D221&lt;=0,"",IF($J221&lt;=0.005,"Volltilgung erreicht",IF($A221=Übersicht!$Q$13,"Ende der Zinsbindung",IF($H221&gt;0,"Sondertilgung",""))))</f>
        <v/>
      </c>
      <c r="L221" s="23">
        <f>IF($N220&lt;=0,0,ROUND($N220*Übersicht!$Q$7,2))</f>
        <v>453.61</v>
      </c>
      <c r="M221" s="23">
        <f>IF($N220&lt;=0,0,MIN($N220,IF(Übersicht!$C$13="Annuitätendarlehen",MAX(0,Übersicht!$Q$9-$L221),IF(Übersicht!$C$13="Ratendarlehen",Übersicht!$Q$10,IF($A221&gt;=Übersicht!$Q$11,$N220,0)))))</f>
        <v>946.39</v>
      </c>
      <c r="N221" s="23">
        <f t="shared" si="23"/>
        <v>150257.94</v>
      </c>
    </row>
    <row r="222" spans="1:14" ht="15" customHeight="1" x14ac:dyDescent="0.25">
      <c r="A222" s="5">
        <v>215</v>
      </c>
      <c r="B222" s="20">
        <f>IF($D222&lt;=0,"",EDATE(Übersicht!$C$18,($A222-1)*12/Übersicht!$Q$6))</f>
        <v>52565</v>
      </c>
      <c r="C222" s="5">
        <f t="shared" si="18"/>
        <v>2043</v>
      </c>
      <c r="D222" s="21">
        <f t="shared" si="22"/>
        <v>79106.880000000005</v>
      </c>
      <c r="E222" s="7">
        <f t="shared" si="19"/>
        <v>1400</v>
      </c>
      <c r="F222" s="7">
        <f>IF($D222&lt;=0,0,ROUND($D222*Übersicht!$Q$7,2))</f>
        <v>237.32</v>
      </c>
      <c r="G222" s="7">
        <f>IF($D222&lt;=0,0,MIN($D222,IF(Übersicht!$C$13="Annuitätendarlehen",MAX(0,Übersicht!$Q$9-$F222),IF(Übersicht!$C$13="Ratendarlehen",Übersicht!$Q$10,IF($A222&gt;=Übersicht!$Q$11,$D222,0)))))</f>
        <v>1162.68</v>
      </c>
      <c r="H222" s="7">
        <f>IF($D222-$G222&lt;=0,0,IF(MOD($A222,Übersicht!$Q$6)=0,IF($A222/Übersicht!$Q$6&gt;=Übersicht!$C$21,MIN(Übersicht!$C$20,$D222-$G222),0),0))</f>
        <v>0</v>
      </c>
      <c r="I222" s="7">
        <f t="shared" si="20"/>
        <v>1400</v>
      </c>
      <c r="J222" s="22">
        <f t="shared" si="21"/>
        <v>77944.2</v>
      </c>
      <c r="K222" s="9" t="str">
        <f>IF($D222&lt;=0,"",IF($J222&lt;=0.005,"Volltilgung erreicht",IF($A222=Übersicht!$Q$13,"Ende der Zinsbindung",IF($H222&gt;0,"Sondertilgung",""))))</f>
        <v/>
      </c>
      <c r="L222" s="23">
        <f>IF($N221&lt;=0,0,ROUND($N221*Übersicht!$Q$7,2))</f>
        <v>450.77</v>
      </c>
      <c r="M222" s="23">
        <f>IF($N221&lt;=0,0,MIN($N221,IF(Übersicht!$C$13="Annuitätendarlehen",MAX(0,Übersicht!$Q$9-$L222),IF(Übersicht!$C$13="Ratendarlehen",Übersicht!$Q$10,IF($A222&gt;=Übersicht!$Q$11,$N221,0)))))</f>
        <v>949.23</v>
      </c>
      <c r="N222" s="23">
        <f t="shared" si="23"/>
        <v>149308.71</v>
      </c>
    </row>
    <row r="223" spans="1:14" ht="15" customHeight="1" x14ac:dyDescent="0.25">
      <c r="A223" s="10">
        <v>216</v>
      </c>
      <c r="B223" s="24">
        <f>IF($D223&lt;=0,"",EDATE(Übersicht!$C$18,($A223-1)*12/Übersicht!$Q$6))</f>
        <v>52596</v>
      </c>
      <c r="C223" s="10">
        <f t="shared" si="18"/>
        <v>2043</v>
      </c>
      <c r="D223" s="25">
        <f t="shared" si="22"/>
        <v>77944.2</v>
      </c>
      <c r="E223" s="12">
        <f t="shared" si="19"/>
        <v>1400</v>
      </c>
      <c r="F223" s="12">
        <f>IF($D223&lt;=0,0,ROUND($D223*Übersicht!$Q$7,2))</f>
        <v>233.83</v>
      </c>
      <c r="G223" s="12">
        <f>IF($D223&lt;=0,0,MIN($D223,IF(Übersicht!$C$13="Annuitätendarlehen",MAX(0,Übersicht!$Q$9-$F223),IF(Übersicht!$C$13="Ratendarlehen",Übersicht!$Q$10,IF($A223&gt;=Übersicht!$Q$11,$D223,0)))))</f>
        <v>1166.17</v>
      </c>
      <c r="H223" s="12">
        <f>IF($D223-$G223&lt;=0,0,IF(MOD($A223,Übersicht!$Q$6)=0,IF($A223/Übersicht!$Q$6&gt;=Übersicht!$C$21,MIN(Übersicht!$C$20,$D223-$G223),0),0))</f>
        <v>3000</v>
      </c>
      <c r="I223" s="12">
        <f t="shared" si="20"/>
        <v>4400</v>
      </c>
      <c r="J223" s="26">
        <f t="shared" si="21"/>
        <v>73778.03</v>
      </c>
      <c r="K223" s="14" t="str">
        <f>IF($D223&lt;=0,"",IF($J223&lt;=0.005,"Volltilgung erreicht",IF($A223=Übersicht!$Q$13,"Ende der Zinsbindung",IF($H223&gt;0,"Sondertilgung",""))))</f>
        <v>Sondertilgung</v>
      </c>
      <c r="L223" s="23">
        <f>IF($N222&lt;=0,0,ROUND($N222*Übersicht!$Q$7,2))</f>
        <v>447.93</v>
      </c>
      <c r="M223" s="23">
        <f>IF($N222&lt;=0,0,MIN($N222,IF(Übersicht!$C$13="Annuitätendarlehen",MAX(0,Übersicht!$Q$9-$L223),IF(Übersicht!$C$13="Ratendarlehen",Übersicht!$Q$10,IF($A223&gt;=Übersicht!$Q$11,$N222,0)))))</f>
        <v>952.06999999999994</v>
      </c>
      <c r="N223" s="23">
        <f t="shared" si="23"/>
        <v>148356.64000000001</v>
      </c>
    </row>
    <row r="224" spans="1:14" ht="15" customHeight="1" x14ac:dyDescent="0.25">
      <c r="A224" s="5">
        <v>217</v>
      </c>
      <c r="B224" s="20">
        <f>IF($D224&lt;=0,"",EDATE(Übersicht!$C$18,($A224-1)*12/Übersicht!$Q$6))</f>
        <v>52627</v>
      </c>
      <c r="C224" s="5">
        <f t="shared" si="18"/>
        <v>2044</v>
      </c>
      <c r="D224" s="21">
        <f t="shared" si="22"/>
        <v>73778.03</v>
      </c>
      <c r="E224" s="7">
        <f t="shared" si="19"/>
        <v>1400</v>
      </c>
      <c r="F224" s="7">
        <f>IF($D224&lt;=0,0,ROUND($D224*Übersicht!$Q$7,2))</f>
        <v>221.33</v>
      </c>
      <c r="G224" s="7">
        <f>IF($D224&lt;=0,0,MIN($D224,IF(Übersicht!$C$13="Annuitätendarlehen",MAX(0,Übersicht!$Q$9-$F224),IF(Übersicht!$C$13="Ratendarlehen",Übersicht!$Q$10,IF($A224&gt;=Übersicht!$Q$11,$D224,0)))))</f>
        <v>1178.67</v>
      </c>
      <c r="H224" s="7">
        <f>IF($D224-$G224&lt;=0,0,IF(MOD($A224,Übersicht!$Q$6)=0,IF($A224/Übersicht!$Q$6&gt;=Übersicht!$C$21,MIN(Übersicht!$C$20,$D224-$G224),0),0))</f>
        <v>0</v>
      </c>
      <c r="I224" s="7">
        <f t="shared" si="20"/>
        <v>1400</v>
      </c>
      <c r="J224" s="22">
        <f t="shared" si="21"/>
        <v>72599.360000000001</v>
      </c>
      <c r="K224" s="9" t="str">
        <f>IF($D224&lt;=0,"",IF($J224&lt;=0.005,"Volltilgung erreicht",IF($A224=Übersicht!$Q$13,"Ende der Zinsbindung",IF($H224&gt;0,"Sondertilgung",""))))</f>
        <v/>
      </c>
      <c r="L224" s="23">
        <f>IF($N223&lt;=0,0,ROUND($N223*Übersicht!$Q$7,2))</f>
        <v>445.07</v>
      </c>
      <c r="M224" s="23">
        <f>IF($N223&lt;=0,0,MIN($N223,IF(Übersicht!$C$13="Annuitätendarlehen",MAX(0,Übersicht!$Q$9-$L224),IF(Übersicht!$C$13="Ratendarlehen",Übersicht!$Q$10,IF($A224&gt;=Übersicht!$Q$11,$N223,0)))))</f>
        <v>954.93000000000006</v>
      </c>
      <c r="N224" s="23">
        <f t="shared" si="23"/>
        <v>147401.71</v>
      </c>
    </row>
    <row r="225" spans="1:14" ht="15" customHeight="1" x14ac:dyDescent="0.25">
      <c r="A225" s="10">
        <v>218</v>
      </c>
      <c r="B225" s="24">
        <f>IF($D225&lt;=0,"",EDATE(Übersicht!$C$18,($A225-1)*12/Übersicht!$Q$6))</f>
        <v>52656</v>
      </c>
      <c r="C225" s="10">
        <f t="shared" si="18"/>
        <v>2044</v>
      </c>
      <c r="D225" s="25">
        <f t="shared" si="22"/>
        <v>72599.360000000001</v>
      </c>
      <c r="E225" s="12">
        <f t="shared" si="19"/>
        <v>1400</v>
      </c>
      <c r="F225" s="12">
        <f>IF($D225&lt;=0,0,ROUND($D225*Übersicht!$Q$7,2))</f>
        <v>217.8</v>
      </c>
      <c r="G225" s="12">
        <f>IF($D225&lt;=0,0,MIN($D225,IF(Übersicht!$C$13="Annuitätendarlehen",MAX(0,Übersicht!$Q$9-$F225),IF(Übersicht!$C$13="Ratendarlehen",Übersicht!$Q$10,IF($A225&gt;=Übersicht!$Q$11,$D225,0)))))</f>
        <v>1182.2</v>
      </c>
      <c r="H225" s="12">
        <f>IF($D225-$G225&lt;=0,0,IF(MOD($A225,Übersicht!$Q$6)=0,IF($A225/Übersicht!$Q$6&gt;=Übersicht!$C$21,MIN(Übersicht!$C$20,$D225-$G225),0),0))</f>
        <v>0</v>
      </c>
      <c r="I225" s="12">
        <f t="shared" si="20"/>
        <v>1400</v>
      </c>
      <c r="J225" s="26">
        <f t="shared" si="21"/>
        <v>71417.16</v>
      </c>
      <c r="K225" s="14" t="str">
        <f>IF($D225&lt;=0,"",IF($J225&lt;=0.005,"Volltilgung erreicht",IF($A225=Übersicht!$Q$13,"Ende der Zinsbindung",IF($H225&gt;0,"Sondertilgung",""))))</f>
        <v/>
      </c>
      <c r="L225" s="23">
        <f>IF($N224&lt;=0,0,ROUND($N224*Übersicht!$Q$7,2))</f>
        <v>442.21</v>
      </c>
      <c r="M225" s="23">
        <f>IF($N224&lt;=0,0,MIN($N224,IF(Übersicht!$C$13="Annuitätendarlehen",MAX(0,Übersicht!$Q$9-$L225),IF(Übersicht!$C$13="Ratendarlehen",Übersicht!$Q$10,IF($A225&gt;=Übersicht!$Q$11,$N224,0)))))</f>
        <v>957.79</v>
      </c>
      <c r="N225" s="23">
        <f t="shared" si="23"/>
        <v>146443.92000000001</v>
      </c>
    </row>
    <row r="226" spans="1:14" ht="15" customHeight="1" x14ac:dyDescent="0.25">
      <c r="A226" s="5">
        <v>219</v>
      </c>
      <c r="B226" s="20">
        <f>IF($D226&lt;=0,"",EDATE(Übersicht!$C$18,($A226-1)*12/Übersicht!$Q$6))</f>
        <v>52687</v>
      </c>
      <c r="C226" s="5">
        <f t="shared" si="18"/>
        <v>2044</v>
      </c>
      <c r="D226" s="21">
        <f t="shared" si="22"/>
        <v>71417.16</v>
      </c>
      <c r="E226" s="7">
        <f t="shared" si="19"/>
        <v>1400</v>
      </c>
      <c r="F226" s="7">
        <f>IF($D226&lt;=0,0,ROUND($D226*Übersicht!$Q$7,2))</f>
        <v>214.25</v>
      </c>
      <c r="G226" s="7">
        <f>IF($D226&lt;=0,0,MIN($D226,IF(Übersicht!$C$13="Annuitätendarlehen",MAX(0,Übersicht!$Q$9-$F226),IF(Übersicht!$C$13="Ratendarlehen",Übersicht!$Q$10,IF($A226&gt;=Übersicht!$Q$11,$D226,0)))))</f>
        <v>1185.75</v>
      </c>
      <c r="H226" s="7">
        <f>IF($D226-$G226&lt;=0,0,IF(MOD($A226,Übersicht!$Q$6)=0,IF($A226/Übersicht!$Q$6&gt;=Übersicht!$C$21,MIN(Übersicht!$C$20,$D226-$G226),0),0))</f>
        <v>0</v>
      </c>
      <c r="I226" s="7">
        <f t="shared" si="20"/>
        <v>1400</v>
      </c>
      <c r="J226" s="22">
        <f t="shared" si="21"/>
        <v>70231.41</v>
      </c>
      <c r="K226" s="9" t="str">
        <f>IF($D226&lt;=0,"",IF($J226&lt;=0.005,"Volltilgung erreicht",IF($A226=Übersicht!$Q$13,"Ende der Zinsbindung",IF($H226&gt;0,"Sondertilgung",""))))</f>
        <v/>
      </c>
      <c r="L226" s="23">
        <f>IF($N225&lt;=0,0,ROUND($N225*Übersicht!$Q$7,2))</f>
        <v>439.33</v>
      </c>
      <c r="M226" s="23">
        <f>IF($N225&lt;=0,0,MIN($N225,IF(Übersicht!$C$13="Annuitätendarlehen",MAX(0,Übersicht!$Q$9-$L226),IF(Übersicht!$C$13="Ratendarlehen",Übersicht!$Q$10,IF($A226&gt;=Übersicht!$Q$11,$N225,0)))))</f>
        <v>960.67000000000007</v>
      </c>
      <c r="N226" s="23">
        <f t="shared" si="23"/>
        <v>145483.25</v>
      </c>
    </row>
    <row r="227" spans="1:14" ht="15" customHeight="1" x14ac:dyDescent="0.25">
      <c r="A227" s="10">
        <v>220</v>
      </c>
      <c r="B227" s="24">
        <f>IF($D227&lt;=0,"",EDATE(Übersicht!$C$18,($A227-1)*12/Übersicht!$Q$6))</f>
        <v>52717</v>
      </c>
      <c r="C227" s="10">
        <f t="shared" si="18"/>
        <v>2044</v>
      </c>
      <c r="D227" s="25">
        <f t="shared" si="22"/>
        <v>70231.41</v>
      </c>
      <c r="E227" s="12">
        <f t="shared" si="19"/>
        <v>1400</v>
      </c>
      <c r="F227" s="12">
        <f>IF($D227&lt;=0,0,ROUND($D227*Übersicht!$Q$7,2))</f>
        <v>210.69</v>
      </c>
      <c r="G227" s="12">
        <f>IF($D227&lt;=0,0,MIN($D227,IF(Übersicht!$C$13="Annuitätendarlehen",MAX(0,Übersicht!$Q$9-$F227),IF(Übersicht!$C$13="Ratendarlehen",Übersicht!$Q$10,IF($A227&gt;=Übersicht!$Q$11,$D227,0)))))</f>
        <v>1189.31</v>
      </c>
      <c r="H227" s="12">
        <f>IF($D227-$G227&lt;=0,0,IF(MOD($A227,Übersicht!$Q$6)=0,IF($A227/Übersicht!$Q$6&gt;=Übersicht!$C$21,MIN(Übersicht!$C$20,$D227-$G227),0),0))</f>
        <v>0</v>
      </c>
      <c r="I227" s="12">
        <f t="shared" si="20"/>
        <v>1400</v>
      </c>
      <c r="J227" s="26">
        <f t="shared" si="21"/>
        <v>69042.100000000006</v>
      </c>
      <c r="K227" s="14" t="str">
        <f>IF($D227&lt;=0,"",IF($J227&lt;=0.005,"Volltilgung erreicht",IF($A227=Übersicht!$Q$13,"Ende der Zinsbindung",IF($H227&gt;0,"Sondertilgung",""))))</f>
        <v/>
      </c>
      <c r="L227" s="23">
        <f>IF($N226&lt;=0,0,ROUND($N226*Übersicht!$Q$7,2))</f>
        <v>436.45</v>
      </c>
      <c r="M227" s="23">
        <f>IF($N226&lt;=0,0,MIN($N226,IF(Übersicht!$C$13="Annuitätendarlehen",MAX(0,Übersicht!$Q$9-$L227),IF(Übersicht!$C$13="Ratendarlehen",Übersicht!$Q$10,IF($A227&gt;=Übersicht!$Q$11,$N226,0)))))</f>
        <v>963.55</v>
      </c>
      <c r="N227" s="23">
        <f t="shared" si="23"/>
        <v>144519.70000000001</v>
      </c>
    </row>
    <row r="228" spans="1:14" ht="15" customHeight="1" x14ac:dyDescent="0.25">
      <c r="A228" s="5">
        <v>221</v>
      </c>
      <c r="B228" s="20">
        <f>IF($D228&lt;=0,"",EDATE(Übersicht!$C$18,($A228-1)*12/Übersicht!$Q$6))</f>
        <v>52748</v>
      </c>
      <c r="C228" s="5">
        <f t="shared" si="18"/>
        <v>2044</v>
      </c>
      <c r="D228" s="21">
        <f t="shared" si="22"/>
        <v>69042.100000000006</v>
      </c>
      <c r="E228" s="7">
        <f t="shared" si="19"/>
        <v>1400</v>
      </c>
      <c r="F228" s="7">
        <f>IF($D228&lt;=0,0,ROUND($D228*Übersicht!$Q$7,2))</f>
        <v>207.13</v>
      </c>
      <c r="G228" s="7">
        <f>IF($D228&lt;=0,0,MIN($D228,IF(Übersicht!$C$13="Annuitätendarlehen",MAX(0,Übersicht!$Q$9-$F228),IF(Übersicht!$C$13="Ratendarlehen",Übersicht!$Q$10,IF($A228&gt;=Übersicht!$Q$11,$D228,0)))))</f>
        <v>1192.8699999999999</v>
      </c>
      <c r="H228" s="7">
        <f>IF($D228-$G228&lt;=0,0,IF(MOD($A228,Übersicht!$Q$6)=0,IF($A228/Übersicht!$Q$6&gt;=Übersicht!$C$21,MIN(Übersicht!$C$20,$D228-$G228),0),0))</f>
        <v>0</v>
      </c>
      <c r="I228" s="7">
        <f t="shared" si="20"/>
        <v>1400</v>
      </c>
      <c r="J228" s="22">
        <f t="shared" si="21"/>
        <v>67849.23</v>
      </c>
      <c r="K228" s="9" t="str">
        <f>IF($D228&lt;=0,"",IF($J228&lt;=0.005,"Volltilgung erreicht",IF($A228=Übersicht!$Q$13,"Ende der Zinsbindung",IF($H228&gt;0,"Sondertilgung",""))))</f>
        <v/>
      </c>
      <c r="L228" s="23">
        <f>IF($N227&lt;=0,0,ROUND($N227*Übersicht!$Q$7,2))</f>
        <v>433.56</v>
      </c>
      <c r="M228" s="23">
        <f>IF($N227&lt;=0,0,MIN($N227,IF(Übersicht!$C$13="Annuitätendarlehen",MAX(0,Übersicht!$Q$9-$L228),IF(Übersicht!$C$13="Ratendarlehen",Übersicht!$Q$10,IF($A228&gt;=Übersicht!$Q$11,$N227,0)))))</f>
        <v>966.44</v>
      </c>
      <c r="N228" s="23">
        <f t="shared" si="23"/>
        <v>143553.26</v>
      </c>
    </row>
    <row r="229" spans="1:14" ht="15" customHeight="1" x14ac:dyDescent="0.25">
      <c r="A229" s="10">
        <v>222</v>
      </c>
      <c r="B229" s="24">
        <f>IF($D229&lt;=0,"",EDATE(Übersicht!$C$18,($A229-1)*12/Übersicht!$Q$6))</f>
        <v>52778</v>
      </c>
      <c r="C229" s="10">
        <f t="shared" si="18"/>
        <v>2044</v>
      </c>
      <c r="D229" s="25">
        <f t="shared" si="22"/>
        <v>67849.23</v>
      </c>
      <c r="E229" s="12">
        <f t="shared" si="19"/>
        <v>1400</v>
      </c>
      <c r="F229" s="12">
        <f>IF($D229&lt;=0,0,ROUND($D229*Übersicht!$Q$7,2))</f>
        <v>203.55</v>
      </c>
      <c r="G229" s="12">
        <f>IF($D229&lt;=0,0,MIN($D229,IF(Übersicht!$C$13="Annuitätendarlehen",MAX(0,Übersicht!$Q$9-$F229),IF(Übersicht!$C$13="Ratendarlehen",Übersicht!$Q$10,IF($A229&gt;=Übersicht!$Q$11,$D229,0)))))</f>
        <v>1196.45</v>
      </c>
      <c r="H229" s="12">
        <f>IF($D229-$G229&lt;=0,0,IF(MOD($A229,Übersicht!$Q$6)=0,IF($A229/Übersicht!$Q$6&gt;=Übersicht!$C$21,MIN(Übersicht!$C$20,$D229-$G229),0),0))</f>
        <v>0</v>
      </c>
      <c r="I229" s="12">
        <f t="shared" si="20"/>
        <v>1400</v>
      </c>
      <c r="J229" s="26">
        <f t="shared" si="21"/>
        <v>66652.78</v>
      </c>
      <c r="K229" s="14" t="str">
        <f>IF($D229&lt;=0,"",IF($J229&lt;=0.005,"Volltilgung erreicht",IF($A229=Übersicht!$Q$13,"Ende der Zinsbindung",IF($H229&gt;0,"Sondertilgung",""))))</f>
        <v/>
      </c>
      <c r="L229" s="23">
        <f>IF($N228&lt;=0,0,ROUND($N228*Übersicht!$Q$7,2))</f>
        <v>430.66</v>
      </c>
      <c r="M229" s="23">
        <f>IF($N228&lt;=0,0,MIN($N228,IF(Übersicht!$C$13="Annuitätendarlehen",MAX(0,Übersicht!$Q$9-$L229),IF(Übersicht!$C$13="Ratendarlehen",Übersicht!$Q$10,IF($A229&gt;=Übersicht!$Q$11,$N228,0)))))</f>
        <v>969.33999999999992</v>
      </c>
      <c r="N229" s="23">
        <f t="shared" si="23"/>
        <v>142583.92000000001</v>
      </c>
    </row>
    <row r="230" spans="1:14" ht="15" customHeight="1" x14ac:dyDescent="0.25">
      <c r="A230" s="5">
        <v>223</v>
      </c>
      <c r="B230" s="20">
        <f>IF($D230&lt;=0,"",EDATE(Übersicht!$C$18,($A230-1)*12/Übersicht!$Q$6))</f>
        <v>52809</v>
      </c>
      <c r="C230" s="5">
        <f t="shared" si="18"/>
        <v>2044</v>
      </c>
      <c r="D230" s="21">
        <f t="shared" si="22"/>
        <v>66652.78</v>
      </c>
      <c r="E230" s="7">
        <f t="shared" si="19"/>
        <v>1400</v>
      </c>
      <c r="F230" s="7">
        <f>IF($D230&lt;=0,0,ROUND($D230*Übersicht!$Q$7,2))</f>
        <v>199.96</v>
      </c>
      <c r="G230" s="7">
        <f>IF($D230&lt;=0,0,MIN($D230,IF(Übersicht!$C$13="Annuitätendarlehen",MAX(0,Übersicht!$Q$9-$F230),IF(Übersicht!$C$13="Ratendarlehen",Übersicht!$Q$10,IF($A230&gt;=Übersicht!$Q$11,$D230,0)))))</f>
        <v>1200.04</v>
      </c>
      <c r="H230" s="7">
        <f>IF($D230-$G230&lt;=0,0,IF(MOD($A230,Übersicht!$Q$6)=0,IF($A230/Übersicht!$Q$6&gt;=Übersicht!$C$21,MIN(Übersicht!$C$20,$D230-$G230),0),0))</f>
        <v>0</v>
      </c>
      <c r="I230" s="7">
        <f t="shared" si="20"/>
        <v>1400</v>
      </c>
      <c r="J230" s="22">
        <f t="shared" si="21"/>
        <v>65452.74</v>
      </c>
      <c r="K230" s="9" t="str">
        <f>IF($D230&lt;=0,"",IF($J230&lt;=0.005,"Volltilgung erreicht",IF($A230=Übersicht!$Q$13,"Ende der Zinsbindung",IF($H230&gt;0,"Sondertilgung",""))))</f>
        <v/>
      </c>
      <c r="L230" s="23">
        <f>IF($N229&lt;=0,0,ROUND($N229*Übersicht!$Q$7,2))</f>
        <v>427.75</v>
      </c>
      <c r="M230" s="23">
        <f>IF($N229&lt;=0,0,MIN($N229,IF(Übersicht!$C$13="Annuitätendarlehen",MAX(0,Übersicht!$Q$9-$L230),IF(Übersicht!$C$13="Ratendarlehen",Übersicht!$Q$10,IF($A230&gt;=Übersicht!$Q$11,$N229,0)))))</f>
        <v>972.25</v>
      </c>
      <c r="N230" s="23">
        <f t="shared" si="23"/>
        <v>141611.67000000001</v>
      </c>
    </row>
    <row r="231" spans="1:14" ht="15" customHeight="1" x14ac:dyDescent="0.25">
      <c r="A231" s="10">
        <v>224</v>
      </c>
      <c r="B231" s="24">
        <f>IF($D231&lt;=0,"",EDATE(Übersicht!$C$18,($A231-1)*12/Übersicht!$Q$6))</f>
        <v>52840</v>
      </c>
      <c r="C231" s="10">
        <f t="shared" si="18"/>
        <v>2044</v>
      </c>
      <c r="D231" s="25">
        <f t="shared" si="22"/>
        <v>65452.74</v>
      </c>
      <c r="E231" s="12">
        <f t="shared" si="19"/>
        <v>1400</v>
      </c>
      <c r="F231" s="12">
        <f>IF($D231&lt;=0,0,ROUND($D231*Übersicht!$Q$7,2))</f>
        <v>196.36</v>
      </c>
      <c r="G231" s="12">
        <f>IF($D231&lt;=0,0,MIN($D231,IF(Übersicht!$C$13="Annuitätendarlehen",MAX(0,Übersicht!$Q$9-$F231),IF(Übersicht!$C$13="Ratendarlehen",Übersicht!$Q$10,IF($A231&gt;=Übersicht!$Q$11,$D231,0)))))</f>
        <v>1203.6399999999999</v>
      </c>
      <c r="H231" s="12">
        <f>IF($D231-$G231&lt;=0,0,IF(MOD($A231,Übersicht!$Q$6)=0,IF($A231/Übersicht!$Q$6&gt;=Übersicht!$C$21,MIN(Übersicht!$C$20,$D231-$G231),0),0))</f>
        <v>0</v>
      </c>
      <c r="I231" s="12">
        <f t="shared" si="20"/>
        <v>1400</v>
      </c>
      <c r="J231" s="26">
        <f t="shared" si="21"/>
        <v>64249.1</v>
      </c>
      <c r="K231" s="14" t="str">
        <f>IF($D231&lt;=0,"",IF($J231&lt;=0.005,"Volltilgung erreicht",IF($A231=Übersicht!$Q$13,"Ende der Zinsbindung",IF($H231&gt;0,"Sondertilgung",""))))</f>
        <v/>
      </c>
      <c r="L231" s="23">
        <f>IF($N230&lt;=0,0,ROUND($N230*Übersicht!$Q$7,2))</f>
        <v>424.84</v>
      </c>
      <c r="M231" s="23">
        <f>IF($N230&lt;=0,0,MIN($N230,IF(Übersicht!$C$13="Annuitätendarlehen",MAX(0,Übersicht!$Q$9-$L231),IF(Übersicht!$C$13="Ratendarlehen",Übersicht!$Q$10,IF($A231&gt;=Übersicht!$Q$11,$N230,0)))))</f>
        <v>975.16000000000008</v>
      </c>
      <c r="N231" s="23">
        <f t="shared" si="23"/>
        <v>140636.51</v>
      </c>
    </row>
    <row r="232" spans="1:14" ht="15" customHeight="1" x14ac:dyDescent="0.25">
      <c r="A232" s="5">
        <v>225</v>
      </c>
      <c r="B232" s="20">
        <f>IF($D232&lt;=0,"",EDATE(Übersicht!$C$18,($A232-1)*12/Übersicht!$Q$6))</f>
        <v>52870</v>
      </c>
      <c r="C232" s="5">
        <f t="shared" si="18"/>
        <v>2044</v>
      </c>
      <c r="D232" s="21">
        <f t="shared" si="22"/>
        <v>64249.1</v>
      </c>
      <c r="E232" s="7">
        <f t="shared" si="19"/>
        <v>1400</v>
      </c>
      <c r="F232" s="7">
        <f>IF($D232&lt;=0,0,ROUND($D232*Übersicht!$Q$7,2))</f>
        <v>192.75</v>
      </c>
      <c r="G232" s="7">
        <f>IF($D232&lt;=0,0,MIN($D232,IF(Übersicht!$C$13="Annuitätendarlehen",MAX(0,Übersicht!$Q$9-$F232),IF(Übersicht!$C$13="Ratendarlehen",Übersicht!$Q$10,IF($A232&gt;=Übersicht!$Q$11,$D232,0)))))</f>
        <v>1207.25</v>
      </c>
      <c r="H232" s="7">
        <f>IF($D232-$G232&lt;=0,0,IF(MOD($A232,Übersicht!$Q$6)=0,IF($A232/Übersicht!$Q$6&gt;=Übersicht!$C$21,MIN(Übersicht!$C$20,$D232-$G232),0),0))</f>
        <v>0</v>
      </c>
      <c r="I232" s="7">
        <f t="shared" si="20"/>
        <v>1400</v>
      </c>
      <c r="J232" s="22">
        <f t="shared" si="21"/>
        <v>63041.85</v>
      </c>
      <c r="K232" s="9" t="str">
        <f>IF($D232&lt;=0,"",IF($J232&lt;=0.005,"Volltilgung erreicht",IF($A232=Übersicht!$Q$13,"Ende der Zinsbindung",IF($H232&gt;0,"Sondertilgung",""))))</f>
        <v/>
      </c>
      <c r="L232" s="23">
        <f>IF($N231&lt;=0,0,ROUND($N231*Übersicht!$Q$7,2))</f>
        <v>421.91</v>
      </c>
      <c r="M232" s="23">
        <f>IF($N231&lt;=0,0,MIN($N231,IF(Übersicht!$C$13="Annuitätendarlehen",MAX(0,Übersicht!$Q$9-$L232),IF(Übersicht!$C$13="Ratendarlehen",Übersicht!$Q$10,IF($A232&gt;=Übersicht!$Q$11,$N231,0)))))</f>
        <v>978.08999999999992</v>
      </c>
      <c r="N232" s="23">
        <f t="shared" si="23"/>
        <v>139658.42000000001</v>
      </c>
    </row>
    <row r="233" spans="1:14" ht="15" customHeight="1" x14ac:dyDescent="0.25">
      <c r="A233" s="10">
        <v>226</v>
      </c>
      <c r="B233" s="24">
        <f>IF($D233&lt;=0,"",EDATE(Übersicht!$C$18,($A233-1)*12/Übersicht!$Q$6))</f>
        <v>52901</v>
      </c>
      <c r="C233" s="10">
        <f t="shared" si="18"/>
        <v>2044</v>
      </c>
      <c r="D233" s="25">
        <f t="shared" si="22"/>
        <v>63041.85</v>
      </c>
      <c r="E233" s="12">
        <f t="shared" si="19"/>
        <v>1400</v>
      </c>
      <c r="F233" s="12">
        <f>IF($D233&lt;=0,0,ROUND($D233*Übersicht!$Q$7,2))</f>
        <v>189.13</v>
      </c>
      <c r="G233" s="12">
        <f>IF($D233&lt;=0,0,MIN($D233,IF(Übersicht!$C$13="Annuitätendarlehen",MAX(0,Übersicht!$Q$9-$F233),IF(Übersicht!$C$13="Ratendarlehen",Übersicht!$Q$10,IF($A233&gt;=Übersicht!$Q$11,$D233,0)))))</f>
        <v>1210.8699999999999</v>
      </c>
      <c r="H233" s="12">
        <f>IF($D233-$G233&lt;=0,0,IF(MOD($A233,Übersicht!$Q$6)=0,IF($A233/Übersicht!$Q$6&gt;=Übersicht!$C$21,MIN(Übersicht!$C$20,$D233-$G233),0),0))</f>
        <v>0</v>
      </c>
      <c r="I233" s="12">
        <f t="shared" si="20"/>
        <v>1400</v>
      </c>
      <c r="J233" s="26">
        <f t="shared" si="21"/>
        <v>61830.98</v>
      </c>
      <c r="K233" s="14" t="str">
        <f>IF($D233&lt;=0,"",IF($J233&lt;=0.005,"Volltilgung erreicht",IF($A233=Übersicht!$Q$13,"Ende der Zinsbindung",IF($H233&gt;0,"Sondertilgung",""))))</f>
        <v/>
      </c>
      <c r="L233" s="23">
        <f>IF($N232&lt;=0,0,ROUND($N232*Übersicht!$Q$7,2))</f>
        <v>418.98</v>
      </c>
      <c r="M233" s="23">
        <f>IF($N232&lt;=0,0,MIN($N232,IF(Übersicht!$C$13="Annuitätendarlehen",MAX(0,Übersicht!$Q$9-$L233),IF(Übersicht!$C$13="Ratendarlehen",Übersicht!$Q$10,IF($A233&gt;=Übersicht!$Q$11,$N232,0)))))</f>
        <v>981.02</v>
      </c>
      <c r="N233" s="23">
        <f t="shared" si="23"/>
        <v>138677.4</v>
      </c>
    </row>
    <row r="234" spans="1:14" ht="15" customHeight="1" x14ac:dyDescent="0.25">
      <c r="A234" s="5">
        <v>227</v>
      </c>
      <c r="B234" s="20">
        <f>IF($D234&lt;=0,"",EDATE(Übersicht!$C$18,($A234-1)*12/Übersicht!$Q$6))</f>
        <v>52931</v>
      </c>
      <c r="C234" s="5">
        <f t="shared" si="18"/>
        <v>2044</v>
      </c>
      <c r="D234" s="21">
        <f t="shared" si="22"/>
        <v>61830.98</v>
      </c>
      <c r="E234" s="7">
        <f t="shared" si="19"/>
        <v>1400</v>
      </c>
      <c r="F234" s="7">
        <f>IF($D234&lt;=0,0,ROUND($D234*Übersicht!$Q$7,2))</f>
        <v>185.49</v>
      </c>
      <c r="G234" s="7">
        <f>IF($D234&lt;=0,0,MIN($D234,IF(Übersicht!$C$13="Annuitätendarlehen",MAX(0,Übersicht!$Q$9-$F234),IF(Übersicht!$C$13="Ratendarlehen",Übersicht!$Q$10,IF($A234&gt;=Übersicht!$Q$11,$D234,0)))))</f>
        <v>1214.51</v>
      </c>
      <c r="H234" s="7">
        <f>IF($D234-$G234&lt;=0,0,IF(MOD($A234,Übersicht!$Q$6)=0,IF($A234/Übersicht!$Q$6&gt;=Übersicht!$C$21,MIN(Übersicht!$C$20,$D234-$G234),0),0))</f>
        <v>0</v>
      </c>
      <c r="I234" s="7">
        <f t="shared" si="20"/>
        <v>1400</v>
      </c>
      <c r="J234" s="22">
        <f t="shared" si="21"/>
        <v>60616.47</v>
      </c>
      <c r="K234" s="9" t="str">
        <f>IF($D234&lt;=0,"",IF($J234&lt;=0.005,"Volltilgung erreicht",IF($A234=Übersicht!$Q$13,"Ende der Zinsbindung",IF($H234&gt;0,"Sondertilgung",""))))</f>
        <v/>
      </c>
      <c r="L234" s="23">
        <f>IF($N233&lt;=0,0,ROUND($N233*Übersicht!$Q$7,2))</f>
        <v>416.03</v>
      </c>
      <c r="M234" s="23">
        <f>IF($N233&lt;=0,0,MIN($N233,IF(Übersicht!$C$13="Annuitätendarlehen",MAX(0,Übersicht!$Q$9-$L234),IF(Übersicht!$C$13="Ratendarlehen",Übersicht!$Q$10,IF($A234&gt;=Übersicht!$Q$11,$N233,0)))))</f>
        <v>983.97</v>
      </c>
      <c r="N234" s="23">
        <f t="shared" si="23"/>
        <v>137693.43</v>
      </c>
    </row>
    <row r="235" spans="1:14" ht="15" customHeight="1" x14ac:dyDescent="0.25">
      <c r="A235" s="10">
        <v>228</v>
      </c>
      <c r="B235" s="24">
        <f>IF($D235&lt;=0,"",EDATE(Übersicht!$C$18,($A235-1)*12/Übersicht!$Q$6))</f>
        <v>52962</v>
      </c>
      <c r="C235" s="10">
        <f t="shared" si="18"/>
        <v>2044</v>
      </c>
      <c r="D235" s="25">
        <f t="shared" si="22"/>
        <v>60616.47</v>
      </c>
      <c r="E235" s="12">
        <f t="shared" si="19"/>
        <v>1400</v>
      </c>
      <c r="F235" s="12">
        <f>IF($D235&lt;=0,0,ROUND($D235*Übersicht!$Q$7,2))</f>
        <v>181.85</v>
      </c>
      <c r="G235" s="12">
        <f>IF($D235&lt;=0,0,MIN($D235,IF(Übersicht!$C$13="Annuitätendarlehen",MAX(0,Übersicht!$Q$9-$F235),IF(Übersicht!$C$13="Ratendarlehen",Übersicht!$Q$10,IF($A235&gt;=Übersicht!$Q$11,$D235,0)))))</f>
        <v>1218.1500000000001</v>
      </c>
      <c r="H235" s="12">
        <f>IF($D235-$G235&lt;=0,0,IF(MOD($A235,Übersicht!$Q$6)=0,IF($A235/Übersicht!$Q$6&gt;=Übersicht!$C$21,MIN(Übersicht!$C$20,$D235-$G235),0),0))</f>
        <v>3000</v>
      </c>
      <c r="I235" s="12">
        <f t="shared" si="20"/>
        <v>4400</v>
      </c>
      <c r="J235" s="26">
        <f t="shared" si="21"/>
        <v>56398.32</v>
      </c>
      <c r="K235" s="14" t="str">
        <f>IF($D235&lt;=0,"",IF($J235&lt;=0.005,"Volltilgung erreicht",IF($A235=Übersicht!$Q$13,"Ende der Zinsbindung",IF($H235&gt;0,"Sondertilgung",""))))</f>
        <v>Sondertilgung</v>
      </c>
      <c r="L235" s="23">
        <f>IF($N234&lt;=0,0,ROUND($N234*Übersicht!$Q$7,2))</f>
        <v>413.08</v>
      </c>
      <c r="M235" s="23">
        <f>IF($N234&lt;=0,0,MIN($N234,IF(Übersicht!$C$13="Annuitätendarlehen",MAX(0,Übersicht!$Q$9-$L235),IF(Übersicht!$C$13="Ratendarlehen",Übersicht!$Q$10,IF($A235&gt;=Übersicht!$Q$11,$N234,0)))))</f>
        <v>986.92000000000007</v>
      </c>
      <c r="N235" s="23">
        <f t="shared" si="23"/>
        <v>136706.51</v>
      </c>
    </row>
    <row r="236" spans="1:14" ht="15" customHeight="1" x14ac:dyDescent="0.25">
      <c r="A236" s="5">
        <v>229</v>
      </c>
      <c r="B236" s="20">
        <f>IF($D236&lt;=0,"",EDATE(Übersicht!$C$18,($A236-1)*12/Übersicht!$Q$6))</f>
        <v>52993</v>
      </c>
      <c r="C236" s="5">
        <f t="shared" si="18"/>
        <v>2045</v>
      </c>
      <c r="D236" s="21">
        <f t="shared" si="22"/>
        <v>56398.32</v>
      </c>
      <c r="E236" s="7">
        <f t="shared" si="19"/>
        <v>1400</v>
      </c>
      <c r="F236" s="7">
        <f>IF($D236&lt;=0,0,ROUND($D236*Übersicht!$Q$7,2))</f>
        <v>169.19</v>
      </c>
      <c r="G236" s="7">
        <f>IF($D236&lt;=0,0,MIN($D236,IF(Übersicht!$C$13="Annuitätendarlehen",MAX(0,Übersicht!$Q$9-$F236),IF(Übersicht!$C$13="Ratendarlehen",Übersicht!$Q$10,IF($A236&gt;=Übersicht!$Q$11,$D236,0)))))</f>
        <v>1230.81</v>
      </c>
      <c r="H236" s="7">
        <f>IF($D236-$G236&lt;=0,0,IF(MOD($A236,Übersicht!$Q$6)=0,IF($A236/Übersicht!$Q$6&gt;=Übersicht!$C$21,MIN(Übersicht!$C$20,$D236-$G236),0),0))</f>
        <v>0</v>
      </c>
      <c r="I236" s="7">
        <f t="shared" si="20"/>
        <v>1400</v>
      </c>
      <c r="J236" s="22">
        <f t="shared" si="21"/>
        <v>55167.51</v>
      </c>
      <c r="K236" s="9" t="str">
        <f>IF($D236&lt;=0,"",IF($J236&lt;=0.005,"Volltilgung erreicht",IF($A236=Übersicht!$Q$13,"Ende der Zinsbindung",IF($H236&gt;0,"Sondertilgung",""))))</f>
        <v/>
      </c>
      <c r="L236" s="23">
        <f>IF($N235&lt;=0,0,ROUND($N235*Übersicht!$Q$7,2))</f>
        <v>410.12</v>
      </c>
      <c r="M236" s="23">
        <f>IF($N235&lt;=0,0,MIN($N235,IF(Übersicht!$C$13="Annuitätendarlehen",MAX(0,Übersicht!$Q$9-$L236),IF(Übersicht!$C$13="Ratendarlehen",Übersicht!$Q$10,IF($A236&gt;=Übersicht!$Q$11,$N235,0)))))</f>
        <v>989.88</v>
      </c>
      <c r="N236" s="23">
        <f t="shared" si="23"/>
        <v>135716.63</v>
      </c>
    </row>
    <row r="237" spans="1:14" ht="15" customHeight="1" x14ac:dyDescent="0.25">
      <c r="A237" s="10">
        <v>230</v>
      </c>
      <c r="B237" s="24">
        <f>IF($D237&lt;=0,"",EDATE(Übersicht!$C$18,($A237-1)*12/Übersicht!$Q$6))</f>
        <v>53021</v>
      </c>
      <c r="C237" s="10">
        <f t="shared" si="18"/>
        <v>2045</v>
      </c>
      <c r="D237" s="25">
        <f t="shared" si="22"/>
        <v>55167.51</v>
      </c>
      <c r="E237" s="12">
        <f t="shared" si="19"/>
        <v>1400</v>
      </c>
      <c r="F237" s="12">
        <f>IF($D237&lt;=0,0,ROUND($D237*Übersicht!$Q$7,2))</f>
        <v>165.5</v>
      </c>
      <c r="G237" s="12">
        <f>IF($D237&lt;=0,0,MIN($D237,IF(Übersicht!$C$13="Annuitätendarlehen",MAX(0,Übersicht!$Q$9-$F237),IF(Übersicht!$C$13="Ratendarlehen",Übersicht!$Q$10,IF($A237&gt;=Übersicht!$Q$11,$D237,0)))))</f>
        <v>1234.5</v>
      </c>
      <c r="H237" s="12">
        <f>IF($D237-$G237&lt;=0,0,IF(MOD($A237,Übersicht!$Q$6)=0,IF($A237/Übersicht!$Q$6&gt;=Übersicht!$C$21,MIN(Übersicht!$C$20,$D237-$G237),0),0))</f>
        <v>0</v>
      </c>
      <c r="I237" s="12">
        <f t="shared" si="20"/>
        <v>1400</v>
      </c>
      <c r="J237" s="26">
        <f t="shared" si="21"/>
        <v>53933.01</v>
      </c>
      <c r="K237" s="14" t="str">
        <f>IF($D237&lt;=0,"",IF($J237&lt;=0.005,"Volltilgung erreicht",IF($A237=Übersicht!$Q$13,"Ende der Zinsbindung",IF($H237&gt;0,"Sondertilgung",""))))</f>
        <v/>
      </c>
      <c r="L237" s="23">
        <f>IF($N236&lt;=0,0,ROUND($N236*Übersicht!$Q$7,2))</f>
        <v>407.15</v>
      </c>
      <c r="M237" s="23">
        <f>IF($N236&lt;=0,0,MIN($N236,IF(Übersicht!$C$13="Annuitätendarlehen",MAX(0,Übersicht!$Q$9-$L237),IF(Übersicht!$C$13="Ratendarlehen",Übersicht!$Q$10,IF($A237&gt;=Übersicht!$Q$11,$N236,0)))))</f>
        <v>992.85</v>
      </c>
      <c r="N237" s="23">
        <f t="shared" si="23"/>
        <v>134723.78</v>
      </c>
    </row>
    <row r="238" spans="1:14" ht="15" customHeight="1" x14ac:dyDescent="0.25">
      <c r="A238" s="5">
        <v>231</v>
      </c>
      <c r="B238" s="20">
        <f>IF($D238&lt;=0,"",EDATE(Übersicht!$C$18,($A238-1)*12/Übersicht!$Q$6))</f>
        <v>53052</v>
      </c>
      <c r="C238" s="5">
        <f t="shared" si="18"/>
        <v>2045</v>
      </c>
      <c r="D238" s="21">
        <f t="shared" si="22"/>
        <v>53933.01</v>
      </c>
      <c r="E238" s="7">
        <f t="shared" si="19"/>
        <v>1400</v>
      </c>
      <c r="F238" s="7">
        <f>IF($D238&lt;=0,0,ROUND($D238*Übersicht!$Q$7,2))</f>
        <v>161.80000000000001</v>
      </c>
      <c r="G238" s="7">
        <f>IF($D238&lt;=0,0,MIN($D238,IF(Übersicht!$C$13="Annuitätendarlehen",MAX(0,Übersicht!$Q$9-$F238),IF(Übersicht!$C$13="Ratendarlehen",Übersicht!$Q$10,IF($A238&gt;=Übersicht!$Q$11,$D238,0)))))</f>
        <v>1238.2</v>
      </c>
      <c r="H238" s="7">
        <f>IF($D238-$G238&lt;=0,0,IF(MOD($A238,Übersicht!$Q$6)=0,IF($A238/Übersicht!$Q$6&gt;=Übersicht!$C$21,MIN(Übersicht!$C$20,$D238-$G238),0),0))</f>
        <v>0</v>
      </c>
      <c r="I238" s="7">
        <f t="shared" si="20"/>
        <v>1400</v>
      </c>
      <c r="J238" s="22">
        <f t="shared" si="21"/>
        <v>52694.81</v>
      </c>
      <c r="K238" s="9" t="str">
        <f>IF($D238&lt;=0,"",IF($J238&lt;=0.005,"Volltilgung erreicht",IF($A238=Übersicht!$Q$13,"Ende der Zinsbindung",IF($H238&gt;0,"Sondertilgung",""))))</f>
        <v/>
      </c>
      <c r="L238" s="23">
        <f>IF($N237&lt;=0,0,ROUND($N237*Übersicht!$Q$7,2))</f>
        <v>404.17</v>
      </c>
      <c r="M238" s="23">
        <f>IF($N237&lt;=0,0,MIN($N237,IF(Übersicht!$C$13="Annuitätendarlehen",MAX(0,Übersicht!$Q$9-$L238),IF(Übersicht!$C$13="Ratendarlehen",Übersicht!$Q$10,IF($A238&gt;=Übersicht!$Q$11,$N237,0)))))</f>
        <v>995.82999999999993</v>
      </c>
      <c r="N238" s="23">
        <f t="shared" si="23"/>
        <v>133727.95000000001</v>
      </c>
    </row>
    <row r="239" spans="1:14" ht="15" customHeight="1" x14ac:dyDescent="0.25">
      <c r="A239" s="10">
        <v>232</v>
      </c>
      <c r="B239" s="24">
        <f>IF($D239&lt;=0,"",EDATE(Übersicht!$C$18,($A239-1)*12/Übersicht!$Q$6))</f>
        <v>53082</v>
      </c>
      <c r="C239" s="10">
        <f t="shared" si="18"/>
        <v>2045</v>
      </c>
      <c r="D239" s="25">
        <f t="shared" si="22"/>
        <v>52694.81</v>
      </c>
      <c r="E239" s="12">
        <f t="shared" si="19"/>
        <v>1400</v>
      </c>
      <c r="F239" s="12">
        <f>IF($D239&lt;=0,0,ROUND($D239*Übersicht!$Q$7,2))</f>
        <v>158.08000000000001</v>
      </c>
      <c r="G239" s="12">
        <f>IF($D239&lt;=0,0,MIN($D239,IF(Übersicht!$C$13="Annuitätendarlehen",MAX(0,Übersicht!$Q$9-$F239),IF(Übersicht!$C$13="Ratendarlehen",Übersicht!$Q$10,IF($A239&gt;=Übersicht!$Q$11,$D239,0)))))</f>
        <v>1241.92</v>
      </c>
      <c r="H239" s="12">
        <f>IF($D239-$G239&lt;=0,0,IF(MOD($A239,Übersicht!$Q$6)=0,IF($A239/Übersicht!$Q$6&gt;=Übersicht!$C$21,MIN(Übersicht!$C$20,$D239-$G239),0),0))</f>
        <v>0</v>
      </c>
      <c r="I239" s="12">
        <f t="shared" si="20"/>
        <v>1400</v>
      </c>
      <c r="J239" s="26">
        <f t="shared" si="21"/>
        <v>51452.89</v>
      </c>
      <c r="K239" s="14" t="str">
        <f>IF($D239&lt;=0,"",IF($J239&lt;=0.005,"Volltilgung erreicht",IF($A239=Übersicht!$Q$13,"Ende der Zinsbindung",IF($H239&gt;0,"Sondertilgung",""))))</f>
        <v/>
      </c>
      <c r="L239" s="23">
        <f>IF($N238&lt;=0,0,ROUND($N238*Übersicht!$Q$7,2))</f>
        <v>401.18</v>
      </c>
      <c r="M239" s="23">
        <f>IF($N238&lt;=0,0,MIN($N238,IF(Übersicht!$C$13="Annuitätendarlehen",MAX(0,Übersicht!$Q$9-$L239),IF(Übersicht!$C$13="Ratendarlehen",Übersicht!$Q$10,IF($A239&gt;=Übersicht!$Q$11,$N238,0)))))</f>
        <v>998.81999999999994</v>
      </c>
      <c r="N239" s="23">
        <f t="shared" si="23"/>
        <v>132729.13</v>
      </c>
    </row>
    <row r="240" spans="1:14" ht="15" customHeight="1" x14ac:dyDescent="0.25">
      <c r="A240" s="5">
        <v>233</v>
      </c>
      <c r="B240" s="20">
        <f>IF($D240&lt;=0,"",EDATE(Übersicht!$C$18,($A240-1)*12/Übersicht!$Q$6))</f>
        <v>53113</v>
      </c>
      <c r="C240" s="5">
        <f t="shared" si="18"/>
        <v>2045</v>
      </c>
      <c r="D240" s="21">
        <f t="shared" si="22"/>
        <v>51452.89</v>
      </c>
      <c r="E240" s="7">
        <f t="shared" si="19"/>
        <v>1400</v>
      </c>
      <c r="F240" s="7">
        <f>IF($D240&lt;=0,0,ROUND($D240*Übersicht!$Q$7,2))</f>
        <v>154.36000000000001</v>
      </c>
      <c r="G240" s="7">
        <f>IF($D240&lt;=0,0,MIN($D240,IF(Übersicht!$C$13="Annuitätendarlehen",MAX(0,Übersicht!$Q$9-$F240),IF(Übersicht!$C$13="Ratendarlehen",Übersicht!$Q$10,IF($A240&gt;=Übersicht!$Q$11,$D240,0)))))</f>
        <v>1245.6399999999999</v>
      </c>
      <c r="H240" s="7">
        <f>IF($D240-$G240&lt;=0,0,IF(MOD($A240,Übersicht!$Q$6)=0,IF($A240/Übersicht!$Q$6&gt;=Übersicht!$C$21,MIN(Übersicht!$C$20,$D240-$G240),0),0))</f>
        <v>0</v>
      </c>
      <c r="I240" s="7">
        <f t="shared" si="20"/>
        <v>1400</v>
      </c>
      <c r="J240" s="22">
        <f t="shared" si="21"/>
        <v>50207.25</v>
      </c>
      <c r="K240" s="9" t="str">
        <f>IF($D240&lt;=0,"",IF($J240&lt;=0.005,"Volltilgung erreicht",IF($A240=Übersicht!$Q$13,"Ende der Zinsbindung",IF($H240&gt;0,"Sondertilgung",""))))</f>
        <v/>
      </c>
      <c r="L240" s="23">
        <f>IF($N239&lt;=0,0,ROUND($N239*Übersicht!$Q$7,2))</f>
        <v>398.19</v>
      </c>
      <c r="M240" s="23">
        <f>IF($N239&lt;=0,0,MIN($N239,IF(Übersicht!$C$13="Annuitätendarlehen",MAX(0,Übersicht!$Q$9-$L240),IF(Übersicht!$C$13="Ratendarlehen",Übersicht!$Q$10,IF($A240&gt;=Übersicht!$Q$11,$N239,0)))))</f>
        <v>1001.81</v>
      </c>
      <c r="N240" s="23">
        <f t="shared" si="23"/>
        <v>131727.32</v>
      </c>
    </row>
    <row r="241" spans="1:14" ht="15" customHeight="1" x14ac:dyDescent="0.25">
      <c r="A241" s="10">
        <v>234</v>
      </c>
      <c r="B241" s="24">
        <f>IF($D241&lt;=0,"",EDATE(Übersicht!$C$18,($A241-1)*12/Übersicht!$Q$6))</f>
        <v>53143</v>
      </c>
      <c r="C241" s="10">
        <f t="shared" si="18"/>
        <v>2045</v>
      </c>
      <c r="D241" s="25">
        <f t="shared" si="22"/>
        <v>50207.25</v>
      </c>
      <c r="E241" s="12">
        <f t="shared" si="19"/>
        <v>1400</v>
      </c>
      <c r="F241" s="12">
        <f>IF($D241&lt;=0,0,ROUND($D241*Übersicht!$Q$7,2))</f>
        <v>150.62</v>
      </c>
      <c r="G241" s="12">
        <f>IF($D241&lt;=0,0,MIN($D241,IF(Übersicht!$C$13="Annuitätendarlehen",MAX(0,Übersicht!$Q$9-$F241),IF(Übersicht!$C$13="Ratendarlehen",Übersicht!$Q$10,IF($A241&gt;=Übersicht!$Q$11,$D241,0)))))</f>
        <v>1249.3800000000001</v>
      </c>
      <c r="H241" s="12">
        <f>IF($D241-$G241&lt;=0,0,IF(MOD($A241,Übersicht!$Q$6)=0,IF($A241/Übersicht!$Q$6&gt;=Übersicht!$C$21,MIN(Übersicht!$C$20,$D241-$G241),0),0))</f>
        <v>0</v>
      </c>
      <c r="I241" s="12">
        <f t="shared" si="20"/>
        <v>1400</v>
      </c>
      <c r="J241" s="26">
        <f t="shared" si="21"/>
        <v>48957.87</v>
      </c>
      <c r="K241" s="14" t="str">
        <f>IF($D241&lt;=0,"",IF($J241&lt;=0.005,"Volltilgung erreicht",IF($A241=Übersicht!$Q$13,"Ende der Zinsbindung",IF($H241&gt;0,"Sondertilgung",""))))</f>
        <v/>
      </c>
      <c r="L241" s="23">
        <f>IF($N240&lt;=0,0,ROUND($N240*Übersicht!$Q$7,2))</f>
        <v>395.18</v>
      </c>
      <c r="M241" s="23">
        <f>IF($N240&lt;=0,0,MIN($N240,IF(Übersicht!$C$13="Annuitätendarlehen",MAX(0,Übersicht!$Q$9-$L241),IF(Übersicht!$C$13="Ratendarlehen",Übersicht!$Q$10,IF($A241&gt;=Übersicht!$Q$11,$N240,0)))))</f>
        <v>1004.8199999999999</v>
      </c>
      <c r="N241" s="23">
        <f t="shared" si="23"/>
        <v>130722.5</v>
      </c>
    </row>
    <row r="242" spans="1:14" ht="15" customHeight="1" x14ac:dyDescent="0.25">
      <c r="A242" s="5">
        <v>235</v>
      </c>
      <c r="B242" s="20">
        <f>IF($D242&lt;=0,"",EDATE(Übersicht!$C$18,($A242-1)*12/Übersicht!$Q$6))</f>
        <v>53174</v>
      </c>
      <c r="C242" s="5">
        <f t="shared" si="18"/>
        <v>2045</v>
      </c>
      <c r="D242" s="21">
        <f t="shared" si="22"/>
        <v>48957.87</v>
      </c>
      <c r="E242" s="7">
        <f t="shared" si="19"/>
        <v>1400</v>
      </c>
      <c r="F242" s="7">
        <f>IF($D242&lt;=0,0,ROUND($D242*Übersicht!$Q$7,2))</f>
        <v>146.87</v>
      </c>
      <c r="G242" s="7">
        <f>IF($D242&lt;=0,0,MIN($D242,IF(Übersicht!$C$13="Annuitätendarlehen",MAX(0,Übersicht!$Q$9-$F242),IF(Übersicht!$C$13="Ratendarlehen",Übersicht!$Q$10,IF($A242&gt;=Übersicht!$Q$11,$D242,0)))))</f>
        <v>1253.1300000000001</v>
      </c>
      <c r="H242" s="7">
        <f>IF($D242-$G242&lt;=0,0,IF(MOD($A242,Übersicht!$Q$6)=0,IF($A242/Übersicht!$Q$6&gt;=Übersicht!$C$21,MIN(Übersicht!$C$20,$D242-$G242),0),0))</f>
        <v>0</v>
      </c>
      <c r="I242" s="7">
        <f t="shared" si="20"/>
        <v>1400</v>
      </c>
      <c r="J242" s="22">
        <f t="shared" si="21"/>
        <v>47704.74</v>
      </c>
      <c r="K242" s="9" t="str">
        <f>IF($D242&lt;=0,"",IF($J242&lt;=0.005,"Volltilgung erreicht",IF($A242=Übersicht!$Q$13,"Ende der Zinsbindung",IF($H242&gt;0,"Sondertilgung",""))))</f>
        <v/>
      </c>
      <c r="L242" s="23">
        <f>IF($N241&lt;=0,0,ROUND($N241*Übersicht!$Q$7,2))</f>
        <v>392.17</v>
      </c>
      <c r="M242" s="23">
        <f>IF($N241&lt;=0,0,MIN($N241,IF(Übersicht!$C$13="Annuitätendarlehen",MAX(0,Übersicht!$Q$9-$L242),IF(Übersicht!$C$13="Ratendarlehen",Übersicht!$Q$10,IF($A242&gt;=Übersicht!$Q$11,$N241,0)))))</f>
        <v>1007.8299999999999</v>
      </c>
      <c r="N242" s="23">
        <f t="shared" si="23"/>
        <v>129714.67</v>
      </c>
    </row>
    <row r="243" spans="1:14" ht="15" customHeight="1" x14ac:dyDescent="0.25">
      <c r="A243" s="10">
        <v>236</v>
      </c>
      <c r="B243" s="24">
        <f>IF($D243&lt;=0,"",EDATE(Übersicht!$C$18,($A243-1)*12/Übersicht!$Q$6))</f>
        <v>53205</v>
      </c>
      <c r="C243" s="10">
        <f t="shared" si="18"/>
        <v>2045</v>
      </c>
      <c r="D243" s="25">
        <f t="shared" si="22"/>
        <v>47704.74</v>
      </c>
      <c r="E243" s="12">
        <f t="shared" si="19"/>
        <v>1400</v>
      </c>
      <c r="F243" s="12">
        <f>IF($D243&lt;=0,0,ROUND($D243*Übersicht!$Q$7,2))</f>
        <v>143.11000000000001</v>
      </c>
      <c r="G243" s="12">
        <f>IF($D243&lt;=0,0,MIN($D243,IF(Übersicht!$C$13="Annuitätendarlehen",MAX(0,Übersicht!$Q$9-$F243),IF(Übersicht!$C$13="Ratendarlehen",Übersicht!$Q$10,IF($A243&gt;=Übersicht!$Q$11,$D243,0)))))</f>
        <v>1256.8899999999999</v>
      </c>
      <c r="H243" s="12">
        <f>IF($D243-$G243&lt;=0,0,IF(MOD($A243,Übersicht!$Q$6)=0,IF($A243/Übersicht!$Q$6&gt;=Übersicht!$C$21,MIN(Übersicht!$C$20,$D243-$G243),0),0))</f>
        <v>0</v>
      </c>
      <c r="I243" s="12">
        <f t="shared" si="20"/>
        <v>1400</v>
      </c>
      <c r="J243" s="26">
        <f t="shared" si="21"/>
        <v>46447.85</v>
      </c>
      <c r="K243" s="14" t="str">
        <f>IF($D243&lt;=0,"",IF($J243&lt;=0.005,"Volltilgung erreicht",IF($A243=Übersicht!$Q$13,"Ende der Zinsbindung",IF($H243&gt;0,"Sondertilgung",""))))</f>
        <v/>
      </c>
      <c r="L243" s="23">
        <f>IF($N242&lt;=0,0,ROUND($N242*Übersicht!$Q$7,2))</f>
        <v>389.14</v>
      </c>
      <c r="M243" s="23">
        <f>IF($N242&lt;=0,0,MIN($N242,IF(Übersicht!$C$13="Annuitätendarlehen",MAX(0,Übersicht!$Q$9-$L243),IF(Übersicht!$C$13="Ratendarlehen",Übersicht!$Q$10,IF($A243&gt;=Übersicht!$Q$11,$N242,0)))))</f>
        <v>1010.86</v>
      </c>
      <c r="N243" s="23">
        <f t="shared" si="23"/>
        <v>128703.81</v>
      </c>
    </row>
    <row r="244" spans="1:14" ht="15" customHeight="1" x14ac:dyDescent="0.25">
      <c r="A244" s="5">
        <v>237</v>
      </c>
      <c r="B244" s="20">
        <f>IF($D244&lt;=0,"",EDATE(Übersicht!$C$18,($A244-1)*12/Übersicht!$Q$6))</f>
        <v>53235</v>
      </c>
      <c r="C244" s="5">
        <f t="shared" si="18"/>
        <v>2045</v>
      </c>
      <c r="D244" s="21">
        <f t="shared" si="22"/>
        <v>46447.85</v>
      </c>
      <c r="E244" s="7">
        <f t="shared" si="19"/>
        <v>1400</v>
      </c>
      <c r="F244" s="7">
        <f>IF($D244&lt;=0,0,ROUND($D244*Übersicht!$Q$7,2))</f>
        <v>139.34</v>
      </c>
      <c r="G244" s="7">
        <f>IF($D244&lt;=0,0,MIN($D244,IF(Übersicht!$C$13="Annuitätendarlehen",MAX(0,Übersicht!$Q$9-$F244),IF(Übersicht!$C$13="Ratendarlehen",Übersicht!$Q$10,IF($A244&gt;=Übersicht!$Q$11,$D244,0)))))</f>
        <v>1260.6600000000001</v>
      </c>
      <c r="H244" s="7">
        <f>IF($D244-$G244&lt;=0,0,IF(MOD($A244,Übersicht!$Q$6)=0,IF($A244/Übersicht!$Q$6&gt;=Übersicht!$C$21,MIN(Übersicht!$C$20,$D244-$G244),0),0))</f>
        <v>0</v>
      </c>
      <c r="I244" s="7">
        <f t="shared" si="20"/>
        <v>1400</v>
      </c>
      <c r="J244" s="22">
        <f t="shared" si="21"/>
        <v>45187.19</v>
      </c>
      <c r="K244" s="9" t="str">
        <f>IF($D244&lt;=0,"",IF($J244&lt;=0.005,"Volltilgung erreicht",IF($A244=Übersicht!$Q$13,"Ende der Zinsbindung",IF($H244&gt;0,"Sondertilgung",""))))</f>
        <v/>
      </c>
      <c r="L244" s="23">
        <f>IF($N243&lt;=0,0,ROUND($N243*Übersicht!$Q$7,2))</f>
        <v>386.11</v>
      </c>
      <c r="M244" s="23">
        <f>IF($N243&lt;=0,0,MIN($N243,IF(Übersicht!$C$13="Annuitätendarlehen",MAX(0,Übersicht!$Q$9-$L244),IF(Übersicht!$C$13="Ratendarlehen",Übersicht!$Q$10,IF($A244&gt;=Übersicht!$Q$11,$N243,0)))))</f>
        <v>1013.89</v>
      </c>
      <c r="N244" s="23">
        <f t="shared" si="23"/>
        <v>127689.92</v>
      </c>
    </row>
    <row r="245" spans="1:14" ht="15" customHeight="1" x14ac:dyDescent="0.25">
      <c r="A245" s="10">
        <v>238</v>
      </c>
      <c r="B245" s="24">
        <f>IF($D245&lt;=0,"",EDATE(Übersicht!$C$18,($A245-1)*12/Übersicht!$Q$6))</f>
        <v>53266</v>
      </c>
      <c r="C245" s="10">
        <f t="shared" si="18"/>
        <v>2045</v>
      </c>
      <c r="D245" s="25">
        <f t="shared" si="22"/>
        <v>45187.19</v>
      </c>
      <c r="E245" s="12">
        <f t="shared" si="19"/>
        <v>1400</v>
      </c>
      <c r="F245" s="12">
        <f>IF($D245&lt;=0,0,ROUND($D245*Übersicht!$Q$7,2))</f>
        <v>135.56</v>
      </c>
      <c r="G245" s="12">
        <f>IF($D245&lt;=0,0,MIN($D245,IF(Übersicht!$C$13="Annuitätendarlehen",MAX(0,Übersicht!$Q$9-$F245),IF(Übersicht!$C$13="Ratendarlehen",Übersicht!$Q$10,IF($A245&gt;=Übersicht!$Q$11,$D245,0)))))</f>
        <v>1264.44</v>
      </c>
      <c r="H245" s="12">
        <f>IF($D245-$G245&lt;=0,0,IF(MOD($A245,Übersicht!$Q$6)=0,IF($A245/Übersicht!$Q$6&gt;=Übersicht!$C$21,MIN(Übersicht!$C$20,$D245-$G245),0),0))</f>
        <v>0</v>
      </c>
      <c r="I245" s="12">
        <f t="shared" si="20"/>
        <v>1400</v>
      </c>
      <c r="J245" s="26">
        <f t="shared" si="21"/>
        <v>43922.75</v>
      </c>
      <c r="K245" s="14" t="str">
        <f>IF($D245&lt;=0,"",IF($J245&lt;=0.005,"Volltilgung erreicht",IF($A245=Übersicht!$Q$13,"Ende der Zinsbindung",IF($H245&gt;0,"Sondertilgung",""))))</f>
        <v/>
      </c>
      <c r="L245" s="23">
        <f>IF($N244&lt;=0,0,ROUND($N244*Übersicht!$Q$7,2))</f>
        <v>383.07</v>
      </c>
      <c r="M245" s="23">
        <f>IF($N244&lt;=0,0,MIN($N244,IF(Übersicht!$C$13="Annuitätendarlehen",MAX(0,Übersicht!$Q$9-$L245),IF(Übersicht!$C$13="Ratendarlehen",Übersicht!$Q$10,IF($A245&gt;=Übersicht!$Q$11,$N244,0)))))</f>
        <v>1016.9300000000001</v>
      </c>
      <c r="N245" s="23">
        <f t="shared" si="23"/>
        <v>126672.99</v>
      </c>
    </row>
    <row r="246" spans="1:14" ht="15" customHeight="1" x14ac:dyDescent="0.25">
      <c r="A246" s="5">
        <v>239</v>
      </c>
      <c r="B246" s="20">
        <f>IF($D246&lt;=0,"",EDATE(Übersicht!$C$18,($A246-1)*12/Übersicht!$Q$6))</f>
        <v>53296</v>
      </c>
      <c r="C246" s="5">
        <f t="shared" si="18"/>
        <v>2045</v>
      </c>
      <c r="D246" s="21">
        <f t="shared" si="22"/>
        <v>43922.75</v>
      </c>
      <c r="E246" s="7">
        <f t="shared" si="19"/>
        <v>1400</v>
      </c>
      <c r="F246" s="7">
        <f>IF($D246&lt;=0,0,ROUND($D246*Übersicht!$Q$7,2))</f>
        <v>131.77000000000001</v>
      </c>
      <c r="G246" s="7">
        <f>IF($D246&lt;=0,0,MIN($D246,IF(Übersicht!$C$13="Annuitätendarlehen",MAX(0,Übersicht!$Q$9-$F246),IF(Übersicht!$C$13="Ratendarlehen",Übersicht!$Q$10,IF($A246&gt;=Übersicht!$Q$11,$D246,0)))))</f>
        <v>1268.23</v>
      </c>
      <c r="H246" s="7">
        <f>IF($D246-$G246&lt;=0,0,IF(MOD($A246,Übersicht!$Q$6)=0,IF($A246/Übersicht!$Q$6&gt;=Übersicht!$C$21,MIN(Übersicht!$C$20,$D246-$G246),0),0))</f>
        <v>0</v>
      </c>
      <c r="I246" s="7">
        <f t="shared" si="20"/>
        <v>1400</v>
      </c>
      <c r="J246" s="22">
        <f t="shared" si="21"/>
        <v>42654.52</v>
      </c>
      <c r="K246" s="9" t="str">
        <f>IF($D246&lt;=0,"",IF($J246&lt;=0.005,"Volltilgung erreicht",IF($A246=Übersicht!$Q$13,"Ende der Zinsbindung",IF($H246&gt;0,"Sondertilgung",""))))</f>
        <v/>
      </c>
      <c r="L246" s="23">
        <f>IF($N245&lt;=0,0,ROUND($N245*Übersicht!$Q$7,2))</f>
        <v>380.02</v>
      </c>
      <c r="M246" s="23">
        <f>IF($N245&lt;=0,0,MIN($N245,IF(Übersicht!$C$13="Annuitätendarlehen",MAX(0,Übersicht!$Q$9-$L246),IF(Übersicht!$C$13="Ratendarlehen",Übersicht!$Q$10,IF($A246&gt;=Übersicht!$Q$11,$N245,0)))))</f>
        <v>1019.98</v>
      </c>
      <c r="N246" s="23">
        <f t="shared" si="23"/>
        <v>125653.01</v>
      </c>
    </row>
    <row r="247" spans="1:14" ht="15" customHeight="1" x14ac:dyDescent="0.25">
      <c r="A247" s="10">
        <v>240</v>
      </c>
      <c r="B247" s="24">
        <f>IF($D247&lt;=0,"",EDATE(Übersicht!$C$18,($A247-1)*12/Übersicht!$Q$6))</f>
        <v>53327</v>
      </c>
      <c r="C247" s="10">
        <f t="shared" si="18"/>
        <v>2045</v>
      </c>
      <c r="D247" s="25">
        <f t="shared" si="22"/>
        <v>42654.52</v>
      </c>
      <c r="E247" s="12">
        <f t="shared" si="19"/>
        <v>1400</v>
      </c>
      <c r="F247" s="12">
        <f>IF($D247&lt;=0,0,ROUND($D247*Übersicht!$Q$7,2))</f>
        <v>127.96</v>
      </c>
      <c r="G247" s="12">
        <f>IF($D247&lt;=0,0,MIN($D247,IF(Übersicht!$C$13="Annuitätendarlehen",MAX(0,Übersicht!$Q$9-$F247),IF(Übersicht!$C$13="Ratendarlehen",Übersicht!$Q$10,IF($A247&gt;=Übersicht!$Q$11,$D247,0)))))</f>
        <v>1272.04</v>
      </c>
      <c r="H247" s="12">
        <f>IF($D247-$G247&lt;=0,0,IF(MOD($A247,Übersicht!$Q$6)=0,IF($A247/Übersicht!$Q$6&gt;=Übersicht!$C$21,MIN(Übersicht!$C$20,$D247-$G247),0),0))</f>
        <v>3000</v>
      </c>
      <c r="I247" s="12">
        <f t="shared" si="20"/>
        <v>4400</v>
      </c>
      <c r="J247" s="26">
        <f t="shared" si="21"/>
        <v>38382.480000000003</v>
      </c>
      <c r="K247" s="14" t="str">
        <f>IF($D247&lt;=0,"",IF($J247&lt;=0.005,"Volltilgung erreicht",IF($A247=Übersicht!$Q$13,"Ende der Zinsbindung",IF($H247&gt;0,"Sondertilgung",""))))</f>
        <v>Sondertilgung</v>
      </c>
      <c r="L247" s="23">
        <f>IF($N246&lt;=0,0,ROUND($N246*Übersicht!$Q$7,2))</f>
        <v>376.96</v>
      </c>
      <c r="M247" s="23">
        <f>IF($N246&lt;=0,0,MIN($N246,IF(Übersicht!$C$13="Annuitätendarlehen",MAX(0,Übersicht!$Q$9-$L247),IF(Übersicht!$C$13="Ratendarlehen",Übersicht!$Q$10,IF($A247&gt;=Übersicht!$Q$11,$N246,0)))))</f>
        <v>1023.04</v>
      </c>
      <c r="N247" s="23">
        <f t="shared" si="23"/>
        <v>124629.97</v>
      </c>
    </row>
    <row r="248" spans="1:14" ht="15" customHeight="1" x14ac:dyDescent="0.25">
      <c r="A248" s="5">
        <v>241</v>
      </c>
      <c r="B248" s="20">
        <f>IF($D248&lt;=0,"",EDATE(Übersicht!$C$18,($A248-1)*12/Übersicht!$Q$6))</f>
        <v>53358</v>
      </c>
      <c r="C248" s="5">
        <f t="shared" si="18"/>
        <v>2046</v>
      </c>
      <c r="D248" s="21">
        <f t="shared" si="22"/>
        <v>38382.480000000003</v>
      </c>
      <c r="E248" s="7">
        <f t="shared" si="19"/>
        <v>1400</v>
      </c>
      <c r="F248" s="7">
        <f>IF($D248&lt;=0,0,ROUND($D248*Übersicht!$Q$7,2))</f>
        <v>115.15</v>
      </c>
      <c r="G248" s="7">
        <f>IF($D248&lt;=0,0,MIN($D248,IF(Übersicht!$C$13="Annuitätendarlehen",MAX(0,Übersicht!$Q$9-$F248),IF(Übersicht!$C$13="Ratendarlehen",Übersicht!$Q$10,IF($A248&gt;=Übersicht!$Q$11,$D248,0)))))</f>
        <v>1284.8499999999999</v>
      </c>
      <c r="H248" s="7">
        <f>IF($D248-$G248&lt;=0,0,IF(MOD($A248,Übersicht!$Q$6)=0,IF($A248/Übersicht!$Q$6&gt;=Übersicht!$C$21,MIN(Übersicht!$C$20,$D248-$G248),0),0))</f>
        <v>0</v>
      </c>
      <c r="I248" s="7">
        <f t="shared" si="20"/>
        <v>1400</v>
      </c>
      <c r="J248" s="22">
        <f t="shared" si="21"/>
        <v>37097.629999999997</v>
      </c>
      <c r="K248" s="9" t="str">
        <f>IF($D248&lt;=0,"",IF($J248&lt;=0.005,"Volltilgung erreicht",IF($A248=Übersicht!$Q$13,"Ende der Zinsbindung",IF($H248&gt;0,"Sondertilgung",""))))</f>
        <v/>
      </c>
      <c r="L248" s="23">
        <f>IF($N247&lt;=0,0,ROUND($N247*Übersicht!$Q$7,2))</f>
        <v>373.89</v>
      </c>
      <c r="M248" s="23">
        <f>IF($N247&lt;=0,0,MIN($N247,IF(Übersicht!$C$13="Annuitätendarlehen",MAX(0,Übersicht!$Q$9-$L248),IF(Übersicht!$C$13="Ratendarlehen",Übersicht!$Q$10,IF($A248&gt;=Übersicht!$Q$11,$N247,0)))))</f>
        <v>1026.1100000000001</v>
      </c>
      <c r="N248" s="23">
        <f t="shared" si="23"/>
        <v>123603.86</v>
      </c>
    </row>
    <row r="249" spans="1:14" ht="15" customHeight="1" x14ac:dyDescent="0.25">
      <c r="A249" s="10">
        <v>242</v>
      </c>
      <c r="B249" s="24">
        <f>IF($D249&lt;=0,"",EDATE(Übersicht!$C$18,($A249-1)*12/Übersicht!$Q$6))</f>
        <v>53386</v>
      </c>
      <c r="C249" s="10">
        <f t="shared" si="18"/>
        <v>2046</v>
      </c>
      <c r="D249" s="25">
        <f t="shared" si="22"/>
        <v>37097.629999999997</v>
      </c>
      <c r="E249" s="12">
        <f t="shared" si="19"/>
        <v>1400</v>
      </c>
      <c r="F249" s="12">
        <f>IF($D249&lt;=0,0,ROUND($D249*Übersicht!$Q$7,2))</f>
        <v>111.29</v>
      </c>
      <c r="G249" s="12">
        <f>IF($D249&lt;=0,0,MIN($D249,IF(Übersicht!$C$13="Annuitätendarlehen",MAX(0,Übersicht!$Q$9-$F249),IF(Übersicht!$C$13="Ratendarlehen",Übersicht!$Q$10,IF($A249&gt;=Übersicht!$Q$11,$D249,0)))))</f>
        <v>1288.71</v>
      </c>
      <c r="H249" s="12">
        <f>IF($D249-$G249&lt;=0,0,IF(MOD($A249,Übersicht!$Q$6)=0,IF($A249/Übersicht!$Q$6&gt;=Übersicht!$C$21,MIN(Übersicht!$C$20,$D249-$G249),0),0))</f>
        <v>0</v>
      </c>
      <c r="I249" s="12">
        <f t="shared" si="20"/>
        <v>1400</v>
      </c>
      <c r="J249" s="26">
        <f t="shared" si="21"/>
        <v>35808.92</v>
      </c>
      <c r="K249" s="14" t="str">
        <f>IF($D249&lt;=0,"",IF($J249&lt;=0.005,"Volltilgung erreicht",IF($A249=Übersicht!$Q$13,"Ende der Zinsbindung",IF($H249&gt;0,"Sondertilgung",""))))</f>
        <v/>
      </c>
      <c r="L249" s="23">
        <f>IF($N248&lt;=0,0,ROUND($N248*Übersicht!$Q$7,2))</f>
        <v>370.81</v>
      </c>
      <c r="M249" s="23">
        <f>IF($N248&lt;=0,0,MIN($N248,IF(Übersicht!$C$13="Annuitätendarlehen",MAX(0,Übersicht!$Q$9-$L249),IF(Übersicht!$C$13="Ratendarlehen",Übersicht!$Q$10,IF($A249&gt;=Übersicht!$Q$11,$N248,0)))))</f>
        <v>1029.19</v>
      </c>
      <c r="N249" s="23">
        <f t="shared" si="23"/>
        <v>122574.67</v>
      </c>
    </row>
    <row r="250" spans="1:14" ht="15" customHeight="1" x14ac:dyDescent="0.25">
      <c r="A250" s="5">
        <v>243</v>
      </c>
      <c r="B250" s="20">
        <f>IF($D250&lt;=0,"",EDATE(Übersicht!$C$18,($A250-1)*12/Übersicht!$Q$6))</f>
        <v>53417</v>
      </c>
      <c r="C250" s="5">
        <f t="shared" si="18"/>
        <v>2046</v>
      </c>
      <c r="D250" s="21">
        <f t="shared" si="22"/>
        <v>35808.92</v>
      </c>
      <c r="E250" s="7">
        <f t="shared" si="19"/>
        <v>1400</v>
      </c>
      <c r="F250" s="7">
        <f>IF($D250&lt;=0,0,ROUND($D250*Übersicht!$Q$7,2))</f>
        <v>107.43</v>
      </c>
      <c r="G250" s="7">
        <f>IF($D250&lt;=0,0,MIN($D250,IF(Übersicht!$C$13="Annuitätendarlehen",MAX(0,Übersicht!$Q$9-$F250),IF(Übersicht!$C$13="Ratendarlehen",Übersicht!$Q$10,IF($A250&gt;=Übersicht!$Q$11,$D250,0)))))</f>
        <v>1292.57</v>
      </c>
      <c r="H250" s="7">
        <f>IF($D250-$G250&lt;=0,0,IF(MOD($A250,Übersicht!$Q$6)=0,IF($A250/Übersicht!$Q$6&gt;=Übersicht!$C$21,MIN(Übersicht!$C$20,$D250-$G250),0),0))</f>
        <v>0</v>
      </c>
      <c r="I250" s="7">
        <f t="shared" si="20"/>
        <v>1400</v>
      </c>
      <c r="J250" s="22">
        <f t="shared" si="21"/>
        <v>34516.35</v>
      </c>
      <c r="K250" s="9" t="str">
        <f>IF($D250&lt;=0,"",IF($J250&lt;=0.005,"Volltilgung erreicht",IF($A250=Übersicht!$Q$13,"Ende der Zinsbindung",IF($H250&gt;0,"Sondertilgung",""))))</f>
        <v/>
      </c>
      <c r="L250" s="23">
        <f>IF($N249&lt;=0,0,ROUND($N249*Übersicht!$Q$7,2))</f>
        <v>367.72</v>
      </c>
      <c r="M250" s="23">
        <f>IF($N249&lt;=0,0,MIN($N249,IF(Übersicht!$C$13="Annuitätendarlehen",MAX(0,Übersicht!$Q$9-$L250),IF(Übersicht!$C$13="Ratendarlehen",Übersicht!$Q$10,IF($A250&gt;=Übersicht!$Q$11,$N249,0)))))</f>
        <v>1032.28</v>
      </c>
      <c r="N250" s="23">
        <f t="shared" si="23"/>
        <v>121542.39</v>
      </c>
    </row>
    <row r="251" spans="1:14" ht="15" customHeight="1" x14ac:dyDescent="0.25">
      <c r="A251" s="10">
        <v>244</v>
      </c>
      <c r="B251" s="24">
        <f>IF($D251&lt;=0,"",EDATE(Übersicht!$C$18,($A251-1)*12/Übersicht!$Q$6))</f>
        <v>53447</v>
      </c>
      <c r="C251" s="10">
        <f t="shared" si="18"/>
        <v>2046</v>
      </c>
      <c r="D251" s="25">
        <f t="shared" si="22"/>
        <v>34516.35</v>
      </c>
      <c r="E251" s="12">
        <f t="shared" si="19"/>
        <v>1400</v>
      </c>
      <c r="F251" s="12">
        <f>IF($D251&lt;=0,0,ROUND($D251*Übersicht!$Q$7,2))</f>
        <v>103.55</v>
      </c>
      <c r="G251" s="12">
        <f>IF($D251&lt;=0,0,MIN($D251,IF(Übersicht!$C$13="Annuitätendarlehen",MAX(0,Übersicht!$Q$9-$F251),IF(Übersicht!$C$13="Ratendarlehen",Übersicht!$Q$10,IF($A251&gt;=Übersicht!$Q$11,$D251,0)))))</f>
        <v>1296.45</v>
      </c>
      <c r="H251" s="12">
        <f>IF($D251-$G251&lt;=0,0,IF(MOD($A251,Übersicht!$Q$6)=0,IF($A251/Übersicht!$Q$6&gt;=Übersicht!$C$21,MIN(Übersicht!$C$20,$D251-$G251),0),0))</f>
        <v>0</v>
      </c>
      <c r="I251" s="12">
        <f t="shared" si="20"/>
        <v>1400</v>
      </c>
      <c r="J251" s="26">
        <f t="shared" si="21"/>
        <v>33219.9</v>
      </c>
      <c r="K251" s="14" t="str">
        <f>IF($D251&lt;=0,"",IF($J251&lt;=0.005,"Volltilgung erreicht",IF($A251=Übersicht!$Q$13,"Ende der Zinsbindung",IF($H251&gt;0,"Sondertilgung",""))))</f>
        <v/>
      </c>
      <c r="L251" s="23">
        <f>IF($N250&lt;=0,0,ROUND($N250*Übersicht!$Q$7,2))</f>
        <v>364.63</v>
      </c>
      <c r="M251" s="23">
        <f>IF($N250&lt;=0,0,MIN($N250,IF(Übersicht!$C$13="Annuitätendarlehen",MAX(0,Übersicht!$Q$9-$L251),IF(Übersicht!$C$13="Ratendarlehen",Übersicht!$Q$10,IF($A251&gt;=Übersicht!$Q$11,$N250,0)))))</f>
        <v>1035.3699999999999</v>
      </c>
      <c r="N251" s="23">
        <f t="shared" si="23"/>
        <v>120507.02</v>
      </c>
    </row>
    <row r="252" spans="1:14" ht="15" customHeight="1" x14ac:dyDescent="0.25">
      <c r="A252" s="5">
        <v>245</v>
      </c>
      <c r="B252" s="20">
        <f>IF($D252&lt;=0,"",EDATE(Übersicht!$C$18,($A252-1)*12/Übersicht!$Q$6))</f>
        <v>53478</v>
      </c>
      <c r="C252" s="5">
        <f t="shared" si="18"/>
        <v>2046</v>
      </c>
      <c r="D252" s="21">
        <f t="shared" si="22"/>
        <v>33219.9</v>
      </c>
      <c r="E252" s="7">
        <f t="shared" si="19"/>
        <v>1400</v>
      </c>
      <c r="F252" s="7">
        <f>IF($D252&lt;=0,0,ROUND($D252*Übersicht!$Q$7,2))</f>
        <v>99.66</v>
      </c>
      <c r="G252" s="7">
        <f>IF($D252&lt;=0,0,MIN($D252,IF(Übersicht!$C$13="Annuitätendarlehen",MAX(0,Übersicht!$Q$9-$F252),IF(Übersicht!$C$13="Ratendarlehen",Übersicht!$Q$10,IF($A252&gt;=Übersicht!$Q$11,$D252,0)))))</f>
        <v>1300.3399999999999</v>
      </c>
      <c r="H252" s="7">
        <f>IF($D252-$G252&lt;=0,0,IF(MOD($A252,Übersicht!$Q$6)=0,IF($A252/Übersicht!$Q$6&gt;=Übersicht!$C$21,MIN(Übersicht!$C$20,$D252-$G252),0),0))</f>
        <v>0</v>
      </c>
      <c r="I252" s="7">
        <f t="shared" si="20"/>
        <v>1400</v>
      </c>
      <c r="J252" s="22">
        <f t="shared" si="21"/>
        <v>31919.56</v>
      </c>
      <c r="K252" s="9" t="str">
        <f>IF($D252&lt;=0,"",IF($J252&lt;=0.005,"Volltilgung erreicht",IF($A252=Übersicht!$Q$13,"Ende der Zinsbindung",IF($H252&gt;0,"Sondertilgung",""))))</f>
        <v/>
      </c>
      <c r="L252" s="23">
        <f>IF($N251&lt;=0,0,ROUND($N251*Übersicht!$Q$7,2))</f>
        <v>361.52</v>
      </c>
      <c r="M252" s="23">
        <f>IF($N251&lt;=0,0,MIN($N251,IF(Übersicht!$C$13="Annuitätendarlehen",MAX(0,Übersicht!$Q$9-$L252),IF(Übersicht!$C$13="Ratendarlehen",Übersicht!$Q$10,IF($A252&gt;=Übersicht!$Q$11,$N251,0)))))</f>
        <v>1038.48</v>
      </c>
      <c r="N252" s="23">
        <f t="shared" si="23"/>
        <v>119468.54</v>
      </c>
    </row>
    <row r="253" spans="1:14" ht="15" customHeight="1" x14ac:dyDescent="0.25">
      <c r="A253" s="10">
        <v>246</v>
      </c>
      <c r="B253" s="24">
        <f>IF($D253&lt;=0,"",EDATE(Übersicht!$C$18,($A253-1)*12/Übersicht!$Q$6))</f>
        <v>53508</v>
      </c>
      <c r="C253" s="10">
        <f t="shared" si="18"/>
        <v>2046</v>
      </c>
      <c r="D253" s="25">
        <f t="shared" si="22"/>
        <v>31919.56</v>
      </c>
      <c r="E253" s="12">
        <f t="shared" si="19"/>
        <v>1400</v>
      </c>
      <c r="F253" s="12">
        <f>IF($D253&lt;=0,0,ROUND($D253*Übersicht!$Q$7,2))</f>
        <v>95.76</v>
      </c>
      <c r="G253" s="12">
        <f>IF($D253&lt;=0,0,MIN($D253,IF(Übersicht!$C$13="Annuitätendarlehen",MAX(0,Übersicht!$Q$9-$F253),IF(Übersicht!$C$13="Ratendarlehen",Übersicht!$Q$10,IF($A253&gt;=Übersicht!$Q$11,$D253,0)))))</f>
        <v>1304.24</v>
      </c>
      <c r="H253" s="12">
        <f>IF($D253-$G253&lt;=0,0,IF(MOD($A253,Übersicht!$Q$6)=0,IF($A253/Übersicht!$Q$6&gt;=Übersicht!$C$21,MIN(Übersicht!$C$20,$D253-$G253),0),0))</f>
        <v>0</v>
      </c>
      <c r="I253" s="12">
        <f t="shared" si="20"/>
        <v>1400</v>
      </c>
      <c r="J253" s="26">
        <f t="shared" si="21"/>
        <v>30615.32</v>
      </c>
      <c r="K253" s="14" t="str">
        <f>IF($D253&lt;=0,"",IF($J253&lt;=0.005,"Volltilgung erreicht",IF($A253=Übersicht!$Q$13,"Ende der Zinsbindung",IF($H253&gt;0,"Sondertilgung",""))))</f>
        <v/>
      </c>
      <c r="L253" s="23">
        <f>IF($N252&lt;=0,0,ROUND($N252*Übersicht!$Q$7,2))</f>
        <v>358.41</v>
      </c>
      <c r="M253" s="23">
        <f>IF($N252&lt;=0,0,MIN($N252,IF(Übersicht!$C$13="Annuitätendarlehen",MAX(0,Übersicht!$Q$9-$L253),IF(Übersicht!$C$13="Ratendarlehen",Übersicht!$Q$10,IF($A253&gt;=Übersicht!$Q$11,$N252,0)))))</f>
        <v>1041.5899999999999</v>
      </c>
      <c r="N253" s="23">
        <f t="shared" si="23"/>
        <v>118426.95</v>
      </c>
    </row>
    <row r="254" spans="1:14" ht="15" customHeight="1" x14ac:dyDescent="0.25">
      <c r="A254" s="5">
        <v>247</v>
      </c>
      <c r="B254" s="20">
        <f>IF($D254&lt;=0,"",EDATE(Übersicht!$C$18,($A254-1)*12/Übersicht!$Q$6))</f>
        <v>53539</v>
      </c>
      <c r="C254" s="5">
        <f t="shared" si="18"/>
        <v>2046</v>
      </c>
      <c r="D254" s="21">
        <f t="shared" si="22"/>
        <v>30615.32</v>
      </c>
      <c r="E254" s="7">
        <f t="shared" si="19"/>
        <v>1400</v>
      </c>
      <c r="F254" s="7">
        <f>IF($D254&lt;=0,0,ROUND($D254*Übersicht!$Q$7,2))</f>
        <v>91.85</v>
      </c>
      <c r="G254" s="7">
        <f>IF($D254&lt;=0,0,MIN($D254,IF(Übersicht!$C$13="Annuitätendarlehen",MAX(0,Übersicht!$Q$9-$F254),IF(Übersicht!$C$13="Ratendarlehen",Übersicht!$Q$10,IF($A254&gt;=Übersicht!$Q$11,$D254,0)))))</f>
        <v>1308.1500000000001</v>
      </c>
      <c r="H254" s="7">
        <f>IF($D254-$G254&lt;=0,0,IF(MOD($A254,Übersicht!$Q$6)=0,IF($A254/Übersicht!$Q$6&gt;=Übersicht!$C$21,MIN(Übersicht!$C$20,$D254-$G254),0),0))</f>
        <v>0</v>
      </c>
      <c r="I254" s="7">
        <f t="shared" si="20"/>
        <v>1400</v>
      </c>
      <c r="J254" s="22">
        <f t="shared" si="21"/>
        <v>29307.17</v>
      </c>
      <c r="K254" s="9" t="str">
        <f>IF($D254&lt;=0,"",IF($J254&lt;=0.005,"Volltilgung erreicht",IF($A254=Übersicht!$Q$13,"Ende der Zinsbindung",IF($H254&gt;0,"Sondertilgung",""))))</f>
        <v/>
      </c>
      <c r="L254" s="23">
        <f>IF($N253&lt;=0,0,ROUND($N253*Übersicht!$Q$7,2))</f>
        <v>355.28</v>
      </c>
      <c r="M254" s="23">
        <f>IF($N253&lt;=0,0,MIN($N253,IF(Übersicht!$C$13="Annuitätendarlehen",MAX(0,Übersicht!$Q$9-$L254),IF(Übersicht!$C$13="Ratendarlehen",Übersicht!$Q$10,IF($A254&gt;=Übersicht!$Q$11,$N253,0)))))</f>
        <v>1044.72</v>
      </c>
      <c r="N254" s="23">
        <f t="shared" si="23"/>
        <v>117382.23</v>
      </c>
    </row>
    <row r="255" spans="1:14" ht="15" customHeight="1" x14ac:dyDescent="0.25">
      <c r="A255" s="10">
        <v>248</v>
      </c>
      <c r="B255" s="24">
        <f>IF($D255&lt;=0,"",EDATE(Übersicht!$C$18,($A255-1)*12/Übersicht!$Q$6))</f>
        <v>53570</v>
      </c>
      <c r="C255" s="10">
        <f t="shared" si="18"/>
        <v>2046</v>
      </c>
      <c r="D255" s="25">
        <f t="shared" si="22"/>
        <v>29307.17</v>
      </c>
      <c r="E255" s="12">
        <f t="shared" si="19"/>
        <v>1400</v>
      </c>
      <c r="F255" s="12">
        <f>IF($D255&lt;=0,0,ROUND($D255*Übersicht!$Q$7,2))</f>
        <v>87.92</v>
      </c>
      <c r="G255" s="12">
        <f>IF($D255&lt;=0,0,MIN($D255,IF(Übersicht!$C$13="Annuitätendarlehen",MAX(0,Übersicht!$Q$9-$F255),IF(Übersicht!$C$13="Ratendarlehen",Übersicht!$Q$10,IF($A255&gt;=Übersicht!$Q$11,$D255,0)))))</f>
        <v>1312.08</v>
      </c>
      <c r="H255" s="12">
        <f>IF($D255-$G255&lt;=0,0,IF(MOD($A255,Übersicht!$Q$6)=0,IF($A255/Übersicht!$Q$6&gt;=Übersicht!$C$21,MIN(Übersicht!$C$20,$D255-$G255),0),0))</f>
        <v>0</v>
      </c>
      <c r="I255" s="12">
        <f t="shared" si="20"/>
        <v>1400</v>
      </c>
      <c r="J255" s="26">
        <f t="shared" si="21"/>
        <v>27995.09</v>
      </c>
      <c r="K255" s="14" t="str">
        <f>IF($D255&lt;=0,"",IF($J255&lt;=0.005,"Volltilgung erreicht",IF($A255=Übersicht!$Q$13,"Ende der Zinsbindung",IF($H255&gt;0,"Sondertilgung",""))))</f>
        <v/>
      </c>
      <c r="L255" s="23">
        <f>IF($N254&lt;=0,0,ROUND($N254*Übersicht!$Q$7,2))</f>
        <v>352.15</v>
      </c>
      <c r="M255" s="23">
        <f>IF($N254&lt;=0,0,MIN($N254,IF(Übersicht!$C$13="Annuitätendarlehen",MAX(0,Übersicht!$Q$9-$L255),IF(Übersicht!$C$13="Ratendarlehen",Übersicht!$Q$10,IF($A255&gt;=Übersicht!$Q$11,$N254,0)))))</f>
        <v>1047.8499999999999</v>
      </c>
      <c r="N255" s="23">
        <f t="shared" si="23"/>
        <v>116334.38</v>
      </c>
    </row>
    <row r="256" spans="1:14" ht="15" customHeight="1" x14ac:dyDescent="0.25">
      <c r="A256" s="5">
        <v>249</v>
      </c>
      <c r="B256" s="20">
        <f>IF($D256&lt;=0,"",EDATE(Übersicht!$C$18,($A256-1)*12/Übersicht!$Q$6))</f>
        <v>53600</v>
      </c>
      <c r="C256" s="5">
        <f t="shared" si="18"/>
        <v>2046</v>
      </c>
      <c r="D256" s="21">
        <f t="shared" si="22"/>
        <v>27995.09</v>
      </c>
      <c r="E256" s="7">
        <f t="shared" si="19"/>
        <v>1400</v>
      </c>
      <c r="F256" s="7">
        <f>IF($D256&lt;=0,0,ROUND($D256*Übersicht!$Q$7,2))</f>
        <v>83.99</v>
      </c>
      <c r="G256" s="7">
        <f>IF($D256&lt;=0,0,MIN($D256,IF(Übersicht!$C$13="Annuitätendarlehen",MAX(0,Übersicht!$Q$9-$F256),IF(Übersicht!$C$13="Ratendarlehen",Übersicht!$Q$10,IF($A256&gt;=Übersicht!$Q$11,$D256,0)))))</f>
        <v>1316.01</v>
      </c>
      <c r="H256" s="7">
        <f>IF($D256-$G256&lt;=0,0,IF(MOD($A256,Übersicht!$Q$6)=0,IF($A256/Übersicht!$Q$6&gt;=Übersicht!$C$21,MIN(Übersicht!$C$20,$D256-$G256),0),0))</f>
        <v>0</v>
      </c>
      <c r="I256" s="7">
        <f t="shared" si="20"/>
        <v>1400</v>
      </c>
      <c r="J256" s="22">
        <f t="shared" si="21"/>
        <v>26679.08</v>
      </c>
      <c r="K256" s="9" t="str">
        <f>IF($D256&lt;=0,"",IF($J256&lt;=0.005,"Volltilgung erreicht",IF($A256=Übersicht!$Q$13,"Ende der Zinsbindung",IF($H256&gt;0,"Sondertilgung",""))))</f>
        <v/>
      </c>
      <c r="L256" s="23">
        <f>IF($N255&lt;=0,0,ROUND($N255*Übersicht!$Q$7,2))</f>
        <v>349</v>
      </c>
      <c r="M256" s="23">
        <f>IF($N255&lt;=0,0,MIN($N255,IF(Übersicht!$C$13="Annuitätendarlehen",MAX(0,Übersicht!$Q$9-$L256),IF(Übersicht!$C$13="Ratendarlehen",Übersicht!$Q$10,IF($A256&gt;=Übersicht!$Q$11,$N255,0)))))</f>
        <v>1051</v>
      </c>
      <c r="N256" s="23">
        <f t="shared" si="23"/>
        <v>115283.38</v>
      </c>
    </row>
    <row r="257" spans="1:14" ht="15" customHeight="1" x14ac:dyDescent="0.25">
      <c r="A257" s="10">
        <v>250</v>
      </c>
      <c r="B257" s="24">
        <f>IF($D257&lt;=0,"",EDATE(Übersicht!$C$18,($A257-1)*12/Übersicht!$Q$6))</f>
        <v>53631</v>
      </c>
      <c r="C257" s="10">
        <f t="shared" si="18"/>
        <v>2046</v>
      </c>
      <c r="D257" s="25">
        <f t="shared" si="22"/>
        <v>26679.08</v>
      </c>
      <c r="E257" s="12">
        <f t="shared" si="19"/>
        <v>1400</v>
      </c>
      <c r="F257" s="12">
        <f>IF($D257&lt;=0,0,ROUND($D257*Übersicht!$Q$7,2))</f>
        <v>80.040000000000006</v>
      </c>
      <c r="G257" s="12">
        <f>IF($D257&lt;=0,0,MIN($D257,IF(Übersicht!$C$13="Annuitätendarlehen",MAX(0,Übersicht!$Q$9-$F257),IF(Übersicht!$C$13="Ratendarlehen",Übersicht!$Q$10,IF($A257&gt;=Übersicht!$Q$11,$D257,0)))))</f>
        <v>1319.96</v>
      </c>
      <c r="H257" s="12">
        <f>IF($D257-$G257&lt;=0,0,IF(MOD($A257,Übersicht!$Q$6)=0,IF($A257/Übersicht!$Q$6&gt;=Übersicht!$C$21,MIN(Übersicht!$C$20,$D257-$G257),0),0))</f>
        <v>0</v>
      </c>
      <c r="I257" s="12">
        <f t="shared" si="20"/>
        <v>1400</v>
      </c>
      <c r="J257" s="26">
        <f t="shared" si="21"/>
        <v>25359.119999999999</v>
      </c>
      <c r="K257" s="14" t="str">
        <f>IF($D257&lt;=0,"",IF($J257&lt;=0.005,"Volltilgung erreicht",IF($A257=Übersicht!$Q$13,"Ende der Zinsbindung",IF($H257&gt;0,"Sondertilgung",""))))</f>
        <v/>
      </c>
      <c r="L257" s="23">
        <f>IF($N256&lt;=0,0,ROUND($N256*Übersicht!$Q$7,2))</f>
        <v>345.85</v>
      </c>
      <c r="M257" s="23">
        <f>IF($N256&lt;=0,0,MIN($N256,IF(Übersicht!$C$13="Annuitätendarlehen",MAX(0,Übersicht!$Q$9-$L257),IF(Übersicht!$C$13="Ratendarlehen",Übersicht!$Q$10,IF($A257&gt;=Übersicht!$Q$11,$N256,0)))))</f>
        <v>1054.1500000000001</v>
      </c>
      <c r="N257" s="23">
        <f t="shared" si="23"/>
        <v>114229.23</v>
      </c>
    </row>
    <row r="258" spans="1:14" ht="15" customHeight="1" x14ac:dyDescent="0.25">
      <c r="A258" s="5">
        <v>251</v>
      </c>
      <c r="B258" s="20">
        <f>IF($D258&lt;=0,"",EDATE(Übersicht!$C$18,($A258-1)*12/Übersicht!$Q$6))</f>
        <v>53661</v>
      </c>
      <c r="C258" s="5">
        <f t="shared" si="18"/>
        <v>2046</v>
      </c>
      <c r="D258" s="21">
        <f t="shared" si="22"/>
        <v>25359.119999999999</v>
      </c>
      <c r="E258" s="7">
        <f t="shared" si="19"/>
        <v>1400</v>
      </c>
      <c r="F258" s="7">
        <f>IF($D258&lt;=0,0,ROUND($D258*Übersicht!$Q$7,2))</f>
        <v>76.08</v>
      </c>
      <c r="G258" s="7">
        <f>IF($D258&lt;=0,0,MIN($D258,IF(Übersicht!$C$13="Annuitätendarlehen",MAX(0,Übersicht!$Q$9-$F258),IF(Übersicht!$C$13="Ratendarlehen",Übersicht!$Q$10,IF($A258&gt;=Übersicht!$Q$11,$D258,0)))))</f>
        <v>1323.92</v>
      </c>
      <c r="H258" s="7">
        <f>IF($D258-$G258&lt;=0,0,IF(MOD($A258,Übersicht!$Q$6)=0,IF($A258/Übersicht!$Q$6&gt;=Übersicht!$C$21,MIN(Übersicht!$C$20,$D258-$G258),0),0))</f>
        <v>0</v>
      </c>
      <c r="I258" s="7">
        <f t="shared" si="20"/>
        <v>1400</v>
      </c>
      <c r="J258" s="22">
        <f t="shared" si="21"/>
        <v>24035.200000000001</v>
      </c>
      <c r="K258" s="9" t="str">
        <f>IF($D258&lt;=0,"",IF($J258&lt;=0.005,"Volltilgung erreicht",IF($A258=Übersicht!$Q$13,"Ende der Zinsbindung",IF($H258&gt;0,"Sondertilgung",""))))</f>
        <v/>
      </c>
      <c r="L258" s="23">
        <f>IF($N257&lt;=0,0,ROUND($N257*Übersicht!$Q$7,2))</f>
        <v>342.69</v>
      </c>
      <c r="M258" s="23">
        <f>IF($N257&lt;=0,0,MIN($N257,IF(Übersicht!$C$13="Annuitätendarlehen",MAX(0,Übersicht!$Q$9-$L258),IF(Übersicht!$C$13="Ratendarlehen",Übersicht!$Q$10,IF($A258&gt;=Übersicht!$Q$11,$N257,0)))))</f>
        <v>1057.31</v>
      </c>
      <c r="N258" s="23">
        <f t="shared" si="23"/>
        <v>113171.92</v>
      </c>
    </row>
    <row r="259" spans="1:14" ht="15" customHeight="1" x14ac:dyDescent="0.25">
      <c r="A259" s="10">
        <v>252</v>
      </c>
      <c r="B259" s="24">
        <f>IF($D259&lt;=0,"",EDATE(Übersicht!$C$18,($A259-1)*12/Übersicht!$Q$6))</f>
        <v>53692</v>
      </c>
      <c r="C259" s="10">
        <f t="shared" si="18"/>
        <v>2046</v>
      </c>
      <c r="D259" s="25">
        <f t="shared" si="22"/>
        <v>24035.200000000001</v>
      </c>
      <c r="E259" s="12">
        <f t="shared" si="19"/>
        <v>1400</v>
      </c>
      <c r="F259" s="12">
        <f>IF($D259&lt;=0,0,ROUND($D259*Übersicht!$Q$7,2))</f>
        <v>72.11</v>
      </c>
      <c r="G259" s="12">
        <f>IF($D259&lt;=0,0,MIN($D259,IF(Übersicht!$C$13="Annuitätendarlehen",MAX(0,Übersicht!$Q$9-$F259),IF(Übersicht!$C$13="Ratendarlehen",Übersicht!$Q$10,IF($A259&gt;=Übersicht!$Q$11,$D259,0)))))</f>
        <v>1327.89</v>
      </c>
      <c r="H259" s="12">
        <f>IF($D259-$G259&lt;=0,0,IF(MOD($A259,Übersicht!$Q$6)=0,IF($A259/Übersicht!$Q$6&gt;=Übersicht!$C$21,MIN(Übersicht!$C$20,$D259-$G259),0),0))</f>
        <v>3000</v>
      </c>
      <c r="I259" s="12">
        <f t="shared" si="20"/>
        <v>4400</v>
      </c>
      <c r="J259" s="26">
        <f t="shared" si="21"/>
        <v>19707.310000000001</v>
      </c>
      <c r="K259" s="14" t="str">
        <f>IF($D259&lt;=0,"",IF($J259&lt;=0.005,"Volltilgung erreicht",IF($A259=Übersicht!$Q$13,"Ende der Zinsbindung",IF($H259&gt;0,"Sondertilgung",""))))</f>
        <v>Sondertilgung</v>
      </c>
      <c r="L259" s="23">
        <f>IF($N258&lt;=0,0,ROUND($N258*Übersicht!$Q$7,2))</f>
        <v>339.52</v>
      </c>
      <c r="M259" s="23">
        <f>IF($N258&lt;=0,0,MIN($N258,IF(Übersicht!$C$13="Annuitätendarlehen",MAX(0,Übersicht!$Q$9-$L259),IF(Übersicht!$C$13="Ratendarlehen",Übersicht!$Q$10,IF($A259&gt;=Übersicht!$Q$11,$N258,0)))))</f>
        <v>1060.48</v>
      </c>
      <c r="N259" s="23">
        <f t="shared" si="23"/>
        <v>112111.44</v>
      </c>
    </row>
    <row r="260" spans="1:14" ht="15" customHeight="1" x14ac:dyDescent="0.25">
      <c r="A260" s="5">
        <v>253</v>
      </c>
      <c r="B260" s="20">
        <f>IF($D260&lt;=0,"",EDATE(Übersicht!$C$18,($A260-1)*12/Übersicht!$Q$6))</f>
        <v>53723</v>
      </c>
      <c r="C260" s="5">
        <f t="shared" si="18"/>
        <v>2047</v>
      </c>
      <c r="D260" s="21">
        <f t="shared" si="22"/>
        <v>19707.310000000001</v>
      </c>
      <c r="E260" s="7">
        <f t="shared" si="19"/>
        <v>1400</v>
      </c>
      <c r="F260" s="7">
        <f>IF($D260&lt;=0,0,ROUND($D260*Übersicht!$Q$7,2))</f>
        <v>59.12</v>
      </c>
      <c r="G260" s="7">
        <f>IF($D260&lt;=0,0,MIN($D260,IF(Übersicht!$C$13="Annuitätendarlehen",MAX(0,Übersicht!$Q$9-$F260),IF(Übersicht!$C$13="Ratendarlehen",Übersicht!$Q$10,IF($A260&gt;=Übersicht!$Q$11,$D260,0)))))</f>
        <v>1340.88</v>
      </c>
      <c r="H260" s="7">
        <f>IF($D260-$G260&lt;=0,0,IF(MOD($A260,Übersicht!$Q$6)=0,IF($A260/Übersicht!$Q$6&gt;=Übersicht!$C$21,MIN(Übersicht!$C$20,$D260-$G260),0),0))</f>
        <v>0</v>
      </c>
      <c r="I260" s="7">
        <f t="shared" si="20"/>
        <v>1400</v>
      </c>
      <c r="J260" s="22">
        <f t="shared" si="21"/>
        <v>18366.43</v>
      </c>
      <c r="K260" s="9" t="str">
        <f>IF($D260&lt;=0,"",IF($J260&lt;=0.005,"Volltilgung erreicht",IF($A260=Übersicht!$Q$13,"Ende der Zinsbindung",IF($H260&gt;0,"Sondertilgung",""))))</f>
        <v/>
      </c>
      <c r="L260" s="23">
        <f>IF($N259&lt;=0,0,ROUND($N259*Übersicht!$Q$7,2))</f>
        <v>336.33</v>
      </c>
      <c r="M260" s="23">
        <f>IF($N259&lt;=0,0,MIN($N259,IF(Übersicht!$C$13="Annuitätendarlehen",MAX(0,Übersicht!$Q$9-$L260),IF(Übersicht!$C$13="Ratendarlehen",Übersicht!$Q$10,IF($A260&gt;=Übersicht!$Q$11,$N259,0)))))</f>
        <v>1063.67</v>
      </c>
      <c r="N260" s="23">
        <f t="shared" si="23"/>
        <v>111047.77</v>
      </c>
    </row>
    <row r="261" spans="1:14" ht="15" customHeight="1" x14ac:dyDescent="0.25">
      <c r="A261" s="10">
        <v>254</v>
      </c>
      <c r="B261" s="24">
        <f>IF($D261&lt;=0,"",EDATE(Übersicht!$C$18,($A261-1)*12/Übersicht!$Q$6))</f>
        <v>53751</v>
      </c>
      <c r="C261" s="10">
        <f t="shared" si="18"/>
        <v>2047</v>
      </c>
      <c r="D261" s="25">
        <f t="shared" si="22"/>
        <v>18366.43</v>
      </c>
      <c r="E261" s="12">
        <f t="shared" si="19"/>
        <v>1400</v>
      </c>
      <c r="F261" s="12">
        <f>IF($D261&lt;=0,0,ROUND($D261*Übersicht!$Q$7,2))</f>
        <v>55.1</v>
      </c>
      <c r="G261" s="12">
        <f>IF($D261&lt;=0,0,MIN($D261,IF(Übersicht!$C$13="Annuitätendarlehen",MAX(0,Übersicht!$Q$9-$F261),IF(Übersicht!$C$13="Ratendarlehen",Übersicht!$Q$10,IF($A261&gt;=Übersicht!$Q$11,$D261,0)))))</f>
        <v>1344.9</v>
      </c>
      <c r="H261" s="12">
        <f>IF($D261-$G261&lt;=0,0,IF(MOD($A261,Übersicht!$Q$6)=0,IF($A261/Übersicht!$Q$6&gt;=Übersicht!$C$21,MIN(Übersicht!$C$20,$D261-$G261),0),0))</f>
        <v>0</v>
      </c>
      <c r="I261" s="12">
        <f t="shared" si="20"/>
        <v>1400</v>
      </c>
      <c r="J261" s="26">
        <f t="shared" si="21"/>
        <v>17021.53</v>
      </c>
      <c r="K261" s="14" t="str">
        <f>IF($D261&lt;=0,"",IF($J261&lt;=0.005,"Volltilgung erreicht",IF($A261=Übersicht!$Q$13,"Ende der Zinsbindung",IF($H261&gt;0,"Sondertilgung",""))))</f>
        <v/>
      </c>
      <c r="L261" s="23">
        <f>IF($N260&lt;=0,0,ROUND($N260*Übersicht!$Q$7,2))</f>
        <v>333.14</v>
      </c>
      <c r="M261" s="23">
        <f>IF($N260&lt;=0,0,MIN($N260,IF(Übersicht!$C$13="Annuitätendarlehen",MAX(0,Übersicht!$Q$9-$L261),IF(Übersicht!$C$13="Ratendarlehen",Übersicht!$Q$10,IF($A261&gt;=Übersicht!$Q$11,$N260,0)))))</f>
        <v>1066.8600000000001</v>
      </c>
      <c r="N261" s="23">
        <f t="shared" si="23"/>
        <v>109980.91</v>
      </c>
    </row>
    <row r="262" spans="1:14" ht="15" customHeight="1" x14ac:dyDescent="0.25">
      <c r="A262" s="5">
        <v>255</v>
      </c>
      <c r="B262" s="20">
        <f>IF($D262&lt;=0,"",EDATE(Übersicht!$C$18,($A262-1)*12/Übersicht!$Q$6))</f>
        <v>53782</v>
      </c>
      <c r="C262" s="5">
        <f t="shared" si="18"/>
        <v>2047</v>
      </c>
      <c r="D262" s="21">
        <f t="shared" si="22"/>
        <v>17021.53</v>
      </c>
      <c r="E262" s="7">
        <f t="shared" si="19"/>
        <v>1400</v>
      </c>
      <c r="F262" s="7">
        <f>IF($D262&lt;=0,0,ROUND($D262*Übersicht!$Q$7,2))</f>
        <v>51.06</v>
      </c>
      <c r="G262" s="7">
        <f>IF($D262&lt;=0,0,MIN($D262,IF(Übersicht!$C$13="Annuitätendarlehen",MAX(0,Übersicht!$Q$9-$F262),IF(Übersicht!$C$13="Ratendarlehen",Übersicht!$Q$10,IF($A262&gt;=Übersicht!$Q$11,$D262,0)))))</f>
        <v>1348.94</v>
      </c>
      <c r="H262" s="7">
        <f>IF($D262-$G262&lt;=0,0,IF(MOD($A262,Übersicht!$Q$6)=0,IF($A262/Übersicht!$Q$6&gt;=Übersicht!$C$21,MIN(Übersicht!$C$20,$D262-$G262),0),0))</f>
        <v>0</v>
      </c>
      <c r="I262" s="7">
        <f t="shared" si="20"/>
        <v>1400</v>
      </c>
      <c r="J262" s="22">
        <f t="shared" si="21"/>
        <v>15672.59</v>
      </c>
      <c r="K262" s="9" t="str">
        <f>IF($D262&lt;=0,"",IF($J262&lt;=0.005,"Volltilgung erreicht",IF($A262=Übersicht!$Q$13,"Ende der Zinsbindung",IF($H262&gt;0,"Sondertilgung",""))))</f>
        <v/>
      </c>
      <c r="L262" s="23">
        <f>IF($N261&lt;=0,0,ROUND($N261*Übersicht!$Q$7,2))</f>
        <v>329.94</v>
      </c>
      <c r="M262" s="23">
        <f>IF($N261&lt;=0,0,MIN($N261,IF(Übersicht!$C$13="Annuitätendarlehen",MAX(0,Übersicht!$Q$9-$L262),IF(Übersicht!$C$13="Ratendarlehen",Übersicht!$Q$10,IF($A262&gt;=Übersicht!$Q$11,$N261,0)))))</f>
        <v>1070.06</v>
      </c>
      <c r="N262" s="23">
        <f t="shared" si="23"/>
        <v>108910.85</v>
      </c>
    </row>
    <row r="263" spans="1:14" ht="15" customHeight="1" x14ac:dyDescent="0.25">
      <c r="A263" s="10">
        <v>256</v>
      </c>
      <c r="B263" s="24">
        <f>IF($D263&lt;=0,"",EDATE(Übersicht!$C$18,($A263-1)*12/Übersicht!$Q$6))</f>
        <v>53812</v>
      </c>
      <c r="C263" s="10">
        <f t="shared" si="18"/>
        <v>2047</v>
      </c>
      <c r="D263" s="25">
        <f t="shared" si="22"/>
        <v>15672.59</v>
      </c>
      <c r="E263" s="12">
        <f t="shared" si="19"/>
        <v>1400</v>
      </c>
      <c r="F263" s="12">
        <f>IF($D263&lt;=0,0,ROUND($D263*Übersicht!$Q$7,2))</f>
        <v>47.02</v>
      </c>
      <c r="G263" s="12">
        <f>IF($D263&lt;=0,0,MIN($D263,IF(Übersicht!$C$13="Annuitätendarlehen",MAX(0,Übersicht!$Q$9-$F263),IF(Übersicht!$C$13="Ratendarlehen",Übersicht!$Q$10,IF($A263&gt;=Übersicht!$Q$11,$D263,0)))))</f>
        <v>1352.98</v>
      </c>
      <c r="H263" s="12">
        <f>IF($D263-$G263&lt;=0,0,IF(MOD($A263,Übersicht!$Q$6)=0,IF($A263/Übersicht!$Q$6&gt;=Übersicht!$C$21,MIN(Übersicht!$C$20,$D263-$G263),0),0))</f>
        <v>0</v>
      </c>
      <c r="I263" s="12">
        <f t="shared" si="20"/>
        <v>1400</v>
      </c>
      <c r="J263" s="26">
        <f t="shared" si="21"/>
        <v>14319.61</v>
      </c>
      <c r="K263" s="14" t="str">
        <f>IF($D263&lt;=0,"",IF($J263&lt;=0.005,"Volltilgung erreicht",IF($A263=Übersicht!$Q$13,"Ende der Zinsbindung",IF($H263&gt;0,"Sondertilgung",""))))</f>
        <v/>
      </c>
      <c r="L263" s="23">
        <f>IF($N262&lt;=0,0,ROUND($N262*Übersicht!$Q$7,2))</f>
        <v>326.73</v>
      </c>
      <c r="M263" s="23">
        <f>IF($N262&lt;=0,0,MIN($N262,IF(Übersicht!$C$13="Annuitätendarlehen",MAX(0,Übersicht!$Q$9-$L263),IF(Übersicht!$C$13="Ratendarlehen",Übersicht!$Q$10,IF($A263&gt;=Übersicht!$Q$11,$N262,0)))))</f>
        <v>1073.27</v>
      </c>
      <c r="N263" s="23">
        <f t="shared" si="23"/>
        <v>107837.58</v>
      </c>
    </row>
    <row r="264" spans="1:14" ht="15" customHeight="1" x14ac:dyDescent="0.25">
      <c r="A264" s="5">
        <v>257</v>
      </c>
      <c r="B264" s="20">
        <f>IF($D264&lt;=0,"",EDATE(Übersicht!$C$18,($A264-1)*12/Übersicht!$Q$6))</f>
        <v>53843</v>
      </c>
      <c r="C264" s="5">
        <f t="shared" ref="C264:C327" si="24">IF($B264="","",YEAR($B264))</f>
        <v>2047</v>
      </c>
      <c r="D264" s="21">
        <f t="shared" si="22"/>
        <v>14319.61</v>
      </c>
      <c r="E264" s="7">
        <f t="shared" ref="E264:E327" si="25">IF($D264&lt;=0,0,$F264+$G264)</f>
        <v>1400</v>
      </c>
      <c r="F264" s="7">
        <f>IF($D264&lt;=0,0,ROUND($D264*Übersicht!$Q$7,2))</f>
        <v>42.96</v>
      </c>
      <c r="G264" s="7">
        <f>IF($D264&lt;=0,0,MIN($D264,IF(Übersicht!$C$13="Annuitätendarlehen",MAX(0,Übersicht!$Q$9-$F264),IF(Übersicht!$C$13="Ratendarlehen",Übersicht!$Q$10,IF($A264&gt;=Übersicht!$Q$11,$D264,0)))))</f>
        <v>1357.04</v>
      </c>
      <c r="H264" s="7">
        <f>IF($D264-$G264&lt;=0,0,IF(MOD($A264,Übersicht!$Q$6)=0,IF($A264/Übersicht!$Q$6&gt;=Übersicht!$C$21,MIN(Übersicht!$C$20,$D264-$G264),0),0))</f>
        <v>0</v>
      </c>
      <c r="I264" s="7">
        <f t="shared" ref="I264:I327" si="26">IF($D264&lt;=0,0,$E264+$H264)</f>
        <v>1400</v>
      </c>
      <c r="J264" s="22">
        <f t="shared" ref="J264:J327" si="27">IF($D264&lt;=0,0,ROUND($D264-$G264-$H264,2))</f>
        <v>12962.57</v>
      </c>
      <c r="K264" s="9" t="str">
        <f>IF($D264&lt;=0,"",IF($J264&lt;=0.005,"Volltilgung erreicht",IF($A264=Übersicht!$Q$13,"Ende der Zinsbindung",IF($H264&gt;0,"Sondertilgung",""))))</f>
        <v/>
      </c>
      <c r="L264" s="23">
        <f>IF($N263&lt;=0,0,ROUND($N263*Übersicht!$Q$7,2))</f>
        <v>323.51</v>
      </c>
      <c r="M264" s="23">
        <f>IF($N263&lt;=0,0,MIN($N263,IF(Übersicht!$C$13="Annuitätendarlehen",MAX(0,Übersicht!$Q$9-$L264),IF(Übersicht!$C$13="Ratendarlehen",Übersicht!$Q$10,IF($A264&gt;=Übersicht!$Q$11,$N263,0)))))</f>
        <v>1076.49</v>
      </c>
      <c r="N264" s="23">
        <f t="shared" si="23"/>
        <v>106761.09</v>
      </c>
    </row>
    <row r="265" spans="1:14" ht="15" customHeight="1" x14ac:dyDescent="0.25">
      <c r="A265" s="10">
        <v>258</v>
      </c>
      <c r="B265" s="24">
        <f>IF($D265&lt;=0,"",EDATE(Übersicht!$C$18,($A265-1)*12/Übersicht!$Q$6))</f>
        <v>53873</v>
      </c>
      <c r="C265" s="10">
        <f t="shared" si="24"/>
        <v>2047</v>
      </c>
      <c r="D265" s="25">
        <f t="shared" ref="D265:D328" si="28">$J264</f>
        <v>12962.57</v>
      </c>
      <c r="E265" s="12">
        <f t="shared" si="25"/>
        <v>1400</v>
      </c>
      <c r="F265" s="12">
        <f>IF($D265&lt;=0,0,ROUND($D265*Übersicht!$Q$7,2))</f>
        <v>38.89</v>
      </c>
      <c r="G265" s="12">
        <f>IF($D265&lt;=0,0,MIN($D265,IF(Übersicht!$C$13="Annuitätendarlehen",MAX(0,Übersicht!$Q$9-$F265),IF(Übersicht!$C$13="Ratendarlehen",Übersicht!$Q$10,IF($A265&gt;=Übersicht!$Q$11,$D265,0)))))</f>
        <v>1361.11</v>
      </c>
      <c r="H265" s="12">
        <f>IF($D265-$G265&lt;=0,0,IF(MOD($A265,Übersicht!$Q$6)=0,IF($A265/Übersicht!$Q$6&gt;=Übersicht!$C$21,MIN(Übersicht!$C$20,$D265-$G265),0),0))</f>
        <v>0</v>
      </c>
      <c r="I265" s="12">
        <f t="shared" si="26"/>
        <v>1400</v>
      </c>
      <c r="J265" s="26">
        <f t="shared" si="27"/>
        <v>11601.46</v>
      </c>
      <c r="K265" s="14" t="str">
        <f>IF($D265&lt;=0,"",IF($J265&lt;=0.005,"Volltilgung erreicht",IF($A265=Übersicht!$Q$13,"Ende der Zinsbindung",IF($H265&gt;0,"Sondertilgung",""))))</f>
        <v/>
      </c>
      <c r="L265" s="23">
        <f>IF($N264&lt;=0,0,ROUND($N264*Übersicht!$Q$7,2))</f>
        <v>320.27999999999997</v>
      </c>
      <c r="M265" s="23">
        <f>IF($N264&lt;=0,0,MIN($N264,IF(Übersicht!$C$13="Annuitätendarlehen",MAX(0,Übersicht!$Q$9-$L265),IF(Übersicht!$C$13="Ratendarlehen",Übersicht!$Q$10,IF($A265&gt;=Übersicht!$Q$11,$N264,0)))))</f>
        <v>1079.72</v>
      </c>
      <c r="N265" s="23">
        <f t="shared" ref="N265:N328" si="29">IF($N264&lt;=0,0,ROUND($N264-$M265,2))</f>
        <v>105681.37</v>
      </c>
    </row>
    <row r="266" spans="1:14" ht="15" customHeight="1" x14ac:dyDescent="0.25">
      <c r="A266" s="5">
        <v>259</v>
      </c>
      <c r="B266" s="20">
        <f>IF($D266&lt;=0,"",EDATE(Übersicht!$C$18,($A266-1)*12/Übersicht!$Q$6))</f>
        <v>53904</v>
      </c>
      <c r="C266" s="5">
        <f t="shared" si="24"/>
        <v>2047</v>
      </c>
      <c r="D266" s="21">
        <f t="shared" si="28"/>
        <v>11601.46</v>
      </c>
      <c r="E266" s="7">
        <f t="shared" si="25"/>
        <v>1400</v>
      </c>
      <c r="F266" s="7">
        <f>IF($D266&lt;=0,0,ROUND($D266*Übersicht!$Q$7,2))</f>
        <v>34.799999999999997</v>
      </c>
      <c r="G266" s="7">
        <f>IF($D266&lt;=0,0,MIN($D266,IF(Übersicht!$C$13="Annuitätendarlehen",MAX(0,Übersicht!$Q$9-$F266),IF(Übersicht!$C$13="Ratendarlehen",Übersicht!$Q$10,IF($A266&gt;=Übersicht!$Q$11,$D266,0)))))</f>
        <v>1365.2</v>
      </c>
      <c r="H266" s="7">
        <f>IF($D266-$G266&lt;=0,0,IF(MOD($A266,Übersicht!$Q$6)=0,IF($A266/Übersicht!$Q$6&gt;=Übersicht!$C$21,MIN(Übersicht!$C$20,$D266-$G266),0),0))</f>
        <v>0</v>
      </c>
      <c r="I266" s="7">
        <f t="shared" si="26"/>
        <v>1400</v>
      </c>
      <c r="J266" s="22">
        <f t="shared" si="27"/>
        <v>10236.26</v>
      </c>
      <c r="K266" s="9" t="str">
        <f>IF($D266&lt;=0,"",IF($J266&lt;=0.005,"Volltilgung erreicht",IF($A266=Übersicht!$Q$13,"Ende der Zinsbindung",IF($H266&gt;0,"Sondertilgung",""))))</f>
        <v/>
      </c>
      <c r="L266" s="23">
        <f>IF($N265&lt;=0,0,ROUND($N265*Übersicht!$Q$7,2))</f>
        <v>317.04000000000002</v>
      </c>
      <c r="M266" s="23">
        <f>IF($N265&lt;=0,0,MIN($N265,IF(Übersicht!$C$13="Annuitätendarlehen",MAX(0,Übersicht!$Q$9-$L266),IF(Übersicht!$C$13="Ratendarlehen",Übersicht!$Q$10,IF($A266&gt;=Übersicht!$Q$11,$N265,0)))))</f>
        <v>1082.96</v>
      </c>
      <c r="N266" s="23">
        <f t="shared" si="29"/>
        <v>104598.41</v>
      </c>
    </row>
    <row r="267" spans="1:14" ht="15" customHeight="1" x14ac:dyDescent="0.25">
      <c r="A267" s="10">
        <v>260</v>
      </c>
      <c r="B267" s="24">
        <f>IF($D267&lt;=0,"",EDATE(Übersicht!$C$18,($A267-1)*12/Übersicht!$Q$6))</f>
        <v>53935</v>
      </c>
      <c r="C267" s="10">
        <f t="shared" si="24"/>
        <v>2047</v>
      </c>
      <c r="D267" s="25">
        <f t="shared" si="28"/>
        <v>10236.26</v>
      </c>
      <c r="E267" s="12">
        <f t="shared" si="25"/>
        <v>1400</v>
      </c>
      <c r="F267" s="12">
        <f>IF($D267&lt;=0,0,ROUND($D267*Übersicht!$Q$7,2))</f>
        <v>30.71</v>
      </c>
      <c r="G267" s="12">
        <f>IF($D267&lt;=0,0,MIN($D267,IF(Übersicht!$C$13="Annuitätendarlehen",MAX(0,Übersicht!$Q$9-$F267),IF(Übersicht!$C$13="Ratendarlehen",Übersicht!$Q$10,IF($A267&gt;=Übersicht!$Q$11,$D267,0)))))</f>
        <v>1369.29</v>
      </c>
      <c r="H267" s="12">
        <f>IF($D267-$G267&lt;=0,0,IF(MOD($A267,Übersicht!$Q$6)=0,IF($A267/Übersicht!$Q$6&gt;=Übersicht!$C$21,MIN(Übersicht!$C$20,$D267-$G267),0),0))</f>
        <v>0</v>
      </c>
      <c r="I267" s="12">
        <f t="shared" si="26"/>
        <v>1400</v>
      </c>
      <c r="J267" s="26">
        <f t="shared" si="27"/>
        <v>8866.9699999999993</v>
      </c>
      <c r="K267" s="14" t="str">
        <f>IF($D267&lt;=0,"",IF($J267&lt;=0.005,"Volltilgung erreicht",IF($A267=Übersicht!$Q$13,"Ende der Zinsbindung",IF($H267&gt;0,"Sondertilgung",""))))</f>
        <v/>
      </c>
      <c r="L267" s="23">
        <f>IF($N266&lt;=0,0,ROUND($N266*Übersicht!$Q$7,2))</f>
        <v>313.8</v>
      </c>
      <c r="M267" s="23">
        <f>IF($N266&lt;=0,0,MIN($N266,IF(Übersicht!$C$13="Annuitätendarlehen",MAX(0,Übersicht!$Q$9-$L267),IF(Übersicht!$C$13="Ratendarlehen",Übersicht!$Q$10,IF($A267&gt;=Übersicht!$Q$11,$N266,0)))))</f>
        <v>1086.2</v>
      </c>
      <c r="N267" s="23">
        <f t="shared" si="29"/>
        <v>103512.21</v>
      </c>
    </row>
    <row r="268" spans="1:14" ht="15" customHeight="1" x14ac:dyDescent="0.25">
      <c r="A268" s="5">
        <v>261</v>
      </c>
      <c r="B268" s="20">
        <f>IF($D268&lt;=0,"",EDATE(Übersicht!$C$18,($A268-1)*12/Übersicht!$Q$6))</f>
        <v>53965</v>
      </c>
      <c r="C268" s="5">
        <f t="shared" si="24"/>
        <v>2047</v>
      </c>
      <c r="D268" s="21">
        <f t="shared" si="28"/>
        <v>8866.9699999999993</v>
      </c>
      <c r="E268" s="7">
        <f t="shared" si="25"/>
        <v>1400</v>
      </c>
      <c r="F268" s="7">
        <f>IF($D268&lt;=0,0,ROUND($D268*Übersicht!$Q$7,2))</f>
        <v>26.6</v>
      </c>
      <c r="G268" s="7">
        <f>IF($D268&lt;=0,0,MIN($D268,IF(Übersicht!$C$13="Annuitätendarlehen",MAX(0,Übersicht!$Q$9-$F268),IF(Übersicht!$C$13="Ratendarlehen",Übersicht!$Q$10,IF($A268&gt;=Übersicht!$Q$11,$D268,0)))))</f>
        <v>1373.4</v>
      </c>
      <c r="H268" s="7">
        <f>IF($D268-$G268&lt;=0,0,IF(MOD($A268,Übersicht!$Q$6)=0,IF($A268/Übersicht!$Q$6&gt;=Übersicht!$C$21,MIN(Übersicht!$C$20,$D268-$G268),0),0))</f>
        <v>0</v>
      </c>
      <c r="I268" s="7">
        <f t="shared" si="26"/>
        <v>1400</v>
      </c>
      <c r="J268" s="22">
        <f t="shared" si="27"/>
        <v>7493.57</v>
      </c>
      <c r="K268" s="9" t="str">
        <f>IF($D268&lt;=0,"",IF($J268&lt;=0.005,"Volltilgung erreicht",IF($A268=Übersicht!$Q$13,"Ende der Zinsbindung",IF($H268&gt;0,"Sondertilgung",""))))</f>
        <v/>
      </c>
      <c r="L268" s="23">
        <f>IF($N267&lt;=0,0,ROUND($N267*Übersicht!$Q$7,2))</f>
        <v>310.54000000000002</v>
      </c>
      <c r="M268" s="23">
        <f>IF($N267&lt;=0,0,MIN($N267,IF(Übersicht!$C$13="Annuitätendarlehen",MAX(0,Übersicht!$Q$9-$L268),IF(Übersicht!$C$13="Ratendarlehen",Übersicht!$Q$10,IF($A268&gt;=Übersicht!$Q$11,$N267,0)))))</f>
        <v>1089.46</v>
      </c>
      <c r="N268" s="23">
        <f t="shared" si="29"/>
        <v>102422.75</v>
      </c>
    </row>
    <row r="269" spans="1:14" ht="15" customHeight="1" x14ac:dyDescent="0.25">
      <c r="A269" s="10">
        <v>262</v>
      </c>
      <c r="B269" s="24">
        <f>IF($D269&lt;=0,"",EDATE(Übersicht!$C$18,($A269-1)*12/Übersicht!$Q$6))</f>
        <v>53996</v>
      </c>
      <c r="C269" s="10">
        <f t="shared" si="24"/>
        <v>2047</v>
      </c>
      <c r="D269" s="25">
        <f t="shared" si="28"/>
        <v>7493.57</v>
      </c>
      <c r="E269" s="12">
        <f t="shared" si="25"/>
        <v>1400</v>
      </c>
      <c r="F269" s="12">
        <f>IF($D269&lt;=0,0,ROUND($D269*Übersicht!$Q$7,2))</f>
        <v>22.48</v>
      </c>
      <c r="G269" s="12">
        <f>IF($D269&lt;=0,0,MIN($D269,IF(Übersicht!$C$13="Annuitätendarlehen",MAX(0,Übersicht!$Q$9-$F269),IF(Übersicht!$C$13="Ratendarlehen",Übersicht!$Q$10,IF($A269&gt;=Übersicht!$Q$11,$D269,0)))))</f>
        <v>1377.52</v>
      </c>
      <c r="H269" s="12">
        <f>IF($D269-$G269&lt;=0,0,IF(MOD($A269,Übersicht!$Q$6)=0,IF($A269/Übersicht!$Q$6&gt;=Übersicht!$C$21,MIN(Übersicht!$C$20,$D269-$G269),0),0))</f>
        <v>0</v>
      </c>
      <c r="I269" s="12">
        <f t="shared" si="26"/>
        <v>1400</v>
      </c>
      <c r="J269" s="26">
        <f t="shared" si="27"/>
        <v>6116.05</v>
      </c>
      <c r="K269" s="14" t="str">
        <f>IF($D269&lt;=0,"",IF($J269&lt;=0.005,"Volltilgung erreicht",IF($A269=Übersicht!$Q$13,"Ende der Zinsbindung",IF($H269&gt;0,"Sondertilgung",""))))</f>
        <v/>
      </c>
      <c r="L269" s="23">
        <f>IF($N268&lt;=0,0,ROUND($N268*Übersicht!$Q$7,2))</f>
        <v>307.27</v>
      </c>
      <c r="M269" s="23">
        <f>IF($N268&lt;=0,0,MIN($N268,IF(Übersicht!$C$13="Annuitätendarlehen",MAX(0,Übersicht!$Q$9-$L269),IF(Übersicht!$C$13="Ratendarlehen",Übersicht!$Q$10,IF($A269&gt;=Übersicht!$Q$11,$N268,0)))))</f>
        <v>1092.73</v>
      </c>
      <c r="N269" s="23">
        <f t="shared" si="29"/>
        <v>101330.02</v>
      </c>
    </row>
    <row r="270" spans="1:14" ht="15" customHeight="1" x14ac:dyDescent="0.25">
      <c r="A270" s="5">
        <v>263</v>
      </c>
      <c r="B270" s="20">
        <f>IF($D270&lt;=0,"",EDATE(Übersicht!$C$18,($A270-1)*12/Übersicht!$Q$6))</f>
        <v>54026</v>
      </c>
      <c r="C270" s="5">
        <f t="shared" si="24"/>
        <v>2047</v>
      </c>
      <c r="D270" s="21">
        <f t="shared" si="28"/>
        <v>6116.05</v>
      </c>
      <c r="E270" s="7">
        <f t="shared" si="25"/>
        <v>1400</v>
      </c>
      <c r="F270" s="7">
        <f>IF($D270&lt;=0,0,ROUND($D270*Übersicht!$Q$7,2))</f>
        <v>18.350000000000001</v>
      </c>
      <c r="G270" s="7">
        <f>IF($D270&lt;=0,0,MIN($D270,IF(Übersicht!$C$13="Annuitätendarlehen",MAX(0,Übersicht!$Q$9-$F270),IF(Übersicht!$C$13="Ratendarlehen",Übersicht!$Q$10,IF($A270&gt;=Übersicht!$Q$11,$D270,0)))))</f>
        <v>1381.65</v>
      </c>
      <c r="H270" s="7">
        <f>IF($D270-$G270&lt;=0,0,IF(MOD($A270,Übersicht!$Q$6)=0,IF($A270/Übersicht!$Q$6&gt;=Übersicht!$C$21,MIN(Übersicht!$C$20,$D270-$G270),0),0))</f>
        <v>0</v>
      </c>
      <c r="I270" s="7">
        <f t="shared" si="26"/>
        <v>1400</v>
      </c>
      <c r="J270" s="22">
        <f t="shared" si="27"/>
        <v>4734.3999999999996</v>
      </c>
      <c r="K270" s="9" t="str">
        <f>IF($D270&lt;=0,"",IF($J270&lt;=0.005,"Volltilgung erreicht",IF($A270=Übersicht!$Q$13,"Ende der Zinsbindung",IF($H270&gt;0,"Sondertilgung",""))))</f>
        <v/>
      </c>
      <c r="L270" s="23">
        <f>IF($N269&lt;=0,0,ROUND($N269*Übersicht!$Q$7,2))</f>
        <v>303.99</v>
      </c>
      <c r="M270" s="23">
        <f>IF($N269&lt;=0,0,MIN($N269,IF(Übersicht!$C$13="Annuitätendarlehen",MAX(0,Übersicht!$Q$9-$L270),IF(Übersicht!$C$13="Ratendarlehen",Übersicht!$Q$10,IF($A270&gt;=Übersicht!$Q$11,$N269,0)))))</f>
        <v>1096.01</v>
      </c>
      <c r="N270" s="23">
        <f t="shared" si="29"/>
        <v>100234.01</v>
      </c>
    </row>
    <row r="271" spans="1:14" ht="15" customHeight="1" x14ac:dyDescent="0.25">
      <c r="A271" s="10">
        <v>264</v>
      </c>
      <c r="B271" s="24">
        <f>IF($D271&lt;=0,"",EDATE(Übersicht!$C$18,($A271-1)*12/Übersicht!$Q$6))</f>
        <v>54057</v>
      </c>
      <c r="C271" s="10">
        <f t="shared" si="24"/>
        <v>2047</v>
      </c>
      <c r="D271" s="25">
        <f t="shared" si="28"/>
        <v>4734.3999999999996</v>
      </c>
      <c r="E271" s="12">
        <f t="shared" si="25"/>
        <v>1400</v>
      </c>
      <c r="F271" s="12">
        <f>IF($D271&lt;=0,0,ROUND($D271*Übersicht!$Q$7,2))</f>
        <v>14.2</v>
      </c>
      <c r="G271" s="12">
        <f>IF($D271&lt;=0,0,MIN($D271,IF(Übersicht!$C$13="Annuitätendarlehen",MAX(0,Übersicht!$Q$9-$F271),IF(Übersicht!$C$13="Ratendarlehen",Übersicht!$Q$10,IF($A271&gt;=Übersicht!$Q$11,$D271,0)))))</f>
        <v>1385.8</v>
      </c>
      <c r="H271" s="12">
        <f>IF($D271-$G271&lt;=0,0,IF(MOD($A271,Übersicht!$Q$6)=0,IF($A271/Übersicht!$Q$6&gt;=Übersicht!$C$21,MIN(Übersicht!$C$20,$D271-$G271),0),0))</f>
        <v>3000</v>
      </c>
      <c r="I271" s="12">
        <f t="shared" si="26"/>
        <v>4400</v>
      </c>
      <c r="J271" s="26">
        <f t="shared" si="27"/>
        <v>348.6</v>
      </c>
      <c r="K271" s="14" t="str">
        <f>IF($D271&lt;=0,"",IF($J271&lt;=0.005,"Volltilgung erreicht",IF($A271=Übersicht!$Q$13,"Ende der Zinsbindung",IF($H271&gt;0,"Sondertilgung",""))))</f>
        <v>Sondertilgung</v>
      </c>
      <c r="L271" s="23">
        <f>IF($N270&lt;=0,0,ROUND($N270*Übersicht!$Q$7,2))</f>
        <v>300.7</v>
      </c>
      <c r="M271" s="23">
        <f>IF($N270&lt;=0,0,MIN($N270,IF(Übersicht!$C$13="Annuitätendarlehen",MAX(0,Übersicht!$Q$9-$L271),IF(Übersicht!$C$13="Ratendarlehen",Übersicht!$Q$10,IF($A271&gt;=Übersicht!$Q$11,$N270,0)))))</f>
        <v>1099.3</v>
      </c>
      <c r="N271" s="23">
        <f t="shared" si="29"/>
        <v>99134.71</v>
      </c>
    </row>
    <row r="272" spans="1:14" ht="15" customHeight="1" x14ac:dyDescent="0.25">
      <c r="A272" s="5">
        <v>265</v>
      </c>
      <c r="B272" s="20">
        <f>IF($D272&lt;=0,"",EDATE(Übersicht!$C$18,($A272-1)*12/Übersicht!$Q$6))</f>
        <v>54088</v>
      </c>
      <c r="C272" s="5">
        <f t="shared" si="24"/>
        <v>2048</v>
      </c>
      <c r="D272" s="21">
        <f t="shared" si="28"/>
        <v>348.6</v>
      </c>
      <c r="E272" s="7">
        <f t="shared" si="25"/>
        <v>349.65000000000003</v>
      </c>
      <c r="F272" s="7">
        <f>IF($D272&lt;=0,0,ROUND($D272*Übersicht!$Q$7,2))</f>
        <v>1.05</v>
      </c>
      <c r="G272" s="7">
        <f>IF($D272&lt;=0,0,MIN($D272,IF(Übersicht!$C$13="Annuitätendarlehen",MAX(0,Übersicht!$Q$9-$F272),IF(Übersicht!$C$13="Ratendarlehen",Übersicht!$Q$10,IF($A272&gt;=Übersicht!$Q$11,$D272,0)))))</f>
        <v>348.6</v>
      </c>
      <c r="H272" s="7">
        <f>IF($D272-$G272&lt;=0,0,IF(MOD($A272,Übersicht!$Q$6)=0,IF($A272/Übersicht!$Q$6&gt;=Übersicht!$C$21,MIN(Übersicht!$C$20,$D272-$G272),0),0))</f>
        <v>0</v>
      </c>
      <c r="I272" s="7">
        <f t="shared" si="26"/>
        <v>349.65000000000003</v>
      </c>
      <c r="J272" s="22">
        <f t="shared" si="27"/>
        <v>0</v>
      </c>
      <c r="K272" s="9" t="str">
        <f>IF($D272&lt;=0,"",IF($J272&lt;=0.005,"Volltilgung erreicht",IF($A272=Übersicht!$Q$13,"Ende der Zinsbindung",IF($H272&gt;0,"Sondertilgung",""))))</f>
        <v>Volltilgung erreicht</v>
      </c>
      <c r="L272" s="23">
        <f>IF($N271&lt;=0,0,ROUND($N271*Übersicht!$Q$7,2))</f>
        <v>297.39999999999998</v>
      </c>
      <c r="M272" s="23">
        <f>IF($N271&lt;=0,0,MIN($N271,IF(Übersicht!$C$13="Annuitätendarlehen",MAX(0,Übersicht!$Q$9-$L272),IF(Übersicht!$C$13="Ratendarlehen",Übersicht!$Q$10,IF($A272&gt;=Übersicht!$Q$11,$N271,0)))))</f>
        <v>1102.5999999999999</v>
      </c>
      <c r="N272" s="23">
        <f t="shared" si="29"/>
        <v>98032.11</v>
      </c>
    </row>
    <row r="273" spans="1:14" ht="15" customHeight="1" x14ac:dyDescent="0.25">
      <c r="A273" s="10">
        <v>266</v>
      </c>
      <c r="B273" s="24" t="str">
        <f>IF($D273&lt;=0,"",EDATE(Übersicht!$C$18,($A273-1)*12/Übersicht!$Q$6))</f>
        <v/>
      </c>
      <c r="C273" s="10" t="str">
        <f t="shared" si="24"/>
        <v/>
      </c>
      <c r="D273" s="25">
        <f t="shared" si="28"/>
        <v>0</v>
      </c>
      <c r="E273" s="12">
        <f t="shared" si="25"/>
        <v>0</v>
      </c>
      <c r="F273" s="12">
        <f>IF($D273&lt;=0,0,ROUND($D273*Übersicht!$Q$7,2))</f>
        <v>0</v>
      </c>
      <c r="G273" s="12">
        <f>IF($D273&lt;=0,0,MIN($D273,IF(Übersicht!$C$13="Annuitätendarlehen",MAX(0,Übersicht!$Q$9-$F273),IF(Übersicht!$C$13="Ratendarlehen",Übersicht!$Q$10,IF($A273&gt;=Übersicht!$Q$11,$D273,0)))))</f>
        <v>0</v>
      </c>
      <c r="H273" s="12">
        <f>IF($D273-$G273&lt;=0,0,IF(MOD($A273,Übersicht!$Q$6)=0,IF($A273/Übersicht!$Q$6&gt;=Übersicht!$C$21,MIN(Übersicht!$C$20,$D273-$G273),0),0))</f>
        <v>0</v>
      </c>
      <c r="I273" s="12">
        <f t="shared" si="26"/>
        <v>0</v>
      </c>
      <c r="J273" s="26">
        <f t="shared" si="27"/>
        <v>0</v>
      </c>
      <c r="K273" s="14" t="str">
        <f>IF($D273&lt;=0,"",IF($J273&lt;=0.005,"Volltilgung erreicht",IF($A273=Übersicht!$Q$13,"Ende der Zinsbindung",IF($H273&gt;0,"Sondertilgung",""))))</f>
        <v/>
      </c>
      <c r="L273" s="23">
        <f>IF($N272&lt;=0,0,ROUND($N272*Übersicht!$Q$7,2))</f>
        <v>294.10000000000002</v>
      </c>
      <c r="M273" s="23">
        <f>IF($N272&lt;=0,0,MIN($N272,IF(Übersicht!$C$13="Annuitätendarlehen",MAX(0,Übersicht!$Q$9-$L273),IF(Übersicht!$C$13="Ratendarlehen",Übersicht!$Q$10,IF($A273&gt;=Übersicht!$Q$11,$N272,0)))))</f>
        <v>1105.9000000000001</v>
      </c>
      <c r="N273" s="23">
        <f t="shared" si="29"/>
        <v>96926.21</v>
      </c>
    </row>
    <row r="274" spans="1:14" ht="15" customHeight="1" x14ac:dyDescent="0.25">
      <c r="A274" s="5">
        <v>267</v>
      </c>
      <c r="B274" s="20" t="str">
        <f>IF($D274&lt;=0,"",EDATE(Übersicht!$C$18,($A274-1)*12/Übersicht!$Q$6))</f>
        <v/>
      </c>
      <c r="C274" s="5" t="str">
        <f t="shared" si="24"/>
        <v/>
      </c>
      <c r="D274" s="21">
        <f t="shared" si="28"/>
        <v>0</v>
      </c>
      <c r="E274" s="7">
        <f t="shared" si="25"/>
        <v>0</v>
      </c>
      <c r="F274" s="7">
        <f>IF($D274&lt;=0,0,ROUND($D274*Übersicht!$Q$7,2))</f>
        <v>0</v>
      </c>
      <c r="G274" s="7">
        <f>IF($D274&lt;=0,0,MIN($D274,IF(Übersicht!$C$13="Annuitätendarlehen",MAX(0,Übersicht!$Q$9-$F274),IF(Übersicht!$C$13="Ratendarlehen",Übersicht!$Q$10,IF($A274&gt;=Übersicht!$Q$11,$D274,0)))))</f>
        <v>0</v>
      </c>
      <c r="H274" s="7">
        <f>IF($D274-$G274&lt;=0,0,IF(MOD($A274,Übersicht!$Q$6)=0,IF($A274/Übersicht!$Q$6&gt;=Übersicht!$C$21,MIN(Übersicht!$C$20,$D274-$G274),0),0))</f>
        <v>0</v>
      </c>
      <c r="I274" s="7">
        <f t="shared" si="26"/>
        <v>0</v>
      </c>
      <c r="J274" s="22">
        <f t="shared" si="27"/>
        <v>0</v>
      </c>
      <c r="K274" s="9" t="str">
        <f>IF($D274&lt;=0,"",IF($J274&lt;=0.005,"Volltilgung erreicht",IF($A274=Übersicht!$Q$13,"Ende der Zinsbindung",IF($H274&gt;0,"Sondertilgung",""))))</f>
        <v/>
      </c>
      <c r="L274" s="23">
        <f>IF($N273&lt;=0,0,ROUND($N273*Übersicht!$Q$7,2))</f>
        <v>290.77999999999997</v>
      </c>
      <c r="M274" s="23">
        <f>IF($N273&lt;=0,0,MIN($N273,IF(Übersicht!$C$13="Annuitätendarlehen",MAX(0,Übersicht!$Q$9-$L274),IF(Übersicht!$C$13="Ratendarlehen",Übersicht!$Q$10,IF($A274&gt;=Übersicht!$Q$11,$N273,0)))))</f>
        <v>1109.22</v>
      </c>
      <c r="N274" s="23">
        <f t="shared" si="29"/>
        <v>95816.99</v>
      </c>
    </row>
    <row r="275" spans="1:14" ht="15" customHeight="1" x14ac:dyDescent="0.25">
      <c r="A275" s="10">
        <v>268</v>
      </c>
      <c r="B275" s="24" t="str">
        <f>IF($D275&lt;=0,"",EDATE(Übersicht!$C$18,($A275-1)*12/Übersicht!$Q$6))</f>
        <v/>
      </c>
      <c r="C275" s="10" t="str">
        <f t="shared" si="24"/>
        <v/>
      </c>
      <c r="D275" s="25">
        <f t="shared" si="28"/>
        <v>0</v>
      </c>
      <c r="E275" s="12">
        <f t="shared" si="25"/>
        <v>0</v>
      </c>
      <c r="F275" s="12">
        <f>IF($D275&lt;=0,0,ROUND($D275*Übersicht!$Q$7,2))</f>
        <v>0</v>
      </c>
      <c r="G275" s="12">
        <f>IF($D275&lt;=0,0,MIN($D275,IF(Übersicht!$C$13="Annuitätendarlehen",MAX(0,Übersicht!$Q$9-$F275),IF(Übersicht!$C$13="Ratendarlehen",Übersicht!$Q$10,IF($A275&gt;=Übersicht!$Q$11,$D275,0)))))</f>
        <v>0</v>
      </c>
      <c r="H275" s="12">
        <f>IF($D275-$G275&lt;=0,0,IF(MOD($A275,Übersicht!$Q$6)=0,IF($A275/Übersicht!$Q$6&gt;=Übersicht!$C$21,MIN(Übersicht!$C$20,$D275-$G275),0),0))</f>
        <v>0</v>
      </c>
      <c r="I275" s="12">
        <f t="shared" si="26"/>
        <v>0</v>
      </c>
      <c r="J275" s="26">
        <f t="shared" si="27"/>
        <v>0</v>
      </c>
      <c r="K275" s="14" t="str">
        <f>IF($D275&lt;=0,"",IF($J275&lt;=0.005,"Volltilgung erreicht",IF($A275=Übersicht!$Q$13,"Ende der Zinsbindung",IF($H275&gt;0,"Sondertilgung",""))))</f>
        <v/>
      </c>
      <c r="L275" s="23">
        <f>IF($N274&lt;=0,0,ROUND($N274*Übersicht!$Q$7,2))</f>
        <v>287.45</v>
      </c>
      <c r="M275" s="23">
        <f>IF($N274&lt;=0,0,MIN($N274,IF(Übersicht!$C$13="Annuitätendarlehen",MAX(0,Übersicht!$Q$9-$L275),IF(Übersicht!$C$13="Ratendarlehen",Übersicht!$Q$10,IF($A275&gt;=Übersicht!$Q$11,$N274,0)))))</f>
        <v>1112.55</v>
      </c>
      <c r="N275" s="23">
        <f t="shared" si="29"/>
        <v>94704.44</v>
      </c>
    </row>
    <row r="276" spans="1:14" ht="15" customHeight="1" x14ac:dyDescent="0.25">
      <c r="A276" s="5">
        <v>269</v>
      </c>
      <c r="B276" s="20" t="str">
        <f>IF($D276&lt;=0,"",EDATE(Übersicht!$C$18,($A276-1)*12/Übersicht!$Q$6))</f>
        <v/>
      </c>
      <c r="C276" s="5" t="str">
        <f t="shared" si="24"/>
        <v/>
      </c>
      <c r="D276" s="21">
        <f t="shared" si="28"/>
        <v>0</v>
      </c>
      <c r="E276" s="7">
        <f t="shared" si="25"/>
        <v>0</v>
      </c>
      <c r="F276" s="7">
        <f>IF($D276&lt;=0,0,ROUND($D276*Übersicht!$Q$7,2))</f>
        <v>0</v>
      </c>
      <c r="G276" s="7">
        <f>IF($D276&lt;=0,0,MIN($D276,IF(Übersicht!$C$13="Annuitätendarlehen",MAX(0,Übersicht!$Q$9-$F276),IF(Übersicht!$C$13="Ratendarlehen",Übersicht!$Q$10,IF($A276&gt;=Übersicht!$Q$11,$D276,0)))))</f>
        <v>0</v>
      </c>
      <c r="H276" s="7">
        <f>IF($D276-$G276&lt;=0,0,IF(MOD($A276,Übersicht!$Q$6)=0,IF($A276/Übersicht!$Q$6&gt;=Übersicht!$C$21,MIN(Übersicht!$C$20,$D276-$G276),0),0))</f>
        <v>0</v>
      </c>
      <c r="I276" s="7">
        <f t="shared" si="26"/>
        <v>0</v>
      </c>
      <c r="J276" s="22">
        <f t="shared" si="27"/>
        <v>0</v>
      </c>
      <c r="K276" s="9" t="str">
        <f>IF($D276&lt;=0,"",IF($J276&lt;=0.005,"Volltilgung erreicht",IF($A276=Übersicht!$Q$13,"Ende der Zinsbindung",IF($H276&gt;0,"Sondertilgung",""))))</f>
        <v/>
      </c>
      <c r="L276" s="23">
        <f>IF($N275&lt;=0,0,ROUND($N275*Übersicht!$Q$7,2))</f>
        <v>284.11</v>
      </c>
      <c r="M276" s="23">
        <f>IF($N275&lt;=0,0,MIN($N275,IF(Übersicht!$C$13="Annuitätendarlehen",MAX(0,Übersicht!$Q$9-$L276),IF(Übersicht!$C$13="Ratendarlehen",Übersicht!$Q$10,IF($A276&gt;=Übersicht!$Q$11,$N275,0)))))</f>
        <v>1115.8899999999999</v>
      </c>
      <c r="N276" s="23">
        <f t="shared" si="29"/>
        <v>93588.55</v>
      </c>
    </row>
    <row r="277" spans="1:14" ht="15" customHeight="1" x14ac:dyDescent="0.25">
      <c r="A277" s="10">
        <v>270</v>
      </c>
      <c r="B277" s="24" t="str">
        <f>IF($D277&lt;=0,"",EDATE(Übersicht!$C$18,($A277-1)*12/Übersicht!$Q$6))</f>
        <v/>
      </c>
      <c r="C277" s="10" t="str">
        <f t="shared" si="24"/>
        <v/>
      </c>
      <c r="D277" s="25">
        <f t="shared" si="28"/>
        <v>0</v>
      </c>
      <c r="E277" s="12">
        <f t="shared" si="25"/>
        <v>0</v>
      </c>
      <c r="F277" s="12">
        <f>IF($D277&lt;=0,0,ROUND($D277*Übersicht!$Q$7,2))</f>
        <v>0</v>
      </c>
      <c r="G277" s="12">
        <f>IF($D277&lt;=0,0,MIN($D277,IF(Übersicht!$C$13="Annuitätendarlehen",MAX(0,Übersicht!$Q$9-$F277),IF(Übersicht!$C$13="Ratendarlehen",Übersicht!$Q$10,IF($A277&gt;=Übersicht!$Q$11,$D277,0)))))</f>
        <v>0</v>
      </c>
      <c r="H277" s="12">
        <f>IF($D277-$G277&lt;=0,0,IF(MOD($A277,Übersicht!$Q$6)=0,IF($A277/Übersicht!$Q$6&gt;=Übersicht!$C$21,MIN(Übersicht!$C$20,$D277-$G277),0),0))</f>
        <v>0</v>
      </c>
      <c r="I277" s="12">
        <f t="shared" si="26"/>
        <v>0</v>
      </c>
      <c r="J277" s="26">
        <f t="shared" si="27"/>
        <v>0</v>
      </c>
      <c r="K277" s="14" t="str">
        <f>IF($D277&lt;=0,"",IF($J277&lt;=0.005,"Volltilgung erreicht",IF($A277=Übersicht!$Q$13,"Ende der Zinsbindung",IF($H277&gt;0,"Sondertilgung",""))))</f>
        <v/>
      </c>
      <c r="L277" s="23">
        <f>IF($N276&lt;=0,0,ROUND($N276*Übersicht!$Q$7,2))</f>
        <v>280.77</v>
      </c>
      <c r="M277" s="23">
        <f>IF($N276&lt;=0,0,MIN($N276,IF(Übersicht!$C$13="Annuitätendarlehen",MAX(0,Übersicht!$Q$9-$L277),IF(Übersicht!$C$13="Ratendarlehen",Übersicht!$Q$10,IF($A277&gt;=Übersicht!$Q$11,$N276,0)))))</f>
        <v>1119.23</v>
      </c>
      <c r="N277" s="23">
        <f t="shared" si="29"/>
        <v>92469.32</v>
      </c>
    </row>
    <row r="278" spans="1:14" ht="15" customHeight="1" x14ac:dyDescent="0.25">
      <c r="A278" s="5">
        <v>271</v>
      </c>
      <c r="B278" s="20" t="str">
        <f>IF($D278&lt;=0,"",EDATE(Übersicht!$C$18,($A278-1)*12/Übersicht!$Q$6))</f>
        <v/>
      </c>
      <c r="C278" s="5" t="str">
        <f t="shared" si="24"/>
        <v/>
      </c>
      <c r="D278" s="21">
        <f t="shared" si="28"/>
        <v>0</v>
      </c>
      <c r="E278" s="7">
        <f t="shared" si="25"/>
        <v>0</v>
      </c>
      <c r="F278" s="7">
        <f>IF($D278&lt;=0,0,ROUND($D278*Übersicht!$Q$7,2))</f>
        <v>0</v>
      </c>
      <c r="G278" s="7">
        <f>IF($D278&lt;=0,0,MIN($D278,IF(Übersicht!$C$13="Annuitätendarlehen",MAX(0,Übersicht!$Q$9-$F278),IF(Übersicht!$C$13="Ratendarlehen",Übersicht!$Q$10,IF($A278&gt;=Übersicht!$Q$11,$D278,0)))))</f>
        <v>0</v>
      </c>
      <c r="H278" s="7">
        <f>IF($D278-$G278&lt;=0,0,IF(MOD($A278,Übersicht!$Q$6)=0,IF($A278/Übersicht!$Q$6&gt;=Übersicht!$C$21,MIN(Übersicht!$C$20,$D278-$G278),0),0))</f>
        <v>0</v>
      </c>
      <c r="I278" s="7">
        <f t="shared" si="26"/>
        <v>0</v>
      </c>
      <c r="J278" s="22">
        <f t="shared" si="27"/>
        <v>0</v>
      </c>
      <c r="K278" s="9" t="str">
        <f>IF($D278&lt;=0,"",IF($J278&lt;=0.005,"Volltilgung erreicht",IF($A278=Übersicht!$Q$13,"Ende der Zinsbindung",IF($H278&gt;0,"Sondertilgung",""))))</f>
        <v/>
      </c>
      <c r="L278" s="23">
        <f>IF($N277&lt;=0,0,ROUND($N277*Übersicht!$Q$7,2))</f>
        <v>277.41000000000003</v>
      </c>
      <c r="M278" s="23">
        <f>IF($N277&lt;=0,0,MIN($N277,IF(Übersicht!$C$13="Annuitätendarlehen",MAX(0,Übersicht!$Q$9-$L278),IF(Übersicht!$C$13="Ratendarlehen",Übersicht!$Q$10,IF($A278&gt;=Übersicht!$Q$11,$N277,0)))))</f>
        <v>1122.5899999999999</v>
      </c>
      <c r="N278" s="23">
        <f t="shared" si="29"/>
        <v>91346.73</v>
      </c>
    </row>
    <row r="279" spans="1:14" ht="15" customHeight="1" x14ac:dyDescent="0.25">
      <c r="A279" s="10">
        <v>272</v>
      </c>
      <c r="B279" s="24" t="str">
        <f>IF($D279&lt;=0,"",EDATE(Übersicht!$C$18,($A279-1)*12/Übersicht!$Q$6))</f>
        <v/>
      </c>
      <c r="C279" s="10" t="str">
        <f t="shared" si="24"/>
        <v/>
      </c>
      <c r="D279" s="25">
        <f t="shared" si="28"/>
        <v>0</v>
      </c>
      <c r="E279" s="12">
        <f t="shared" si="25"/>
        <v>0</v>
      </c>
      <c r="F279" s="12">
        <f>IF($D279&lt;=0,0,ROUND($D279*Übersicht!$Q$7,2))</f>
        <v>0</v>
      </c>
      <c r="G279" s="12">
        <f>IF($D279&lt;=0,0,MIN($D279,IF(Übersicht!$C$13="Annuitätendarlehen",MAX(0,Übersicht!$Q$9-$F279),IF(Übersicht!$C$13="Ratendarlehen",Übersicht!$Q$10,IF($A279&gt;=Übersicht!$Q$11,$D279,0)))))</f>
        <v>0</v>
      </c>
      <c r="H279" s="12">
        <f>IF($D279-$G279&lt;=0,0,IF(MOD($A279,Übersicht!$Q$6)=0,IF($A279/Übersicht!$Q$6&gt;=Übersicht!$C$21,MIN(Übersicht!$C$20,$D279-$G279),0),0))</f>
        <v>0</v>
      </c>
      <c r="I279" s="12">
        <f t="shared" si="26"/>
        <v>0</v>
      </c>
      <c r="J279" s="26">
        <f t="shared" si="27"/>
        <v>0</v>
      </c>
      <c r="K279" s="14" t="str">
        <f>IF($D279&lt;=0,"",IF($J279&lt;=0.005,"Volltilgung erreicht",IF($A279=Übersicht!$Q$13,"Ende der Zinsbindung",IF($H279&gt;0,"Sondertilgung",""))))</f>
        <v/>
      </c>
      <c r="L279" s="23">
        <f>IF($N278&lt;=0,0,ROUND($N278*Übersicht!$Q$7,2))</f>
        <v>274.04000000000002</v>
      </c>
      <c r="M279" s="23">
        <f>IF($N278&lt;=0,0,MIN($N278,IF(Übersicht!$C$13="Annuitätendarlehen",MAX(0,Übersicht!$Q$9-$L279),IF(Übersicht!$C$13="Ratendarlehen",Übersicht!$Q$10,IF($A279&gt;=Übersicht!$Q$11,$N278,0)))))</f>
        <v>1125.96</v>
      </c>
      <c r="N279" s="23">
        <f t="shared" si="29"/>
        <v>90220.77</v>
      </c>
    </row>
    <row r="280" spans="1:14" ht="15" customHeight="1" x14ac:dyDescent="0.25">
      <c r="A280" s="5">
        <v>273</v>
      </c>
      <c r="B280" s="20" t="str">
        <f>IF($D280&lt;=0,"",EDATE(Übersicht!$C$18,($A280-1)*12/Übersicht!$Q$6))</f>
        <v/>
      </c>
      <c r="C280" s="5" t="str">
        <f t="shared" si="24"/>
        <v/>
      </c>
      <c r="D280" s="21">
        <f t="shared" si="28"/>
        <v>0</v>
      </c>
      <c r="E280" s="7">
        <f t="shared" si="25"/>
        <v>0</v>
      </c>
      <c r="F280" s="7">
        <f>IF($D280&lt;=0,0,ROUND($D280*Übersicht!$Q$7,2))</f>
        <v>0</v>
      </c>
      <c r="G280" s="7">
        <f>IF($D280&lt;=0,0,MIN($D280,IF(Übersicht!$C$13="Annuitätendarlehen",MAX(0,Übersicht!$Q$9-$F280),IF(Übersicht!$C$13="Ratendarlehen",Übersicht!$Q$10,IF($A280&gt;=Übersicht!$Q$11,$D280,0)))))</f>
        <v>0</v>
      </c>
      <c r="H280" s="7">
        <f>IF($D280-$G280&lt;=0,0,IF(MOD($A280,Übersicht!$Q$6)=0,IF($A280/Übersicht!$Q$6&gt;=Übersicht!$C$21,MIN(Übersicht!$C$20,$D280-$G280),0),0))</f>
        <v>0</v>
      </c>
      <c r="I280" s="7">
        <f t="shared" si="26"/>
        <v>0</v>
      </c>
      <c r="J280" s="22">
        <f t="shared" si="27"/>
        <v>0</v>
      </c>
      <c r="K280" s="9" t="str">
        <f>IF($D280&lt;=0,"",IF($J280&lt;=0.005,"Volltilgung erreicht",IF($A280=Übersicht!$Q$13,"Ende der Zinsbindung",IF($H280&gt;0,"Sondertilgung",""))))</f>
        <v/>
      </c>
      <c r="L280" s="23">
        <f>IF($N279&lt;=0,0,ROUND($N279*Übersicht!$Q$7,2))</f>
        <v>270.66000000000003</v>
      </c>
      <c r="M280" s="23">
        <f>IF($N279&lt;=0,0,MIN($N279,IF(Übersicht!$C$13="Annuitätendarlehen",MAX(0,Übersicht!$Q$9-$L280),IF(Übersicht!$C$13="Ratendarlehen",Übersicht!$Q$10,IF($A280&gt;=Übersicht!$Q$11,$N279,0)))))</f>
        <v>1129.3399999999999</v>
      </c>
      <c r="N280" s="23">
        <f t="shared" si="29"/>
        <v>89091.43</v>
      </c>
    </row>
    <row r="281" spans="1:14" ht="15" customHeight="1" x14ac:dyDescent="0.25">
      <c r="A281" s="10">
        <v>274</v>
      </c>
      <c r="B281" s="24" t="str">
        <f>IF($D281&lt;=0,"",EDATE(Übersicht!$C$18,($A281-1)*12/Übersicht!$Q$6))</f>
        <v/>
      </c>
      <c r="C281" s="10" t="str">
        <f t="shared" si="24"/>
        <v/>
      </c>
      <c r="D281" s="25">
        <f t="shared" si="28"/>
        <v>0</v>
      </c>
      <c r="E281" s="12">
        <f t="shared" si="25"/>
        <v>0</v>
      </c>
      <c r="F281" s="12">
        <f>IF($D281&lt;=0,0,ROUND($D281*Übersicht!$Q$7,2))</f>
        <v>0</v>
      </c>
      <c r="G281" s="12">
        <f>IF($D281&lt;=0,0,MIN($D281,IF(Übersicht!$C$13="Annuitätendarlehen",MAX(0,Übersicht!$Q$9-$F281),IF(Übersicht!$C$13="Ratendarlehen",Übersicht!$Q$10,IF($A281&gt;=Übersicht!$Q$11,$D281,0)))))</f>
        <v>0</v>
      </c>
      <c r="H281" s="12">
        <f>IF($D281-$G281&lt;=0,0,IF(MOD($A281,Übersicht!$Q$6)=0,IF($A281/Übersicht!$Q$6&gt;=Übersicht!$C$21,MIN(Übersicht!$C$20,$D281-$G281),0),0))</f>
        <v>0</v>
      </c>
      <c r="I281" s="12">
        <f t="shared" si="26"/>
        <v>0</v>
      </c>
      <c r="J281" s="26">
        <f t="shared" si="27"/>
        <v>0</v>
      </c>
      <c r="K281" s="14" t="str">
        <f>IF($D281&lt;=0,"",IF($J281&lt;=0.005,"Volltilgung erreicht",IF($A281=Übersicht!$Q$13,"Ende der Zinsbindung",IF($H281&gt;0,"Sondertilgung",""))))</f>
        <v/>
      </c>
      <c r="L281" s="23">
        <f>IF($N280&lt;=0,0,ROUND($N280*Übersicht!$Q$7,2))</f>
        <v>267.27</v>
      </c>
      <c r="M281" s="23">
        <f>IF($N280&lt;=0,0,MIN($N280,IF(Übersicht!$C$13="Annuitätendarlehen",MAX(0,Übersicht!$Q$9-$L281),IF(Übersicht!$C$13="Ratendarlehen",Übersicht!$Q$10,IF($A281&gt;=Übersicht!$Q$11,$N280,0)))))</f>
        <v>1132.73</v>
      </c>
      <c r="N281" s="23">
        <f t="shared" si="29"/>
        <v>87958.7</v>
      </c>
    </row>
    <row r="282" spans="1:14" ht="15" customHeight="1" x14ac:dyDescent="0.25">
      <c r="A282" s="5">
        <v>275</v>
      </c>
      <c r="B282" s="20" t="str">
        <f>IF($D282&lt;=0,"",EDATE(Übersicht!$C$18,($A282-1)*12/Übersicht!$Q$6))</f>
        <v/>
      </c>
      <c r="C282" s="5" t="str">
        <f t="shared" si="24"/>
        <v/>
      </c>
      <c r="D282" s="21">
        <f t="shared" si="28"/>
        <v>0</v>
      </c>
      <c r="E282" s="7">
        <f t="shared" si="25"/>
        <v>0</v>
      </c>
      <c r="F282" s="7">
        <f>IF($D282&lt;=0,0,ROUND($D282*Übersicht!$Q$7,2))</f>
        <v>0</v>
      </c>
      <c r="G282" s="7">
        <f>IF($D282&lt;=0,0,MIN($D282,IF(Übersicht!$C$13="Annuitätendarlehen",MAX(0,Übersicht!$Q$9-$F282),IF(Übersicht!$C$13="Ratendarlehen",Übersicht!$Q$10,IF($A282&gt;=Übersicht!$Q$11,$D282,0)))))</f>
        <v>0</v>
      </c>
      <c r="H282" s="7">
        <f>IF($D282-$G282&lt;=0,0,IF(MOD($A282,Übersicht!$Q$6)=0,IF($A282/Übersicht!$Q$6&gt;=Übersicht!$C$21,MIN(Übersicht!$C$20,$D282-$G282),0),0))</f>
        <v>0</v>
      </c>
      <c r="I282" s="7">
        <f t="shared" si="26"/>
        <v>0</v>
      </c>
      <c r="J282" s="22">
        <f t="shared" si="27"/>
        <v>0</v>
      </c>
      <c r="K282" s="9" t="str">
        <f>IF($D282&lt;=0,"",IF($J282&lt;=0.005,"Volltilgung erreicht",IF($A282=Übersicht!$Q$13,"Ende der Zinsbindung",IF($H282&gt;0,"Sondertilgung",""))))</f>
        <v/>
      </c>
      <c r="L282" s="23">
        <f>IF($N281&lt;=0,0,ROUND($N281*Übersicht!$Q$7,2))</f>
        <v>263.88</v>
      </c>
      <c r="M282" s="23">
        <f>IF($N281&lt;=0,0,MIN($N281,IF(Übersicht!$C$13="Annuitätendarlehen",MAX(0,Übersicht!$Q$9-$L282),IF(Übersicht!$C$13="Ratendarlehen",Übersicht!$Q$10,IF($A282&gt;=Übersicht!$Q$11,$N281,0)))))</f>
        <v>1136.1199999999999</v>
      </c>
      <c r="N282" s="23">
        <f t="shared" si="29"/>
        <v>86822.58</v>
      </c>
    </row>
    <row r="283" spans="1:14" ht="15" customHeight="1" x14ac:dyDescent="0.25">
      <c r="A283" s="10">
        <v>276</v>
      </c>
      <c r="B283" s="24" t="str">
        <f>IF($D283&lt;=0,"",EDATE(Übersicht!$C$18,($A283-1)*12/Übersicht!$Q$6))</f>
        <v/>
      </c>
      <c r="C283" s="10" t="str">
        <f t="shared" si="24"/>
        <v/>
      </c>
      <c r="D283" s="25">
        <f t="shared" si="28"/>
        <v>0</v>
      </c>
      <c r="E283" s="12">
        <f t="shared" si="25"/>
        <v>0</v>
      </c>
      <c r="F283" s="12">
        <f>IF($D283&lt;=0,0,ROUND($D283*Übersicht!$Q$7,2))</f>
        <v>0</v>
      </c>
      <c r="G283" s="12">
        <f>IF($D283&lt;=0,0,MIN($D283,IF(Übersicht!$C$13="Annuitätendarlehen",MAX(0,Übersicht!$Q$9-$F283),IF(Übersicht!$C$13="Ratendarlehen",Übersicht!$Q$10,IF($A283&gt;=Übersicht!$Q$11,$D283,0)))))</f>
        <v>0</v>
      </c>
      <c r="H283" s="12">
        <f>IF($D283-$G283&lt;=0,0,IF(MOD($A283,Übersicht!$Q$6)=0,IF($A283/Übersicht!$Q$6&gt;=Übersicht!$C$21,MIN(Übersicht!$C$20,$D283-$G283),0),0))</f>
        <v>0</v>
      </c>
      <c r="I283" s="12">
        <f t="shared" si="26"/>
        <v>0</v>
      </c>
      <c r="J283" s="26">
        <f t="shared" si="27"/>
        <v>0</v>
      </c>
      <c r="K283" s="14" t="str">
        <f>IF($D283&lt;=0,"",IF($J283&lt;=0.005,"Volltilgung erreicht",IF($A283=Übersicht!$Q$13,"Ende der Zinsbindung",IF($H283&gt;0,"Sondertilgung",""))))</f>
        <v/>
      </c>
      <c r="L283" s="23">
        <f>IF($N282&lt;=0,0,ROUND($N282*Übersicht!$Q$7,2))</f>
        <v>260.47000000000003</v>
      </c>
      <c r="M283" s="23">
        <f>IF($N282&lt;=0,0,MIN($N282,IF(Übersicht!$C$13="Annuitätendarlehen",MAX(0,Übersicht!$Q$9-$L283),IF(Übersicht!$C$13="Ratendarlehen",Übersicht!$Q$10,IF($A283&gt;=Übersicht!$Q$11,$N282,0)))))</f>
        <v>1139.53</v>
      </c>
      <c r="N283" s="23">
        <f t="shared" si="29"/>
        <v>85683.05</v>
      </c>
    </row>
    <row r="284" spans="1:14" ht="15" customHeight="1" x14ac:dyDescent="0.25">
      <c r="A284" s="5">
        <v>277</v>
      </c>
      <c r="B284" s="20" t="str">
        <f>IF($D284&lt;=0,"",EDATE(Übersicht!$C$18,($A284-1)*12/Übersicht!$Q$6))</f>
        <v/>
      </c>
      <c r="C284" s="5" t="str">
        <f t="shared" si="24"/>
        <v/>
      </c>
      <c r="D284" s="21">
        <f t="shared" si="28"/>
        <v>0</v>
      </c>
      <c r="E284" s="7">
        <f t="shared" si="25"/>
        <v>0</v>
      </c>
      <c r="F284" s="7">
        <f>IF($D284&lt;=0,0,ROUND($D284*Übersicht!$Q$7,2))</f>
        <v>0</v>
      </c>
      <c r="G284" s="7">
        <f>IF($D284&lt;=0,0,MIN($D284,IF(Übersicht!$C$13="Annuitätendarlehen",MAX(0,Übersicht!$Q$9-$F284),IF(Übersicht!$C$13="Ratendarlehen",Übersicht!$Q$10,IF($A284&gt;=Übersicht!$Q$11,$D284,0)))))</f>
        <v>0</v>
      </c>
      <c r="H284" s="7">
        <f>IF($D284-$G284&lt;=0,0,IF(MOD($A284,Übersicht!$Q$6)=0,IF($A284/Übersicht!$Q$6&gt;=Übersicht!$C$21,MIN(Übersicht!$C$20,$D284-$G284),0),0))</f>
        <v>0</v>
      </c>
      <c r="I284" s="7">
        <f t="shared" si="26"/>
        <v>0</v>
      </c>
      <c r="J284" s="22">
        <f t="shared" si="27"/>
        <v>0</v>
      </c>
      <c r="K284" s="9" t="str">
        <f>IF($D284&lt;=0,"",IF($J284&lt;=0.005,"Volltilgung erreicht",IF($A284=Übersicht!$Q$13,"Ende der Zinsbindung",IF($H284&gt;0,"Sondertilgung",""))))</f>
        <v/>
      </c>
      <c r="L284" s="23">
        <f>IF($N283&lt;=0,0,ROUND($N283*Übersicht!$Q$7,2))</f>
        <v>257.05</v>
      </c>
      <c r="M284" s="23">
        <f>IF($N283&lt;=0,0,MIN($N283,IF(Übersicht!$C$13="Annuitätendarlehen",MAX(0,Übersicht!$Q$9-$L284),IF(Übersicht!$C$13="Ratendarlehen",Übersicht!$Q$10,IF($A284&gt;=Übersicht!$Q$11,$N283,0)))))</f>
        <v>1142.95</v>
      </c>
      <c r="N284" s="23">
        <f t="shared" si="29"/>
        <v>84540.1</v>
      </c>
    </row>
    <row r="285" spans="1:14" ht="15" customHeight="1" x14ac:dyDescent="0.25">
      <c r="A285" s="10">
        <v>278</v>
      </c>
      <c r="B285" s="24" t="str">
        <f>IF($D285&lt;=0,"",EDATE(Übersicht!$C$18,($A285-1)*12/Übersicht!$Q$6))</f>
        <v/>
      </c>
      <c r="C285" s="10" t="str">
        <f t="shared" si="24"/>
        <v/>
      </c>
      <c r="D285" s="25">
        <f t="shared" si="28"/>
        <v>0</v>
      </c>
      <c r="E285" s="12">
        <f t="shared" si="25"/>
        <v>0</v>
      </c>
      <c r="F285" s="12">
        <f>IF($D285&lt;=0,0,ROUND($D285*Übersicht!$Q$7,2))</f>
        <v>0</v>
      </c>
      <c r="G285" s="12">
        <f>IF($D285&lt;=0,0,MIN($D285,IF(Übersicht!$C$13="Annuitätendarlehen",MAX(0,Übersicht!$Q$9-$F285),IF(Übersicht!$C$13="Ratendarlehen",Übersicht!$Q$10,IF($A285&gt;=Übersicht!$Q$11,$D285,0)))))</f>
        <v>0</v>
      </c>
      <c r="H285" s="12">
        <f>IF($D285-$G285&lt;=0,0,IF(MOD($A285,Übersicht!$Q$6)=0,IF($A285/Übersicht!$Q$6&gt;=Übersicht!$C$21,MIN(Übersicht!$C$20,$D285-$G285),0),0))</f>
        <v>0</v>
      </c>
      <c r="I285" s="12">
        <f t="shared" si="26"/>
        <v>0</v>
      </c>
      <c r="J285" s="26">
        <f t="shared" si="27"/>
        <v>0</v>
      </c>
      <c r="K285" s="14" t="str">
        <f>IF($D285&lt;=0,"",IF($J285&lt;=0.005,"Volltilgung erreicht",IF($A285=Übersicht!$Q$13,"Ende der Zinsbindung",IF($H285&gt;0,"Sondertilgung",""))))</f>
        <v/>
      </c>
      <c r="L285" s="23">
        <f>IF($N284&lt;=0,0,ROUND($N284*Übersicht!$Q$7,2))</f>
        <v>253.62</v>
      </c>
      <c r="M285" s="23">
        <f>IF($N284&lt;=0,0,MIN($N284,IF(Übersicht!$C$13="Annuitätendarlehen",MAX(0,Übersicht!$Q$9-$L285),IF(Übersicht!$C$13="Ratendarlehen",Übersicht!$Q$10,IF($A285&gt;=Übersicht!$Q$11,$N284,0)))))</f>
        <v>1146.3800000000001</v>
      </c>
      <c r="N285" s="23">
        <f t="shared" si="29"/>
        <v>83393.72</v>
      </c>
    </row>
    <row r="286" spans="1:14" ht="15" customHeight="1" x14ac:dyDescent="0.25">
      <c r="A286" s="5">
        <v>279</v>
      </c>
      <c r="B286" s="20" t="str">
        <f>IF($D286&lt;=0,"",EDATE(Übersicht!$C$18,($A286-1)*12/Übersicht!$Q$6))</f>
        <v/>
      </c>
      <c r="C286" s="5" t="str">
        <f t="shared" si="24"/>
        <v/>
      </c>
      <c r="D286" s="21">
        <f t="shared" si="28"/>
        <v>0</v>
      </c>
      <c r="E286" s="7">
        <f t="shared" si="25"/>
        <v>0</v>
      </c>
      <c r="F286" s="7">
        <f>IF($D286&lt;=0,0,ROUND($D286*Übersicht!$Q$7,2))</f>
        <v>0</v>
      </c>
      <c r="G286" s="7">
        <f>IF($D286&lt;=0,0,MIN($D286,IF(Übersicht!$C$13="Annuitätendarlehen",MAX(0,Übersicht!$Q$9-$F286),IF(Übersicht!$C$13="Ratendarlehen",Übersicht!$Q$10,IF($A286&gt;=Übersicht!$Q$11,$D286,0)))))</f>
        <v>0</v>
      </c>
      <c r="H286" s="7">
        <f>IF($D286-$G286&lt;=0,0,IF(MOD($A286,Übersicht!$Q$6)=0,IF($A286/Übersicht!$Q$6&gt;=Übersicht!$C$21,MIN(Übersicht!$C$20,$D286-$G286),0),0))</f>
        <v>0</v>
      </c>
      <c r="I286" s="7">
        <f t="shared" si="26"/>
        <v>0</v>
      </c>
      <c r="J286" s="22">
        <f t="shared" si="27"/>
        <v>0</v>
      </c>
      <c r="K286" s="9" t="str">
        <f>IF($D286&lt;=0,"",IF($J286&lt;=0.005,"Volltilgung erreicht",IF($A286=Übersicht!$Q$13,"Ende der Zinsbindung",IF($H286&gt;0,"Sondertilgung",""))))</f>
        <v/>
      </c>
      <c r="L286" s="23">
        <f>IF($N285&lt;=0,0,ROUND($N285*Übersicht!$Q$7,2))</f>
        <v>250.18</v>
      </c>
      <c r="M286" s="23">
        <f>IF($N285&lt;=0,0,MIN($N285,IF(Übersicht!$C$13="Annuitätendarlehen",MAX(0,Übersicht!$Q$9-$L286),IF(Übersicht!$C$13="Ratendarlehen",Übersicht!$Q$10,IF($A286&gt;=Übersicht!$Q$11,$N285,0)))))</f>
        <v>1149.82</v>
      </c>
      <c r="N286" s="23">
        <f t="shared" si="29"/>
        <v>82243.899999999994</v>
      </c>
    </row>
    <row r="287" spans="1:14" ht="15" customHeight="1" x14ac:dyDescent="0.25">
      <c r="A287" s="10">
        <v>280</v>
      </c>
      <c r="B287" s="24" t="str">
        <f>IF($D287&lt;=0,"",EDATE(Übersicht!$C$18,($A287-1)*12/Übersicht!$Q$6))</f>
        <v/>
      </c>
      <c r="C287" s="10" t="str">
        <f t="shared" si="24"/>
        <v/>
      </c>
      <c r="D287" s="25">
        <f t="shared" si="28"/>
        <v>0</v>
      </c>
      <c r="E287" s="12">
        <f t="shared" si="25"/>
        <v>0</v>
      </c>
      <c r="F287" s="12">
        <f>IF($D287&lt;=0,0,ROUND($D287*Übersicht!$Q$7,2))</f>
        <v>0</v>
      </c>
      <c r="G287" s="12">
        <f>IF($D287&lt;=0,0,MIN($D287,IF(Übersicht!$C$13="Annuitätendarlehen",MAX(0,Übersicht!$Q$9-$F287),IF(Übersicht!$C$13="Ratendarlehen",Übersicht!$Q$10,IF($A287&gt;=Übersicht!$Q$11,$D287,0)))))</f>
        <v>0</v>
      </c>
      <c r="H287" s="12">
        <f>IF($D287-$G287&lt;=0,0,IF(MOD($A287,Übersicht!$Q$6)=0,IF($A287/Übersicht!$Q$6&gt;=Übersicht!$C$21,MIN(Übersicht!$C$20,$D287-$G287),0),0))</f>
        <v>0</v>
      </c>
      <c r="I287" s="12">
        <f t="shared" si="26"/>
        <v>0</v>
      </c>
      <c r="J287" s="26">
        <f t="shared" si="27"/>
        <v>0</v>
      </c>
      <c r="K287" s="14" t="str">
        <f>IF($D287&lt;=0,"",IF($J287&lt;=0.005,"Volltilgung erreicht",IF($A287=Übersicht!$Q$13,"Ende der Zinsbindung",IF($H287&gt;0,"Sondertilgung",""))))</f>
        <v/>
      </c>
      <c r="L287" s="23">
        <f>IF($N286&lt;=0,0,ROUND($N286*Übersicht!$Q$7,2))</f>
        <v>246.73</v>
      </c>
      <c r="M287" s="23">
        <f>IF($N286&lt;=0,0,MIN($N286,IF(Übersicht!$C$13="Annuitätendarlehen",MAX(0,Übersicht!$Q$9-$L287),IF(Übersicht!$C$13="Ratendarlehen",Übersicht!$Q$10,IF($A287&gt;=Übersicht!$Q$11,$N286,0)))))</f>
        <v>1153.27</v>
      </c>
      <c r="N287" s="23">
        <f t="shared" si="29"/>
        <v>81090.63</v>
      </c>
    </row>
    <row r="288" spans="1:14" ht="15" customHeight="1" x14ac:dyDescent="0.25">
      <c r="A288" s="5">
        <v>281</v>
      </c>
      <c r="B288" s="20" t="str">
        <f>IF($D288&lt;=0,"",EDATE(Übersicht!$C$18,($A288-1)*12/Übersicht!$Q$6))</f>
        <v/>
      </c>
      <c r="C288" s="5" t="str">
        <f t="shared" si="24"/>
        <v/>
      </c>
      <c r="D288" s="21">
        <f t="shared" si="28"/>
        <v>0</v>
      </c>
      <c r="E288" s="7">
        <f t="shared" si="25"/>
        <v>0</v>
      </c>
      <c r="F288" s="7">
        <f>IF($D288&lt;=0,0,ROUND($D288*Übersicht!$Q$7,2))</f>
        <v>0</v>
      </c>
      <c r="G288" s="7">
        <f>IF($D288&lt;=0,0,MIN($D288,IF(Übersicht!$C$13="Annuitätendarlehen",MAX(0,Übersicht!$Q$9-$F288),IF(Übersicht!$C$13="Ratendarlehen",Übersicht!$Q$10,IF($A288&gt;=Übersicht!$Q$11,$D288,0)))))</f>
        <v>0</v>
      </c>
      <c r="H288" s="7">
        <f>IF($D288-$G288&lt;=0,0,IF(MOD($A288,Übersicht!$Q$6)=0,IF($A288/Übersicht!$Q$6&gt;=Übersicht!$C$21,MIN(Übersicht!$C$20,$D288-$G288),0),0))</f>
        <v>0</v>
      </c>
      <c r="I288" s="7">
        <f t="shared" si="26"/>
        <v>0</v>
      </c>
      <c r="J288" s="22">
        <f t="shared" si="27"/>
        <v>0</v>
      </c>
      <c r="K288" s="9" t="str">
        <f>IF($D288&lt;=0,"",IF($J288&lt;=0.005,"Volltilgung erreicht",IF($A288=Übersicht!$Q$13,"Ende der Zinsbindung",IF($H288&gt;0,"Sondertilgung",""))))</f>
        <v/>
      </c>
      <c r="L288" s="23">
        <f>IF($N287&lt;=0,0,ROUND($N287*Übersicht!$Q$7,2))</f>
        <v>243.27</v>
      </c>
      <c r="M288" s="23">
        <f>IF($N287&lt;=0,0,MIN($N287,IF(Übersicht!$C$13="Annuitätendarlehen",MAX(0,Übersicht!$Q$9-$L288),IF(Übersicht!$C$13="Ratendarlehen",Übersicht!$Q$10,IF($A288&gt;=Übersicht!$Q$11,$N287,0)))))</f>
        <v>1156.73</v>
      </c>
      <c r="N288" s="23">
        <f t="shared" si="29"/>
        <v>79933.899999999994</v>
      </c>
    </row>
    <row r="289" spans="1:14" ht="15" customHeight="1" x14ac:dyDescent="0.25">
      <c r="A289" s="10">
        <v>282</v>
      </c>
      <c r="B289" s="24" t="str">
        <f>IF($D289&lt;=0,"",EDATE(Übersicht!$C$18,($A289-1)*12/Übersicht!$Q$6))</f>
        <v/>
      </c>
      <c r="C289" s="10" t="str">
        <f t="shared" si="24"/>
        <v/>
      </c>
      <c r="D289" s="25">
        <f t="shared" si="28"/>
        <v>0</v>
      </c>
      <c r="E289" s="12">
        <f t="shared" si="25"/>
        <v>0</v>
      </c>
      <c r="F289" s="12">
        <f>IF($D289&lt;=0,0,ROUND($D289*Übersicht!$Q$7,2))</f>
        <v>0</v>
      </c>
      <c r="G289" s="12">
        <f>IF($D289&lt;=0,0,MIN($D289,IF(Übersicht!$C$13="Annuitätendarlehen",MAX(0,Übersicht!$Q$9-$F289),IF(Übersicht!$C$13="Ratendarlehen",Übersicht!$Q$10,IF($A289&gt;=Übersicht!$Q$11,$D289,0)))))</f>
        <v>0</v>
      </c>
      <c r="H289" s="12">
        <f>IF($D289-$G289&lt;=0,0,IF(MOD($A289,Übersicht!$Q$6)=0,IF($A289/Übersicht!$Q$6&gt;=Übersicht!$C$21,MIN(Übersicht!$C$20,$D289-$G289),0),0))</f>
        <v>0</v>
      </c>
      <c r="I289" s="12">
        <f t="shared" si="26"/>
        <v>0</v>
      </c>
      <c r="J289" s="26">
        <f t="shared" si="27"/>
        <v>0</v>
      </c>
      <c r="K289" s="14" t="str">
        <f>IF($D289&lt;=0,"",IF($J289&lt;=0.005,"Volltilgung erreicht",IF($A289=Übersicht!$Q$13,"Ende der Zinsbindung",IF($H289&gt;0,"Sondertilgung",""))))</f>
        <v/>
      </c>
      <c r="L289" s="23">
        <f>IF($N288&lt;=0,0,ROUND($N288*Übersicht!$Q$7,2))</f>
        <v>239.8</v>
      </c>
      <c r="M289" s="23">
        <f>IF($N288&lt;=0,0,MIN($N288,IF(Übersicht!$C$13="Annuitätendarlehen",MAX(0,Übersicht!$Q$9-$L289),IF(Übersicht!$C$13="Ratendarlehen",Übersicht!$Q$10,IF($A289&gt;=Übersicht!$Q$11,$N288,0)))))</f>
        <v>1160.2</v>
      </c>
      <c r="N289" s="23">
        <f t="shared" si="29"/>
        <v>78773.7</v>
      </c>
    </row>
    <row r="290" spans="1:14" ht="15" customHeight="1" x14ac:dyDescent="0.25">
      <c r="A290" s="5">
        <v>283</v>
      </c>
      <c r="B290" s="20" t="str">
        <f>IF($D290&lt;=0,"",EDATE(Übersicht!$C$18,($A290-1)*12/Übersicht!$Q$6))</f>
        <v/>
      </c>
      <c r="C290" s="5" t="str">
        <f t="shared" si="24"/>
        <v/>
      </c>
      <c r="D290" s="21">
        <f t="shared" si="28"/>
        <v>0</v>
      </c>
      <c r="E290" s="7">
        <f t="shared" si="25"/>
        <v>0</v>
      </c>
      <c r="F290" s="7">
        <f>IF($D290&lt;=0,0,ROUND($D290*Übersicht!$Q$7,2))</f>
        <v>0</v>
      </c>
      <c r="G290" s="7">
        <f>IF($D290&lt;=0,0,MIN($D290,IF(Übersicht!$C$13="Annuitätendarlehen",MAX(0,Übersicht!$Q$9-$F290),IF(Übersicht!$C$13="Ratendarlehen",Übersicht!$Q$10,IF($A290&gt;=Übersicht!$Q$11,$D290,0)))))</f>
        <v>0</v>
      </c>
      <c r="H290" s="7">
        <f>IF($D290-$G290&lt;=0,0,IF(MOD($A290,Übersicht!$Q$6)=0,IF($A290/Übersicht!$Q$6&gt;=Übersicht!$C$21,MIN(Übersicht!$C$20,$D290-$G290),0),0))</f>
        <v>0</v>
      </c>
      <c r="I290" s="7">
        <f t="shared" si="26"/>
        <v>0</v>
      </c>
      <c r="J290" s="22">
        <f t="shared" si="27"/>
        <v>0</v>
      </c>
      <c r="K290" s="9" t="str">
        <f>IF($D290&lt;=0,"",IF($J290&lt;=0.005,"Volltilgung erreicht",IF($A290=Übersicht!$Q$13,"Ende der Zinsbindung",IF($H290&gt;0,"Sondertilgung",""))))</f>
        <v/>
      </c>
      <c r="L290" s="23">
        <f>IF($N289&lt;=0,0,ROUND($N289*Übersicht!$Q$7,2))</f>
        <v>236.32</v>
      </c>
      <c r="M290" s="23">
        <f>IF($N289&lt;=0,0,MIN($N289,IF(Übersicht!$C$13="Annuitätendarlehen",MAX(0,Übersicht!$Q$9-$L290),IF(Übersicht!$C$13="Ratendarlehen",Übersicht!$Q$10,IF($A290&gt;=Übersicht!$Q$11,$N289,0)))))</f>
        <v>1163.68</v>
      </c>
      <c r="N290" s="23">
        <f t="shared" si="29"/>
        <v>77610.02</v>
      </c>
    </row>
    <row r="291" spans="1:14" ht="15" customHeight="1" x14ac:dyDescent="0.25">
      <c r="A291" s="10">
        <v>284</v>
      </c>
      <c r="B291" s="24" t="str">
        <f>IF($D291&lt;=0,"",EDATE(Übersicht!$C$18,($A291-1)*12/Übersicht!$Q$6))</f>
        <v/>
      </c>
      <c r="C291" s="10" t="str">
        <f t="shared" si="24"/>
        <v/>
      </c>
      <c r="D291" s="25">
        <f t="shared" si="28"/>
        <v>0</v>
      </c>
      <c r="E291" s="12">
        <f t="shared" si="25"/>
        <v>0</v>
      </c>
      <c r="F291" s="12">
        <f>IF($D291&lt;=0,0,ROUND($D291*Übersicht!$Q$7,2))</f>
        <v>0</v>
      </c>
      <c r="G291" s="12">
        <f>IF($D291&lt;=0,0,MIN($D291,IF(Übersicht!$C$13="Annuitätendarlehen",MAX(0,Übersicht!$Q$9-$F291),IF(Übersicht!$C$13="Ratendarlehen",Übersicht!$Q$10,IF($A291&gt;=Übersicht!$Q$11,$D291,0)))))</f>
        <v>0</v>
      </c>
      <c r="H291" s="12">
        <f>IF($D291-$G291&lt;=0,0,IF(MOD($A291,Übersicht!$Q$6)=0,IF($A291/Übersicht!$Q$6&gt;=Übersicht!$C$21,MIN(Übersicht!$C$20,$D291-$G291),0),0))</f>
        <v>0</v>
      </c>
      <c r="I291" s="12">
        <f t="shared" si="26"/>
        <v>0</v>
      </c>
      <c r="J291" s="26">
        <f t="shared" si="27"/>
        <v>0</v>
      </c>
      <c r="K291" s="14" t="str">
        <f>IF($D291&lt;=0,"",IF($J291&lt;=0.005,"Volltilgung erreicht",IF($A291=Übersicht!$Q$13,"Ende der Zinsbindung",IF($H291&gt;0,"Sondertilgung",""))))</f>
        <v/>
      </c>
      <c r="L291" s="23">
        <f>IF($N290&lt;=0,0,ROUND($N290*Übersicht!$Q$7,2))</f>
        <v>232.83</v>
      </c>
      <c r="M291" s="23">
        <f>IF($N290&lt;=0,0,MIN($N290,IF(Übersicht!$C$13="Annuitätendarlehen",MAX(0,Übersicht!$Q$9-$L291),IF(Übersicht!$C$13="Ratendarlehen",Übersicht!$Q$10,IF($A291&gt;=Übersicht!$Q$11,$N290,0)))))</f>
        <v>1167.17</v>
      </c>
      <c r="N291" s="23">
        <f t="shared" si="29"/>
        <v>76442.850000000006</v>
      </c>
    </row>
    <row r="292" spans="1:14" ht="15" customHeight="1" x14ac:dyDescent="0.25">
      <c r="A292" s="5">
        <v>285</v>
      </c>
      <c r="B292" s="20" t="str">
        <f>IF($D292&lt;=0,"",EDATE(Übersicht!$C$18,($A292-1)*12/Übersicht!$Q$6))</f>
        <v/>
      </c>
      <c r="C292" s="5" t="str">
        <f t="shared" si="24"/>
        <v/>
      </c>
      <c r="D292" s="21">
        <f t="shared" si="28"/>
        <v>0</v>
      </c>
      <c r="E292" s="7">
        <f t="shared" si="25"/>
        <v>0</v>
      </c>
      <c r="F292" s="7">
        <f>IF($D292&lt;=0,0,ROUND($D292*Übersicht!$Q$7,2))</f>
        <v>0</v>
      </c>
      <c r="G292" s="7">
        <f>IF($D292&lt;=0,0,MIN($D292,IF(Übersicht!$C$13="Annuitätendarlehen",MAX(0,Übersicht!$Q$9-$F292),IF(Übersicht!$C$13="Ratendarlehen",Übersicht!$Q$10,IF($A292&gt;=Übersicht!$Q$11,$D292,0)))))</f>
        <v>0</v>
      </c>
      <c r="H292" s="7">
        <f>IF($D292-$G292&lt;=0,0,IF(MOD($A292,Übersicht!$Q$6)=0,IF($A292/Übersicht!$Q$6&gt;=Übersicht!$C$21,MIN(Übersicht!$C$20,$D292-$G292),0),0))</f>
        <v>0</v>
      </c>
      <c r="I292" s="7">
        <f t="shared" si="26"/>
        <v>0</v>
      </c>
      <c r="J292" s="22">
        <f t="shared" si="27"/>
        <v>0</v>
      </c>
      <c r="K292" s="9" t="str">
        <f>IF($D292&lt;=0,"",IF($J292&lt;=0.005,"Volltilgung erreicht",IF($A292=Übersicht!$Q$13,"Ende der Zinsbindung",IF($H292&gt;0,"Sondertilgung",""))))</f>
        <v/>
      </c>
      <c r="L292" s="23">
        <f>IF($N291&lt;=0,0,ROUND($N291*Übersicht!$Q$7,2))</f>
        <v>229.33</v>
      </c>
      <c r="M292" s="23">
        <f>IF($N291&lt;=0,0,MIN($N291,IF(Übersicht!$C$13="Annuitätendarlehen",MAX(0,Übersicht!$Q$9-$L292),IF(Übersicht!$C$13="Ratendarlehen",Übersicht!$Q$10,IF($A292&gt;=Übersicht!$Q$11,$N291,0)))))</f>
        <v>1170.67</v>
      </c>
      <c r="N292" s="23">
        <f t="shared" si="29"/>
        <v>75272.179999999993</v>
      </c>
    </row>
    <row r="293" spans="1:14" ht="15" customHeight="1" x14ac:dyDescent="0.25">
      <c r="A293" s="10">
        <v>286</v>
      </c>
      <c r="B293" s="24" t="str">
        <f>IF($D293&lt;=0,"",EDATE(Übersicht!$C$18,($A293-1)*12/Übersicht!$Q$6))</f>
        <v/>
      </c>
      <c r="C293" s="10" t="str">
        <f t="shared" si="24"/>
        <v/>
      </c>
      <c r="D293" s="25">
        <f t="shared" si="28"/>
        <v>0</v>
      </c>
      <c r="E293" s="12">
        <f t="shared" si="25"/>
        <v>0</v>
      </c>
      <c r="F293" s="12">
        <f>IF($D293&lt;=0,0,ROUND($D293*Übersicht!$Q$7,2))</f>
        <v>0</v>
      </c>
      <c r="G293" s="12">
        <f>IF($D293&lt;=0,0,MIN($D293,IF(Übersicht!$C$13="Annuitätendarlehen",MAX(0,Übersicht!$Q$9-$F293),IF(Übersicht!$C$13="Ratendarlehen",Übersicht!$Q$10,IF($A293&gt;=Übersicht!$Q$11,$D293,0)))))</f>
        <v>0</v>
      </c>
      <c r="H293" s="12">
        <f>IF($D293-$G293&lt;=0,0,IF(MOD($A293,Übersicht!$Q$6)=0,IF($A293/Übersicht!$Q$6&gt;=Übersicht!$C$21,MIN(Übersicht!$C$20,$D293-$G293),0),0))</f>
        <v>0</v>
      </c>
      <c r="I293" s="12">
        <f t="shared" si="26"/>
        <v>0</v>
      </c>
      <c r="J293" s="26">
        <f t="shared" si="27"/>
        <v>0</v>
      </c>
      <c r="K293" s="14" t="str">
        <f>IF($D293&lt;=0,"",IF($J293&lt;=0.005,"Volltilgung erreicht",IF($A293=Übersicht!$Q$13,"Ende der Zinsbindung",IF($H293&gt;0,"Sondertilgung",""))))</f>
        <v/>
      </c>
      <c r="L293" s="23">
        <f>IF($N292&lt;=0,0,ROUND($N292*Übersicht!$Q$7,2))</f>
        <v>225.82</v>
      </c>
      <c r="M293" s="23">
        <f>IF($N292&lt;=0,0,MIN($N292,IF(Übersicht!$C$13="Annuitätendarlehen",MAX(0,Übersicht!$Q$9-$L293),IF(Übersicht!$C$13="Ratendarlehen",Übersicht!$Q$10,IF($A293&gt;=Übersicht!$Q$11,$N292,0)))))</f>
        <v>1174.18</v>
      </c>
      <c r="N293" s="23">
        <f t="shared" si="29"/>
        <v>74098</v>
      </c>
    </row>
    <row r="294" spans="1:14" ht="15" customHeight="1" x14ac:dyDescent="0.25">
      <c r="A294" s="5">
        <v>287</v>
      </c>
      <c r="B294" s="20" t="str">
        <f>IF($D294&lt;=0,"",EDATE(Übersicht!$C$18,($A294-1)*12/Übersicht!$Q$6))</f>
        <v/>
      </c>
      <c r="C294" s="5" t="str">
        <f t="shared" si="24"/>
        <v/>
      </c>
      <c r="D294" s="21">
        <f t="shared" si="28"/>
        <v>0</v>
      </c>
      <c r="E294" s="7">
        <f t="shared" si="25"/>
        <v>0</v>
      </c>
      <c r="F294" s="7">
        <f>IF($D294&lt;=0,0,ROUND($D294*Übersicht!$Q$7,2))</f>
        <v>0</v>
      </c>
      <c r="G294" s="7">
        <f>IF($D294&lt;=0,0,MIN($D294,IF(Übersicht!$C$13="Annuitätendarlehen",MAX(0,Übersicht!$Q$9-$F294),IF(Übersicht!$C$13="Ratendarlehen",Übersicht!$Q$10,IF($A294&gt;=Übersicht!$Q$11,$D294,0)))))</f>
        <v>0</v>
      </c>
      <c r="H294" s="7">
        <f>IF($D294-$G294&lt;=0,0,IF(MOD($A294,Übersicht!$Q$6)=0,IF($A294/Übersicht!$Q$6&gt;=Übersicht!$C$21,MIN(Übersicht!$C$20,$D294-$G294),0),0))</f>
        <v>0</v>
      </c>
      <c r="I294" s="7">
        <f t="shared" si="26"/>
        <v>0</v>
      </c>
      <c r="J294" s="22">
        <f t="shared" si="27"/>
        <v>0</v>
      </c>
      <c r="K294" s="9" t="str">
        <f>IF($D294&lt;=0,"",IF($J294&lt;=0.005,"Volltilgung erreicht",IF($A294=Übersicht!$Q$13,"Ende der Zinsbindung",IF($H294&gt;0,"Sondertilgung",""))))</f>
        <v/>
      </c>
      <c r="L294" s="23">
        <f>IF($N293&lt;=0,0,ROUND($N293*Übersicht!$Q$7,2))</f>
        <v>222.29</v>
      </c>
      <c r="M294" s="23">
        <f>IF($N293&lt;=0,0,MIN($N293,IF(Übersicht!$C$13="Annuitätendarlehen",MAX(0,Übersicht!$Q$9-$L294),IF(Übersicht!$C$13="Ratendarlehen",Übersicht!$Q$10,IF($A294&gt;=Übersicht!$Q$11,$N293,0)))))</f>
        <v>1177.71</v>
      </c>
      <c r="N294" s="23">
        <f t="shared" si="29"/>
        <v>72920.289999999994</v>
      </c>
    </row>
    <row r="295" spans="1:14" ht="15" customHeight="1" x14ac:dyDescent="0.25">
      <c r="A295" s="10">
        <v>288</v>
      </c>
      <c r="B295" s="24" t="str">
        <f>IF($D295&lt;=0,"",EDATE(Übersicht!$C$18,($A295-1)*12/Übersicht!$Q$6))</f>
        <v/>
      </c>
      <c r="C295" s="10" t="str">
        <f t="shared" si="24"/>
        <v/>
      </c>
      <c r="D295" s="25">
        <f t="shared" si="28"/>
        <v>0</v>
      </c>
      <c r="E295" s="12">
        <f t="shared" si="25"/>
        <v>0</v>
      </c>
      <c r="F295" s="12">
        <f>IF($D295&lt;=0,0,ROUND($D295*Übersicht!$Q$7,2))</f>
        <v>0</v>
      </c>
      <c r="G295" s="12">
        <f>IF($D295&lt;=0,0,MIN($D295,IF(Übersicht!$C$13="Annuitätendarlehen",MAX(0,Übersicht!$Q$9-$F295),IF(Übersicht!$C$13="Ratendarlehen",Übersicht!$Q$10,IF($A295&gt;=Übersicht!$Q$11,$D295,0)))))</f>
        <v>0</v>
      </c>
      <c r="H295" s="12">
        <f>IF($D295-$G295&lt;=0,0,IF(MOD($A295,Übersicht!$Q$6)=0,IF($A295/Übersicht!$Q$6&gt;=Übersicht!$C$21,MIN(Übersicht!$C$20,$D295-$G295),0),0))</f>
        <v>0</v>
      </c>
      <c r="I295" s="12">
        <f t="shared" si="26"/>
        <v>0</v>
      </c>
      <c r="J295" s="26">
        <f t="shared" si="27"/>
        <v>0</v>
      </c>
      <c r="K295" s="14" t="str">
        <f>IF($D295&lt;=0,"",IF($J295&lt;=0.005,"Volltilgung erreicht",IF($A295=Übersicht!$Q$13,"Ende der Zinsbindung",IF($H295&gt;0,"Sondertilgung",""))))</f>
        <v/>
      </c>
      <c r="L295" s="23">
        <f>IF($N294&lt;=0,0,ROUND($N294*Übersicht!$Q$7,2))</f>
        <v>218.76</v>
      </c>
      <c r="M295" s="23">
        <f>IF($N294&lt;=0,0,MIN($N294,IF(Übersicht!$C$13="Annuitätendarlehen",MAX(0,Übersicht!$Q$9-$L295),IF(Übersicht!$C$13="Ratendarlehen",Übersicht!$Q$10,IF($A295&gt;=Übersicht!$Q$11,$N294,0)))))</f>
        <v>1181.24</v>
      </c>
      <c r="N295" s="23">
        <f t="shared" si="29"/>
        <v>71739.05</v>
      </c>
    </row>
    <row r="296" spans="1:14" ht="15" customHeight="1" x14ac:dyDescent="0.25">
      <c r="A296" s="5">
        <v>289</v>
      </c>
      <c r="B296" s="20" t="str">
        <f>IF($D296&lt;=0,"",EDATE(Übersicht!$C$18,($A296-1)*12/Übersicht!$Q$6))</f>
        <v/>
      </c>
      <c r="C296" s="5" t="str">
        <f t="shared" si="24"/>
        <v/>
      </c>
      <c r="D296" s="21">
        <f t="shared" si="28"/>
        <v>0</v>
      </c>
      <c r="E296" s="7">
        <f t="shared" si="25"/>
        <v>0</v>
      </c>
      <c r="F296" s="7">
        <f>IF($D296&lt;=0,0,ROUND($D296*Übersicht!$Q$7,2))</f>
        <v>0</v>
      </c>
      <c r="G296" s="7">
        <f>IF($D296&lt;=0,0,MIN($D296,IF(Übersicht!$C$13="Annuitätendarlehen",MAX(0,Übersicht!$Q$9-$F296),IF(Übersicht!$C$13="Ratendarlehen",Übersicht!$Q$10,IF($A296&gt;=Übersicht!$Q$11,$D296,0)))))</f>
        <v>0</v>
      </c>
      <c r="H296" s="7">
        <f>IF($D296-$G296&lt;=0,0,IF(MOD($A296,Übersicht!$Q$6)=0,IF($A296/Übersicht!$Q$6&gt;=Übersicht!$C$21,MIN(Übersicht!$C$20,$D296-$G296),0),0))</f>
        <v>0</v>
      </c>
      <c r="I296" s="7">
        <f t="shared" si="26"/>
        <v>0</v>
      </c>
      <c r="J296" s="22">
        <f t="shared" si="27"/>
        <v>0</v>
      </c>
      <c r="K296" s="9" t="str">
        <f>IF($D296&lt;=0,"",IF($J296&lt;=0.005,"Volltilgung erreicht",IF($A296=Übersicht!$Q$13,"Ende der Zinsbindung",IF($H296&gt;0,"Sondertilgung",""))))</f>
        <v/>
      </c>
      <c r="L296" s="23">
        <f>IF($N295&lt;=0,0,ROUND($N295*Übersicht!$Q$7,2))</f>
        <v>215.22</v>
      </c>
      <c r="M296" s="23">
        <f>IF($N295&lt;=0,0,MIN($N295,IF(Übersicht!$C$13="Annuitätendarlehen",MAX(0,Übersicht!$Q$9-$L296),IF(Übersicht!$C$13="Ratendarlehen",Übersicht!$Q$10,IF($A296&gt;=Übersicht!$Q$11,$N295,0)))))</f>
        <v>1184.78</v>
      </c>
      <c r="N296" s="23">
        <f t="shared" si="29"/>
        <v>70554.27</v>
      </c>
    </row>
    <row r="297" spans="1:14" ht="15" customHeight="1" x14ac:dyDescent="0.25">
      <c r="A297" s="10">
        <v>290</v>
      </c>
      <c r="B297" s="24" t="str">
        <f>IF($D297&lt;=0,"",EDATE(Übersicht!$C$18,($A297-1)*12/Übersicht!$Q$6))</f>
        <v/>
      </c>
      <c r="C297" s="10" t="str">
        <f t="shared" si="24"/>
        <v/>
      </c>
      <c r="D297" s="25">
        <f t="shared" si="28"/>
        <v>0</v>
      </c>
      <c r="E297" s="12">
        <f t="shared" si="25"/>
        <v>0</v>
      </c>
      <c r="F297" s="12">
        <f>IF($D297&lt;=0,0,ROUND($D297*Übersicht!$Q$7,2))</f>
        <v>0</v>
      </c>
      <c r="G297" s="12">
        <f>IF($D297&lt;=0,0,MIN($D297,IF(Übersicht!$C$13="Annuitätendarlehen",MAX(0,Übersicht!$Q$9-$F297),IF(Übersicht!$C$13="Ratendarlehen",Übersicht!$Q$10,IF($A297&gt;=Übersicht!$Q$11,$D297,0)))))</f>
        <v>0</v>
      </c>
      <c r="H297" s="12">
        <f>IF($D297-$G297&lt;=0,0,IF(MOD($A297,Übersicht!$Q$6)=0,IF($A297/Übersicht!$Q$6&gt;=Übersicht!$C$21,MIN(Übersicht!$C$20,$D297-$G297),0),0))</f>
        <v>0</v>
      </c>
      <c r="I297" s="12">
        <f t="shared" si="26"/>
        <v>0</v>
      </c>
      <c r="J297" s="26">
        <f t="shared" si="27"/>
        <v>0</v>
      </c>
      <c r="K297" s="14" t="str">
        <f>IF($D297&lt;=0,"",IF($J297&lt;=0.005,"Volltilgung erreicht",IF($A297=Übersicht!$Q$13,"Ende der Zinsbindung",IF($H297&gt;0,"Sondertilgung",""))))</f>
        <v/>
      </c>
      <c r="L297" s="23">
        <f>IF($N296&lt;=0,0,ROUND($N296*Übersicht!$Q$7,2))</f>
        <v>211.66</v>
      </c>
      <c r="M297" s="23">
        <f>IF($N296&lt;=0,0,MIN($N296,IF(Übersicht!$C$13="Annuitätendarlehen",MAX(0,Übersicht!$Q$9-$L297),IF(Übersicht!$C$13="Ratendarlehen",Übersicht!$Q$10,IF($A297&gt;=Übersicht!$Q$11,$N296,0)))))</f>
        <v>1188.3399999999999</v>
      </c>
      <c r="N297" s="23">
        <f t="shared" si="29"/>
        <v>69365.929999999993</v>
      </c>
    </row>
    <row r="298" spans="1:14" ht="15" customHeight="1" x14ac:dyDescent="0.25">
      <c r="A298" s="5">
        <v>291</v>
      </c>
      <c r="B298" s="20" t="str">
        <f>IF($D298&lt;=0,"",EDATE(Übersicht!$C$18,($A298-1)*12/Übersicht!$Q$6))</f>
        <v/>
      </c>
      <c r="C298" s="5" t="str">
        <f t="shared" si="24"/>
        <v/>
      </c>
      <c r="D298" s="21">
        <f t="shared" si="28"/>
        <v>0</v>
      </c>
      <c r="E298" s="7">
        <f t="shared" si="25"/>
        <v>0</v>
      </c>
      <c r="F298" s="7">
        <f>IF($D298&lt;=0,0,ROUND($D298*Übersicht!$Q$7,2))</f>
        <v>0</v>
      </c>
      <c r="G298" s="7">
        <f>IF($D298&lt;=0,0,MIN($D298,IF(Übersicht!$C$13="Annuitätendarlehen",MAX(0,Übersicht!$Q$9-$F298),IF(Übersicht!$C$13="Ratendarlehen",Übersicht!$Q$10,IF($A298&gt;=Übersicht!$Q$11,$D298,0)))))</f>
        <v>0</v>
      </c>
      <c r="H298" s="7">
        <f>IF($D298-$G298&lt;=0,0,IF(MOD($A298,Übersicht!$Q$6)=0,IF($A298/Übersicht!$Q$6&gt;=Übersicht!$C$21,MIN(Übersicht!$C$20,$D298-$G298),0),0))</f>
        <v>0</v>
      </c>
      <c r="I298" s="7">
        <f t="shared" si="26"/>
        <v>0</v>
      </c>
      <c r="J298" s="22">
        <f t="shared" si="27"/>
        <v>0</v>
      </c>
      <c r="K298" s="9" t="str">
        <f>IF($D298&lt;=0,"",IF($J298&lt;=0.005,"Volltilgung erreicht",IF($A298=Übersicht!$Q$13,"Ende der Zinsbindung",IF($H298&gt;0,"Sondertilgung",""))))</f>
        <v/>
      </c>
      <c r="L298" s="23">
        <f>IF($N297&lt;=0,0,ROUND($N297*Übersicht!$Q$7,2))</f>
        <v>208.1</v>
      </c>
      <c r="M298" s="23">
        <f>IF($N297&lt;=0,0,MIN($N297,IF(Übersicht!$C$13="Annuitätendarlehen",MAX(0,Übersicht!$Q$9-$L298),IF(Übersicht!$C$13="Ratendarlehen",Übersicht!$Q$10,IF($A298&gt;=Übersicht!$Q$11,$N297,0)))))</f>
        <v>1191.9000000000001</v>
      </c>
      <c r="N298" s="23">
        <f t="shared" si="29"/>
        <v>68174.03</v>
      </c>
    </row>
    <row r="299" spans="1:14" ht="15" customHeight="1" x14ac:dyDescent="0.25">
      <c r="A299" s="10">
        <v>292</v>
      </c>
      <c r="B299" s="24" t="str">
        <f>IF($D299&lt;=0,"",EDATE(Übersicht!$C$18,($A299-1)*12/Übersicht!$Q$6))</f>
        <v/>
      </c>
      <c r="C299" s="10" t="str">
        <f t="shared" si="24"/>
        <v/>
      </c>
      <c r="D299" s="25">
        <f t="shared" si="28"/>
        <v>0</v>
      </c>
      <c r="E299" s="12">
        <f t="shared" si="25"/>
        <v>0</v>
      </c>
      <c r="F299" s="12">
        <f>IF($D299&lt;=0,0,ROUND($D299*Übersicht!$Q$7,2))</f>
        <v>0</v>
      </c>
      <c r="G299" s="12">
        <f>IF($D299&lt;=0,0,MIN($D299,IF(Übersicht!$C$13="Annuitätendarlehen",MAX(0,Übersicht!$Q$9-$F299),IF(Übersicht!$C$13="Ratendarlehen",Übersicht!$Q$10,IF($A299&gt;=Übersicht!$Q$11,$D299,0)))))</f>
        <v>0</v>
      </c>
      <c r="H299" s="12">
        <f>IF($D299-$G299&lt;=0,0,IF(MOD($A299,Übersicht!$Q$6)=0,IF($A299/Übersicht!$Q$6&gt;=Übersicht!$C$21,MIN(Übersicht!$C$20,$D299-$G299),0),0))</f>
        <v>0</v>
      </c>
      <c r="I299" s="12">
        <f t="shared" si="26"/>
        <v>0</v>
      </c>
      <c r="J299" s="26">
        <f t="shared" si="27"/>
        <v>0</v>
      </c>
      <c r="K299" s="14" t="str">
        <f>IF($D299&lt;=0,"",IF($J299&lt;=0.005,"Volltilgung erreicht",IF($A299=Übersicht!$Q$13,"Ende der Zinsbindung",IF($H299&gt;0,"Sondertilgung",""))))</f>
        <v/>
      </c>
      <c r="L299" s="23">
        <f>IF($N298&lt;=0,0,ROUND($N298*Übersicht!$Q$7,2))</f>
        <v>204.52</v>
      </c>
      <c r="M299" s="23">
        <f>IF($N298&lt;=0,0,MIN($N298,IF(Übersicht!$C$13="Annuitätendarlehen",MAX(0,Übersicht!$Q$9-$L299),IF(Übersicht!$C$13="Ratendarlehen",Übersicht!$Q$10,IF($A299&gt;=Übersicht!$Q$11,$N298,0)))))</f>
        <v>1195.48</v>
      </c>
      <c r="N299" s="23">
        <f t="shared" si="29"/>
        <v>66978.55</v>
      </c>
    </row>
    <row r="300" spans="1:14" ht="15" customHeight="1" x14ac:dyDescent="0.25">
      <c r="A300" s="5">
        <v>293</v>
      </c>
      <c r="B300" s="20" t="str">
        <f>IF($D300&lt;=0,"",EDATE(Übersicht!$C$18,($A300-1)*12/Übersicht!$Q$6))</f>
        <v/>
      </c>
      <c r="C300" s="5" t="str">
        <f t="shared" si="24"/>
        <v/>
      </c>
      <c r="D300" s="21">
        <f t="shared" si="28"/>
        <v>0</v>
      </c>
      <c r="E300" s="7">
        <f t="shared" si="25"/>
        <v>0</v>
      </c>
      <c r="F300" s="7">
        <f>IF($D300&lt;=0,0,ROUND($D300*Übersicht!$Q$7,2))</f>
        <v>0</v>
      </c>
      <c r="G300" s="7">
        <f>IF($D300&lt;=0,0,MIN($D300,IF(Übersicht!$C$13="Annuitätendarlehen",MAX(0,Übersicht!$Q$9-$F300),IF(Übersicht!$C$13="Ratendarlehen",Übersicht!$Q$10,IF($A300&gt;=Übersicht!$Q$11,$D300,0)))))</f>
        <v>0</v>
      </c>
      <c r="H300" s="7">
        <f>IF($D300-$G300&lt;=0,0,IF(MOD($A300,Übersicht!$Q$6)=0,IF($A300/Übersicht!$Q$6&gt;=Übersicht!$C$21,MIN(Übersicht!$C$20,$D300-$G300),0),0))</f>
        <v>0</v>
      </c>
      <c r="I300" s="7">
        <f t="shared" si="26"/>
        <v>0</v>
      </c>
      <c r="J300" s="22">
        <f t="shared" si="27"/>
        <v>0</v>
      </c>
      <c r="K300" s="9" t="str">
        <f>IF($D300&lt;=0,"",IF($J300&lt;=0.005,"Volltilgung erreicht",IF($A300=Übersicht!$Q$13,"Ende der Zinsbindung",IF($H300&gt;0,"Sondertilgung",""))))</f>
        <v/>
      </c>
      <c r="L300" s="23">
        <f>IF($N299&lt;=0,0,ROUND($N299*Übersicht!$Q$7,2))</f>
        <v>200.94</v>
      </c>
      <c r="M300" s="23">
        <f>IF($N299&lt;=0,0,MIN($N299,IF(Übersicht!$C$13="Annuitätendarlehen",MAX(0,Übersicht!$Q$9-$L300),IF(Übersicht!$C$13="Ratendarlehen",Übersicht!$Q$10,IF($A300&gt;=Übersicht!$Q$11,$N299,0)))))</f>
        <v>1199.06</v>
      </c>
      <c r="N300" s="23">
        <f t="shared" si="29"/>
        <v>65779.490000000005</v>
      </c>
    </row>
    <row r="301" spans="1:14" ht="15" customHeight="1" x14ac:dyDescent="0.25">
      <c r="A301" s="10">
        <v>294</v>
      </c>
      <c r="B301" s="24" t="str">
        <f>IF($D301&lt;=0,"",EDATE(Übersicht!$C$18,($A301-1)*12/Übersicht!$Q$6))</f>
        <v/>
      </c>
      <c r="C301" s="10" t="str">
        <f t="shared" si="24"/>
        <v/>
      </c>
      <c r="D301" s="25">
        <f t="shared" si="28"/>
        <v>0</v>
      </c>
      <c r="E301" s="12">
        <f t="shared" si="25"/>
        <v>0</v>
      </c>
      <c r="F301" s="12">
        <f>IF($D301&lt;=0,0,ROUND($D301*Übersicht!$Q$7,2))</f>
        <v>0</v>
      </c>
      <c r="G301" s="12">
        <f>IF($D301&lt;=0,0,MIN($D301,IF(Übersicht!$C$13="Annuitätendarlehen",MAX(0,Übersicht!$Q$9-$F301),IF(Übersicht!$C$13="Ratendarlehen",Übersicht!$Q$10,IF($A301&gt;=Übersicht!$Q$11,$D301,0)))))</f>
        <v>0</v>
      </c>
      <c r="H301" s="12">
        <f>IF($D301-$G301&lt;=0,0,IF(MOD($A301,Übersicht!$Q$6)=0,IF($A301/Übersicht!$Q$6&gt;=Übersicht!$C$21,MIN(Übersicht!$C$20,$D301-$G301),0),0))</f>
        <v>0</v>
      </c>
      <c r="I301" s="12">
        <f t="shared" si="26"/>
        <v>0</v>
      </c>
      <c r="J301" s="26">
        <f t="shared" si="27"/>
        <v>0</v>
      </c>
      <c r="K301" s="14" t="str">
        <f>IF($D301&lt;=0,"",IF($J301&lt;=0.005,"Volltilgung erreicht",IF($A301=Übersicht!$Q$13,"Ende der Zinsbindung",IF($H301&gt;0,"Sondertilgung",""))))</f>
        <v/>
      </c>
      <c r="L301" s="23">
        <f>IF($N300&lt;=0,0,ROUND($N300*Übersicht!$Q$7,2))</f>
        <v>197.34</v>
      </c>
      <c r="M301" s="23">
        <f>IF($N300&lt;=0,0,MIN($N300,IF(Übersicht!$C$13="Annuitätendarlehen",MAX(0,Übersicht!$Q$9-$L301),IF(Übersicht!$C$13="Ratendarlehen",Übersicht!$Q$10,IF($A301&gt;=Übersicht!$Q$11,$N300,0)))))</f>
        <v>1202.6600000000001</v>
      </c>
      <c r="N301" s="23">
        <f t="shared" si="29"/>
        <v>64576.83</v>
      </c>
    </row>
    <row r="302" spans="1:14" ht="15" customHeight="1" x14ac:dyDescent="0.25">
      <c r="A302" s="5">
        <v>295</v>
      </c>
      <c r="B302" s="20" t="str">
        <f>IF($D302&lt;=0,"",EDATE(Übersicht!$C$18,($A302-1)*12/Übersicht!$Q$6))</f>
        <v/>
      </c>
      <c r="C302" s="5" t="str">
        <f t="shared" si="24"/>
        <v/>
      </c>
      <c r="D302" s="21">
        <f t="shared" si="28"/>
        <v>0</v>
      </c>
      <c r="E302" s="7">
        <f t="shared" si="25"/>
        <v>0</v>
      </c>
      <c r="F302" s="7">
        <f>IF($D302&lt;=0,0,ROUND($D302*Übersicht!$Q$7,2))</f>
        <v>0</v>
      </c>
      <c r="G302" s="7">
        <f>IF($D302&lt;=0,0,MIN($D302,IF(Übersicht!$C$13="Annuitätendarlehen",MAX(0,Übersicht!$Q$9-$F302),IF(Übersicht!$C$13="Ratendarlehen",Übersicht!$Q$10,IF($A302&gt;=Übersicht!$Q$11,$D302,0)))))</f>
        <v>0</v>
      </c>
      <c r="H302" s="7">
        <f>IF($D302-$G302&lt;=0,0,IF(MOD($A302,Übersicht!$Q$6)=0,IF($A302/Übersicht!$Q$6&gt;=Übersicht!$C$21,MIN(Übersicht!$C$20,$D302-$G302),0),0))</f>
        <v>0</v>
      </c>
      <c r="I302" s="7">
        <f t="shared" si="26"/>
        <v>0</v>
      </c>
      <c r="J302" s="22">
        <f t="shared" si="27"/>
        <v>0</v>
      </c>
      <c r="K302" s="9" t="str">
        <f>IF($D302&lt;=0,"",IF($J302&lt;=0.005,"Volltilgung erreicht",IF($A302=Übersicht!$Q$13,"Ende der Zinsbindung",IF($H302&gt;0,"Sondertilgung",""))))</f>
        <v/>
      </c>
      <c r="L302" s="23">
        <f>IF($N301&lt;=0,0,ROUND($N301*Übersicht!$Q$7,2))</f>
        <v>193.73</v>
      </c>
      <c r="M302" s="23">
        <f>IF($N301&lt;=0,0,MIN($N301,IF(Übersicht!$C$13="Annuitätendarlehen",MAX(0,Übersicht!$Q$9-$L302),IF(Übersicht!$C$13="Ratendarlehen",Übersicht!$Q$10,IF($A302&gt;=Übersicht!$Q$11,$N301,0)))))</f>
        <v>1206.27</v>
      </c>
      <c r="N302" s="23">
        <f t="shared" si="29"/>
        <v>63370.559999999998</v>
      </c>
    </row>
    <row r="303" spans="1:14" ht="15" customHeight="1" x14ac:dyDescent="0.25">
      <c r="A303" s="10">
        <v>296</v>
      </c>
      <c r="B303" s="24" t="str">
        <f>IF($D303&lt;=0,"",EDATE(Übersicht!$C$18,($A303-1)*12/Übersicht!$Q$6))</f>
        <v/>
      </c>
      <c r="C303" s="10" t="str">
        <f t="shared" si="24"/>
        <v/>
      </c>
      <c r="D303" s="25">
        <f t="shared" si="28"/>
        <v>0</v>
      </c>
      <c r="E303" s="12">
        <f t="shared" si="25"/>
        <v>0</v>
      </c>
      <c r="F303" s="12">
        <f>IF($D303&lt;=0,0,ROUND($D303*Übersicht!$Q$7,2))</f>
        <v>0</v>
      </c>
      <c r="G303" s="12">
        <f>IF($D303&lt;=0,0,MIN($D303,IF(Übersicht!$C$13="Annuitätendarlehen",MAX(0,Übersicht!$Q$9-$F303),IF(Übersicht!$C$13="Ratendarlehen",Übersicht!$Q$10,IF($A303&gt;=Übersicht!$Q$11,$D303,0)))))</f>
        <v>0</v>
      </c>
      <c r="H303" s="12">
        <f>IF($D303-$G303&lt;=0,0,IF(MOD($A303,Übersicht!$Q$6)=0,IF($A303/Übersicht!$Q$6&gt;=Übersicht!$C$21,MIN(Übersicht!$C$20,$D303-$G303),0),0))</f>
        <v>0</v>
      </c>
      <c r="I303" s="12">
        <f t="shared" si="26"/>
        <v>0</v>
      </c>
      <c r="J303" s="26">
        <f t="shared" si="27"/>
        <v>0</v>
      </c>
      <c r="K303" s="14" t="str">
        <f>IF($D303&lt;=0,"",IF($J303&lt;=0.005,"Volltilgung erreicht",IF($A303=Übersicht!$Q$13,"Ende der Zinsbindung",IF($H303&gt;0,"Sondertilgung",""))))</f>
        <v/>
      </c>
      <c r="L303" s="23">
        <f>IF($N302&lt;=0,0,ROUND($N302*Übersicht!$Q$7,2))</f>
        <v>190.11</v>
      </c>
      <c r="M303" s="23">
        <f>IF($N302&lt;=0,0,MIN($N302,IF(Übersicht!$C$13="Annuitätendarlehen",MAX(0,Übersicht!$Q$9-$L303),IF(Übersicht!$C$13="Ratendarlehen",Übersicht!$Q$10,IF($A303&gt;=Übersicht!$Q$11,$N302,0)))))</f>
        <v>1209.8899999999999</v>
      </c>
      <c r="N303" s="23">
        <f t="shared" si="29"/>
        <v>62160.67</v>
      </c>
    </row>
    <row r="304" spans="1:14" ht="15" customHeight="1" x14ac:dyDescent="0.25">
      <c r="A304" s="5">
        <v>297</v>
      </c>
      <c r="B304" s="20" t="str">
        <f>IF($D304&lt;=0,"",EDATE(Übersicht!$C$18,($A304-1)*12/Übersicht!$Q$6))</f>
        <v/>
      </c>
      <c r="C304" s="5" t="str">
        <f t="shared" si="24"/>
        <v/>
      </c>
      <c r="D304" s="21">
        <f t="shared" si="28"/>
        <v>0</v>
      </c>
      <c r="E304" s="7">
        <f t="shared" si="25"/>
        <v>0</v>
      </c>
      <c r="F304" s="7">
        <f>IF($D304&lt;=0,0,ROUND($D304*Übersicht!$Q$7,2))</f>
        <v>0</v>
      </c>
      <c r="G304" s="7">
        <f>IF($D304&lt;=0,0,MIN($D304,IF(Übersicht!$C$13="Annuitätendarlehen",MAX(0,Übersicht!$Q$9-$F304),IF(Übersicht!$C$13="Ratendarlehen",Übersicht!$Q$10,IF($A304&gt;=Übersicht!$Q$11,$D304,0)))))</f>
        <v>0</v>
      </c>
      <c r="H304" s="7">
        <f>IF($D304-$G304&lt;=0,0,IF(MOD($A304,Übersicht!$Q$6)=0,IF($A304/Übersicht!$Q$6&gt;=Übersicht!$C$21,MIN(Übersicht!$C$20,$D304-$G304),0),0))</f>
        <v>0</v>
      </c>
      <c r="I304" s="7">
        <f t="shared" si="26"/>
        <v>0</v>
      </c>
      <c r="J304" s="22">
        <f t="shared" si="27"/>
        <v>0</v>
      </c>
      <c r="K304" s="9" t="str">
        <f>IF($D304&lt;=0,"",IF($J304&lt;=0.005,"Volltilgung erreicht",IF($A304=Übersicht!$Q$13,"Ende der Zinsbindung",IF($H304&gt;0,"Sondertilgung",""))))</f>
        <v/>
      </c>
      <c r="L304" s="23">
        <f>IF($N303&lt;=0,0,ROUND($N303*Übersicht!$Q$7,2))</f>
        <v>186.48</v>
      </c>
      <c r="M304" s="23">
        <f>IF($N303&lt;=0,0,MIN($N303,IF(Übersicht!$C$13="Annuitätendarlehen",MAX(0,Übersicht!$Q$9-$L304),IF(Übersicht!$C$13="Ratendarlehen",Übersicht!$Q$10,IF($A304&gt;=Übersicht!$Q$11,$N303,0)))))</f>
        <v>1213.52</v>
      </c>
      <c r="N304" s="23">
        <f t="shared" si="29"/>
        <v>60947.15</v>
      </c>
    </row>
    <row r="305" spans="1:14" ht="15" customHeight="1" x14ac:dyDescent="0.25">
      <c r="A305" s="10">
        <v>298</v>
      </c>
      <c r="B305" s="24" t="str">
        <f>IF($D305&lt;=0,"",EDATE(Übersicht!$C$18,($A305-1)*12/Übersicht!$Q$6))</f>
        <v/>
      </c>
      <c r="C305" s="10" t="str">
        <f t="shared" si="24"/>
        <v/>
      </c>
      <c r="D305" s="25">
        <f t="shared" si="28"/>
        <v>0</v>
      </c>
      <c r="E305" s="12">
        <f t="shared" si="25"/>
        <v>0</v>
      </c>
      <c r="F305" s="12">
        <f>IF($D305&lt;=0,0,ROUND($D305*Übersicht!$Q$7,2))</f>
        <v>0</v>
      </c>
      <c r="G305" s="12">
        <f>IF($D305&lt;=0,0,MIN($D305,IF(Übersicht!$C$13="Annuitätendarlehen",MAX(0,Übersicht!$Q$9-$F305),IF(Übersicht!$C$13="Ratendarlehen",Übersicht!$Q$10,IF($A305&gt;=Übersicht!$Q$11,$D305,0)))))</f>
        <v>0</v>
      </c>
      <c r="H305" s="12">
        <f>IF($D305-$G305&lt;=0,0,IF(MOD($A305,Übersicht!$Q$6)=0,IF($A305/Übersicht!$Q$6&gt;=Übersicht!$C$21,MIN(Übersicht!$C$20,$D305-$G305),0),0))</f>
        <v>0</v>
      </c>
      <c r="I305" s="12">
        <f t="shared" si="26"/>
        <v>0</v>
      </c>
      <c r="J305" s="26">
        <f t="shared" si="27"/>
        <v>0</v>
      </c>
      <c r="K305" s="14" t="str">
        <f>IF($D305&lt;=0,"",IF($J305&lt;=0.005,"Volltilgung erreicht",IF($A305=Übersicht!$Q$13,"Ende der Zinsbindung",IF($H305&gt;0,"Sondertilgung",""))))</f>
        <v/>
      </c>
      <c r="L305" s="23">
        <f>IF($N304&lt;=0,0,ROUND($N304*Übersicht!$Q$7,2))</f>
        <v>182.84</v>
      </c>
      <c r="M305" s="23">
        <f>IF($N304&lt;=0,0,MIN($N304,IF(Übersicht!$C$13="Annuitätendarlehen",MAX(0,Übersicht!$Q$9-$L305),IF(Übersicht!$C$13="Ratendarlehen",Übersicht!$Q$10,IF($A305&gt;=Übersicht!$Q$11,$N304,0)))))</f>
        <v>1217.1600000000001</v>
      </c>
      <c r="N305" s="23">
        <f t="shared" si="29"/>
        <v>59729.99</v>
      </c>
    </row>
    <row r="306" spans="1:14" ht="15" customHeight="1" x14ac:dyDescent="0.25">
      <c r="A306" s="5">
        <v>299</v>
      </c>
      <c r="B306" s="20" t="str">
        <f>IF($D306&lt;=0,"",EDATE(Übersicht!$C$18,($A306-1)*12/Übersicht!$Q$6))</f>
        <v/>
      </c>
      <c r="C306" s="5" t="str">
        <f t="shared" si="24"/>
        <v/>
      </c>
      <c r="D306" s="21">
        <f t="shared" si="28"/>
        <v>0</v>
      </c>
      <c r="E306" s="7">
        <f t="shared" si="25"/>
        <v>0</v>
      </c>
      <c r="F306" s="7">
        <f>IF($D306&lt;=0,0,ROUND($D306*Übersicht!$Q$7,2))</f>
        <v>0</v>
      </c>
      <c r="G306" s="7">
        <f>IF($D306&lt;=0,0,MIN($D306,IF(Übersicht!$C$13="Annuitätendarlehen",MAX(0,Übersicht!$Q$9-$F306),IF(Übersicht!$C$13="Ratendarlehen",Übersicht!$Q$10,IF($A306&gt;=Übersicht!$Q$11,$D306,0)))))</f>
        <v>0</v>
      </c>
      <c r="H306" s="7">
        <f>IF($D306-$G306&lt;=0,0,IF(MOD($A306,Übersicht!$Q$6)=0,IF($A306/Übersicht!$Q$6&gt;=Übersicht!$C$21,MIN(Übersicht!$C$20,$D306-$G306),0),0))</f>
        <v>0</v>
      </c>
      <c r="I306" s="7">
        <f t="shared" si="26"/>
        <v>0</v>
      </c>
      <c r="J306" s="22">
        <f t="shared" si="27"/>
        <v>0</v>
      </c>
      <c r="K306" s="9" t="str">
        <f>IF($D306&lt;=0,"",IF($J306&lt;=0.005,"Volltilgung erreicht",IF($A306=Übersicht!$Q$13,"Ende der Zinsbindung",IF($H306&gt;0,"Sondertilgung",""))))</f>
        <v/>
      </c>
      <c r="L306" s="23">
        <f>IF($N305&lt;=0,0,ROUND($N305*Übersicht!$Q$7,2))</f>
        <v>179.19</v>
      </c>
      <c r="M306" s="23">
        <f>IF($N305&lt;=0,0,MIN($N305,IF(Übersicht!$C$13="Annuitätendarlehen",MAX(0,Übersicht!$Q$9-$L306),IF(Übersicht!$C$13="Ratendarlehen",Übersicht!$Q$10,IF($A306&gt;=Übersicht!$Q$11,$N305,0)))))</f>
        <v>1220.81</v>
      </c>
      <c r="N306" s="23">
        <f t="shared" si="29"/>
        <v>58509.18</v>
      </c>
    </row>
    <row r="307" spans="1:14" ht="15" customHeight="1" x14ac:dyDescent="0.25">
      <c r="A307" s="10">
        <v>300</v>
      </c>
      <c r="B307" s="24" t="str">
        <f>IF($D307&lt;=0,"",EDATE(Übersicht!$C$18,($A307-1)*12/Übersicht!$Q$6))</f>
        <v/>
      </c>
      <c r="C307" s="10" t="str">
        <f t="shared" si="24"/>
        <v/>
      </c>
      <c r="D307" s="25">
        <f t="shared" si="28"/>
        <v>0</v>
      </c>
      <c r="E307" s="12">
        <f t="shared" si="25"/>
        <v>0</v>
      </c>
      <c r="F307" s="12">
        <f>IF($D307&lt;=0,0,ROUND($D307*Übersicht!$Q$7,2))</f>
        <v>0</v>
      </c>
      <c r="G307" s="12">
        <f>IF($D307&lt;=0,0,MIN($D307,IF(Übersicht!$C$13="Annuitätendarlehen",MAX(0,Übersicht!$Q$9-$F307),IF(Übersicht!$C$13="Ratendarlehen",Übersicht!$Q$10,IF($A307&gt;=Übersicht!$Q$11,$D307,0)))))</f>
        <v>0</v>
      </c>
      <c r="H307" s="12">
        <f>IF($D307-$G307&lt;=0,0,IF(MOD($A307,Übersicht!$Q$6)=0,IF($A307/Übersicht!$Q$6&gt;=Übersicht!$C$21,MIN(Übersicht!$C$20,$D307-$G307),0),0))</f>
        <v>0</v>
      </c>
      <c r="I307" s="12">
        <f t="shared" si="26"/>
        <v>0</v>
      </c>
      <c r="J307" s="26">
        <f t="shared" si="27"/>
        <v>0</v>
      </c>
      <c r="K307" s="14" t="str">
        <f>IF($D307&lt;=0,"",IF($J307&lt;=0.005,"Volltilgung erreicht",IF($A307=Übersicht!$Q$13,"Ende der Zinsbindung",IF($H307&gt;0,"Sondertilgung",""))))</f>
        <v/>
      </c>
      <c r="L307" s="23">
        <f>IF($N306&lt;=0,0,ROUND($N306*Übersicht!$Q$7,2))</f>
        <v>175.53</v>
      </c>
      <c r="M307" s="23">
        <f>IF($N306&lt;=0,0,MIN($N306,IF(Übersicht!$C$13="Annuitätendarlehen",MAX(0,Übersicht!$Q$9-$L307),IF(Übersicht!$C$13="Ratendarlehen",Übersicht!$Q$10,IF($A307&gt;=Übersicht!$Q$11,$N306,0)))))</f>
        <v>1224.47</v>
      </c>
      <c r="N307" s="23">
        <f t="shared" si="29"/>
        <v>57284.71</v>
      </c>
    </row>
    <row r="308" spans="1:14" ht="15" customHeight="1" x14ac:dyDescent="0.25">
      <c r="A308" s="5">
        <v>301</v>
      </c>
      <c r="B308" s="20" t="str">
        <f>IF($D308&lt;=0,"",EDATE(Übersicht!$C$18,($A308-1)*12/Übersicht!$Q$6))</f>
        <v/>
      </c>
      <c r="C308" s="5" t="str">
        <f t="shared" si="24"/>
        <v/>
      </c>
      <c r="D308" s="21">
        <f t="shared" si="28"/>
        <v>0</v>
      </c>
      <c r="E308" s="7">
        <f t="shared" si="25"/>
        <v>0</v>
      </c>
      <c r="F308" s="7">
        <f>IF($D308&lt;=0,0,ROUND($D308*Übersicht!$Q$7,2))</f>
        <v>0</v>
      </c>
      <c r="G308" s="7">
        <f>IF($D308&lt;=0,0,MIN($D308,IF(Übersicht!$C$13="Annuitätendarlehen",MAX(0,Übersicht!$Q$9-$F308),IF(Übersicht!$C$13="Ratendarlehen",Übersicht!$Q$10,IF($A308&gt;=Übersicht!$Q$11,$D308,0)))))</f>
        <v>0</v>
      </c>
      <c r="H308" s="7">
        <f>IF($D308-$G308&lt;=0,0,IF(MOD($A308,Übersicht!$Q$6)=0,IF($A308/Übersicht!$Q$6&gt;=Übersicht!$C$21,MIN(Übersicht!$C$20,$D308-$G308),0),0))</f>
        <v>0</v>
      </c>
      <c r="I308" s="7">
        <f t="shared" si="26"/>
        <v>0</v>
      </c>
      <c r="J308" s="22">
        <f t="shared" si="27"/>
        <v>0</v>
      </c>
      <c r="K308" s="9" t="str">
        <f>IF($D308&lt;=0,"",IF($J308&lt;=0.005,"Volltilgung erreicht",IF($A308=Übersicht!$Q$13,"Ende der Zinsbindung",IF($H308&gt;0,"Sondertilgung",""))))</f>
        <v/>
      </c>
      <c r="L308" s="23">
        <f>IF($N307&lt;=0,0,ROUND($N307*Übersicht!$Q$7,2))</f>
        <v>171.85</v>
      </c>
      <c r="M308" s="23">
        <f>IF($N307&lt;=0,0,MIN($N307,IF(Übersicht!$C$13="Annuitätendarlehen",MAX(0,Übersicht!$Q$9-$L308),IF(Übersicht!$C$13="Ratendarlehen",Übersicht!$Q$10,IF($A308&gt;=Übersicht!$Q$11,$N307,0)))))</f>
        <v>1228.1500000000001</v>
      </c>
      <c r="N308" s="23">
        <f t="shared" si="29"/>
        <v>56056.56</v>
      </c>
    </row>
    <row r="309" spans="1:14" ht="15" customHeight="1" x14ac:dyDescent="0.25">
      <c r="A309" s="10">
        <v>302</v>
      </c>
      <c r="B309" s="24" t="str">
        <f>IF($D309&lt;=0,"",EDATE(Übersicht!$C$18,($A309-1)*12/Übersicht!$Q$6))</f>
        <v/>
      </c>
      <c r="C309" s="10" t="str">
        <f t="shared" si="24"/>
        <v/>
      </c>
      <c r="D309" s="25">
        <f t="shared" si="28"/>
        <v>0</v>
      </c>
      <c r="E309" s="12">
        <f t="shared" si="25"/>
        <v>0</v>
      </c>
      <c r="F309" s="12">
        <f>IF($D309&lt;=0,0,ROUND($D309*Übersicht!$Q$7,2))</f>
        <v>0</v>
      </c>
      <c r="G309" s="12">
        <f>IF($D309&lt;=0,0,MIN($D309,IF(Übersicht!$C$13="Annuitätendarlehen",MAX(0,Übersicht!$Q$9-$F309),IF(Übersicht!$C$13="Ratendarlehen",Übersicht!$Q$10,IF($A309&gt;=Übersicht!$Q$11,$D309,0)))))</f>
        <v>0</v>
      </c>
      <c r="H309" s="12">
        <f>IF($D309-$G309&lt;=0,0,IF(MOD($A309,Übersicht!$Q$6)=0,IF($A309/Übersicht!$Q$6&gt;=Übersicht!$C$21,MIN(Übersicht!$C$20,$D309-$G309),0),0))</f>
        <v>0</v>
      </c>
      <c r="I309" s="12">
        <f t="shared" si="26"/>
        <v>0</v>
      </c>
      <c r="J309" s="26">
        <f t="shared" si="27"/>
        <v>0</v>
      </c>
      <c r="K309" s="14" t="str">
        <f>IF($D309&lt;=0,"",IF($J309&lt;=0.005,"Volltilgung erreicht",IF($A309=Übersicht!$Q$13,"Ende der Zinsbindung",IF($H309&gt;0,"Sondertilgung",""))))</f>
        <v/>
      </c>
      <c r="L309" s="23">
        <f>IF($N308&lt;=0,0,ROUND($N308*Übersicht!$Q$7,2))</f>
        <v>168.17</v>
      </c>
      <c r="M309" s="23">
        <f>IF($N308&lt;=0,0,MIN($N308,IF(Übersicht!$C$13="Annuitätendarlehen",MAX(0,Übersicht!$Q$9-$L309),IF(Übersicht!$C$13="Ratendarlehen",Übersicht!$Q$10,IF($A309&gt;=Übersicht!$Q$11,$N308,0)))))</f>
        <v>1231.83</v>
      </c>
      <c r="N309" s="23">
        <f t="shared" si="29"/>
        <v>54824.73</v>
      </c>
    </row>
    <row r="310" spans="1:14" ht="15" customHeight="1" x14ac:dyDescent="0.25">
      <c r="A310" s="5">
        <v>303</v>
      </c>
      <c r="B310" s="20" t="str">
        <f>IF($D310&lt;=0,"",EDATE(Übersicht!$C$18,($A310-1)*12/Übersicht!$Q$6))</f>
        <v/>
      </c>
      <c r="C310" s="5" t="str">
        <f t="shared" si="24"/>
        <v/>
      </c>
      <c r="D310" s="21">
        <f t="shared" si="28"/>
        <v>0</v>
      </c>
      <c r="E310" s="7">
        <f t="shared" si="25"/>
        <v>0</v>
      </c>
      <c r="F310" s="7">
        <f>IF($D310&lt;=0,0,ROUND($D310*Übersicht!$Q$7,2))</f>
        <v>0</v>
      </c>
      <c r="G310" s="7">
        <f>IF($D310&lt;=0,0,MIN($D310,IF(Übersicht!$C$13="Annuitätendarlehen",MAX(0,Übersicht!$Q$9-$F310),IF(Übersicht!$C$13="Ratendarlehen",Übersicht!$Q$10,IF($A310&gt;=Übersicht!$Q$11,$D310,0)))))</f>
        <v>0</v>
      </c>
      <c r="H310" s="7">
        <f>IF($D310-$G310&lt;=0,0,IF(MOD($A310,Übersicht!$Q$6)=0,IF($A310/Übersicht!$Q$6&gt;=Übersicht!$C$21,MIN(Übersicht!$C$20,$D310-$G310),0),0))</f>
        <v>0</v>
      </c>
      <c r="I310" s="7">
        <f t="shared" si="26"/>
        <v>0</v>
      </c>
      <c r="J310" s="22">
        <f t="shared" si="27"/>
        <v>0</v>
      </c>
      <c r="K310" s="9" t="str">
        <f>IF($D310&lt;=0,"",IF($J310&lt;=0.005,"Volltilgung erreicht",IF($A310=Übersicht!$Q$13,"Ende der Zinsbindung",IF($H310&gt;0,"Sondertilgung",""))))</f>
        <v/>
      </c>
      <c r="L310" s="23">
        <f>IF($N309&lt;=0,0,ROUND($N309*Übersicht!$Q$7,2))</f>
        <v>164.47</v>
      </c>
      <c r="M310" s="23">
        <f>IF($N309&lt;=0,0,MIN($N309,IF(Übersicht!$C$13="Annuitätendarlehen",MAX(0,Übersicht!$Q$9-$L310),IF(Übersicht!$C$13="Ratendarlehen",Übersicht!$Q$10,IF($A310&gt;=Übersicht!$Q$11,$N309,0)))))</f>
        <v>1235.53</v>
      </c>
      <c r="N310" s="23">
        <f t="shared" si="29"/>
        <v>53589.2</v>
      </c>
    </row>
    <row r="311" spans="1:14" ht="15" customHeight="1" x14ac:dyDescent="0.25">
      <c r="A311" s="10">
        <v>304</v>
      </c>
      <c r="B311" s="24" t="str">
        <f>IF($D311&lt;=0,"",EDATE(Übersicht!$C$18,($A311-1)*12/Übersicht!$Q$6))</f>
        <v/>
      </c>
      <c r="C311" s="10" t="str">
        <f t="shared" si="24"/>
        <v/>
      </c>
      <c r="D311" s="25">
        <f t="shared" si="28"/>
        <v>0</v>
      </c>
      <c r="E311" s="12">
        <f t="shared" si="25"/>
        <v>0</v>
      </c>
      <c r="F311" s="12">
        <f>IF($D311&lt;=0,0,ROUND($D311*Übersicht!$Q$7,2))</f>
        <v>0</v>
      </c>
      <c r="G311" s="12">
        <f>IF($D311&lt;=0,0,MIN($D311,IF(Übersicht!$C$13="Annuitätendarlehen",MAX(0,Übersicht!$Q$9-$F311),IF(Übersicht!$C$13="Ratendarlehen",Übersicht!$Q$10,IF($A311&gt;=Übersicht!$Q$11,$D311,0)))))</f>
        <v>0</v>
      </c>
      <c r="H311" s="12">
        <f>IF($D311-$G311&lt;=0,0,IF(MOD($A311,Übersicht!$Q$6)=0,IF($A311/Übersicht!$Q$6&gt;=Übersicht!$C$21,MIN(Übersicht!$C$20,$D311-$G311),0),0))</f>
        <v>0</v>
      </c>
      <c r="I311" s="12">
        <f t="shared" si="26"/>
        <v>0</v>
      </c>
      <c r="J311" s="26">
        <f t="shared" si="27"/>
        <v>0</v>
      </c>
      <c r="K311" s="14" t="str">
        <f>IF($D311&lt;=0,"",IF($J311&lt;=0.005,"Volltilgung erreicht",IF($A311=Übersicht!$Q$13,"Ende der Zinsbindung",IF($H311&gt;0,"Sondertilgung",""))))</f>
        <v/>
      </c>
      <c r="L311" s="23">
        <f>IF($N310&lt;=0,0,ROUND($N310*Übersicht!$Q$7,2))</f>
        <v>160.77000000000001</v>
      </c>
      <c r="M311" s="23">
        <f>IF($N310&lt;=0,0,MIN($N310,IF(Übersicht!$C$13="Annuitätendarlehen",MAX(0,Übersicht!$Q$9-$L311),IF(Übersicht!$C$13="Ratendarlehen",Übersicht!$Q$10,IF($A311&gt;=Übersicht!$Q$11,$N310,0)))))</f>
        <v>1239.23</v>
      </c>
      <c r="N311" s="23">
        <f t="shared" si="29"/>
        <v>52349.97</v>
      </c>
    </row>
    <row r="312" spans="1:14" ht="15" customHeight="1" x14ac:dyDescent="0.25">
      <c r="A312" s="5">
        <v>305</v>
      </c>
      <c r="B312" s="20" t="str">
        <f>IF($D312&lt;=0,"",EDATE(Übersicht!$C$18,($A312-1)*12/Übersicht!$Q$6))</f>
        <v/>
      </c>
      <c r="C312" s="5" t="str">
        <f t="shared" si="24"/>
        <v/>
      </c>
      <c r="D312" s="21">
        <f t="shared" si="28"/>
        <v>0</v>
      </c>
      <c r="E312" s="7">
        <f t="shared" si="25"/>
        <v>0</v>
      </c>
      <c r="F312" s="7">
        <f>IF($D312&lt;=0,0,ROUND($D312*Übersicht!$Q$7,2))</f>
        <v>0</v>
      </c>
      <c r="G312" s="7">
        <f>IF($D312&lt;=0,0,MIN($D312,IF(Übersicht!$C$13="Annuitätendarlehen",MAX(0,Übersicht!$Q$9-$F312),IF(Übersicht!$C$13="Ratendarlehen",Übersicht!$Q$10,IF($A312&gt;=Übersicht!$Q$11,$D312,0)))))</f>
        <v>0</v>
      </c>
      <c r="H312" s="7">
        <f>IF($D312-$G312&lt;=0,0,IF(MOD($A312,Übersicht!$Q$6)=0,IF($A312/Übersicht!$Q$6&gt;=Übersicht!$C$21,MIN(Übersicht!$C$20,$D312-$G312),0),0))</f>
        <v>0</v>
      </c>
      <c r="I312" s="7">
        <f t="shared" si="26"/>
        <v>0</v>
      </c>
      <c r="J312" s="22">
        <f t="shared" si="27"/>
        <v>0</v>
      </c>
      <c r="K312" s="9" t="str">
        <f>IF($D312&lt;=0,"",IF($J312&lt;=0.005,"Volltilgung erreicht",IF($A312=Übersicht!$Q$13,"Ende der Zinsbindung",IF($H312&gt;0,"Sondertilgung",""))))</f>
        <v/>
      </c>
      <c r="L312" s="23">
        <f>IF($N311&lt;=0,0,ROUND($N311*Übersicht!$Q$7,2))</f>
        <v>157.05000000000001</v>
      </c>
      <c r="M312" s="23">
        <f>IF($N311&lt;=0,0,MIN($N311,IF(Übersicht!$C$13="Annuitätendarlehen",MAX(0,Übersicht!$Q$9-$L312),IF(Übersicht!$C$13="Ratendarlehen",Übersicht!$Q$10,IF($A312&gt;=Übersicht!$Q$11,$N311,0)))))</f>
        <v>1242.95</v>
      </c>
      <c r="N312" s="23">
        <f t="shared" si="29"/>
        <v>51107.02</v>
      </c>
    </row>
    <row r="313" spans="1:14" ht="15" customHeight="1" x14ac:dyDescent="0.25">
      <c r="A313" s="10">
        <v>306</v>
      </c>
      <c r="B313" s="24" t="str">
        <f>IF($D313&lt;=0,"",EDATE(Übersicht!$C$18,($A313-1)*12/Übersicht!$Q$6))</f>
        <v/>
      </c>
      <c r="C313" s="10" t="str">
        <f t="shared" si="24"/>
        <v/>
      </c>
      <c r="D313" s="25">
        <f t="shared" si="28"/>
        <v>0</v>
      </c>
      <c r="E313" s="12">
        <f t="shared" si="25"/>
        <v>0</v>
      </c>
      <c r="F313" s="12">
        <f>IF($D313&lt;=0,0,ROUND($D313*Übersicht!$Q$7,2))</f>
        <v>0</v>
      </c>
      <c r="G313" s="12">
        <f>IF($D313&lt;=0,0,MIN($D313,IF(Übersicht!$C$13="Annuitätendarlehen",MAX(0,Übersicht!$Q$9-$F313),IF(Übersicht!$C$13="Ratendarlehen",Übersicht!$Q$10,IF($A313&gt;=Übersicht!$Q$11,$D313,0)))))</f>
        <v>0</v>
      </c>
      <c r="H313" s="12">
        <f>IF($D313-$G313&lt;=0,0,IF(MOD($A313,Übersicht!$Q$6)=0,IF($A313/Übersicht!$Q$6&gt;=Übersicht!$C$21,MIN(Übersicht!$C$20,$D313-$G313),0),0))</f>
        <v>0</v>
      </c>
      <c r="I313" s="12">
        <f t="shared" si="26"/>
        <v>0</v>
      </c>
      <c r="J313" s="26">
        <f t="shared" si="27"/>
        <v>0</v>
      </c>
      <c r="K313" s="14" t="str">
        <f>IF($D313&lt;=0,"",IF($J313&lt;=0.005,"Volltilgung erreicht",IF($A313=Übersicht!$Q$13,"Ende der Zinsbindung",IF($H313&gt;0,"Sondertilgung",""))))</f>
        <v/>
      </c>
      <c r="L313" s="23">
        <f>IF($N312&lt;=0,0,ROUND($N312*Übersicht!$Q$7,2))</f>
        <v>153.32</v>
      </c>
      <c r="M313" s="23">
        <f>IF($N312&lt;=0,0,MIN($N312,IF(Übersicht!$C$13="Annuitätendarlehen",MAX(0,Übersicht!$Q$9-$L313),IF(Übersicht!$C$13="Ratendarlehen",Übersicht!$Q$10,IF($A313&gt;=Übersicht!$Q$11,$N312,0)))))</f>
        <v>1246.68</v>
      </c>
      <c r="N313" s="23">
        <f t="shared" si="29"/>
        <v>49860.34</v>
      </c>
    </row>
    <row r="314" spans="1:14" ht="15" customHeight="1" x14ac:dyDescent="0.25">
      <c r="A314" s="5">
        <v>307</v>
      </c>
      <c r="B314" s="20" t="str">
        <f>IF($D314&lt;=0,"",EDATE(Übersicht!$C$18,($A314-1)*12/Übersicht!$Q$6))</f>
        <v/>
      </c>
      <c r="C314" s="5" t="str">
        <f t="shared" si="24"/>
        <v/>
      </c>
      <c r="D314" s="21">
        <f t="shared" si="28"/>
        <v>0</v>
      </c>
      <c r="E314" s="7">
        <f t="shared" si="25"/>
        <v>0</v>
      </c>
      <c r="F314" s="7">
        <f>IF($D314&lt;=0,0,ROUND($D314*Übersicht!$Q$7,2))</f>
        <v>0</v>
      </c>
      <c r="G314" s="7">
        <f>IF($D314&lt;=0,0,MIN($D314,IF(Übersicht!$C$13="Annuitätendarlehen",MAX(0,Übersicht!$Q$9-$F314),IF(Übersicht!$C$13="Ratendarlehen",Übersicht!$Q$10,IF($A314&gt;=Übersicht!$Q$11,$D314,0)))))</f>
        <v>0</v>
      </c>
      <c r="H314" s="7">
        <f>IF($D314-$G314&lt;=0,0,IF(MOD($A314,Übersicht!$Q$6)=0,IF($A314/Übersicht!$Q$6&gt;=Übersicht!$C$21,MIN(Übersicht!$C$20,$D314-$G314),0),0))</f>
        <v>0</v>
      </c>
      <c r="I314" s="7">
        <f t="shared" si="26"/>
        <v>0</v>
      </c>
      <c r="J314" s="22">
        <f t="shared" si="27"/>
        <v>0</v>
      </c>
      <c r="K314" s="9" t="str">
        <f>IF($D314&lt;=0,"",IF($J314&lt;=0.005,"Volltilgung erreicht",IF($A314=Übersicht!$Q$13,"Ende der Zinsbindung",IF($H314&gt;0,"Sondertilgung",""))))</f>
        <v/>
      </c>
      <c r="L314" s="23">
        <f>IF($N313&lt;=0,0,ROUND($N313*Übersicht!$Q$7,2))</f>
        <v>149.58000000000001</v>
      </c>
      <c r="M314" s="23">
        <f>IF($N313&lt;=0,0,MIN($N313,IF(Übersicht!$C$13="Annuitätendarlehen",MAX(0,Übersicht!$Q$9-$L314),IF(Übersicht!$C$13="Ratendarlehen",Übersicht!$Q$10,IF($A314&gt;=Übersicht!$Q$11,$N313,0)))))</f>
        <v>1250.42</v>
      </c>
      <c r="N314" s="23">
        <f t="shared" si="29"/>
        <v>48609.919999999998</v>
      </c>
    </row>
    <row r="315" spans="1:14" ht="15" customHeight="1" x14ac:dyDescent="0.25">
      <c r="A315" s="10">
        <v>308</v>
      </c>
      <c r="B315" s="24" t="str">
        <f>IF($D315&lt;=0,"",EDATE(Übersicht!$C$18,($A315-1)*12/Übersicht!$Q$6))</f>
        <v/>
      </c>
      <c r="C315" s="10" t="str">
        <f t="shared" si="24"/>
        <v/>
      </c>
      <c r="D315" s="25">
        <f t="shared" si="28"/>
        <v>0</v>
      </c>
      <c r="E315" s="12">
        <f t="shared" si="25"/>
        <v>0</v>
      </c>
      <c r="F315" s="12">
        <f>IF($D315&lt;=0,0,ROUND($D315*Übersicht!$Q$7,2))</f>
        <v>0</v>
      </c>
      <c r="G315" s="12">
        <f>IF($D315&lt;=0,0,MIN($D315,IF(Übersicht!$C$13="Annuitätendarlehen",MAX(0,Übersicht!$Q$9-$F315),IF(Übersicht!$C$13="Ratendarlehen",Übersicht!$Q$10,IF($A315&gt;=Übersicht!$Q$11,$D315,0)))))</f>
        <v>0</v>
      </c>
      <c r="H315" s="12">
        <f>IF($D315-$G315&lt;=0,0,IF(MOD($A315,Übersicht!$Q$6)=0,IF($A315/Übersicht!$Q$6&gt;=Übersicht!$C$21,MIN(Übersicht!$C$20,$D315-$G315),0),0))</f>
        <v>0</v>
      </c>
      <c r="I315" s="12">
        <f t="shared" si="26"/>
        <v>0</v>
      </c>
      <c r="J315" s="26">
        <f t="shared" si="27"/>
        <v>0</v>
      </c>
      <c r="K315" s="14" t="str">
        <f>IF($D315&lt;=0,"",IF($J315&lt;=0.005,"Volltilgung erreicht",IF($A315=Übersicht!$Q$13,"Ende der Zinsbindung",IF($H315&gt;0,"Sondertilgung",""))))</f>
        <v/>
      </c>
      <c r="L315" s="23">
        <f>IF($N314&lt;=0,0,ROUND($N314*Übersicht!$Q$7,2))</f>
        <v>145.83000000000001</v>
      </c>
      <c r="M315" s="23">
        <f>IF($N314&lt;=0,0,MIN($N314,IF(Übersicht!$C$13="Annuitätendarlehen",MAX(0,Übersicht!$Q$9-$L315),IF(Übersicht!$C$13="Ratendarlehen",Übersicht!$Q$10,IF($A315&gt;=Übersicht!$Q$11,$N314,0)))))</f>
        <v>1254.17</v>
      </c>
      <c r="N315" s="23">
        <f t="shared" si="29"/>
        <v>47355.75</v>
      </c>
    </row>
    <row r="316" spans="1:14" ht="15" customHeight="1" x14ac:dyDescent="0.25">
      <c r="A316" s="5">
        <v>309</v>
      </c>
      <c r="B316" s="20" t="str">
        <f>IF($D316&lt;=0,"",EDATE(Übersicht!$C$18,($A316-1)*12/Übersicht!$Q$6))</f>
        <v/>
      </c>
      <c r="C316" s="5" t="str">
        <f t="shared" si="24"/>
        <v/>
      </c>
      <c r="D316" s="21">
        <f t="shared" si="28"/>
        <v>0</v>
      </c>
      <c r="E316" s="7">
        <f t="shared" si="25"/>
        <v>0</v>
      </c>
      <c r="F316" s="7">
        <f>IF($D316&lt;=0,0,ROUND($D316*Übersicht!$Q$7,2))</f>
        <v>0</v>
      </c>
      <c r="G316" s="7">
        <f>IF($D316&lt;=0,0,MIN($D316,IF(Übersicht!$C$13="Annuitätendarlehen",MAX(0,Übersicht!$Q$9-$F316),IF(Übersicht!$C$13="Ratendarlehen",Übersicht!$Q$10,IF($A316&gt;=Übersicht!$Q$11,$D316,0)))))</f>
        <v>0</v>
      </c>
      <c r="H316" s="7">
        <f>IF($D316-$G316&lt;=0,0,IF(MOD($A316,Übersicht!$Q$6)=0,IF($A316/Übersicht!$Q$6&gt;=Übersicht!$C$21,MIN(Übersicht!$C$20,$D316-$G316),0),0))</f>
        <v>0</v>
      </c>
      <c r="I316" s="7">
        <f t="shared" si="26"/>
        <v>0</v>
      </c>
      <c r="J316" s="22">
        <f t="shared" si="27"/>
        <v>0</v>
      </c>
      <c r="K316" s="9" t="str">
        <f>IF($D316&lt;=0,"",IF($J316&lt;=0.005,"Volltilgung erreicht",IF($A316=Übersicht!$Q$13,"Ende der Zinsbindung",IF($H316&gt;0,"Sondertilgung",""))))</f>
        <v/>
      </c>
      <c r="L316" s="23">
        <f>IF($N315&lt;=0,0,ROUND($N315*Übersicht!$Q$7,2))</f>
        <v>142.07</v>
      </c>
      <c r="M316" s="23">
        <f>IF($N315&lt;=0,0,MIN($N315,IF(Übersicht!$C$13="Annuitätendarlehen",MAX(0,Übersicht!$Q$9-$L316),IF(Übersicht!$C$13="Ratendarlehen",Übersicht!$Q$10,IF($A316&gt;=Übersicht!$Q$11,$N315,0)))))</f>
        <v>1257.93</v>
      </c>
      <c r="N316" s="23">
        <f t="shared" si="29"/>
        <v>46097.82</v>
      </c>
    </row>
    <row r="317" spans="1:14" ht="15" customHeight="1" x14ac:dyDescent="0.25">
      <c r="A317" s="10">
        <v>310</v>
      </c>
      <c r="B317" s="24" t="str">
        <f>IF($D317&lt;=0,"",EDATE(Übersicht!$C$18,($A317-1)*12/Übersicht!$Q$6))</f>
        <v/>
      </c>
      <c r="C317" s="10" t="str">
        <f t="shared" si="24"/>
        <v/>
      </c>
      <c r="D317" s="25">
        <f t="shared" si="28"/>
        <v>0</v>
      </c>
      <c r="E317" s="12">
        <f t="shared" si="25"/>
        <v>0</v>
      </c>
      <c r="F317" s="12">
        <f>IF($D317&lt;=0,0,ROUND($D317*Übersicht!$Q$7,2))</f>
        <v>0</v>
      </c>
      <c r="G317" s="12">
        <f>IF($D317&lt;=0,0,MIN($D317,IF(Übersicht!$C$13="Annuitätendarlehen",MAX(0,Übersicht!$Q$9-$F317),IF(Übersicht!$C$13="Ratendarlehen",Übersicht!$Q$10,IF($A317&gt;=Übersicht!$Q$11,$D317,0)))))</f>
        <v>0</v>
      </c>
      <c r="H317" s="12">
        <f>IF($D317-$G317&lt;=0,0,IF(MOD($A317,Übersicht!$Q$6)=0,IF($A317/Übersicht!$Q$6&gt;=Übersicht!$C$21,MIN(Übersicht!$C$20,$D317-$G317),0),0))</f>
        <v>0</v>
      </c>
      <c r="I317" s="12">
        <f t="shared" si="26"/>
        <v>0</v>
      </c>
      <c r="J317" s="26">
        <f t="shared" si="27"/>
        <v>0</v>
      </c>
      <c r="K317" s="14" t="str">
        <f>IF($D317&lt;=0,"",IF($J317&lt;=0.005,"Volltilgung erreicht",IF($A317=Übersicht!$Q$13,"Ende der Zinsbindung",IF($H317&gt;0,"Sondertilgung",""))))</f>
        <v/>
      </c>
      <c r="L317" s="23">
        <f>IF($N316&lt;=0,0,ROUND($N316*Übersicht!$Q$7,2))</f>
        <v>138.29</v>
      </c>
      <c r="M317" s="23">
        <f>IF($N316&lt;=0,0,MIN($N316,IF(Übersicht!$C$13="Annuitätendarlehen",MAX(0,Übersicht!$Q$9-$L317),IF(Übersicht!$C$13="Ratendarlehen",Übersicht!$Q$10,IF($A317&gt;=Übersicht!$Q$11,$N316,0)))))</f>
        <v>1261.71</v>
      </c>
      <c r="N317" s="23">
        <f t="shared" si="29"/>
        <v>44836.11</v>
      </c>
    </row>
    <row r="318" spans="1:14" ht="15" customHeight="1" x14ac:dyDescent="0.25">
      <c r="A318" s="5">
        <v>311</v>
      </c>
      <c r="B318" s="20" t="str">
        <f>IF($D318&lt;=0,"",EDATE(Übersicht!$C$18,($A318-1)*12/Übersicht!$Q$6))</f>
        <v/>
      </c>
      <c r="C318" s="5" t="str">
        <f t="shared" si="24"/>
        <v/>
      </c>
      <c r="D318" s="21">
        <f t="shared" si="28"/>
        <v>0</v>
      </c>
      <c r="E318" s="7">
        <f t="shared" si="25"/>
        <v>0</v>
      </c>
      <c r="F318" s="7">
        <f>IF($D318&lt;=0,0,ROUND($D318*Übersicht!$Q$7,2))</f>
        <v>0</v>
      </c>
      <c r="G318" s="7">
        <f>IF($D318&lt;=0,0,MIN($D318,IF(Übersicht!$C$13="Annuitätendarlehen",MAX(0,Übersicht!$Q$9-$F318),IF(Übersicht!$C$13="Ratendarlehen",Übersicht!$Q$10,IF($A318&gt;=Übersicht!$Q$11,$D318,0)))))</f>
        <v>0</v>
      </c>
      <c r="H318" s="7">
        <f>IF($D318-$G318&lt;=0,0,IF(MOD($A318,Übersicht!$Q$6)=0,IF($A318/Übersicht!$Q$6&gt;=Übersicht!$C$21,MIN(Übersicht!$C$20,$D318-$G318),0),0))</f>
        <v>0</v>
      </c>
      <c r="I318" s="7">
        <f t="shared" si="26"/>
        <v>0</v>
      </c>
      <c r="J318" s="22">
        <f t="shared" si="27"/>
        <v>0</v>
      </c>
      <c r="K318" s="9" t="str">
        <f>IF($D318&lt;=0,"",IF($J318&lt;=0.005,"Volltilgung erreicht",IF($A318=Übersicht!$Q$13,"Ende der Zinsbindung",IF($H318&gt;0,"Sondertilgung",""))))</f>
        <v/>
      </c>
      <c r="L318" s="23">
        <f>IF($N317&lt;=0,0,ROUND($N317*Übersicht!$Q$7,2))</f>
        <v>134.51</v>
      </c>
      <c r="M318" s="23">
        <f>IF($N317&lt;=0,0,MIN($N317,IF(Übersicht!$C$13="Annuitätendarlehen",MAX(0,Übersicht!$Q$9-$L318),IF(Übersicht!$C$13="Ratendarlehen",Übersicht!$Q$10,IF($A318&gt;=Übersicht!$Q$11,$N317,0)))))</f>
        <v>1265.49</v>
      </c>
      <c r="N318" s="23">
        <f t="shared" si="29"/>
        <v>43570.62</v>
      </c>
    </row>
    <row r="319" spans="1:14" ht="15" customHeight="1" x14ac:dyDescent="0.25">
      <c r="A319" s="10">
        <v>312</v>
      </c>
      <c r="B319" s="24" t="str">
        <f>IF($D319&lt;=0,"",EDATE(Übersicht!$C$18,($A319-1)*12/Übersicht!$Q$6))</f>
        <v/>
      </c>
      <c r="C319" s="10" t="str">
        <f t="shared" si="24"/>
        <v/>
      </c>
      <c r="D319" s="25">
        <f t="shared" si="28"/>
        <v>0</v>
      </c>
      <c r="E319" s="12">
        <f t="shared" si="25"/>
        <v>0</v>
      </c>
      <c r="F319" s="12">
        <f>IF($D319&lt;=0,0,ROUND($D319*Übersicht!$Q$7,2))</f>
        <v>0</v>
      </c>
      <c r="G319" s="12">
        <f>IF($D319&lt;=0,0,MIN($D319,IF(Übersicht!$C$13="Annuitätendarlehen",MAX(0,Übersicht!$Q$9-$F319),IF(Übersicht!$C$13="Ratendarlehen",Übersicht!$Q$10,IF($A319&gt;=Übersicht!$Q$11,$D319,0)))))</f>
        <v>0</v>
      </c>
      <c r="H319" s="12">
        <f>IF($D319-$G319&lt;=0,0,IF(MOD($A319,Übersicht!$Q$6)=0,IF($A319/Übersicht!$Q$6&gt;=Übersicht!$C$21,MIN(Übersicht!$C$20,$D319-$G319),0),0))</f>
        <v>0</v>
      </c>
      <c r="I319" s="12">
        <f t="shared" si="26"/>
        <v>0</v>
      </c>
      <c r="J319" s="26">
        <f t="shared" si="27"/>
        <v>0</v>
      </c>
      <c r="K319" s="14" t="str">
        <f>IF($D319&lt;=0,"",IF($J319&lt;=0.005,"Volltilgung erreicht",IF($A319=Übersicht!$Q$13,"Ende der Zinsbindung",IF($H319&gt;0,"Sondertilgung",""))))</f>
        <v/>
      </c>
      <c r="L319" s="23">
        <f>IF($N318&lt;=0,0,ROUND($N318*Übersicht!$Q$7,2))</f>
        <v>130.71</v>
      </c>
      <c r="M319" s="23">
        <f>IF($N318&lt;=0,0,MIN($N318,IF(Übersicht!$C$13="Annuitätendarlehen",MAX(0,Übersicht!$Q$9-$L319),IF(Übersicht!$C$13="Ratendarlehen",Übersicht!$Q$10,IF($A319&gt;=Übersicht!$Q$11,$N318,0)))))</f>
        <v>1269.29</v>
      </c>
      <c r="N319" s="23">
        <f t="shared" si="29"/>
        <v>42301.33</v>
      </c>
    </row>
    <row r="320" spans="1:14" ht="15" customHeight="1" x14ac:dyDescent="0.25">
      <c r="A320" s="5">
        <v>313</v>
      </c>
      <c r="B320" s="20" t="str">
        <f>IF($D320&lt;=0,"",EDATE(Übersicht!$C$18,($A320-1)*12/Übersicht!$Q$6))</f>
        <v/>
      </c>
      <c r="C320" s="5" t="str">
        <f t="shared" si="24"/>
        <v/>
      </c>
      <c r="D320" s="21">
        <f t="shared" si="28"/>
        <v>0</v>
      </c>
      <c r="E320" s="7">
        <f t="shared" si="25"/>
        <v>0</v>
      </c>
      <c r="F320" s="7">
        <f>IF($D320&lt;=0,0,ROUND($D320*Übersicht!$Q$7,2))</f>
        <v>0</v>
      </c>
      <c r="G320" s="7">
        <f>IF($D320&lt;=0,0,MIN($D320,IF(Übersicht!$C$13="Annuitätendarlehen",MAX(0,Übersicht!$Q$9-$F320),IF(Übersicht!$C$13="Ratendarlehen",Übersicht!$Q$10,IF($A320&gt;=Übersicht!$Q$11,$D320,0)))))</f>
        <v>0</v>
      </c>
      <c r="H320" s="7">
        <f>IF($D320-$G320&lt;=0,0,IF(MOD($A320,Übersicht!$Q$6)=0,IF($A320/Übersicht!$Q$6&gt;=Übersicht!$C$21,MIN(Übersicht!$C$20,$D320-$G320),0),0))</f>
        <v>0</v>
      </c>
      <c r="I320" s="7">
        <f t="shared" si="26"/>
        <v>0</v>
      </c>
      <c r="J320" s="22">
        <f t="shared" si="27"/>
        <v>0</v>
      </c>
      <c r="K320" s="9" t="str">
        <f>IF($D320&lt;=0,"",IF($J320&lt;=0.005,"Volltilgung erreicht",IF($A320=Übersicht!$Q$13,"Ende der Zinsbindung",IF($H320&gt;0,"Sondertilgung",""))))</f>
        <v/>
      </c>
      <c r="L320" s="23">
        <f>IF($N319&lt;=0,0,ROUND($N319*Übersicht!$Q$7,2))</f>
        <v>126.9</v>
      </c>
      <c r="M320" s="23">
        <f>IF($N319&lt;=0,0,MIN($N319,IF(Übersicht!$C$13="Annuitätendarlehen",MAX(0,Übersicht!$Q$9-$L320),IF(Übersicht!$C$13="Ratendarlehen",Übersicht!$Q$10,IF($A320&gt;=Übersicht!$Q$11,$N319,0)))))</f>
        <v>1273.0999999999999</v>
      </c>
      <c r="N320" s="23">
        <f t="shared" si="29"/>
        <v>41028.230000000003</v>
      </c>
    </row>
    <row r="321" spans="1:14" ht="15" customHeight="1" x14ac:dyDescent="0.25">
      <c r="A321" s="10">
        <v>314</v>
      </c>
      <c r="B321" s="24" t="str">
        <f>IF($D321&lt;=0,"",EDATE(Übersicht!$C$18,($A321-1)*12/Übersicht!$Q$6))</f>
        <v/>
      </c>
      <c r="C321" s="10" t="str">
        <f t="shared" si="24"/>
        <v/>
      </c>
      <c r="D321" s="25">
        <f t="shared" si="28"/>
        <v>0</v>
      </c>
      <c r="E321" s="12">
        <f t="shared" si="25"/>
        <v>0</v>
      </c>
      <c r="F321" s="12">
        <f>IF($D321&lt;=0,0,ROUND($D321*Übersicht!$Q$7,2))</f>
        <v>0</v>
      </c>
      <c r="G321" s="12">
        <f>IF($D321&lt;=0,0,MIN($D321,IF(Übersicht!$C$13="Annuitätendarlehen",MAX(0,Übersicht!$Q$9-$F321),IF(Übersicht!$C$13="Ratendarlehen",Übersicht!$Q$10,IF($A321&gt;=Übersicht!$Q$11,$D321,0)))))</f>
        <v>0</v>
      </c>
      <c r="H321" s="12">
        <f>IF($D321-$G321&lt;=0,0,IF(MOD($A321,Übersicht!$Q$6)=0,IF($A321/Übersicht!$Q$6&gt;=Übersicht!$C$21,MIN(Übersicht!$C$20,$D321-$G321),0),0))</f>
        <v>0</v>
      </c>
      <c r="I321" s="12">
        <f t="shared" si="26"/>
        <v>0</v>
      </c>
      <c r="J321" s="26">
        <f t="shared" si="27"/>
        <v>0</v>
      </c>
      <c r="K321" s="14" t="str">
        <f>IF($D321&lt;=0,"",IF($J321&lt;=0.005,"Volltilgung erreicht",IF($A321=Übersicht!$Q$13,"Ende der Zinsbindung",IF($H321&gt;0,"Sondertilgung",""))))</f>
        <v/>
      </c>
      <c r="L321" s="23">
        <f>IF($N320&lt;=0,0,ROUND($N320*Übersicht!$Q$7,2))</f>
        <v>123.08</v>
      </c>
      <c r="M321" s="23">
        <f>IF($N320&lt;=0,0,MIN($N320,IF(Übersicht!$C$13="Annuitätendarlehen",MAX(0,Übersicht!$Q$9-$L321),IF(Übersicht!$C$13="Ratendarlehen",Übersicht!$Q$10,IF($A321&gt;=Übersicht!$Q$11,$N320,0)))))</f>
        <v>1276.92</v>
      </c>
      <c r="N321" s="23">
        <f t="shared" si="29"/>
        <v>39751.31</v>
      </c>
    </row>
    <row r="322" spans="1:14" ht="15" customHeight="1" x14ac:dyDescent="0.25">
      <c r="A322" s="5">
        <v>315</v>
      </c>
      <c r="B322" s="20" t="str">
        <f>IF($D322&lt;=0,"",EDATE(Übersicht!$C$18,($A322-1)*12/Übersicht!$Q$6))</f>
        <v/>
      </c>
      <c r="C322" s="5" t="str">
        <f t="shared" si="24"/>
        <v/>
      </c>
      <c r="D322" s="21">
        <f t="shared" si="28"/>
        <v>0</v>
      </c>
      <c r="E322" s="7">
        <f t="shared" si="25"/>
        <v>0</v>
      </c>
      <c r="F322" s="7">
        <f>IF($D322&lt;=0,0,ROUND($D322*Übersicht!$Q$7,2))</f>
        <v>0</v>
      </c>
      <c r="G322" s="7">
        <f>IF($D322&lt;=0,0,MIN($D322,IF(Übersicht!$C$13="Annuitätendarlehen",MAX(0,Übersicht!$Q$9-$F322),IF(Übersicht!$C$13="Ratendarlehen",Übersicht!$Q$10,IF($A322&gt;=Übersicht!$Q$11,$D322,0)))))</f>
        <v>0</v>
      </c>
      <c r="H322" s="7">
        <f>IF($D322-$G322&lt;=0,0,IF(MOD($A322,Übersicht!$Q$6)=0,IF($A322/Übersicht!$Q$6&gt;=Übersicht!$C$21,MIN(Übersicht!$C$20,$D322-$G322),0),0))</f>
        <v>0</v>
      </c>
      <c r="I322" s="7">
        <f t="shared" si="26"/>
        <v>0</v>
      </c>
      <c r="J322" s="22">
        <f t="shared" si="27"/>
        <v>0</v>
      </c>
      <c r="K322" s="9" t="str">
        <f>IF($D322&lt;=0,"",IF($J322&lt;=0.005,"Volltilgung erreicht",IF($A322=Übersicht!$Q$13,"Ende der Zinsbindung",IF($H322&gt;0,"Sondertilgung",""))))</f>
        <v/>
      </c>
      <c r="L322" s="23">
        <f>IF($N321&lt;=0,0,ROUND($N321*Übersicht!$Q$7,2))</f>
        <v>119.25</v>
      </c>
      <c r="M322" s="23">
        <f>IF($N321&lt;=0,0,MIN($N321,IF(Übersicht!$C$13="Annuitätendarlehen",MAX(0,Übersicht!$Q$9-$L322),IF(Übersicht!$C$13="Ratendarlehen",Übersicht!$Q$10,IF($A322&gt;=Übersicht!$Q$11,$N321,0)))))</f>
        <v>1280.75</v>
      </c>
      <c r="N322" s="23">
        <f t="shared" si="29"/>
        <v>38470.559999999998</v>
      </c>
    </row>
    <row r="323" spans="1:14" ht="15" customHeight="1" x14ac:dyDescent="0.25">
      <c r="A323" s="10">
        <v>316</v>
      </c>
      <c r="B323" s="24" t="str">
        <f>IF($D323&lt;=0,"",EDATE(Übersicht!$C$18,($A323-1)*12/Übersicht!$Q$6))</f>
        <v/>
      </c>
      <c r="C323" s="10" t="str">
        <f t="shared" si="24"/>
        <v/>
      </c>
      <c r="D323" s="25">
        <f t="shared" si="28"/>
        <v>0</v>
      </c>
      <c r="E323" s="12">
        <f t="shared" si="25"/>
        <v>0</v>
      </c>
      <c r="F323" s="12">
        <f>IF($D323&lt;=0,0,ROUND($D323*Übersicht!$Q$7,2))</f>
        <v>0</v>
      </c>
      <c r="G323" s="12">
        <f>IF($D323&lt;=0,0,MIN($D323,IF(Übersicht!$C$13="Annuitätendarlehen",MAX(0,Übersicht!$Q$9-$F323),IF(Übersicht!$C$13="Ratendarlehen",Übersicht!$Q$10,IF($A323&gt;=Übersicht!$Q$11,$D323,0)))))</f>
        <v>0</v>
      </c>
      <c r="H323" s="12">
        <f>IF($D323-$G323&lt;=0,0,IF(MOD($A323,Übersicht!$Q$6)=0,IF($A323/Übersicht!$Q$6&gt;=Übersicht!$C$21,MIN(Übersicht!$C$20,$D323-$G323),0),0))</f>
        <v>0</v>
      </c>
      <c r="I323" s="12">
        <f t="shared" si="26"/>
        <v>0</v>
      </c>
      <c r="J323" s="26">
        <f t="shared" si="27"/>
        <v>0</v>
      </c>
      <c r="K323" s="14" t="str">
        <f>IF($D323&lt;=0,"",IF($J323&lt;=0.005,"Volltilgung erreicht",IF($A323=Übersicht!$Q$13,"Ende der Zinsbindung",IF($H323&gt;0,"Sondertilgung",""))))</f>
        <v/>
      </c>
      <c r="L323" s="23">
        <f>IF($N322&lt;=0,0,ROUND($N322*Übersicht!$Q$7,2))</f>
        <v>115.41</v>
      </c>
      <c r="M323" s="23">
        <f>IF($N322&lt;=0,0,MIN($N322,IF(Übersicht!$C$13="Annuitätendarlehen",MAX(0,Übersicht!$Q$9-$L323),IF(Übersicht!$C$13="Ratendarlehen",Übersicht!$Q$10,IF($A323&gt;=Übersicht!$Q$11,$N322,0)))))</f>
        <v>1284.5899999999999</v>
      </c>
      <c r="N323" s="23">
        <f t="shared" si="29"/>
        <v>37185.97</v>
      </c>
    </row>
    <row r="324" spans="1:14" ht="15" customHeight="1" x14ac:dyDescent="0.25">
      <c r="A324" s="5">
        <v>317</v>
      </c>
      <c r="B324" s="20" t="str">
        <f>IF($D324&lt;=0,"",EDATE(Übersicht!$C$18,($A324-1)*12/Übersicht!$Q$6))</f>
        <v/>
      </c>
      <c r="C324" s="5" t="str">
        <f t="shared" si="24"/>
        <v/>
      </c>
      <c r="D324" s="21">
        <f t="shared" si="28"/>
        <v>0</v>
      </c>
      <c r="E324" s="7">
        <f t="shared" si="25"/>
        <v>0</v>
      </c>
      <c r="F324" s="7">
        <f>IF($D324&lt;=0,0,ROUND($D324*Übersicht!$Q$7,2))</f>
        <v>0</v>
      </c>
      <c r="G324" s="7">
        <f>IF($D324&lt;=0,0,MIN($D324,IF(Übersicht!$C$13="Annuitätendarlehen",MAX(0,Übersicht!$Q$9-$F324),IF(Übersicht!$C$13="Ratendarlehen",Übersicht!$Q$10,IF($A324&gt;=Übersicht!$Q$11,$D324,0)))))</f>
        <v>0</v>
      </c>
      <c r="H324" s="7">
        <f>IF($D324-$G324&lt;=0,0,IF(MOD($A324,Übersicht!$Q$6)=0,IF($A324/Übersicht!$Q$6&gt;=Übersicht!$C$21,MIN(Übersicht!$C$20,$D324-$G324),0),0))</f>
        <v>0</v>
      </c>
      <c r="I324" s="7">
        <f t="shared" si="26"/>
        <v>0</v>
      </c>
      <c r="J324" s="22">
        <f t="shared" si="27"/>
        <v>0</v>
      </c>
      <c r="K324" s="9" t="str">
        <f>IF($D324&lt;=0,"",IF($J324&lt;=0.005,"Volltilgung erreicht",IF($A324=Übersicht!$Q$13,"Ende der Zinsbindung",IF($H324&gt;0,"Sondertilgung",""))))</f>
        <v/>
      </c>
      <c r="L324" s="23">
        <f>IF($N323&lt;=0,0,ROUND($N323*Übersicht!$Q$7,2))</f>
        <v>111.56</v>
      </c>
      <c r="M324" s="23">
        <f>IF($N323&lt;=0,0,MIN($N323,IF(Übersicht!$C$13="Annuitätendarlehen",MAX(0,Übersicht!$Q$9-$L324),IF(Übersicht!$C$13="Ratendarlehen",Übersicht!$Q$10,IF($A324&gt;=Übersicht!$Q$11,$N323,0)))))</f>
        <v>1288.44</v>
      </c>
      <c r="N324" s="23">
        <f t="shared" si="29"/>
        <v>35897.53</v>
      </c>
    </row>
    <row r="325" spans="1:14" ht="15" customHeight="1" x14ac:dyDescent="0.25">
      <c r="A325" s="10">
        <v>318</v>
      </c>
      <c r="B325" s="24" t="str">
        <f>IF($D325&lt;=0,"",EDATE(Übersicht!$C$18,($A325-1)*12/Übersicht!$Q$6))</f>
        <v/>
      </c>
      <c r="C325" s="10" t="str">
        <f t="shared" si="24"/>
        <v/>
      </c>
      <c r="D325" s="25">
        <f t="shared" si="28"/>
        <v>0</v>
      </c>
      <c r="E325" s="12">
        <f t="shared" si="25"/>
        <v>0</v>
      </c>
      <c r="F325" s="12">
        <f>IF($D325&lt;=0,0,ROUND($D325*Übersicht!$Q$7,2))</f>
        <v>0</v>
      </c>
      <c r="G325" s="12">
        <f>IF($D325&lt;=0,0,MIN($D325,IF(Übersicht!$C$13="Annuitätendarlehen",MAX(0,Übersicht!$Q$9-$F325),IF(Übersicht!$C$13="Ratendarlehen",Übersicht!$Q$10,IF($A325&gt;=Übersicht!$Q$11,$D325,0)))))</f>
        <v>0</v>
      </c>
      <c r="H325" s="12">
        <f>IF($D325-$G325&lt;=0,0,IF(MOD($A325,Übersicht!$Q$6)=0,IF($A325/Übersicht!$Q$6&gt;=Übersicht!$C$21,MIN(Übersicht!$C$20,$D325-$G325),0),0))</f>
        <v>0</v>
      </c>
      <c r="I325" s="12">
        <f t="shared" si="26"/>
        <v>0</v>
      </c>
      <c r="J325" s="26">
        <f t="shared" si="27"/>
        <v>0</v>
      </c>
      <c r="K325" s="14" t="str">
        <f>IF($D325&lt;=0,"",IF($J325&lt;=0.005,"Volltilgung erreicht",IF($A325=Übersicht!$Q$13,"Ende der Zinsbindung",IF($H325&gt;0,"Sondertilgung",""))))</f>
        <v/>
      </c>
      <c r="L325" s="23">
        <f>IF($N324&lt;=0,0,ROUND($N324*Übersicht!$Q$7,2))</f>
        <v>107.69</v>
      </c>
      <c r="M325" s="23">
        <f>IF($N324&lt;=0,0,MIN($N324,IF(Übersicht!$C$13="Annuitätendarlehen",MAX(0,Übersicht!$Q$9-$L325),IF(Übersicht!$C$13="Ratendarlehen",Übersicht!$Q$10,IF($A325&gt;=Übersicht!$Q$11,$N324,0)))))</f>
        <v>1292.31</v>
      </c>
      <c r="N325" s="23">
        <f t="shared" si="29"/>
        <v>34605.22</v>
      </c>
    </row>
    <row r="326" spans="1:14" ht="15" customHeight="1" x14ac:dyDescent="0.25">
      <c r="A326" s="5">
        <v>319</v>
      </c>
      <c r="B326" s="20" t="str">
        <f>IF($D326&lt;=0,"",EDATE(Übersicht!$C$18,($A326-1)*12/Übersicht!$Q$6))</f>
        <v/>
      </c>
      <c r="C326" s="5" t="str">
        <f t="shared" si="24"/>
        <v/>
      </c>
      <c r="D326" s="21">
        <f t="shared" si="28"/>
        <v>0</v>
      </c>
      <c r="E326" s="7">
        <f t="shared" si="25"/>
        <v>0</v>
      </c>
      <c r="F326" s="7">
        <f>IF($D326&lt;=0,0,ROUND($D326*Übersicht!$Q$7,2))</f>
        <v>0</v>
      </c>
      <c r="G326" s="7">
        <f>IF($D326&lt;=0,0,MIN($D326,IF(Übersicht!$C$13="Annuitätendarlehen",MAX(0,Übersicht!$Q$9-$F326),IF(Übersicht!$C$13="Ratendarlehen",Übersicht!$Q$10,IF($A326&gt;=Übersicht!$Q$11,$D326,0)))))</f>
        <v>0</v>
      </c>
      <c r="H326" s="7">
        <f>IF($D326-$G326&lt;=0,0,IF(MOD($A326,Übersicht!$Q$6)=0,IF($A326/Übersicht!$Q$6&gt;=Übersicht!$C$21,MIN(Übersicht!$C$20,$D326-$G326),0),0))</f>
        <v>0</v>
      </c>
      <c r="I326" s="7">
        <f t="shared" si="26"/>
        <v>0</v>
      </c>
      <c r="J326" s="22">
        <f t="shared" si="27"/>
        <v>0</v>
      </c>
      <c r="K326" s="9" t="str">
        <f>IF($D326&lt;=0,"",IF($J326&lt;=0.005,"Volltilgung erreicht",IF($A326=Übersicht!$Q$13,"Ende der Zinsbindung",IF($H326&gt;0,"Sondertilgung",""))))</f>
        <v/>
      </c>
      <c r="L326" s="23">
        <f>IF($N325&lt;=0,0,ROUND($N325*Übersicht!$Q$7,2))</f>
        <v>103.82</v>
      </c>
      <c r="M326" s="23">
        <f>IF($N325&lt;=0,0,MIN($N325,IF(Übersicht!$C$13="Annuitätendarlehen",MAX(0,Übersicht!$Q$9-$L326),IF(Übersicht!$C$13="Ratendarlehen",Übersicht!$Q$10,IF($A326&gt;=Übersicht!$Q$11,$N325,0)))))</f>
        <v>1296.18</v>
      </c>
      <c r="N326" s="23">
        <f t="shared" si="29"/>
        <v>33309.040000000001</v>
      </c>
    </row>
    <row r="327" spans="1:14" ht="15" customHeight="1" x14ac:dyDescent="0.25">
      <c r="A327" s="10">
        <v>320</v>
      </c>
      <c r="B327" s="24" t="str">
        <f>IF($D327&lt;=0,"",EDATE(Übersicht!$C$18,($A327-1)*12/Übersicht!$Q$6))</f>
        <v/>
      </c>
      <c r="C327" s="10" t="str">
        <f t="shared" si="24"/>
        <v/>
      </c>
      <c r="D327" s="25">
        <f t="shared" si="28"/>
        <v>0</v>
      </c>
      <c r="E327" s="12">
        <f t="shared" si="25"/>
        <v>0</v>
      </c>
      <c r="F327" s="12">
        <f>IF($D327&lt;=0,0,ROUND($D327*Übersicht!$Q$7,2))</f>
        <v>0</v>
      </c>
      <c r="G327" s="12">
        <f>IF($D327&lt;=0,0,MIN($D327,IF(Übersicht!$C$13="Annuitätendarlehen",MAX(0,Übersicht!$Q$9-$F327),IF(Übersicht!$C$13="Ratendarlehen",Übersicht!$Q$10,IF($A327&gt;=Übersicht!$Q$11,$D327,0)))))</f>
        <v>0</v>
      </c>
      <c r="H327" s="12">
        <f>IF($D327-$G327&lt;=0,0,IF(MOD($A327,Übersicht!$Q$6)=0,IF($A327/Übersicht!$Q$6&gt;=Übersicht!$C$21,MIN(Übersicht!$C$20,$D327-$G327),0),0))</f>
        <v>0</v>
      </c>
      <c r="I327" s="12">
        <f t="shared" si="26"/>
        <v>0</v>
      </c>
      <c r="J327" s="26">
        <f t="shared" si="27"/>
        <v>0</v>
      </c>
      <c r="K327" s="14" t="str">
        <f>IF($D327&lt;=0,"",IF($J327&lt;=0.005,"Volltilgung erreicht",IF($A327=Übersicht!$Q$13,"Ende der Zinsbindung",IF($H327&gt;0,"Sondertilgung",""))))</f>
        <v/>
      </c>
      <c r="L327" s="23">
        <f>IF($N326&lt;=0,0,ROUND($N326*Übersicht!$Q$7,2))</f>
        <v>99.93</v>
      </c>
      <c r="M327" s="23">
        <f>IF($N326&lt;=0,0,MIN($N326,IF(Übersicht!$C$13="Annuitätendarlehen",MAX(0,Übersicht!$Q$9-$L327),IF(Übersicht!$C$13="Ratendarlehen",Übersicht!$Q$10,IF($A327&gt;=Übersicht!$Q$11,$N326,0)))))</f>
        <v>1300.07</v>
      </c>
      <c r="N327" s="23">
        <f t="shared" si="29"/>
        <v>32008.97</v>
      </c>
    </row>
    <row r="328" spans="1:14" ht="15" customHeight="1" x14ac:dyDescent="0.25">
      <c r="A328" s="5">
        <v>321</v>
      </c>
      <c r="B328" s="20" t="str">
        <f>IF($D328&lt;=0,"",EDATE(Übersicht!$C$18,($A328-1)*12/Übersicht!$Q$6))</f>
        <v/>
      </c>
      <c r="C328" s="5" t="str">
        <f t="shared" ref="C328:C391" si="30">IF($B328="","",YEAR($B328))</f>
        <v/>
      </c>
      <c r="D328" s="21">
        <f t="shared" si="28"/>
        <v>0</v>
      </c>
      <c r="E328" s="7">
        <f t="shared" ref="E328:E391" si="31">IF($D328&lt;=0,0,$F328+$G328)</f>
        <v>0</v>
      </c>
      <c r="F328" s="7">
        <f>IF($D328&lt;=0,0,ROUND($D328*Übersicht!$Q$7,2))</f>
        <v>0</v>
      </c>
      <c r="G328" s="7">
        <f>IF($D328&lt;=0,0,MIN($D328,IF(Übersicht!$C$13="Annuitätendarlehen",MAX(0,Übersicht!$Q$9-$F328),IF(Übersicht!$C$13="Ratendarlehen",Übersicht!$Q$10,IF($A328&gt;=Übersicht!$Q$11,$D328,0)))))</f>
        <v>0</v>
      </c>
      <c r="H328" s="7">
        <f>IF($D328-$G328&lt;=0,0,IF(MOD($A328,Übersicht!$Q$6)=0,IF($A328/Übersicht!$Q$6&gt;=Übersicht!$C$21,MIN(Übersicht!$C$20,$D328-$G328),0),0))</f>
        <v>0</v>
      </c>
      <c r="I328" s="7">
        <f t="shared" ref="I328:I391" si="32">IF($D328&lt;=0,0,$E328+$H328)</f>
        <v>0</v>
      </c>
      <c r="J328" s="22">
        <f t="shared" ref="J328:J391" si="33">IF($D328&lt;=0,0,ROUND($D328-$G328-$H328,2))</f>
        <v>0</v>
      </c>
      <c r="K328" s="9" t="str">
        <f>IF($D328&lt;=0,"",IF($J328&lt;=0.005,"Volltilgung erreicht",IF($A328=Übersicht!$Q$13,"Ende der Zinsbindung",IF($H328&gt;0,"Sondertilgung",""))))</f>
        <v/>
      </c>
      <c r="L328" s="23">
        <f>IF($N327&lt;=0,0,ROUND($N327*Übersicht!$Q$7,2))</f>
        <v>96.03</v>
      </c>
      <c r="M328" s="23">
        <f>IF($N327&lt;=0,0,MIN($N327,IF(Übersicht!$C$13="Annuitätendarlehen",MAX(0,Übersicht!$Q$9-$L328),IF(Übersicht!$C$13="Ratendarlehen",Übersicht!$Q$10,IF($A328&gt;=Übersicht!$Q$11,$N327,0)))))</f>
        <v>1303.97</v>
      </c>
      <c r="N328" s="23">
        <f t="shared" si="29"/>
        <v>30705</v>
      </c>
    </row>
    <row r="329" spans="1:14" ht="15" customHeight="1" x14ac:dyDescent="0.25">
      <c r="A329" s="10">
        <v>322</v>
      </c>
      <c r="B329" s="24" t="str">
        <f>IF($D329&lt;=0,"",EDATE(Übersicht!$C$18,($A329-1)*12/Übersicht!$Q$6))</f>
        <v/>
      </c>
      <c r="C329" s="10" t="str">
        <f t="shared" si="30"/>
        <v/>
      </c>
      <c r="D329" s="25">
        <f t="shared" ref="D329:D392" si="34">$J328</f>
        <v>0</v>
      </c>
      <c r="E329" s="12">
        <f t="shared" si="31"/>
        <v>0</v>
      </c>
      <c r="F329" s="12">
        <f>IF($D329&lt;=0,0,ROUND($D329*Übersicht!$Q$7,2))</f>
        <v>0</v>
      </c>
      <c r="G329" s="12">
        <f>IF($D329&lt;=0,0,MIN($D329,IF(Übersicht!$C$13="Annuitätendarlehen",MAX(0,Übersicht!$Q$9-$F329),IF(Übersicht!$C$13="Ratendarlehen",Übersicht!$Q$10,IF($A329&gt;=Übersicht!$Q$11,$D329,0)))))</f>
        <v>0</v>
      </c>
      <c r="H329" s="12">
        <f>IF($D329-$G329&lt;=0,0,IF(MOD($A329,Übersicht!$Q$6)=0,IF($A329/Übersicht!$Q$6&gt;=Übersicht!$C$21,MIN(Übersicht!$C$20,$D329-$G329),0),0))</f>
        <v>0</v>
      </c>
      <c r="I329" s="12">
        <f t="shared" si="32"/>
        <v>0</v>
      </c>
      <c r="J329" s="26">
        <f t="shared" si="33"/>
        <v>0</v>
      </c>
      <c r="K329" s="14" t="str">
        <f>IF($D329&lt;=0,"",IF($J329&lt;=0.005,"Volltilgung erreicht",IF($A329=Übersicht!$Q$13,"Ende der Zinsbindung",IF($H329&gt;0,"Sondertilgung",""))))</f>
        <v/>
      </c>
      <c r="L329" s="23">
        <f>IF($N328&lt;=0,0,ROUND($N328*Übersicht!$Q$7,2))</f>
        <v>92.12</v>
      </c>
      <c r="M329" s="23">
        <f>IF($N328&lt;=0,0,MIN($N328,IF(Übersicht!$C$13="Annuitätendarlehen",MAX(0,Übersicht!$Q$9-$L329),IF(Übersicht!$C$13="Ratendarlehen",Übersicht!$Q$10,IF($A329&gt;=Übersicht!$Q$11,$N328,0)))))</f>
        <v>1307.8800000000001</v>
      </c>
      <c r="N329" s="23">
        <f t="shared" ref="N329:N392" si="35">IF($N328&lt;=0,0,ROUND($N328-$M329,2))</f>
        <v>29397.119999999999</v>
      </c>
    </row>
    <row r="330" spans="1:14" ht="15" customHeight="1" x14ac:dyDescent="0.25">
      <c r="A330" s="5">
        <v>323</v>
      </c>
      <c r="B330" s="20" t="str">
        <f>IF($D330&lt;=0,"",EDATE(Übersicht!$C$18,($A330-1)*12/Übersicht!$Q$6))</f>
        <v/>
      </c>
      <c r="C330" s="5" t="str">
        <f t="shared" si="30"/>
        <v/>
      </c>
      <c r="D330" s="21">
        <f t="shared" si="34"/>
        <v>0</v>
      </c>
      <c r="E330" s="7">
        <f t="shared" si="31"/>
        <v>0</v>
      </c>
      <c r="F330" s="7">
        <f>IF($D330&lt;=0,0,ROUND($D330*Übersicht!$Q$7,2))</f>
        <v>0</v>
      </c>
      <c r="G330" s="7">
        <f>IF($D330&lt;=0,0,MIN($D330,IF(Übersicht!$C$13="Annuitätendarlehen",MAX(0,Übersicht!$Q$9-$F330),IF(Übersicht!$C$13="Ratendarlehen",Übersicht!$Q$10,IF($A330&gt;=Übersicht!$Q$11,$D330,0)))))</f>
        <v>0</v>
      </c>
      <c r="H330" s="7">
        <f>IF($D330-$G330&lt;=0,0,IF(MOD($A330,Übersicht!$Q$6)=0,IF($A330/Übersicht!$Q$6&gt;=Übersicht!$C$21,MIN(Übersicht!$C$20,$D330-$G330),0),0))</f>
        <v>0</v>
      </c>
      <c r="I330" s="7">
        <f t="shared" si="32"/>
        <v>0</v>
      </c>
      <c r="J330" s="22">
        <f t="shared" si="33"/>
        <v>0</v>
      </c>
      <c r="K330" s="9" t="str">
        <f>IF($D330&lt;=0,"",IF($J330&lt;=0.005,"Volltilgung erreicht",IF($A330=Übersicht!$Q$13,"Ende der Zinsbindung",IF($H330&gt;0,"Sondertilgung",""))))</f>
        <v/>
      </c>
      <c r="L330" s="23">
        <f>IF($N329&lt;=0,0,ROUND($N329*Übersicht!$Q$7,2))</f>
        <v>88.19</v>
      </c>
      <c r="M330" s="23">
        <f>IF($N329&lt;=0,0,MIN($N329,IF(Übersicht!$C$13="Annuitätendarlehen",MAX(0,Übersicht!$Q$9-$L330),IF(Übersicht!$C$13="Ratendarlehen",Übersicht!$Q$10,IF($A330&gt;=Übersicht!$Q$11,$N329,0)))))</f>
        <v>1311.81</v>
      </c>
      <c r="N330" s="23">
        <f t="shared" si="35"/>
        <v>28085.31</v>
      </c>
    </row>
    <row r="331" spans="1:14" ht="15" customHeight="1" x14ac:dyDescent="0.25">
      <c r="A331" s="10">
        <v>324</v>
      </c>
      <c r="B331" s="24" t="str">
        <f>IF($D331&lt;=0,"",EDATE(Übersicht!$C$18,($A331-1)*12/Übersicht!$Q$6))</f>
        <v/>
      </c>
      <c r="C331" s="10" t="str">
        <f t="shared" si="30"/>
        <v/>
      </c>
      <c r="D331" s="25">
        <f t="shared" si="34"/>
        <v>0</v>
      </c>
      <c r="E331" s="12">
        <f t="shared" si="31"/>
        <v>0</v>
      </c>
      <c r="F331" s="12">
        <f>IF($D331&lt;=0,0,ROUND($D331*Übersicht!$Q$7,2))</f>
        <v>0</v>
      </c>
      <c r="G331" s="12">
        <f>IF($D331&lt;=0,0,MIN($D331,IF(Übersicht!$C$13="Annuitätendarlehen",MAX(0,Übersicht!$Q$9-$F331),IF(Übersicht!$C$13="Ratendarlehen",Übersicht!$Q$10,IF($A331&gt;=Übersicht!$Q$11,$D331,0)))))</f>
        <v>0</v>
      </c>
      <c r="H331" s="12">
        <f>IF($D331-$G331&lt;=0,0,IF(MOD($A331,Übersicht!$Q$6)=0,IF($A331/Übersicht!$Q$6&gt;=Übersicht!$C$21,MIN(Übersicht!$C$20,$D331-$G331),0),0))</f>
        <v>0</v>
      </c>
      <c r="I331" s="12">
        <f t="shared" si="32"/>
        <v>0</v>
      </c>
      <c r="J331" s="26">
        <f t="shared" si="33"/>
        <v>0</v>
      </c>
      <c r="K331" s="14" t="str">
        <f>IF($D331&lt;=0,"",IF($J331&lt;=0.005,"Volltilgung erreicht",IF($A331=Übersicht!$Q$13,"Ende der Zinsbindung",IF($H331&gt;0,"Sondertilgung",""))))</f>
        <v/>
      </c>
      <c r="L331" s="23">
        <f>IF($N330&lt;=0,0,ROUND($N330*Übersicht!$Q$7,2))</f>
        <v>84.26</v>
      </c>
      <c r="M331" s="23">
        <f>IF($N330&lt;=0,0,MIN($N330,IF(Übersicht!$C$13="Annuitätendarlehen",MAX(0,Übersicht!$Q$9-$L331),IF(Übersicht!$C$13="Ratendarlehen",Übersicht!$Q$10,IF($A331&gt;=Übersicht!$Q$11,$N330,0)))))</f>
        <v>1315.74</v>
      </c>
      <c r="N331" s="23">
        <f t="shared" si="35"/>
        <v>26769.57</v>
      </c>
    </row>
    <row r="332" spans="1:14" ht="15" customHeight="1" x14ac:dyDescent="0.25">
      <c r="A332" s="5">
        <v>325</v>
      </c>
      <c r="B332" s="20" t="str">
        <f>IF($D332&lt;=0,"",EDATE(Übersicht!$C$18,($A332-1)*12/Übersicht!$Q$6))</f>
        <v/>
      </c>
      <c r="C332" s="5" t="str">
        <f t="shared" si="30"/>
        <v/>
      </c>
      <c r="D332" s="21">
        <f t="shared" si="34"/>
        <v>0</v>
      </c>
      <c r="E332" s="7">
        <f t="shared" si="31"/>
        <v>0</v>
      </c>
      <c r="F332" s="7">
        <f>IF($D332&lt;=0,0,ROUND($D332*Übersicht!$Q$7,2))</f>
        <v>0</v>
      </c>
      <c r="G332" s="7">
        <f>IF($D332&lt;=0,0,MIN($D332,IF(Übersicht!$C$13="Annuitätendarlehen",MAX(0,Übersicht!$Q$9-$F332),IF(Übersicht!$C$13="Ratendarlehen",Übersicht!$Q$10,IF($A332&gt;=Übersicht!$Q$11,$D332,0)))))</f>
        <v>0</v>
      </c>
      <c r="H332" s="7">
        <f>IF($D332-$G332&lt;=0,0,IF(MOD($A332,Übersicht!$Q$6)=0,IF($A332/Übersicht!$Q$6&gt;=Übersicht!$C$21,MIN(Übersicht!$C$20,$D332-$G332),0),0))</f>
        <v>0</v>
      </c>
      <c r="I332" s="7">
        <f t="shared" si="32"/>
        <v>0</v>
      </c>
      <c r="J332" s="22">
        <f t="shared" si="33"/>
        <v>0</v>
      </c>
      <c r="K332" s="9" t="str">
        <f>IF($D332&lt;=0,"",IF($J332&lt;=0.005,"Volltilgung erreicht",IF($A332=Übersicht!$Q$13,"Ende der Zinsbindung",IF($H332&gt;0,"Sondertilgung",""))))</f>
        <v/>
      </c>
      <c r="L332" s="23">
        <f>IF($N331&lt;=0,0,ROUND($N331*Übersicht!$Q$7,2))</f>
        <v>80.31</v>
      </c>
      <c r="M332" s="23">
        <f>IF($N331&lt;=0,0,MIN($N331,IF(Übersicht!$C$13="Annuitätendarlehen",MAX(0,Übersicht!$Q$9-$L332),IF(Übersicht!$C$13="Ratendarlehen",Übersicht!$Q$10,IF($A332&gt;=Übersicht!$Q$11,$N331,0)))))</f>
        <v>1319.69</v>
      </c>
      <c r="N332" s="23">
        <f t="shared" si="35"/>
        <v>25449.88</v>
      </c>
    </row>
    <row r="333" spans="1:14" ht="15" customHeight="1" x14ac:dyDescent="0.25">
      <c r="A333" s="10">
        <v>326</v>
      </c>
      <c r="B333" s="24" t="str">
        <f>IF($D333&lt;=0,"",EDATE(Übersicht!$C$18,($A333-1)*12/Übersicht!$Q$6))</f>
        <v/>
      </c>
      <c r="C333" s="10" t="str">
        <f t="shared" si="30"/>
        <v/>
      </c>
      <c r="D333" s="25">
        <f t="shared" si="34"/>
        <v>0</v>
      </c>
      <c r="E333" s="12">
        <f t="shared" si="31"/>
        <v>0</v>
      </c>
      <c r="F333" s="12">
        <f>IF($D333&lt;=0,0,ROUND($D333*Übersicht!$Q$7,2))</f>
        <v>0</v>
      </c>
      <c r="G333" s="12">
        <f>IF($D333&lt;=0,0,MIN($D333,IF(Übersicht!$C$13="Annuitätendarlehen",MAX(0,Übersicht!$Q$9-$F333),IF(Übersicht!$C$13="Ratendarlehen",Übersicht!$Q$10,IF($A333&gt;=Übersicht!$Q$11,$D333,0)))))</f>
        <v>0</v>
      </c>
      <c r="H333" s="12">
        <f>IF($D333-$G333&lt;=0,0,IF(MOD($A333,Übersicht!$Q$6)=0,IF($A333/Übersicht!$Q$6&gt;=Übersicht!$C$21,MIN(Übersicht!$C$20,$D333-$G333),0),0))</f>
        <v>0</v>
      </c>
      <c r="I333" s="12">
        <f t="shared" si="32"/>
        <v>0</v>
      </c>
      <c r="J333" s="26">
        <f t="shared" si="33"/>
        <v>0</v>
      </c>
      <c r="K333" s="14" t="str">
        <f>IF($D333&lt;=0,"",IF($J333&lt;=0.005,"Volltilgung erreicht",IF($A333=Übersicht!$Q$13,"Ende der Zinsbindung",IF($H333&gt;0,"Sondertilgung",""))))</f>
        <v/>
      </c>
      <c r="L333" s="23">
        <f>IF($N332&lt;=0,0,ROUND($N332*Übersicht!$Q$7,2))</f>
        <v>76.349999999999994</v>
      </c>
      <c r="M333" s="23">
        <f>IF($N332&lt;=0,0,MIN($N332,IF(Übersicht!$C$13="Annuitätendarlehen",MAX(0,Übersicht!$Q$9-$L333),IF(Übersicht!$C$13="Ratendarlehen",Übersicht!$Q$10,IF($A333&gt;=Übersicht!$Q$11,$N332,0)))))</f>
        <v>1323.65</v>
      </c>
      <c r="N333" s="23">
        <f t="shared" si="35"/>
        <v>24126.23</v>
      </c>
    </row>
    <row r="334" spans="1:14" ht="15" customHeight="1" x14ac:dyDescent="0.25">
      <c r="A334" s="5">
        <v>327</v>
      </c>
      <c r="B334" s="20" t="str">
        <f>IF($D334&lt;=0,"",EDATE(Übersicht!$C$18,($A334-1)*12/Übersicht!$Q$6))</f>
        <v/>
      </c>
      <c r="C334" s="5" t="str">
        <f t="shared" si="30"/>
        <v/>
      </c>
      <c r="D334" s="21">
        <f t="shared" si="34"/>
        <v>0</v>
      </c>
      <c r="E334" s="7">
        <f t="shared" si="31"/>
        <v>0</v>
      </c>
      <c r="F334" s="7">
        <f>IF($D334&lt;=0,0,ROUND($D334*Übersicht!$Q$7,2))</f>
        <v>0</v>
      </c>
      <c r="G334" s="7">
        <f>IF($D334&lt;=0,0,MIN($D334,IF(Übersicht!$C$13="Annuitätendarlehen",MAX(0,Übersicht!$Q$9-$F334),IF(Übersicht!$C$13="Ratendarlehen",Übersicht!$Q$10,IF($A334&gt;=Übersicht!$Q$11,$D334,0)))))</f>
        <v>0</v>
      </c>
      <c r="H334" s="7">
        <f>IF($D334-$G334&lt;=0,0,IF(MOD($A334,Übersicht!$Q$6)=0,IF($A334/Übersicht!$Q$6&gt;=Übersicht!$C$21,MIN(Übersicht!$C$20,$D334-$G334),0),0))</f>
        <v>0</v>
      </c>
      <c r="I334" s="7">
        <f t="shared" si="32"/>
        <v>0</v>
      </c>
      <c r="J334" s="22">
        <f t="shared" si="33"/>
        <v>0</v>
      </c>
      <c r="K334" s="9" t="str">
        <f>IF($D334&lt;=0,"",IF($J334&lt;=0.005,"Volltilgung erreicht",IF($A334=Übersicht!$Q$13,"Ende der Zinsbindung",IF($H334&gt;0,"Sondertilgung",""))))</f>
        <v/>
      </c>
      <c r="L334" s="23">
        <f>IF($N333&lt;=0,0,ROUND($N333*Übersicht!$Q$7,2))</f>
        <v>72.38</v>
      </c>
      <c r="M334" s="23">
        <f>IF($N333&lt;=0,0,MIN($N333,IF(Übersicht!$C$13="Annuitätendarlehen",MAX(0,Übersicht!$Q$9-$L334),IF(Übersicht!$C$13="Ratendarlehen",Übersicht!$Q$10,IF($A334&gt;=Übersicht!$Q$11,$N333,0)))))</f>
        <v>1327.62</v>
      </c>
      <c r="N334" s="23">
        <f t="shared" si="35"/>
        <v>22798.61</v>
      </c>
    </row>
    <row r="335" spans="1:14" ht="15" customHeight="1" x14ac:dyDescent="0.25">
      <c r="A335" s="10">
        <v>328</v>
      </c>
      <c r="B335" s="24" t="str">
        <f>IF($D335&lt;=0,"",EDATE(Übersicht!$C$18,($A335-1)*12/Übersicht!$Q$6))</f>
        <v/>
      </c>
      <c r="C335" s="10" t="str">
        <f t="shared" si="30"/>
        <v/>
      </c>
      <c r="D335" s="25">
        <f t="shared" si="34"/>
        <v>0</v>
      </c>
      <c r="E335" s="12">
        <f t="shared" si="31"/>
        <v>0</v>
      </c>
      <c r="F335" s="12">
        <f>IF($D335&lt;=0,0,ROUND($D335*Übersicht!$Q$7,2))</f>
        <v>0</v>
      </c>
      <c r="G335" s="12">
        <f>IF($D335&lt;=0,0,MIN($D335,IF(Übersicht!$C$13="Annuitätendarlehen",MAX(0,Übersicht!$Q$9-$F335),IF(Übersicht!$C$13="Ratendarlehen",Übersicht!$Q$10,IF($A335&gt;=Übersicht!$Q$11,$D335,0)))))</f>
        <v>0</v>
      </c>
      <c r="H335" s="12">
        <f>IF($D335-$G335&lt;=0,0,IF(MOD($A335,Übersicht!$Q$6)=0,IF($A335/Übersicht!$Q$6&gt;=Übersicht!$C$21,MIN(Übersicht!$C$20,$D335-$G335),0),0))</f>
        <v>0</v>
      </c>
      <c r="I335" s="12">
        <f t="shared" si="32"/>
        <v>0</v>
      </c>
      <c r="J335" s="26">
        <f t="shared" si="33"/>
        <v>0</v>
      </c>
      <c r="K335" s="14" t="str">
        <f>IF($D335&lt;=0,"",IF($J335&lt;=0.005,"Volltilgung erreicht",IF($A335=Übersicht!$Q$13,"Ende der Zinsbindung",IF($H335&gt;0,"Sondertilgung",""))))</f>
        <v/>
      </c>
      <c r="L335" s="23">
        <f>IF($N334&lt;=0,0,ROUND($N334*Übersicht!$Q$7,2))</f>
        <v>68.400000000000006</v>
      </c>
      <c r="M335" s="23">
        <f>IF($N334&lt;=0,0,MIN($N334,IF(Übersicht!$C$13="Annuitätendarlehen",MAX(0,Übersicht!$Q$9-$L335),IF(Übersicht!$C$13="Ratendarlehen",Übersicht!$Q$10,IF($A335&gt;=Übersicht!$Q$11,$N334,0)))))</f>
        <v>1331.6</v>
      </c>
      <c r="N335" s="23">
        <f t="shared" si="35"/>
        <v>21467.01</v>
      </c>
    </row>
    <row r="336" spans="1:14" ht="15" customHeight="1" x14ac:dyDescent="0.25">
      <c r="A336" s="5">
        <v>329</v>
      </c>
      <c r="B336" s="20" t="str">
        <f>IF($D336&lt;=0,"",EDATE(Übersicht!$C$18,($A336-1)*12/Übersicht!$Q$6))</f>
        <v/>
      </c>
      <c r="C336" s="5" t="str">
        <f t="shared" si="30"/>
        <v/>
      </c>
      <c r="D336" s="21">
        <f t="shared" si="34"/>
        <v>0</v>
      </c>
      <c r="E336" s="7">
        <f t="shared" si="31"/>
        <v>0</v>
      </c>
      <c r="F336" s="7">
        <f>IF($D336&lt;=0,0,ROUND($D336*Übersicht!$Q$7,2))</f>
        <v>0</v>
      </c>
      <c r="G336" s="7">
        <f>IF($D336&lt;=0,0,MIN($D336,IF(Übersicht!$C$13="Annuitätendarlehen",MAX(0,Übersicht!$Q$9-$F336),IF(Übersicht!$C$13="Ratendarlehen",Übersicht!$Q$10,IF($A336&gt;=Übersicht!$Q$11,$D336,0)))))</f>
        <v>0</v>
      </c>
      <c r="H336" s="7">
        <f>IF($D336-$G336&lt;=0,0,IF(MOD($A336,Übersicht!$Q$6)=0,IF($A336/Übersicht!$Q$6&gt;=Übersicht!$C$21,MIN(Übersicht!$C$20,$D336-$G336),0),0))</f>
        <v>0</v>
      </c>
      <c r="I336" s="7">
        <f t="shared" si="32"/>
        <v>0</v>
      </c>
      <c r="J336" s="22">
        <f t="shared" si="33"/>
        <v>0</v>
      </c>
      <c r="K336" s="9" t="str">
        <f>IF($D336&lt;=0,"",IF($J336&lt;=0.005,"Volltilgung erreicht",IF($A336=Übersicht!$Q$13,"Ende der Zinsbindung",IF($H336&gt;0,"Sondertilgung",""))))</f>
        <v/>
      </c>
      <c r="L336" s="23">
        <f>IF($N335&lt;=0,0,ROUND($N335*Übersicht!$Q$7,2))</f>
        <v>64.400000000000006</v>
      </c>
      <c r="M336" s="23">
        <f>IF($N335&lt;=0,0,MIN($N335,IF(Übersicht!$C$13="Annuitätendarlehen",MAX(0,Übersicht!$Q$9-$L336),IF(Übersicht!$C$13="Ratendarlehen",Übersicht!$Q$10,IF($A336&gt;=Übersicht!$Q$11,$N335,0)))))</f>
        <v>1335.6</v>
      </c>
      <c r="N336" s="23">
        <f t="shared" si="35"/>
        <v>20131.41</v>
      </c>
    </row>
    <row r="337" spans="1:14" ht="15" customHeight="1" x14ac:dyDescent="0.25">
      <c r="A337" s="10">
        <v>330</v>
      </c>
      <c r="B337" s="24" t="str">
        <f>IF($D337&lt;=0,"",EDATE(Übersicht!$C$18,($A337-1)*12/Übersicht!$Q$6))</f>
        <v/>
      </c>
      <c r="C337" s="10" t="str">
        <f t="shared" si="30"/>
        <v/>
      </c>
      <c r="D337" s="25">
        <f t="shared" si="34"/>
        <v>0</v>
      </c>
      <c r="E337" s="12">
        <f t="shared" si="31"/>
        <v>0</v>
      </c>
      <c r="F337" s="12">
        <f>IF($D337&lt;=0,0,ROUND($D337*Übersicht!$Q$7,2))</f>
        <v>0</v>
      </c>
      <c r="G337" s="12">
        <f>IF($D337&lt;=0,0,MIN($D337,IF(Übersicht!$C$13="Annuitätendarlehen",MAX(0,Übersicht!$Q$9-$F337),IF(Übersicht!$C$13="Ratendarlehen",Übersicht!$Q$10,IF($A337&gt;=Übersicht!$Q$11,$D337,0)))))</f>
        <v>0</v>
      </c>
      <c r="H337" s="12">
        <f>IF($D337-$G337&lt;=0,0,IF(MOD($A337,Übersicht!$Q$6)=0,IF($A337/Übersicht!$Q$6&gt;=Übersicht!$C$21,MIN(Übersicht!$C$20,$D337-$G337),0),0))</f>
        <v>0</v>
      </c>
      <c r="I337" s="12">
        <f t="shared" si="32"/>
        <v>0</v>
      </c>
      <c r="J337" s="26">
        <f t="shared" si="33"/>
        <v>0</v>
      </c>
      <c r="K337" s="14" t="str">
        <f>IF($D337&lt;=0,"",IF($J337&lt;=0.005,"Volltilgung erreicht",IF($A337=Übersicht!$Q$13,"Ende der Zinsbindung",IF($H337&gt;0,"Sondertilgung",""))))</f>
        <v/>
      </c>
      <c r="L337" s="23">
        <f>IF($N336&lt;=0,0,ROUND($N336*Übersicht!$Q$7,2))</f>
        <v>60.39</v>
      </c>
      <c r="M337" s="23">
        <f>IF($N336&lt;=0,0,MIN($N336,IF(Übersicht!$C$13="Annuitätendarlehen",MAX(0,Übersicht!$Q$9-$L337),IF(Übersicht!$C$13="Ratendarlehen",Übersicht!$Q$10,IF($A337&gt;=Übersicht!$Q$11,$N336,0)))))</f>
        <v>1339.61</v>
      </c>
      <c r="N337" s="23">
        <f t="shared" si="35"/>
        <v>18791.8</v>
      </c>
    </row>
    <row r="338" spans="1:14" ht="15" customHeight="1" x14ac:dyDescent="0.25">
      <c r="A338" s="5">
        <v>331</v>
      </c>
      <c r="B338" s="20" t="str">
        <f>IF($D338&lt;=0,"",EDATE(Übersicht!$C$18,($A338-1)*12/Übersicht!$Q$6))</f>
        <v/>
      </c>
      <c r="C338" s="5" t="str">
        <f t="shared" si="30"/>
        <v/>
      </c>
      <c r="D338" s="21">
        <f t="shared" si="34"/>
        <v>0</v>
      </c>
      <c r="E338" s="7">
        <f t="shared" si="31"/>
        <v>0</v>
      </c>
      <c r="F338" s="7">
        <f>IF($D338&lt;=0,0,ROUND($D338*Übersicht!$Q$7,2))</f>
        <v>0</v>
      </c>
      <c r="G338" s="7">
        <f>IF($D338&lt;=0,0,MIN($D338,IF(Übersicht!$C$13="Annuitätendarlehen",MAX(0,Übersicht!$Q$9-$F338),IF(Übersicht!$C$13="Ratendarlehen",Übersicht!$Q$10,IF($A338&gt;=Übersicht!$Q$11,$D338,0)))))</f>
        <v>0</v>
      </c>
      <c r="H338" s="7">
        <f>IF($D338-$G338&lt;=0,0,IF(MOD($A338,Übersicht!$Q$6)=0,IF($A338/Übersicht!$Q$6&gt;=Übersicht!$C$21,MIN(Übersicht!$C$20,$D338-$G338),0),0))</f>
        <v>0</v>
      </c>
      <c r="I338" s="7">
        <f t="shared" si="32"/>
        <v>0</v>
      </c>
      <c r="J338" s="22">
        <f t="shared" si="33"/>
        <v>0</v>
      </c>
      <c r="K338" s="9" t="str">
        <f>IF($D338&lt;=0,"",IF($J338&lt;=0.005,"Volltilgung erreicht",IF($A338=Übersicht!$Q$13,"Ende der Zinsbindung",IF($H338&gt;0,"Sondertilgung",""))))</f>
        <v/>
      </c>
      <c r="L338" s="23">
        <f>IF($N337&lt;=0,0,ROUND($N337*Übersicht!$Q$7,2))</f>
        <v>56.38</v>
      </c>
      <c r="M338" s="23">
        <f>IF($N337&lt;=0,0,MIN($N337,IF(Übersicht!$C$13="Annuitätendarlehen",MAX(0,Übersicht!$Q$9-$L338),IF(Übersicht!$C$13="Ratendarlehen",Übersicht!$Q$10,IF($A338&gt;=Übersicht!$Q$11,$N337,0)))))</f>
        <v>1343.62</v>
      </c>
      <c r="N338" s="23">
        <f t="shared" si="35"/>
        <v>17448.18</v>
      </c>
    </row>
    <row r="339" spans="1:14" ht="15" customHeight="1" x14ac:dyDescent="0.25">
      <c r="A339" s="10">
        <v>332</v>
      </c>
      <c r="B339" s="24" t="str">
        <f>IF($D339&lt;=0,"",EDATE(Übersicht!$C$18,($A339-1)*12/Übersicht!$Q$6))</f>
        <v/>
      </c>
      <c r="C339" s="10" t="str">
        <f t="shared" si="30"/>
        <v/>
      </c>
      <c r="D339" s="25">
        <f t="shared" si="34"/>
        <v>0</v>
      </c>
      <c r="E339" s="12">
        <f t="shared" si="31"/>
        <v>0</v>
      </c>
      <c r="F339" s="12">
        <f>IF($D339&lt;=0,0,ROUND($D339*Übersicht!$Q$7,2))</f>
        <v>0</v>
      </c>
      <c r="G339" s="12">
        <f>IF($D339&lt;=0,0,MIN($D339,IF(Übersicht!$C$13="Annuitätendarlehen",MAX(0,Übersicht!$Q$9-$F339),IF(Übersicht!$C$13="Ratendarlehen",Übersicht!$Q$10,IF($A339&gt;=Übersicht!$Q$11,$D339,0)))))</f>
        <v>0</v>
      </c>
      <c r="H339" s="12">
        <f>IF($D339-$G339&lt;=0,0,IF(MOD($A339,Übersicht!$Q$6)=0,IF($A339/Übersicht!$Q$6&gt;=Übersicht!$C$21,MIN(Übersicht!$C$20,$D339-$G339),0),0))</f>
        <v>0</v>
      </c>
      <c r="I339" s="12">
        <f t="shared" si="32"/>
        <v>0</v>
      </c>
      <c r="J339" s="26">
        <f t="shared" si="33"/>
        <v>0</v>
      </c>
      <c r="K339" s="14" t="str">
        <f>IF($D339&lt;=0,"",IF($J339&lt;=0.005,"Volltilgung erreicht",IF($A339=Übersicht!$Q$13,"Ende der Zinsbindung",IF($H339&gt;0,"Sondertilgung",""))))</f>
        <v/>
      </c>
      <c r="L339" s="23">
        <f>IF($N338&lt;=0,0,ROUND($N338*Übersicht!$Q$7,2))</f>
        <v>52.34</v>
      </c>
      <c r="M339" s="23">
        <f>IF($N338&lt;=0,0,MIN($N338,IF(Übersicht!$C$13="Annuitätendarlehen",MAX(0,Übersicht!$Q$9-$L339),IF(Übersicht!$C$13="Ratendarlehen",Übersicht!$Q$10,IF($A339&gt;=Übersicht!$Q$11,$N338,0)))))</f>
        <v>1347.66</v>
      </c>
      <c r="N339" s="23">
        <f t="shared" si="35"/>
        <v>16100.52</v>
      </c>
    </row>
    <row r="340" spans="1:14" ht="15" customHeight="1" x14ac:dyDescent="0.25">
      <c r="A340" s="5">
        <v>333</v>
      </c>
      <c r="B340" s="20" t="str">
        <f>IF($D340&lt;=0,"",EDATE(Übersicht!$C$18,($A340-1)*12/Übersicht!$Q$6))</f>
        <v/>
      </c>
      <c r="C340" s="5" t="str">
        <f t="shared" si="30"/>
        <v/>
      </c>
      <c r="D340" s="21">
        <f t="shared" si="34"/>
        <v>0</v>
      </c>
      <c r="E340" s="7">
        <f t="shared" si="31"/>
        <v>0</v>
      </c>
      <c r="F340" s="7">
        <f>IF($D340&lt;=0,0,ROUND($D340*Übersicht!$Q$7,2))</f>
        <v>0</v>
      </c>
      <c r="G340" s="7">
        <f>IF($D340&lt;=0,0,MIN($D340,IF(Übersicht!$C$13="Annuitätendarlehen",MAX(0,Übersicht!$Q$9-$F340),IF(Übersicht!$C$13="Ratendarlehen",Übersicht!$Q$10,IF($A340&gt;=Übersicht!$Q$11,$D340,0)))))</f>
        <v>0</v>
      </c>
      <c r="H340" s="7">
        <f>IF($D340-$G340&lt;=0,0,IF(MOD($A340,Übersicht!$Q$6)=0,IF($A340/Übersicht!$Q$6&gt;=Übersicht!$C$21,MIN(Übersicht!$C$20,$D340-$G340),0),0))</f>
        <v>0</v>
      </c>
      <c r="I340" s="7">
        <f t="shared" si="32"/>
        <v>0</v>
      </c>
      <c r="J340" s="22">
        <f t="shared" si="33"/>
        <v>0</v>
      </c>
      <c r="K340" s="9" t="str">
        <f>IF($D340&lt;=0,"",IF($J340&lt;=0.005,"Volltilgung erreicht",IF($A340=Übersicht!$Q$13,"Ende der Zinsbindung",IF($H340&gt;0,"Sondertilgung",""))))</f>
        <v/>
      </c>
      <c r="L340" s="23">
        <f>IF($N339&lt;=0,0,ROUND($N339*Übersicht!$Q$7,2))</f>
        <v>48.3</v>
      </c>
      <c r="M340" s="23">
        <f>IF($N339&lt;=0,0,MIN($N339,IF(Übersicht!$C$13="Annuitätendarlehen",MAX(0,Übersicht!$Q$9-$L340),IF(Übersicht!$C$13="Ratendarlehen",Übersicht!$Q$10,IF($A340&gt;=Übersicht!$Q$11,$N339,0)))))</f>
        <v>1351.7</v>
      </c>
      <c r="N340" s="23">
        <f t="shared" si="35"/>
        <v>14748.82</v>
      </c>
    </row>
    <row r="341" spans="1:14" ht="15" customHeight="1" x14ac:dyDescent="0.25">
      <c r="A341" s="10">
        <v>334</v>
      </c>
      <c r="B341" s="24" t="str">
        <f>IF($D341&lt;=0,"",EDATE(Übersicht!$C$18,($A341-1)*12/Übersicht!$Q$6))</f>
        <v/>
      </c>
      <c r="C341" s="10" t="str">
        <f t="shared" si="30"/>
        <v/>
      </c>
      <c r="D341" s="25">
        <f t="shared" si="34"/>
        <v>0</v>
      </c>
      <c r="E341" s="12">
        <f t="shared" si="31"/>
        <v>0</v>
      </c>
      <c r="F341" s="12">
        <f>IF($D341&lt;=0,0,ROUND($D341*Übersicht!$Q$7,2))</f>
        <v>0</v>
      </c>
      <c r="G341" s="12">
        <f>IF($D341&lt;=0,0,MIN($D341,IF(Übersicht!$C$13="Annuitätendarlehen",MAX(0,Übersicht!$Q$9-$F341),IF(Übersicht!$C$13="Ratendarlehen",Übersicht!$Q$10,IF($A341&gt;=Übersicht!$Q$11,$D341,0)))))</f>
        <v>0</v>
      </c>
      <c r="H341" s="12">
        <f>IF($D341-$G341&lt;=0,0,IF(MOD($A341,Übersicht!$Q$6)=0,IF($A341/Übersicht!$Q$6&gt;=Übersicht!$C$21,MIN(Übersicht!$C$20,$D341-$G341),0),0))</f>
        <v>0</v>
      </c>
      <c r="I341" s="12">
        <f t="shared" si="32"/>
        <v>0</v>
      </c>
      <c r="J341" s="26">
        <f t="shared" si="33"/>
        <v>0</v>
      </c>
      <c r="K341" s="14" t="str">
        <f>IF($D341&lt;=0,"",IF($J341&lt;=0.005,"Volltilgung erreicht",IF($A341=Übersicht!$Q$13,"Ende der Zinsbindung",IF($H341&gt;0,"Sondertilgung",""))))</f>
        <v/>
      </c>
      <c r="L341" s="23">
        <f>IF($N340&lt;=0,0,ROUND($N340*Übersicht!$Q$7,2))</f>
        <v>44.25</v>
      </c>
      <c r="M341" s="23">
        <f>IF($N340&lt;=0,0,MIN($N340,IF(Übersicht!$C$13="Annuitätendarlehen",MAX(0,Übersicht!$Q$9-$L341),IF(Übersicht!$C$13="Ratendarlehen",Übersicht!$Q$10,IF($A341&gt;=Übersicht!$Q$11,$N340,0)))))</f>
        <v>1355.75</v>
      </c>
      <c r="N341" s="23">
        <f t="shared" si="35"/>
        <v>13393.07</v>
      </c>
    </row>
    <row r="342" spans="1:14" ht="15" customHeight="1" x14ac:dyDescent="0.25">
      <c r="A342" s="5">
        <v>335</v>
      </c>
      <c r="B342" s="20" t="str">
        <f>IF($D342&lt;=0,"",EDATE(Übersicht!$C$18,($A342-1)*12/Übersicht!$Q$6))</f>
        <v/>
      </c>
      <c r="C342" s="5" t="str">
        <f t="shared" si="30"/>
        <v/>
      </c>
      <c r="D342" s="21">
        <f t="shared" si="34"/>
        <v>0</v>
      </c>
      <c r="E342" s="7">
        <f t="shared" si="31"/>
        <v>0</v>
      </c>
      <c r="F342" s="7">
        <f>IF($D342&lt;=0,0,ROUND($D342*Übersicht!$Q$7,2))</f>
        <v>0</v>
      </c>
      <c r="G342" s="7">
        <f>IF($D342&lt;=0,0,MIN($D342,IF(Übersicht!$C$13="Annuitätendarlehen",MAX(0,Übersicht!$Q$9-$F342),IF(Übersicht!$C$13="Ratendarlehen",Übersicht!$Q$10,IF($A342&gt;=Übersicht!$Q$11,$D342,0)))))</f>
        <v>0</v>
      </c>
      <c r="H342" s="7">
        <f>IF($D342-$G342&lt;=0,0,IF(MOD($A342,Übersicht!$Q$6)=0,IF($A342/Übersicht!$Q$6&gt;=Übersicht!$C$21,MIN(Übersicht!$C$20,$D342-$G342),0),0))</f>
        <v>0</v>
      </c>
      <c r="I342" s="7">
        <f t="shared" si="32"/>
        <v>0</v>
      </c>
      <c r="J342" s="22">
        <f t="shared" si="33"/>
        <v>0</v>
      </c>
      <c r="K342" s="9" t="str">
        <f>IF($D342&lt;=0,"",IF($J342&lt;=0.005,"Volltilgung erreicht",IF($A342=Übersicht!$Q$13,"Ende der Zinsbindung",IF($H342&gt;0,"Sondertilgung",""))))</f>
        <v/>
      </c>
      <c r="L342" s="23">
        <f>IF($N341&lt;=0,0,ROUND($N341*Übersicht!$Q$7,2))</f>
        <v>40.18</v>
      </c>
      <c r="M342" s="23">
        <f>IF($N341&lt;=0,0,MIN($N341,IF(Übersicht!$C$13="Annuitätendarlehen",MAX(0,Übersicht!$Q$9-$L342),IF(Übersicht!$C$13="Ratendarlehen",Übersicht!$Q$10,IF($A342&gt;=Übersicht!$Q$11,$N341,0)))))</f>
        <v>1359.82</v>
      </c>
      <c r="N342" s="23">
        <f t="shared" si="35"/>
        <v>12033.25</v>
      </c>
    </row>
    <row r="343" spans="1:14" ht="15" customHeight="1" x14ac:dyDescent="0.25">
      <c r="A343" s="10">
        <v>336</v>
      </c>
      <c r="B343" s="24" t="str">
        <f>IF($D343&lt;=0,"",EDATE(Übersicht!$C$18,($A343-1)*12/Übersicht!$Q$6))</f>
        <v/>
      </c>
      <c r="C343" s="10" t="str">
        <f t="shared" si="30"/>
        <v/>
      </c>
      <c r="D343" s="25">
        <f t="shared" si="34"/>
        <v>0</v>
      </c>
      <c r="E343" s="12">
        <f t="shared" si="31"/>
        <v>0</v>
      </c>
      <c r="F343" s="12">
        <f>IF($D343&lt;=0,0,ROUND($D343*Übersicht!$Q$7,2))</f>
        <v>0</v>
      </c>
      <c r="G343" s="12">
        <f>IF($D343&lt;=0,0,MIN($D343,IF(Übersicht!$C$13="Annuitätendarlehen",MAX(0,Übersicht!$Q$9-$F343),IF(Übersicht!$C$13="Ratendarlehen",Übersicht!$Q$10,IF($A343&gt;=Übersicht!$Q$11,$D343,0)))))</f>
        <v>0</v>
      </c>
      <c r="H343" s="12">
        <f>IF($D343-$G343&lt;=0,0,IF(MOD($A343,Übersicht!$Q$6)=0,IF($A343/Übersicht!$Q$6&gt;=Übersicht!$C$21,MIN(Übersicht!$C$20,$D343-$G343),0),0))</f>
        <v>0</v>
      </c>
      <c r="I343" s="12">
        <f t="shared" si="32"/>
        <v>0</v>
      </c>
      <c r="J343" s="26">
        <f t="shared" si="33"/>
        <v>0</v>
      </c>
      <c r="K343" s="14" t="str">
        <f>IF($D343&lt;=0,"",IF($J343&lt;=0.005,"Volltilgung erreicht",IF($A343=Übersicht!$Q$13,"Ende der Zinsbindung",IF($H343&gt;0,"Sondertilgung",""))))</f>
        <v/>
      </c>
      <c r="L343" s="23">
        <f>IF($N342&lt;=0,0,ROUND($N342*Übersicht!$Q$7,2))</f>
        <v>36.1</v>
      </c>
      <c r="M343" s="23">
        <f>IF($N342&lt;=0,0,MIN($N342,IF(Übersicht!$C$13="Annuitätendarlehen",MAX(0,Übersicht!$Q$9-$L343),IF(Übersicht!$C$13="Ratendarlehen",Übersicht!$Q$10,IF($A343&gt;=Übersicht!$Q$11,$N342,0)))))</f>
        <v>1363.9</v>
      </c>
      <c r="N343" s="23">
        <f t="shared" si="35"/>
        <v>10669.35</v>
      </c>
    </row>
    <row r="344" spans="1:14" ht="15" customHeight="1" x14ac:dyDescent="0.25">
      <c r="A344" s="5">
        <v>337</v>
      </c>
      <c r="B344" s="20" t="str">
        <f>IF($D344&lt;=0,"",EDATE(Übersicht!$C$18,($A344-1)*12/Übersicht!$Q$6))</f>
        <v/>
      </c>
      <c r="C344" s="5" t="str">
        <f t="shared" si="30"/>
        <v/>
      </c>
      <c r="D344" s="21">
        <f t="shared" si="34"/>
        <v>0</v>
      </c>
      <c r="E344" s="7">
        <f t="shared" si="31"/>
        <v>0</v>
      </c>
      <c r="F344" s="7">
        <f>IF($D344&lt;=0,0,ROUND($D344*Übersicht!$Q$7,2))</f>
        <v>0</v>
      </c>
      <c r="G344" s="7">
        <f>IF($D344&lt;=0,0,MIN($D344,IF(Übersicht!$C$13="Annuitätendarlehen",MAX(0,Übersicht!$Q$9-$F344),IF(Übersicht!$C$13="Ratendarlehen",Übersicht!$Q$10,IF($A344&gt;=Übersicht!$Q$11,$D344,0)))))</f>
        <v>0</v>
      </c>
      <c r="H344" s="7">
        <f>IF($D344-$G344&lt;=0,0,IF(MOD($A344,Übersicht!$Q$6)=0,IF($A344/Übersicht!$Q$6&gt;=Übersicht!$C$21,MIN(Übersicht!$C$20,$D344-$G344),0),0))</f>
        <v>0</v>
      </c>
      <c r="I344" s="7">
        <f t="shared" si="32"/>
        <v>0</v>
      </c>
      <c r="J344" s="22">
        <f t="shared" si="33"/>
        <v>0</v>
      </c>
      <c r="K344" s="9" t="str">
        <f>IF($D344&lt;=0,"",IF($J344&lt;=0.005,"Volltilgung erreicht",IF($A344=Übersicht!$Q$13,"Ende der Zinsbindung",IF($H344&gt;0,"Sondertilgung",""))))</f>
        <v/>
      </c>
      <c r="L344" s="23">
        <f>IF($N343&lt;=0,0,ROUND($N343*Übersicht!$Q$7,2))</f>
        <v>32.01</v>
      </c>
      <c r="M344" s="23">
        <f>IF($N343&lt;=0,0,MIN($N343,IF(Übersicht!$C$13="Annuitätendarlehen",MAX(0,Übersicht!$Q$9-$L344),IF(Übersicht!$C$13="Ratendarlehen",Übersicht!$Q$10,IF($A344&gt;=Übersicht!$Q$11,$N343,0)))))</f>
        <v>1367.99</v>
      </c>
      <c r="N344" s="23">
        <f t="shared" si="35"/>
        <v>9301.36</v>
      </c>
    </row>
    <row r="345" spans="1:14" ht="15" customHeight="1" x14ac:dyDescent="0.25">
      <c r="A345" s="10">
        <v>338</v>
      </c>
      <c r="B345" s="24" t="str">
        <f>IF($D345&lt;=0,"",EDATE(Übersicht!$C$18,($A345-1)*12/Übersicht!$Q$6))</f>
        <v/>
      </c>
      <c r="C345" s="10" t="str">
        <f t="shared" si="30"/>
        <v/>
      </c>
      <c r="D345" s="25">
        <f t="shared" si="34"/>
        <v>0</v>
      </c>
      <c r="E345" s="12">
        <f t="shared" si="31"/>
        <v>0</v>
      </c>
      <c r="F345" s="12">
        <f>IF($D345&lt;=0,0,ROUND($D345*Übersicht!$Q$7,2))</f>
        <v>0</v>
      </c>
      <c r="G345" s="12">
        <f>IF($D345&lt;=0,0,MIN($D345,IF(Übersicht!$C$13="Annuitätendarlehen",MAX(0,Übersicht!$Q$9-$F345),IF(Übersicht!$C$13="Ratendarlehen",Übersicht!$Q$10,IF($A345&gt;=Übersicht!$Q$11,$D345,0)))))</f>
        <v>0</v>
      </c>
      <c r="H345" s="12">
        <f>IF($D345-$G345&lt;=0,0,IF(MOD($A345,Übersicht!$Q$6)=0,IF($A345/Übersicht!$Q$6&gt;=Übersicht!$C$21,MIN(Übersicht!$C$20,$D345-$G345),0),0))</f>
        <v>0</v>
      </c>
      <c r="I345" s="12">
        <f t="shared" si="32"/>
        <v>0</v>
      </c>
      <c r="J345" s="26">
        <f t="shared" si="33"/>
        <v>0</v>
      </c>
      <c r="K345" s="14" t="str">
        <f>IF($D345&lt;=0,"",IF($J345&lt;=0.005,"Volltilgung erreicht",IF($A345=Übersicht!$Q$13,"Ende der Zinsbindung",IF($H345&gt;0,"Sondertilgung",""))))</f>
        <v/>
      </c>
      <c r="L345" s="23">
        <f>IF($N344&lt;=0,0,ROUND($N344*Übersicht!$Q$7,2))</f>
        <v>27.9</v>
      </c>
      <c r="M345" s="23">
        <f>IF($N344&lt;=0,0,MIN($N344,IF(Übersicht!$C$13="Annuitätendarlehen",MAX(0,Übersicht!$Q$9-$L345),IF(Übersicht!$C$13="Ratendarlehen",Übersicht!$Q$10,IF($A345&gt;=Übersicht!$Q$11,$N344,0)))))</f>
        <v>1372.1</v>
      </c>
      <c r="N345" s="23">
        <f t="shared" si="35"/>
        <v>7929.26</v>
      </c>
    </row>
    <row r="346" spans="1:14" ht="15" customHeight="1" x14ac:dyDescent="0.25">
      <c r="A346" s="5">
        <v>339</v>
      </c>
      <c r="B346" s="20" t="str">
        <f>IF($D346&lt;=0,"",EDATE(Übersicht!$C$18,($A346-1)*12/Übersicht!$Q$6))</f>
        <v/>
      </c>
      <c r="C346" s="5" t="str">
        <f t="shared" si="30"/>
        <v/>
      </c>
      <c r="D346" s="21">
        <f t="shared" si="34"/>
        <v>0</v>
      </c>
      <c r="E346" s="7">
        <f t="shared" si="31"/>
        <v>0</v>
      </c>
      <c r="F346" s="7">
        <f>IF($D346&lt;=0,0,ROUND($D346*Übersicht!$Q$7,2))</f>
        <v>0</v>
      </c>
      <c r="G346" s="7">
        <f>IF($D346&lt;=0,0,MIN($D346,IF(Übersicht!$C$13="Annuitätendarlehen",MAX(0,Übersicht!$Q$9-$F346),IF(Übersicht!$C$13="Ratendarlehen",Übersicht!$Q$10,IF($A346&gt;=Übersicht!$Q$11,$D346,0)))))</f>
        <v>0</v>
      </c>
      <c r="H346" s="7">
        <f>IF($D346-$G346&lt;=0,0,IF(MOD($A346,Übersicht!$Q$6)=0,IF($A346/Übersicht!$Q$6&gt;=Übersicht!$C$21,MIN(Übersicht!$C$20,$D346-$G346),0),0))</f>
        <v>0</v>
      </c>
      <c r="I346" s="7">
        <f t="shared" si="32"/>
        <v>0</v>
      </c>
      <c r="J346" s="22">
        <f t="shared" si="33"/>
        <v>0</v>
      </c>
      <c r="K346" s="9" t="str">
        <f>IF($D346&lt;=0,"",IF($J346&lt;=0.005,"Volltilgung erreicht",IF($A346=Übersicht!$Q$13,"Ende der Zinsbindung",IF($H346&gt;0,"Sondertilgung",""))))</f>
        <v/>
      </c>
      <c r="L346" s="23">
        <f>IF($N345&lt;=0,0,ROUND($N345*Übersicht!$Q$7,2))</f>
        <v>23.79</v>
      </c>
      <c r="M346" s="23">
        <f>IF($N345&lt;=0,0,MIN($N345,IF(Übersicht!$C$13="Annuitätendarlehen",MAX(0,Übersicht!$Q$9-$L346),IF(Übersicht!$C$13="Ratendarlehen",Übersicht!$Q$10,IF($A346&gt;=Übersicht!$Q$11,$N345,0)))))</f>
        <v>1376.21</v>
      </c>
      <c r="N346" s="23">
        <f t="shared" si="35"/>
        <v>6553.05</v>
      </c>
    </row>
    <row r="347" spans="1:14" ht="15" customHeight="1" x14ac:dyDescent="0.25">
      <c r="A347" s="10">
        <v>340</v>
      </c>
      <c r="B347" s="24" t="str">
        <f>IF($D347&lt;=0,"",EDATE(Übersicht!$C$18,($A347-1)*12/Übersicht!$Q$6))</f>
        <v/>
      </c>
      <c r="C347" s="10" t="str">
        <f t="shared" si="30"/>
        <v/>
      </c>
      <c r="D347" s="25">
        <f t="shared" si="34"/>
        <v>0</v>
      </c>
      <c r="E347" s="12">
        <f t="shared" si="31"/>
        <v>0</v>
      </c>
      <c r="F347" s="12">
        <f>IF($D347&lt;=0,0,ROUND($D347*Übersicht!$Q$7,2))</f>
        <v>0</v>
      </c>
      <c r="G347" s="12">
        <f>IF($D347&lt;=0,0,MIN($D347,IF(Übersicht!$C$13="Annuitätendarlehen",MAX(0,Übersicht!$Q$9-$F347),IF(Übersicht!$C$13="Ratendarlehen",Übersicht!$Q$10,IF($A347&gt;=Übersicht!$Q$11,$D347,0)))))</f>
        <v>0</v>
      </c>
      <c r="H347" s="12">
        <f>IF($D347-$G347&lt;=0,0,IF(MOD($A347,Übersicht!$Q$6)=0,IF($A347/Übersicht!$Q$6&gt;=Übersicht!$C$21,MIN(Übersicht!$C$20,$D347-$G347),0),0))</f>
        <v>0</v>
      </c>
      <c r="I347" s="12">
        <f t="shared" si="32"/>
        <v>0</v>
      </c>
      <c r="J347" s="26">
        <f t="shared" si="33"/>
        <v>0</v>
      </c>
      <c r="K347" s="14" t="str">
        <f>IF($D347&lt;=0,"",IF($J347&lt;=0.005,"Volltilgung erreicht",IF($A347=Übersicht!$Q$13,"Ende der Zinsbindung",IF($H347&gt;0,"Sondertilgung",""))))</f>
        <v/>
      </c>
      <c r="L347" s="23">
        <f>IF($N346&lt;=0,0,ROUND($N346*Übersicht!$Q$7,2))</f>
        <v>19.66</v>
      </c>
      <c r="M347" s="23">
        <f>IF($N346&lt;=0,0,MIN($N346,IF(Übersicht!$C$13="Annuitätendarlehen",MAX(0,Übersicht!$Q$9-$L347),IF(Übersicht!$C$13="Ratendarlehen",Übersicht!$Q$10,IF($A347&gt;=Übersicht!$Q$11,$N346,0)))))</f>
        <v>1380.34</v>
      </c>
      <c r="N347" s="23">
        <f t="shared" si="35"/>
        <v>5172.71</v>
      </c>
    </row>
    <row r="348" spans="1:14" ht="15" customHeight="1" x14ac:dyDescent="0.25">
      <c r="A348" s="5">
        <v>341</v>
      </c>
      <c r="B348" s="20" t="str">
        <f>IF($D348&lt;=0,"",EDATE(Übersicht!$C$18,($A348-1)*12/Übersicht!$Q$6))</f>
        <v/>
      </c>
      <c r="C348" s="5" t="str">
        <f t="shared" si="30"/>
        <v/>
      </c>
      <c r="D348" s="21">
        <f t="shared" si="34"/>
        <v>0</v>
      </c>
      <c r="E348" s="7">
        <f t="shared" si="31"/>
        <v>0</v>
      </c>
      <c r="F348" s="7">
        <f>IF($D348&lt;=0,0,ROUND($D348*Übersicht!$Q$7,2))</f>
        <v>0</v>
      </c>
      <c r="G348" s="7">
        <f>IF($D348&lt;=0,0,MIN($D348,IF(Übersicht!$C$13="Annuitätendarlehen",MAX(0,Übersicht!$Q$9-$F348),IF(Übersicht!$C$13="Ratendarlehen",Übersicht!$Q$10,IF($A348&gt;=Übersicht!$Q$11,$D348,0)))))</f>
        <v>0</v>
      </c>
      <c r="H348" s="7">
        <f>IF($D348-$G348&lt;=0,0,IF(MOD($A348,Übersicht!$Q$6)=0,IF($A348/Übersicht!$Q$6&gt;=Übersicht!$C$21,MIN(Übersicht!$C$20,$D348-$G348),0),0))</f>
        <v>0</v>
      </c>
      <c r="I348" s="7">
        <f t="shared" si="32"/>
        <v>0</v>
      </c>
      <c r="J348" s="22">
        <f t="shared" si="33"/>
        <v>0</v>
      </c>
      <c r="K348" s="9" t="str">
        <f>IF($D348&lt;=0,"",IF($J348&lt;=0.005,"Volltilgung erreicht",IF($A348=Übersicht!$Q$13,"Ende der Zinsbindung",IF($H348&gt;0,"Sondertilgung",""))))</f>
        <v/>
      </c>
      <c r="L348" s="23">
        <f>IF($N347&lt;=0,0,ROUND($N347*Übersicht!$Q$7,2))</f>
        <v>15.52</v>
      </c>
      <c r="M348" s="23">
        <f>IF($N347&lt;=0,0,MIN($N347,IF(Übersicht!$C$13="Annuitätendarlehen",MAX(0,Übersicht!$Q$9-$L348),IF(Übersicht!$C$13="Ratendarlehen",Übersicht!$Q$10,IF($A348&gt;=Übersicht!$Q$11,$N347,0)))))</f>
        <v>1384.48</v>
      </c>
      <c r="N348" s="23">
        <f t="shared" si="35"/>
        <v>3788.23</v>
      </c>
    </row>
    <row r="349" spans="1:14" ht="15" customHeight="1" x14ac:dyDescent="0.25">
      <c r="A349" s="10">
        <v>342</v>
      </c>
      <c r="B349" s="24" t="str">
        <f>IF($D349&lt;=0,"",EDATE(Übersicht!$C$18,($A349-1)*12/Übersicht!$Q$6))</f>
        <v/>
      </c>
      <c r="C349" s="10" t="str">
        <f t="shared" si="30"/>
        <v/>
      </c>
      <c r="D349" s="25">
        <f t="shared" si="34"/>
        <v>0</v>
      </c>
      <c r="E349" s="12">
        <f t="shared" si="31"/>
        <v>0</v>
      </c>
      <c r="F349" s="12">
        <f>IF($D349&lt;=0,0,ROUND($D349*Übersicht!$Q$7,2))</f>
        <v>0</v>
      </c>
      <c r="G349" s="12">
        <f>IF($D349&lt;=0,0,MIN($D349,IF(Übersicht!$C$13="Annuitätendarlehen",MAX(0,Übersicht!$Q$9-$F349),IF(Übersicht!$C$13="Ratendarlehen",Übersicht!$Q$10,IF($A349&gt;=Übersicht!$Q$11,$D349,0)))))</f>
        <v>0</v>
      </c>
      <c r="H349" s="12">
        <f>IF($D349-$G349&lt;=0,0,IF(MOD($A349,Übersicht!$Q$6)=0,IF($A349/Übersicht!$Q$6&gt;=Übersicht!$C$21,MIN(Übersicht!$C$20,$D349-$G349),0),0))</f>
        <v>0</v>
      </c>
      <c r="I349" s="12">
        <f t="shared" si="32"/>
        <v>0</v>
      </c>
      <c r="J349" s="26">
        <f t="shared" si="33"/>
        <v>0</v>
      </c>
      <c r="K349" s="14" t="str">
        <f>IF($D349&lt;=0,"",IF($J349&lt;=0.005,"Volltilgung erreicht",IF($A349=Übersicht!$Q$13,"Ende der Zinsbindung",IF($H349&gt;0,"Sondertilgung",""))))</f>
        <v/>
      </c>
      <c r="L349" s="23">
        <f>IF($N348&lt;=0,0,ROUND($N348*Übersicht!$Q$7,2))</f>
        <v>11.36</v>
      </c>
      <c r="M349" s="23">
        <f>IF($N348&lt;=0,0,MIN($N348,IF(Übersicht!$C$13="Annuitätendarlehen",MAX(0,Übersicht!$Q$9-$L349),IF(Übersicht!$C$13="Ratendarlehen",Übersicht!$Q$10,IF($A349&gt;=Übersicht!$Q$11,$N348,0)))))</f>
        <v>1388.64</v>
      </c>
      <c r="N349" s="23">
        <f t="shared" si="35"/>
        <v>2399.59</v>
      </c>
    </row>
    <row r="350" spans="1:14" ht="15" customHeight="1" x14ac:dyDescent="0.25">
      <c r="A350" s="5">
        <v>343</v>
      </c>
      <c r="B350" s="20" t="str">
        <f>IF($D350&lt;=0,"",EDATE(Übersicht!$C$18,($A350-1)*12/Übersicht!$Q$6))</f>
        <v/>
      </c>
      <c r="C350" s="5" t="str">
        <f t="shared" si="30"/>
        <v/>
      </c>
      <c r="D350" s="21">
        <f t="shared" si="34"/>
        <v>0</v>
      </c>
      <c r="E350" s="7">
        <f t="shared" si="31"/>
        <v>0</v>
      </c>
      <c r="F350" s="7">
        <f>IF($D350&lt;=0,0,ROUND($D350*Übersicht!$Q$7,2))</f>
        <v>0</v>
      </c>
      <c r="G350" s="7">
        <f>IF($D350&lt;=0,0,MIN($D350,IF(Übersicht!$C$13="Annuitätendarlehen",MAX(0,Übersicht!$Q$9-$F350),IF(Übersicht!$C$13="Ratendarlehen",Übersicht!$Q$10,IF($A350&gt;=Übersicht!$Q$11,$D350,0)))))</f>
        <v>0</v>
      </c>
      <c r="H350" s="7">
        <f>IF($D350-$G350&lt;=0,0,IF(MOD($A350,Übersicht!$Q$6)=0,IF($A350/Übersicht!$Q$6&gt;=Übersicht!$C$21,MIN(Übersicht!$C$20,$D350-$G350),0),0))</f>
        <v>0</v>
      </c>
      <c r="I350" s="7">
        <f t="shared" si="32"/>
        <v>0</v>
      </c>
      <c r="J350" s="22">
        <f t="shared" si="33"/>
        <v>0</v>
      </c>
      <c r="K350" s="9" t="str">
        <f>IF($D350&lt;=0,"",IF($J350&lt;=0.005,"Volltilgung erreicht",IF($A350=Übersicht!$Q$13,"Ende der Zinsbindung",IF($H350&gt;0,"Sondertilgung",""))))</f>
        <v/>
      </c>
      <c r="L350" s="23">
        <f>IF($N349&lt;=0,0,ROUND($N349*Übersicht!$Q$7,2))</f>
        <v>7.2</v>
      </c>
      <c r="M350" s="23">
        <f>IF($N349&lt;=0,0,MIN($N349,IF(Übersicht!$C$13="Annuitätendarlehen",MAX(0,Übersicht!$Q$9-$L350),IF(Übersicht!$C$13="Ratendarlehen",Übersicht!$Q$10,IF($A350&gt;=Übersicht!$Q$11,$N349,0)))))</f>
        <v>1392.8</v>
      </c>
      <c r="N350" s="23">
        <f t="shared" si="35"/>
        <v>1006.79</v>
      </c>
    </row>
    <row r="351" spans="1:14" ht="15" customHeight="1" x14ac:dyDescent="0.25">
      <c r="A351" s="10">
        <v>344</v>
      </c>
      <c r="B351" s="24" t="str">
        <f>IF($D351&lt;=0,"",EDATE(Übersicht!$C$18,($A351-1)*12/Übersicht!$Q$6))</f>
        <v/>
      </c>
      <c r="C351" s="10" t="str">
        <f t="shared" si="30"/>
        <v/>
      </c>
      <c r="D351" s="25">
        <f t="shared" si="34"/>
        <v>0</v>
      </c>
      <c r="E351" s="12">
        <f t="shared" si="31"/>
        <v>0</v>
      </c>
      <c r="F351" s="12">
        <f>IF($D351&lt;=0,0,ROUND($D351*Übersicht!$Q$7,2))</f>
        <v>0</v>
      </c>
      <c r="G351" s="12">
        <f>IF($D351&lt;=0,0,MIN($D351,IF(Übersicht!$C$13="Annuitätendarlehen",MAX(0,Übersicht!$Q$9-$F351),IF(Übersicht!$C$13="Ratendarlehen",Übersicht!$Q$10,IF($A351&gt;=Übersicht!$Q$11,$D351,0)))))</f>
        <v>0</v>
      </c>
      <c r="H351" s="12">
        <f>IF($D351-$G351&lt;=0,0,IF(MOD($A351,Übersicht!$Q$6)=0,IF($A351/Übersicht!$Q$6&gt;=Übersicht!$C$21,MIN(Übersicht!$C$20,$D351-$G351),0),0))</f>
        <v>0</v>
      </c>
      <c r="I351" s="12">
        <f t="shared" si="32"/>
        <v>0</v>
      </c>
      <c r="J351" s="26">
        <f t="shared" si="33"/>
        <v>0</v>
      </c>
      <c r="K351" s="14" t="str">
        <f>IF($D351&lt;=0,"",IF($J351&lt;=0.005,"Volltilgung erreicht",IF($A351=Übersicht!$Q$13,"Ende der Zinsbindung",IF($H351&gt;0,"Sondertilgung",""))))</f>
        <v/>
      </c>
      <c r="L351" s="23">
        <f>IF($N350&lt;=0,0,ROUND($N350*Übersicht!$Q$7,2))</f>
        <v>3.02</v>
      </c>
      <c r="M351" s="23">
        <f>IF($N350&lt;=0,0,MIN($N350,IF(Übersicht!$C$13="Annuitätendarlehen",MAX(0,Übersicht!$Q$9-$L351),IF(Übersicht!$C$13="Ratendarlehen",Übersicht!$Q$10,IF($A351&gt;=Übersicht!$Q$11,$N350,0)))))</f>
        <v>1006.79</v>
      </c>
      <c r="N351" s="23">
        <f t="shared" si="35"/>
        <v>0</v>
      </c>
    </row>
    <row r="352" spans="1:14" ht="15" customHeight="1" x14ac:dyDescent="0.25">
      <c r="A352" s="5">
        <v>345</v>
      </c>
      <c r="B352" s="20" t="str">
        <f>IF($D352&lt;=0,"",EDATE(Übersicht!$C$18,($A352-1)*12/Übersicht!$Q$6))</f>
        <v/>
      </c>
      <c r="C352" s="5" t="str">
        <f t="shared" si="30"/>
        <v/>
      </c>
      <c r="D352" s="21">
        <f t="shared" si="34"/>
        <v>0</v>
      </c>
      <c r="E352" s="7">
        <f t="shared" si="31"/>
        <v>0</v>
      </c>
      <c r="F352" s="7">
        <f>IF($D352&lt;=0,0,ROUND($D352*Übersicht!$Q$7,2))</f>
        <v>0</v>
      </c>
      <c r="G352" s="7">
        <f>IF($D352&lt;=0,0,MIN($D352,IF(Übersicht!$C$13="Annuitätendarlehen",MAX(0,Übersicht!$Q$9-$F352),IF(Übersicht!$C$13="Ratendarlehen",Übersicht!$Q$10,IF($A352&gt;=Übersicht!$Q$11,$D352,0)))))</f>
        <v>0</v>
      </c>
      <c r="H352" s="7">
        <f>IF($D352-$G352&lt;=0,0,IF(MOD($A352,Übersicht!$Q$6)=0,IF($A352/Übersicht!$Q$6&gt;=Übersicht!$C$21,MIN(Übersicht!$C$20,$D352-$G352),0),0))</f>
        <v>0</v>
      </c>
      <c r="I352" s="7">
        <f t="shared" si="32"/>
        <v>0</v>
      </c>
      <c r="J352" s="22">
        <f t="shared" si="33"/>
        <v>0</v>
      </c>
      <c r="K352" s="9" t="str">
        <f>IF($D352&lt;=0,"",IF($J352&lt;=0.005,"Volltilgung erreicht",IF($A352=Übersicht!$Q$13,"Ende der Zinsbindung",IF($H352&gt;0,"Sondertilgung",""))))</f>
        <v/>
      </c>
      <c r="L352" s="23">
        <f>IF($N351&lt;=0,0,ROUND($N351*Übersicht!$Q$7,2))</f>
        <v>0</v>
      </c>
      <c r="M352" s="23">
        <f>IF($N351&lt;=0,0,MIN($N351,IF(Übersicht!$C$13="Annuitätendarlehen",MAX(0,Übersicht!$Q$9-$L352),IF(Übersicht!$C$13="Ratendarlehen",Übersicht!$Q$10,IF($A352&gt;=Übersicht!$Q$11,$N351,0)))))</f>
        <v>0</v>
      </c>
      <c r="N352" s="23">
        <f t="shared" si="35"/>
        <v>0</v>
      </c>
    </row>
    <row r="353" spans="1:14" ht="15" customHeight="1" x14ac:dyDescent="0.25">
      <c r="A353" s="10">
        <v>346</v>
      </c>
      <c r="B353" s="24" t="str">
        <f>IF($D353&lt;=0,"",EDATE(Übersicht!$C$18,($A353-1)*12/Übersicht!$Q$6))</f>
        <v/>
      </c>
      <c r="C353" s="10" t="str">
        <f t="shared" si="30"/>
        <v/>
      </c>
      <c r="D353" s="25">
        <f t="shared" si="34"/>
        <v>0</v>
      </c>
      <c r="E353" s="12">
        <f t="shared" si="31"/>
        <v>0</v>
      </c>
      <c r="F353" s="12">
        <f>IF($D353&lt;=0,0,ROUND($D353*Übersicht!$Q$7,2))</f>
        <v>0</v>
      </c>
      <c r="G353" s="12">
        <f>IF($D353&lt;=0,0,MIN($D353,IF(Übersicht!$C$13="Annuitätendarlehen",MAX(0,Übersicht!$Q$9-$F353),IF(Übersicht!$C$13="Ratendarlehen",Übersicht!$Q$10,IF($A353&gt;=Übersicht!$Q$11,$D353,0)))))</f>
        <v>0</v>
      </c>
      <c r="H353" s="12">
        <f>IF($D353-$G353&lt;=0,0,IF(MOD($A353,Übersicht!$Q$6)=0,IF($A353/Übersicht!$Q$6&gt;=Übersicht!$C$21,MIN(Übersicht!$C$20,$D353-$G353),0),0))</f>
        <v>0</v>
      </c>
      <c r="I353" s="12">
        <f t="shared" si="32"/>
        <v>0</v>
      </c>
      <c r="J353" s="26">
        <f t="shared" si="33"/>
        <v>0</v>
      </c>
      <c r="K353" s="14" t="str">
        <f>IF($D353&lt;=0,"",IF($J353&lt;=0.005,"Volltilgung erreicht",IF($A353=Übersicht!$Q$13,"Ende der Zinsbindung",IF($H353&gt;0,"Sondertilgung",""))))</f>
        <v/>
      </c>
      <c r="L353" s="23">
        <f>IF($N352&lt;=0,0,ROUND($N352*Übersicht!$Q$7,2))</f>
        <v>0</v>
      </c>
      <c r="M353" s="23">
        <f>IF($N352&lt;=0,0,MIN($N352,IF(Übersicht!$C$13="Annuitätendarlehen",MAX(0,Übersicht!$Q$9-$L353),IF(Übersicht!$C$13="Ratendarlehen",Übersicht!$Q$10,IF($A353&gt;=Übersicht!$Q$11,$N352,0)))))</f>
        <v>0</v>
      </c>
      <c r="N353" s="23">
        <f t="shared" si="35"/>
        <v>0</v>
      </c>
    </row>
    <row r="354" spans="1:14" ht="15" customHeight="1" x14ac:dyDescent="0.25">
      <c r="A354" s="5">
        <v>347</v>
      </c>
      <c r="B354" s="20" t="str">
        <f>IF($D354&lt;=0,"",EDATE(Übersicht!$C$18,($A354-1)*12/Übersicht!$Q$6))</f>
        <v/>
      </c>
      <c r="C354" s="5" t="str">
        <f t="shared" si="30"/>
        <v/>
      </c>
      <c r="D354" s="21">
        <f t="shared" si="34"/>
        <v>0</v>
      </c>
      <c r="E354" s="7">
        <f t="shared" si="31"/>
        <v>0</v>
      </c>
      <c r="F354" s="7">
        <f>IF($D354&lt;=0,0,ROUND($D354*Übersicht!$Q$7,2))</f>
        <v>0</v>
      </c>
      <c r="G354" s="7">
        <f>IF($D354&lt;=0,0,MIN($D354,IF(Übersicht!$C$13="Annuitätendarlehen",MAX(0,Übersicht!$Q$9-$F354),IF(Übersicht!$C$13="Ratendarlehen",Übersicht!$Q$10,IF($A354&gt;=Übersicht!$Q$11,$D354,0)))))</f>
        <v>0</v>
      </c>
      <c r="H354" s="7">
        <f>IF($D354-$G354&lt;=0,0,IF(MOD($A354,Übersicht!$Q$6)=0,IF($A354/Übersicht!$Q$6&gt;=Übersicht!$C$21,MIN(Übersicht!$C$20,$D354-$G354),0),0))</f>
        <v>0</v>
      </c>
      <c r="I354" s="7">
        <f t="shared" si="32"/>
        <v>0</v>
      </c>
      <c r="J354" s="22">
        <f t="shared" si="33"/>
        <v>0</v>
      </c>
      <c r="K354" s="9" t="str">
        <f>IF($D354&lt;=0,"",IF($J354&lt;=0.005,"Volltilgung erreicht",IF($A354=Übersicht!$Q$13,"Ende der Zinsbindung",IF($H354&gt;0,"Sondertilgung",""))))</f>
        <v/>
      </c>
      <c r="L354" s="23">
        <f>IF($N353&lt;=0,0,ROUND($N353*Übersicht!$Q$7,2))</f>
        <v>0</v>
      </c>
      <c r="M354" s="23">
        <f>IF($N353&lt;=0,0,MIN($N353,IF(Übersicht!$C$13="Annuitätendarlehen",MAX(0,Übersicht!$Q$9-$L354),IF(Übersicht!$C$13="Ratendarlehen",Übersicht!$Q$10,IF($A354&gt;=Übersicht!$Q$11,$N353,0)))))</f>
        <v>0</v>
      </c>
      <c r="N354" s="23">
        <f t="shared" si="35"/>
        <v>0</v>
      </c>
    </row>
    <row r="355" spans="1:14" ht="15" customHeight="1" x14ac:dyDescent="0.25">
      <c r="A355" s="10">
        <v>348</v>
      </c>
      <c r="B355" s="24" t="str">
        <f>IF($D355&lt;=0,"",EDATE(Übersicht!$C$18,($A355-1)*12/Übersicht!$Q$6))</f>
        <v/>
      </c>
      <c r="C355" s="10" t="str">
        <f t="shared" si="30"/>
        <v/>
      </c>
      <c r="D355" s="25">
        <f t="shared" si="34"/>
        <v>0</v>
      </c>
      <c r="E355" s="12">
        <f t="shared" si="31"/>
        <v>0</v>
      </c>
      <c r="F355" s="12">
        <f>IF($D355&lt;=0,0,ROUND($D355*Übersicht!$Q$7,2))</f>
        <v>0</v>
      </c>
      <c r="G355" s="12">
        <f>IF($D355&lt;=0,0,MIN($D355,IF(Übersicht!$C$13="Annuitätendarlehen",MAX(0,Übersicht!$Q$9-$F355),IF(Übersicht!$C$13="Ratendarlehen",Übersicht!$Q$10,IF($A355&gt;=Übersicht!$Q$11,$D355,0)))))</f>
        <v>0</v>
      </c>
      <c r="H355" s="12">
        <f>IF($D355-$G355&lt;=0,0,IF(MOD($A355,Übersicht!$Q$6)=0,IF($A355/Übersicht!$Q$6&gt;=Übersicht!$C$21,MIN(Übersicht!$C$20,$D355-$G355),0),0))</f>
        <v>0</v>
      </c>
      <c r="I355" s="12">
        <f t="shared" si="32"/>
        <v>0</v>
      </c>
      <c r="J355" s="26">
        <f t="shared" si="33"/>
        <v>0</v>
      </c>
      <c r="K355" s="14" t="str">
        <f>IF($D355&lt;=0,"",IF($J355&lt;=0.005,"Volltilgung erreicht",IF($A355=Übersicht!$Q$13,"Ende der Zinsbindung",IF($H355&gt;0,"Sondertilgung",""))))</f>
        <v/>
      </c>
      <c r="L355" s="23">
        <f>IF($N354&lt;=0,0,ROUND($N354*Übersicht!$Q$7,2))</f>
        <v>0</v>
      </c>
      <c r="M355" s="23">
        <f>IF($N354&lt;=0,0,MIN($N354,IF(Übersicht!$C$13="Annuitätendarlehen",MAX(0,Übersicht!$Q$9-$L355),IF(Übersicht!$C$13="Ratendarlehen",Übersicht!$Q$10,IF($A355&gt;=Übersicht!$Q$11,$N354,0)))))</f>
        <v>0</v>
      </c>
      <c r="N355" s="23">
        <f t="shared" si="35"/>
        <v>0</v>
      </c>
    </row>
    <row r="356" spans="1:14" ht="15" customHeight="1" x14ac:dyDescent="0.25">
      <c r="A356" s="5">
        <v>349</v>
      </c>
      <c r="B356" s="20" t="str">
        <f>IF($D356&lt;=0,"",EDATE(Übersicht!$C$18,($A356-1)*12/Übersicht!$Q$6))</f>
        <v/>
      </c>
      <c r="C356" s="5" t="str">
        <f t="shared" si="30"/>
        <v/>
      </c>
      <c r="D356" s="21">
        <f t="shared" si="34"/>
        <v>0</v>
      </c>
      <c r="E356" s="7">
        <f t="shared" si="31"/>
        <v>0</v>
      </c>
      <c r="F356" s="7">
        <f>IF($D356&lt;=0,0,ROUND($D356*Übersicht!$Q$7,2))</f>
        <v>0</v>
      </c>
      <c r="G356" s="7">
        <f>IF($D356&lt;=0,0,MIN($D356,IF(Übersicht!$C$13="Annuitätendarlehen",MAX(0,Übersicht!$Q$9-$F356),IF(Übersicht!$C$13="Ratendarlehen",Übersicht!$Q$10,IF($A356&gt;=Übersicht!$Q$11,$D356,0)))))</f>
        <v>0</v>
      </c>
      <c r="H356" s="7">
        <f>IF($D356-$G356&lt;=0,0,IF(MOD($A356,Übersicht!$Q$6)=0,IF($A356/Übersicht!$Q$6&gt;=Übersicht!$C$21,MIN(Übersicht!$C$20,$D356-$G356),0),0))</f>
        <v>0</v>
      </c>
      <c r="I356" s="7">
        <f t="shared" si="32"/>
        <v>0</v>
      </c>
      <c r="J356" s="22">
        <f t="shared" si="33"/>
        <v>0</v>
      </c>
      <c r="K356" s="9" t="str">
        <f>IF($D356&lt;=0,"",IF($J356&lt;=0.005,"Volltilgung erreicht",IF($A356=Übersicht!$Q$13,"Ende der Zinsbindung",IF($H356&gt;0,"Sondertilgung",""))))</f>
        <v/>
      </c>
      <c r="L356" s="23">
        <f>IF($N355&lt;=0,0,ROUND($N355*Übersicht!$Q$7,2))</f>
        <v>0</v>
      </c>
      <c r="M356" s="23">
        <f>IF($N355&lt;=0,0,MIN($N355,IF(Übersicht!$C$13="Annuitätendarlehen",MAX(0,Übersicht!$Q$9-$L356),IF(Übersicht!$C$13="Ratendarlehen",Übersicht!$Q$10,IF($A356&gt;=Übersicht!$Q$11,$N355,0)))))</f>
        <v>0</v>
      </c>
      <c r="N356" s="23">
        <f t="shared" si="35"/>
        <v>0</v>
      </c>
    </row>
    <row r="357" spans="1:14" ht="15" customHeight="1" x14ac:dyDescent="0.25">
      <c r="A357" s="10">
        <v>350</v>
      </c>
      <c r="B357" s="24" t="str">
        <f>IF($D357&lt;=0,"",EDATE(Übersicht!$C$18,($A357-1)*12/Übersicht!$Q$6))</f>
        <v/>
      </c>
      <c r="C357" s="10" t="str">
        <f t="shared" si="30"/>
        <v/>
      </c>
      <c r="D357" s="25">
        <f t="shared" si="34"/>
        <v>0</v>
      </c>
      <c r="E357" s="12">
        <f t="shared" si="31"/>
        <v>0</v>
      </c>
      <c r="F357" s="12">
        <f>IF($D357&lt;=0,0,ROUND($D357*Übersicht!$Q$7,2))</f>
        <v>0</v>
      </c>
      <c r="G357" s="12">
        <f>IF($D357&lt;=0,0,MIN($D357,IF(Übersicht!$C$13="Annuitätendarlehen",MAX(0,Übersicht!$Q$9-$F357),IF(Übersicht!$C$13="Ratendarlehen",Übersicht!$Q$10,IF($A357&gt;=Übersicht!$Q$11,$D357,0)))))</f>
        <v>0</v>
      </c>
      <c r="H357" s="12">
        <f>IF($D357-$G357&lt;=0,0,IF(MOD($A357,Übersicht!$Q$6)=0,IF($A357/Übersicht!$Q$6&gt;=Übersicht!$C$21,MIN(Übersicht!$C$20,$D357-$G357),0),0))</f>
        <v>0</v>
      </c>
      <c r="I357" s="12">
        <f t="shared" si="32"/>
        <v>0</v>
      </c>
      <c r="J357" s="26">
        <f t="shared" si="33"/>
        <v>0</v>
      </c>
      <c r="K357" s="14" t="str">
        <f>IF($D357&lt;=0,"",IF($J357&lt;=0.005,"Volltilgung erreicht",IF($A357=Übersicht!$Q$13,"Ende der Zinsbindung",IF($H357&gt;0,"Sondertilgung",""))))</f>
        <v/>
      </c>
      <c r="L357" s="23">
        <f>IF($N356&lt;=0,0,ROUND($N356*Übersicht!$Q$7,2))</f>
        <v>0</v>
      </c>
      <c r="M357" s="23">
        <f>IF($N356&lt;=0,0,MIN($N356,IF(Übersicht!$C$13="Annuitätendarlehen",MAX(0,Übersicht!$Q$9-$L357),IF(Übersicht!$C$13="Ratendarlehen",Übersicht!$Q$10,IF($A357&gt;=Übersicht!$Q$11,$N356,0)))))</f>
        <v>0</v>
      </c>
      <c r="N357" s="23">
        <f t="shared" si="35"/>
        <v>0</v>
      </c>
    </row>
    <row r="358" spans="1:14" ht="15" customHeight="1" x14ac:dyDescent="0.25">
      <c r="A358" s="5">
        <v>351</v>
      </c>
      <c r="B358" s="20" t="str">
        <f>IF($D358&lt;=0,"",EDATE(Übersicht!$C$18,($A358-1)*12/Übersicht!$Q$6))</f>
        <v/>
      </c>
      <c r="C358" s="5" t="str">
        <f t="shared" si="30"/>
        <v/>
      </c>
      <c r="D358" s="21">
        <f t="shared" si="34"/>
        <v>0</v>
      </c>
      <c r="E358" s="7">
        <f t="shared" si="31"/>
        <v>0</v>
      </c>
      <c r="F358" s="7">
        <f>IF($D358&lt;=0,0,ROUND($D358*Übersicht!$Q$7,2))</f>
        <v>0</v>
      </c>
      <c r="G358" s="7">
        <f>IF($D358&lt;=0,0,MIN($D358,IF(Übersicht!$C$13="Annuitätendarlehen",MAX(0,Übersicht!$Q$9-$F358),IF(Übersicht!$C$13="Ratendarlehen",Übersicht!$Q$10,IF($A358&gt;=Übersicht!$Q$11,$D358,0)))))</f>
        <v>0</v>
      </c>
      <c r="H358" s="7">
        <f>IF($D358-$G358&lt;=0,0,IF(MOD($A358,Übersicht!$Q$6)=0,IF($A358/Übersicht!$Q$6&gt;=Übersicht!$C$21,MIN(Übersicht!$C$20,$D358-$G358),0),0))</f>
        <v>0</v>
      </c>
      <c r="I358" s="7">
        <f t="shared" si="32"/>
        <v>0</v>
      </c>
      <c r="J358" s="22">
        <f t="shared" si="33"/>
        <v>0</v>
      </c>
      <c r="K358" s="9" t="str">
        <f>IF($D358&lt;=0,"",IF($J358&lt;=0.005,"Volltilgung erreicht",IF($A358=Übersicht!$Q$13,"Ende der Zinsbindung",IF($H358&gt;0,"Sondertilgung",""))))</f>
        <v/>
      </c>
      <c r="L358" s="23">
        <f>IF($N357&lt;=0,0,ROUND($N357*Übersicht!$Q$7,2))</f>
        <v>0</v>
      </c>
      <c r="M358" s="23">
        <f>IF($N357&lt;=0,0,MIN($N357,IF(Übersicht!$C$13="Annuitätendarlehen",MAX(0,Übersicht!$Q$9-$L358),IF(Übersicht!$C$13="Ratendarlehen",Übersicht!$Q$10,IF($A358&gt;=Übersicht!$Q$11,$N357,0)))))</f>
        <v>0</v>
      </c>
      <c r="N358" s="23">
        <f t="shared" si="35"/>
        <v>0</v>
      </c>
    </row>
    <row r="359" spans="1:14" ht="15" customHeight="1" x14ac:dyDescent="0.25">
      <c r="A359" s="10">
        <v>352</v>
      </c>
      <c r="B359" s="24" t="str">
        <f>IF($D359&lt;=0,"",EDATE(Übersicht!$C$18,($A359-1)*12/Übersicht!$Q$6))</f>
        <v/>
      </c>
      <c r="C359" s="10" t="str">
        <f t="shared" si="30"/>
        <v/>
      </c>
      <c r="D359" s="25">
        <f t="shared" si="34"/>
        <v>0</v>
      </c>
      <c r="E359" s="12">
        <f t="shared" si="31"/>
        <v>0</v>
      </c>
      <c r="F359" s="12">
        <f>IF($D359&lt;=0,0,ROUND($D359*Übersicht!$Q$7,2))</f>
        <v>0</v>
      </c>
      <c r="G359" s="12">
        <f>IF($D359&lt;=0,0,MIN($D359,IF(Übersicht!$C$13="Annuitätendarlehen",MAX(0,Übersicht!$Q$9-$F359),IF(Übersicht!$C$13="Ratendarlehen",Übersicht!$Q$10,IF($A359&gt;=Übersicht!$Q$11,$D359,0)))))</f>
        <v>0</v>
      </c>
      <c r="H359" s="12">
        <f>IF($D359-$G359&lt;=0,0,IF(MOD($A359,Übersicht!$Q$6)=0,IF($A359/Übersicht!$Q$6&gt;=Übersicht!$C$21,MIN(Übersicht!$C$20,$D359-$G359),0),0))</f>
        <v>0</v>
      </c>
      <c r="I359" s="12">
        <f t="shared" si="32"/>
        <v>0</v>
      </c>
      <c r="J359" s="26">
        <f t="shared" si="33"/>
        <v>0</v>
      </c>
      <c r="K359" s="14" t="str">
        <f>IF($D359&lt;=0,"",IF($J359&lt;=0.005,"Volltilgung erreicht",IF($A359=Übersicht!$Q$13,"Ende der Zinsbindung",IF($H359&gt;0,"Sondertilgung",""))))</f>
        <v/>
      </c>
      <c r="L359" s="23">
        <f>IF($N358&lt;=0,0,ROUND($N358*Übersicht!$Q$7,2))</f>
        <v>0</v>
      </c>
      <c r="M359" s="23">
        <f>IF($N358&lt;=0,0,MIN($N358,IF(Übersicht!$C$13="Annuitätendarlehen",MAX(0,Übersicht!$Q$9-$L359),IF(Übersicht!$C$13="Ratendarlehen",Übersicht!$Q$10,IF($A359&gt;=Übersicht!$Q$11,$N358,0)))))</f>
        <v>0</v>
      </c>
      <c r="N359" s="23">
        <f t="shared" si="35"/>
        <v>0</v>
      </c>
    </row>
    <row r="360" spans="1:14" ht="15" customHeight="1" x14ac:dyDescent="0.25">
      <c r="A360" s="5">
        <v>353</v>
      </c>
      <c r="B360" s="20" t="str">
        <f>IF($D360&lt;=0,"",EDATE(Übersicht!$C$18,($A360-1)*12/Übersicht!$Q$6))</f>
        <v/>
      </c>
      <c r="C360" s="5" t="str">
        <f t="shared" si="30"/>
        <v/>
      </c>
      <c r="D360" s="21">
        <f t="shared" si="34"/>
        <v>0</v>
      </c>
      <c r="E360" s="7">
        <f t="shared" si="31"/>
        <v>0</v>
      </c>
      <c r="F360" s="7">
        <f>IF($D360&lt;=0,0,ROUND($D360*Übersicht!$Q$7,2))</f>
        <v>0</v>
      </c>
      <c r="G360" s="7">
        <f>IF($D360&lt;=0,0,MIN($D360,IF(Übersicht!$C$13="Annuitätendarlehen",MAX(0,Übersicht!$Q$9-$F360),IF(Übersicht!$C$13="Ratendarlehen",Übersicht!$Q$10,IF($A360&gt;=Übersicht!$Q$11,$D360,0)))))</f>
        <v>0</v>
      </c>
      <c r="H360" s="7">
        <f>IF($D360-$G360&lt;=0,0,IF(MOD($A360,Übersicht!$Q$6)=0,IF($A360/Übersicht!$Q$6&gt;=Übersicht!$C$21,MIN(Übersicht!$C$20,$D360-$G360),0),0))</f>
        <v>0</v>
      </c>
      <c r="I360" s="7">
        <f t="shared" si="32"/>
        <v>0</v>
      </c>
      <c r="J360" s="22">
        <f t="shared" si="33"/>
        <v>0</v>
      </c>
      <c r="K360" s="9" t="str">
        <f>IF($D360&lt;=0,"",IF($J360&lt;=0.005,"Volltilgung erreicht",IF($A360=Übersicht!$Q$13,"Ende der Zinsbindung",IF($H360&gt;0,"Sondertilgung",""))))</f>
        <v/>
      </c>
      <c r="L360" s="23">
        <f>IF($N359&lt;=0,0,ROUND($N359*Übersicht!$Q$7,2))</f>
        <v>0</v>
      </c>
      <c r="M360" s="23">
        <f>IF($N359&lt;=0,0,MIN($N359,IF(Übersicht!$C$13="Annuitätendarlehen",MAX(0,Übersicht!$Q$9-$L360),IF(Übersicht!$C$13="Ratendarlehen",Übersicht!$Q$10,IF($A360&gt;=Übersicht!$Q$11,$N359,0)))))</f>
        <v>0</v>
      </c>
      <c r="N360" s="23">
        <f t="shared" si="35"/>
        <v>0</v>
      </c>
    </row>
    <row r="361" spans="1:14" ht="15" customHeight="1" x14ac:dyDescent="0.25">
      <c r="A361" s="10">
        <v>354</v>
      </c>
      <c r="B361" s="24" t="str">
        <f>IF($D361&lt;=0,"",EDATE(Übersicht!$C$18,($A361-1)*12/Übersicht!$Q$6))</f>
        <v/>
      </c>
      <c r="C361" s="10" t="str">
        <f t="shared" si="30"/>
        <v/>
      </c>
      <c r="D361" s="25">
        <f t="shared" si="34"/>
        <v>0</v>
      </c>
      <c r="E361" s="12">
        <f t="shared" si="31"/>
        <v>0</v>
      </c>
      <c r="F361" s="12">
        <f>IF($D361&lt;=0,0,ROUND($D361*Übersicht!$Q$7,2))</f>
        <v>0</v>
      </c>
      <c r="G361" s="12">
        <f>IF($D361&lt;=0,0,MIN($D361,IF(Übersicht!$C$13="Annuitätendarlehen",MAX(0,Übersicht!$Q$9-$F361),IF(Übersicht!$C$13="Ratendarlehen",Übersicht!$Q$10,IF($A361&gt;=Übersicht!$Q$11,$D361,0)))))</f>
        <v>0</v>
      </c>
      <c r="H361" s="12">
        <f>IF($D361-$G361&lt;=0,0,IF(MOD($A361,Übersicht!$Q$6)=0,IF($A361/Übersicht!$Q$6&gt;=Übersicht!$C$21,MIN(Übersicht!$C$20,$D361-$G361),0),0))</f>
        <v>0</v>
      </c>
      <c r="I361" s="12">
        <f t="shared" si="32"/>
        <v>0</v>
      </c>
      <c r="J361" s="26">
        <f t="shared" si="33"/>
        <v>0</v>
      </c>
      <c r="K361" s="14" t="str">
        <f>IF($D361&lt;=0,"",IF($J361&lt;=0.005,"Volltilgung erreicht",IF($A361=Übersicht!$Q$13,"Ende der Zinsbindung",IF($H361&gt;0,"Sondertilgung",""))))</f>
        <v/>
      </c>
      <c r="L361" s="23">
        <f>IF($N360&lt;=0,0,ROUND($N360*Übersicht!$Q$7,2))</f>
        <v>0</v>
      </c>
      <c r="M361" s="23">
        <f>IF($N360&lt;=0,0,MIN($N360,IF(Übersicht!$C$13="Annuitätendarlehen",MAX(0,Übersicht!$Q$9-$L361),IF(Übersicht!$C$13="Ratendarlehen",Übersicht!$Q$10,IF($A361&gt;=Übersicht!$Q$11,$N360,0)))))</f>
        <v>0</v>
      </c>
      <c r="N361" s="23">
        <f t="shared" si="35"/>
        <v>0</v>
      </c>
    </row>
    <row r="362" spans="1:14" ht="15" customHeight="1" x14ac:dyDescent="0.25">
      <c r="A362" s="5">
        <v>355</v>
      </c>
      <c r="B362" s="20" t="str">
        <f>IF($D362&lt;=0,"",EDATE(Übersicht!$C$18,($A362-1)*12/Übersicht!$Q$6))</f>
        <v/>
      </c>
      <c r="C362" s="5" t="str">
        <f t="shared" si="30"/>
        <v/>
      </c>
      <c r="D362" s="21">
        <f t="shared" si="34"/>
        <v>0</v>
      </c>
      <c r="E362" s="7">
        <f t="shared" si="31"/>
        <v>0</v>
      </c>
      <c r="F362" s="7">
        <f>IF($D362&lt;=0,0,ROUND($D362*Übersicht!$Q$7,2))</f>
        <v>0</v>
      </c>
      <c r="G362" s="7">
        <f>IF($D362&lt;=0,0,MIN($D362,IF(Übersicht!$C$13="Annuitätendarlehen",MAX(0,Übersicht!$Q$9-$F362),IF(Übersicht!$C$13="Ratendarlehen",Übersicht!$Q$10,IF($A362&gt;=Übersicht!$Q$11,$D362,0)))))</f>
        <v>0</v>
      </c>
      <c r="H362" s="7">
        <f>IF($D362-$G362&lt;=0,0,IF(MOD($A362,Übersicht!$Q$6)=0,IF($A362/Übersicht!$Q$6&gt;=Übersicht!$C$21,MIN(Übersicht!$C$20,$D362-$G362),0),0))</f>
        <v>0</v>
      </c>
      <c r="I362" s="7">
        <f t="shared" si="32"/>
        <v>0</v>
      </c>
      <c r="J362" s="22">
        <f t="shared" si="33"/>
        <v>0</v>
      </c>
      <c r="K362" s="9" t="str">
        <f>IF($D362&lt;=0,"",IF($J362&lt;=0.005,"Volltilgung erreicht",IF($A362=Übersicht!$Q$13,"Ende der Zinsbindung",IF($H362&gt;0,"Sondertilgung",""))))</f>
        <v/>
      </c>
      <c r="L362" s="23">
        <f>IF($N361&lt;=0,0,ROUND($N361*Übersicht!$Q$7,2))</f>
        <v>0</v>
      </c>
      <c r="M362" s="23">
        <f>IF($N361&lt;=0,0,MIN($N361,IF(Übersicht!$C$13="Annuitätendarlehen",MAX(0,Übersicht!$Q$9-$L362),IF(Übersicht!$C$13="Ratendarlehen",Übersicht!$Q$10,IF($A362&gt;=Übersicht!$Q$11,$N361,0)))))</f>
        <v>0</v>
      </c>
      <c r="N362" s="23">
        <f t="shared" si="35"/>
        <v>0</v>
      </c>
    </row>
    <row r="363" spans="1:14" ht="15" customHeight="1" x14ac:dyDescent="0.25">
      <c r="A363" s="10">
        <v>356</v>
      </c>
      <c r="B363" s="24" t="str">
        <f>IF($D363&lt;=0,"",EDATE(Übersicht!$C$18,($A363-1)*12/Übersicht!$Q$6))</f>
        <v/>
      </c>
      <c r="C363" s="10" t="str">
        <f t="shared" si="30"/>
        <v/>
      </c>
      <c r="D363" s="25">
        <f t="shared" si="34"/>
        <v>0</v>
      </c>
      <c r="E363" s="12">
        <f t="shared" si="31"/>
        <v>0</v>
      </c>
      <c r="F363" s="12">
        <f>IF($D363&lt;=0,0,ROUND($D363*Übersicht!$Q$7,2))</f>
        <v>0</v>
      </c>
      <c r="G363" s="12">
        <f>IF($D363&lt;=0,0,MIN($D363,IF(Übersicht!$C$13="Annuitätendarlehen",MAX(0,Übersicht!$Q$9-$F363),IF(Übersicht!$C$13="Ratendarlehen",Übersicht!$Q$10,IF($A363&gt;=Übersicht!$Q$11,$D363,0)))))</f>
        <v>0</v>
      </c>
      <c r="H363" s="12">
        <f>IF($D363-$G363&lt;=0,0,IF(MOD($A363,Übersicht!$Q$6)=0,IF($A363/Übersicht!$Q$6&gt;=Übersicht!$C$21,MIN(Übersicht!$C$20,$D363-$G363),0),0))</f>
        <v>0</v>
      </c>
      <c r="I363" s="12">
        <f t="shared" si="32"/>
        <v>0</v>
      </c>
      <c r="J363" s="26">
        <f t="shared" si="33"/>
        <v>0</v>
      </c>
      <c r="K363" s="14" t="str">
        <f>IF($D363&lt;=0,"",IF($J363&lt;=0.005,"Volltilgung erreicht",IF($A363=Übersicht!$Q$13,"Ende der Zinsbindung",IF($H363&gt;0,"Sondertilgung",""))))</f>
        <v/>
      </c>
      <c r="L363" s="23">
        <f>IF($N362&lt;=0,0,ROUND($N362*Übersicht!$Q$7,2))</f>
        <v>0</v>
      </c>
      <c r="M363" s="23">
        <f>IF($N362&lt;=0,0,MIN($N362,IF(Übersicht!$C$13="Annuitätendarlehen",MAX(0,Übersicht!$Q$9-$L363),IF(Übersicht!$C$13="Ratendarlehen",Übersicht!$Q$10,IF($A363&gt;=Übersicht!$Q$11,$N362,0)))))</f>
        <v>0</v>
      </c>
      <c r="N363" s="23">
        <f t="shared" si="35"/>
        <v>0</v>
      </c>
    </row>
    <row r="364" spans="1:14" ht="15" customHeight="1" x14ac:dyDescent="0.25">
      <c r="A364" s="5">
        <v>357</v>
      </c>
      <c r="B364" s="20" t="str">
        <f>IF($D364&lt;=0,"",EDATE(Übersicht!$C$18,($A364-1)*12/Übersicht!$Q$6))</f>
        <v/>
      </c>
      <c r="C364" s="5" t="str">
        <f t="shared" si="30"/>
        <v/>
      </c>
      <c r="D364" s="21">
        <f t="shared" si="34"/>
        <v>0</v>
      </c>
      <c r="E364" s="7">
        <f t="shared" si="31"/>
        <v>0</v>
      </c>
      <c r="F364" s="7">
        <f>IF($D364&lt;=0,0,ROUND($D364*Übersicht!$Q$7,2))</f>
        <v>0</v>
      </c>
      <c r="G364" s="7">
        <f>IF($D364&lt;=0,0,MIN($D364,IF(Übersicht!$C$13="Annuitätendarlehen",MAX(0,Übersicht!$Q$9-$F364),IF(Übersicht!$C$13="Ratendarlehen",Übersicht!$Q$10,IF($A364&gt;=Übersicht!$Q$11,$D364,0)))))</f>
        <v>0</v>
      </c>
      <c r="H364" s="7">
        <f>IF($D364-$G364&lt;=0,0,IF(MOD($A364,Übersicht!$Q$6)=0,IF($A364/Übersicht!$Q$6&gt;=Übersicht!$C$21,MIN(Übersicht!$C$20,$D364-$G364),0),0))</f>
        <v>0</v>
      </c>
      <c r="I364" s="7">
        <f t="shared" si="32"/>
        <v>0</v>
      </c>
      <c r="J364" s="22">
        <f t="shared" si="33"/>
        <v>0</v>
      </c>
      <c r="K364" s="9" t="str">
        <f>IF($D364&lt;=0,"",IF($J364&lt;=0.005,"Volltilgung erreicht",IF($A364=Übersicht!$Q$13,"Ende der Zinsbindung",IF($H364&gt;0,"Sondertilgung",""))))</f>
        <v/>
      </c>
      <c r="L364" s="23">
        <f>IF($N363&lt;=0,0,ROUND($N363*Übersicht!$Q$7,2))</f>
        <v>0</v>
      </c>
      <c r="M364" s="23">
        <f>IF($N363&lt;=0,0,MIN($N363,IF(Übersicht!$C$13="Annuitätendarlehen",MAX(0,Übersicht!$Q$9-$L364),IF(Übersicht!$C$13="Ratendarlehen",Übersicht!$Q$10,IF($A364&gt;=Übersicht!$Q$11,$N363,0)))))</f>
        <v>0</v>
      </c>
      <c r="N364" s="23">
        <f t="shared" si="35"/>
        <v>0</v>
      </c>
    </row>
    <row r="365" spans="1:14" ht="15" customHeight="1" x14ac:dyDescent="0.25">
      <c r="A365" s="10">
        <v>358</v>
      </c>
      <c r="B365" s="24" t="str">
        <f>IF($D365&lt;=0,"",EDATE(Übersicht!$C$18,($A365-1)*12/Übersicht!$Q$6))</f>
        <v/>
      </c>
      <c r="C365" s="10" t="str">
        <f t="shared" si="30"/>
        <v/>
      </c>
      <c r="D365" s="25">
        <f t="shared" si="34"/>
        <v>0</v>
      </c>
      <c r="E365" s="12">
        <f t="shared" si="31"/>
        <v>0</v>
      </c>
      <c r="F365" s="12">
        <f>IF($D365&lt;=0,0,ROUND($D365*Übersicht!$Q$7,2))</f>
        <v>0</v>
      </c>
      <c r="G365" s="12">
        <f>IF($D365&lt;=0,0,MIN($D365,IF(Übersicht!$C$13="Annuitätendarlehen",MAX(0,Übersicht!$Q$9-$F365),IF(Übersicht!$C$13="Ratendarlehen",Übersicht!$Q$10,IF($A365&gt;=Übersicht!$Q$11,$D365,0)))))</f>
        <v>0</v>
      </c>
      <c r="H365" s="12">
        <f>IF($D365-$G365&lt;=0,0,IF(MOD($A365,Übersicht!$Q$6)=0,IF($A365/Übersicht!$Q$6&gt;=Übersicht!$C$21,MIN(Übersicht!$C$20,$D365-$G365),0),0))</f>
        <v>0</v>
      </c>
      <c r="I365" s="12">
        <f t="shared" si="32"/>
        <v>0</v>
      </c>
      <c r="J365" s="26">
        <f t="shared" si="33"/>
        <v>0</v>
      </c>
      <c r="K365" s="14" t="str">
        <f>IF($D365&lt;=0,"",IF($J365&lt;=0.005,"Volltilgung erreicht",IF($A365=Übersicht!$Q$13,"Ende der Zinsbindung",IF($H365&gt;0,"Sondertilgung",""))))</f>
        <v/>
      </c>
      <c r="L365" s="23">
        <f>IF($N364&lt;=0,0,ROUND($N364*Übersicht!$Q$7,2))</f>
        <v>0</v>
      </c>
      <c r="M365" s="23">
        <f>IF($N364&lt;=0,0,MIN($N364,IF(Übersicht!$C$13="Annuitätendarlehen",MAX(0,Übersicht!$Q$9-$L365),IF(Übersicht!$C$13="Ratendarlehen",Übersicht!$Q$10,IF($A365&gt;=Übersicht!$Q$11,$N364,0)))))</f>
        <v>0</v>
      </c>
      <c r="N365" s="23">
        <f t="shared" si="35"/>
        <v>0</v>
      </c>
    </row>
    <row r="366" spans="1:14" ht="15" customHeight="1" x14ac:dyDescent="0.25">
      <c r="A366" s="5">
        <v>359</v>
      </c>
      <c r="B366" s="20" t="str">
        <f>IF($D366&lt;=0,"",EDATE(Übersicht!$C$18,($A366-1)*12/Übersicht!$Q$6))</f>
        <v/>
      </c>
      <c r="C366" s="5" t="str">
        <f t="shared" si="30"/>
        <v/>
      </c>
      <c r="D366" s="21">
        <f t="shared" si="34"/>
        <v>0</v>
      </c>
      <c r="E366" s="7">
        <f t="shared" si="31"/>
        <v>0</v>
      </c>
      <c r="F366" s="7">
        <f>IF($D366&lt;=0,0,ROUND($D366*Übersicht!$Q$7,2))</f>
        <v>0</v>
      </c>
      <c r="G366" s="7">
        <f>IF($D366&lt;=0,0,MIN($D366,IF(Übersicht!$C$13="Annuitätendarlehen",MAX(0,Übersicht!$Q$9-$F366),IF(Übersicht!$C$13="Ratendarlehen",Übersicht!$Q$10,IF($A366&gt;=Übersicht!$Q$11,$D366,0)))))</f>
        <v>0</v>
      </c>
      <c r="H366" s="7">
        <f>IF($D366-$G366&lt;=0,0,IF(MOD($A366,Übersicht!$Q$6)=0,IF($A366/Übersicht!$Q$6&gt;=Übersicht!$C$21,MIN(Übersicht!$C$20,$D366-$G366),0),0))</f>
        <v>0</v>
      </c>
      <c r="I366" s="7">
        <f t="shared" si="32"/>
        <v>0</v>
      </c>
      <c r="J366" s="22">
        <f t="shared" si="33"/>
        <v>0</v>
      </c>
      <c r="K366" s="9" t="str">
        <f>IF($D366&lt;=0,"",IF($J366&lt;=0.005,"Volltilgung erreicht",IF($A366=Übersicht!$Q$13,"Ende der Zinsbindung",IF($H366&gt;0,"Sondertilgung",""))))</f>
        <v/>
      </c>
      <c r="L366" s="23">
        <f>IF($N365&lt;=0,0,ROUND($N365*Übersicht!$Q$7,2))</f>
        <v>0</v>
      </c>
      <c r="M366" s="23">
        <f>IF($N365&lt;=0,0,MIN($N365,IF(Übersicht!$C$13="Annuitätendarlehen",MAX(0,Übersicht!$Q$9-$L366),IF(Übersicht!$C$13="Ratendarlehen",Übersicht!$Q$10,IF($A366&gt;=Übersicht!$Q$11,$N365,0)))))</f>
        <v>0</v>
      </c>
      <c r="N366" s="23">
        <f t="shared" si="35"/>
        <v>0</v>
      </c>
    </row>
    <row r="367" spans="1:14" ht="15" customHeight="1" x14ac:dyDescent="0.25">
      <c r="A367" s="10">
        <v>360</v>
      </c>
      <c r="B367" s="24" t="str">
        <f>IF($D367&lt;=0,"",EDATE(Übersicht!$C$18,($A367-1)*12/Übersicht!$Q$6))</f>
        <v/>
      </c>
      <c r="C367" s="10" t="str">
        <f t="shared" si="30"/>
        <v/>
      </c>
      <c r="D367" s="25">
        <f t="shared" si="34"/>
        <v>0</v>
      </c>
      <c r="E367" s="12">
        <f t="shared" si="31"/>
        <v>0</v>
      </c>
      <c r="F367" s="12">
        <f>IF($D367&lt;=0,0,ROUND($D367*Übersicht!$Q$7,2))</f>
        <v>0</v>
      </c>
      <c r="G367" s="12">
        <f>IF($D367&lt;=0,0,MIN($D367,IF(Übersicht!$C$13="Annuitätendarlehen",MAX(0,Übersicht!$Q$9-$F367),IF(Übersicht!$C$13="Ratendarlehen",Übersicht!$Q$10,IF($A367&gt;=Übersicht!$Q$11,$D367,0)))))</f>
        <v>0</v>
      </c>
      <c r="H367" s="12">
        <f>IF($D367-$G367&lt;=0,0,IF(MOD($A367,Übersicht!$Q$6)=0,IF($A367/Übersicht!$Q$6&gt;=Übersicht!$C$21,MIN(Übersicht!$C$20,$D367-$G367),0),0))</f>
        <v>0</v>
      </c>
      <c r="I367" s="12">
        <f t="shared" si="32"/>
        <v>0</v>
      </c>
      <c r="J367" s="26">
        <f t="shared" si="33"/>
        <v>0</v>
      </c>
      <c r="K367" s="14" t="str">
        <f>IF($D367&lt;=0,"",IF($J367&lt;=0.005,"Volltilgung erreicht",IF($A367=Übersicht!$Q$13,"Ende der Zinsbindung",IF($H367&gt;0,"Sondertilgung",""))))</f>
        <v/>
      </c>
      <c r="L367" s="23">
        <f>IF($N366&lt;=0,0,ROUND($N366*Übersicht!$Q$7,2))</f>
        <v>0</v>
      </c>
      <c r="M367" s="23">
        <f>IF($N366&lt;=0,0,MIN($N366,IF(Übersicht!$C$13="Annuitätendarlehen",MAX(0,Übersicht!$Q$9-$L367),IF(Übersicht!$C$13="Ratendarlehen",Übersicht!$Q$10,IF($A367&gt;=Übersicht!$Q$11,$N366,0)))))</f>
        <v>0</v>
      </c>
      <c r="N367" s="23">
        <f t="shared" si="35"/>
        <v>0</v>
      </c>
    </row>
    <row r="368" spans="1:14" ht="15" customHeight="1" x14ac:dyDescent="0.25">
      <c r="A368" s="5">
        <v>361</v>
      </c>
      <c r="B368" s="20" t="str">
        <f>IF($D368&lt;=0,"",EDATE(Übersicht!$C$18,($A368-1)*12/Übersicht!$Q$6))</f>
        <v/>
      </c>
      <c r="C368" s="5" t="str">
        <f t="shared" si="30"/>
        <v/>
      </c>
      <c r="D368" s="21">
        <f t="shared" si="34"/>
        <v>0</v>
      </c>
      <c r="E368" s="7">
        <f t="shared" si="31"/>
        <v>0</v>
      </c>
      <c r="F368" s="7">
        <f>IF($D368&lt;=0,0,ROUND($D368*Übersicht!$Q$7,2))</f>
        <v>0</v>
      </c>
      <c r="G368" s="7">
        <f>IF($D368&lt;=0,0,MIN($D368,IF(Übersicht!$C$13="Annuitätendarlehen",MAX(0,Übersicht!$Q$9-$F368),IF(Übersicht!$C$13="Ratendarlehen",Übersicht!$Q$10,IF($A368&gt;=Übersicht!$Q$11,$D368,0)))))</f>
        <v>0</v>
      </c>
      <c r="H368" s="7">
        <f>IF($D368-$G368&lt;=0,0,IF(MOD($A368,Übersicht!$Q$6)=0,IF($A368/Übersicht!$Q$6&gt;=Übersicht!$C$21,MIN(Übersicht!$C$20,$D368-$G368),0),0))</f>
        <v>0</v>
      </c>
      <c r="I368" s="7">
        <f t="shared" si="32"/>
        <v>0</v>
      </c>
      <c r="J368" s="22">
        <f t="shared" si="33"/>
        <v>0</v>
      </c>
      <c r="K368" s="9" t="str">
        <f>IF($D368&lt;=0,"",IF($J368&lt;=0.005,"Volltilgung erreicht",IF($A368=Übersicht!$Q$13,"Ende der Zinsbindung",IF($H368&gt;0,"Sondertilgung",""))))</f>
        <v/>
      </c>
      <c r="L368" s="23">
        <f>IF($N367&lt;=0,0,ROUND($N367*Übersicht!$Q$7,2))</f>
        <v>0</v>
      </c>
      <c r="M368" s="23">
        <f>IF($N367&lt;=0,0,MIN($N367,IF(Übersicht!$C$13="Annuitätendarlehen",MAX(0,Übersicht!$Q$9-$L368),IF(Übersicht!$C$13="Ratendarlehen",Übersicht!$Q$10,IF($A368&gt;=Übersicht!$Q$11,$N367,0)))))</f>
        <v>0</v>
      </c>
      <c r="N368" s="23">
        <f t="shared" si="35"/>
        <v>0</v>
      </c>
    </row>
    <row r="369" spans="1:14" ht="15" customHeight="1" x14ac:dyDescent="0.25">
      <c r="A369" s="10">
        <v>362</v>
      </c>
      <c r="B369" s="24" t="str">
        <f>IF($D369&lt;=0,"",EDATE(Übersicht!$C$18,($A369-1)*12/Übersicht!$Q$6))</f>
        <v/>
      </c>
      <c r="C369" s="10" t="str">
        <f t="shared" si="30"/>
        <v/>
      </c>
      <c r="D369" s="25">
        <f t="shared" si="34"/>
        <v>0</v>
      </c>
      <c r="E369" s="12">
        <f t="shared" si="31"/>
        <v>0</v>
      </c>
      <c r="F369" s="12">
        <f>IF($D369&lt;=0,0,ROUND($D369*Übersicht!$Q$7,2))</f>
        <v>0</v>
      </c>
      <c r="G369" s="12">
        <f>IF($D369&lt;=0,0,MIN($D369,IF(Übersicht!$C$13="Annuitätendarlehen",MAX(0,Übersicht!$Q$9-$F369),IF(Übersicht!$C$13="Ratendarlehen",Übersicht!$Q$10,IF($A369&gt;=Übersicht!$Q$11,$D369,0)))))</f>
        <v>0</v>
      </c>
      <c r="H369" s="12">
        <f>IF($D369-$G369&lt;=0,0,IF(MOD($A369,Übersicht!$Q$6)=0,IF($A369/Übersicht!$Q$6&gt;=Übersicht!$C$21,MIN(Übersicht!$C$20,$D369-$G369),0),0))</f>
        <v>0</v>
      </c>
      <c r="I369" s="12">
        <f t="shared" si="32"/>
        <v>0</v>
      </c>
      <c r="J369" s="26">
        <f t="shared" si="33"/>
        <v>0</v>
      </c>
      <c r="K369" s="14" t="str">
        <f>IF($D369&lt;=0,"",IF($J369&lt;=0.005,"Volltilgung erreicht",IF($A369=Übersicht!$Q$13,"Ende der Zinsbindung",IF($H369&gt;0,"Sondertilgung",""))))</f>
        <v/>
      </c>
      <c r="L369" s="23">
        <f>IF($N368&lt;=0,0,ROUND($N368*Übersicht!$Q$7,2))</f>
        <v>0</v>
      </c>
      <c r="M369" s="23">
        <f>IF($N368&lt;=0,0,MIN($N368,IF(Übersicht!$C$13="Annuitätendarlehen",MAX(0,Übersicht!$Q$9-$L369),IF(Übersicht!$C$13="Ratendarlehen",Übersicht!$Q$10,IF($A369&gt;=Übersicht!$Q$11,$N368,0)))))</f>
        <v>0</v>
      </c>
      <c r="N369" s="23">
        <f t="shared" si="35"/>
        <v>0</v>
      </c>
    </row>
    <row r="370" spans="1:14" ht="15" customHeight="1" x14ac:dyDescent="0.25">
      <c r="A370" s="5">
        <v>363</v>
      </c>
      <c r="B370" s="20" t="str">
        <f>IF($D370&lt;=0,"",EDATE(Übersicht!$C$18,($A370-1)*12/Übersicht!$Q$6))</f>
        <v/>
      </c>
      <c r="C370" s="5" t="str">
        <f t="shared" si="30"/>
        <v/>
      </c>
      <c r="D370" s="21">
        <f t="shared" si="34"/>
        <v>0</v>
      </c>
      <c r="E370" s="7">
        <f t="shared" si="31"/>
        <v>0</v>
      </c>
      <c r="F370" s="7">
        <f>IF($D370&lt;=0,0,ROUND($D370*Übersicht!$Q$7,2))</f>
        <v>0</v>
      </c>
      <c r="G370" s="7">
        <f>IF($D370&lt;=0,0,MIN($D370,IF(Übersicht!$C$13="Annuitätendarlehen",MAX(0,Übersicht!$Q$9-$F370),IF(Übersicht!$C$13="Ratendarlehen",Übersicht!$Q$10,IF($A370&gt;=Übersicht!$Q$11,$D370,0)))))</f>
        <v>0</v>
      </c>
      <c r="H370" s="7">
        <f>IF($D370-$G370&lt;=0,0,IF(MOD($A370,Übersicht!$Q$6)=0,IF($A370/Übersicht!$Q$6&gt;=Übersicht!$C$21,MIN(Übersicht!$C$20,$D370-$G370),0),0))</f>
        <v>0</v>
      </c>
      <c r="I370" s="7">
        <f t="shared" si="32"/>
        <v>0</v>
      </c>
      <c r="J370" s="22">
        <f t="shared" si="33"/>
        <v>0</v>
      </c>
      <c r="K370" s="9" t="str">
        <f>IF($D370&lt;=0,"",IF($J370&lt;=0.005,"Volltilgung erreicht",IF($A370=Übersicht!$Q$13,"Ende der Zinsbindung",IF($H370&gt;0,"Sondertilgung",""))))</f>
        <v/>
      </c>
      <c r="L370" s="23">
        <f>IF($N369&lt;=0,0,ROUND($N369*Übersicht!$Q$7,2))</f>
        <v>0</v>
      </c>
      <c r="M370" s="23">
        <f>IF($N369&lt;=0,0,MIN($N369,IF(Übersicht!$C$13="Annuitätendarlehen",MAX(0,Übersicht!$Q$9-$L370),IF(Übersicht!$C$13="Ratendarlehen",Übersicht!$Q$10,IF($A370&gt;=Übersicht!$Q$11,$N369,0)))))</f>
        <v>0</v>
      </c>
      <c r="N370" s="23">
        <f t="shared" si="35"/>
        <v>0</v>
      </c>
    </row>
    <row r="371" spans="1:14" ht="15" customHeight="1" x14ac:dyDescent="0.25">
      <c r="A371" s="10">
        <v>364</v>
      </c>
      <c r="B371" s="24" t="str">
        <f>IF($D371&lt;=0,"",EDATE(Übersicht!$C$18,($A371-1)*12/Übersicht!$Q$6))</f>
        <v/>
      </c>
      <c r="C371" s="10" t="str">
        <f t="shared" si="30"/>
        <v/>
      </c>
      <c r="D371" s="25">
        <f t="shared" si="34"/>
        <v>0</v>
      </c>
      <c r="E371" s="12">
        <f t="shared" si="31"/>
        <v>0</v>
      </c>
      <c r="F371" s="12">
        <f>IF($D371&lt;=0,0,ROUND($D371*Übersicht!$Q$7,2))</f>
        <v>0</v>
      </c>
      <c r="G371" s="12">
        <f>IF($D371&lt;=0,0,MIN($D371,IF(Übersicht!$C$13="Annuitätendarlehen",MAX(0,Übersicht!$Q$9-$F371),IF(Übersicht!$C$13="Ratendarlehen",Übersicht!$Q$10,IF($A371&gt;=Übersicht!$Q$11,$D371,0)))))</f>
        <v>0</v>
      </c>
      <c r="H371" s="12">
        <f>IF($D371-$G371&lt;=0,0,IF(MOD($A371,Übersicht!$Q$6)=0,IF($A371/Übersicht!$Q$6&gt;=Übersicht!$C$21,MIN(Übersicht!$C$20,$D371-$G371),0),0))</f>
        <v>0</v>
      </c>
      <c r="I371" s="12">
        <f t="shared" si="32"/>
        <v>0</v>
      </c>
      <c r="J371" s="26">
        <f t="shared" si="33"/>
        <v>0</v>
      </c>
      <c r="K371" s="14" t="str">
        <f>IF($D371&lt;=0,"",IF($J371&lt;=0.005,"Volltilgung erreicht",IF($A371=Übersicht!$Q$13,"Ende der Zinsbindung",IF($H371&gt;0,"Sondertilgung",""))))</f>
        <v/>
      </c>
      <c r="L371" s="23">
        <f>IF($N370&lt;=0,0,ROUND($N370*Übersicht!$Q$7,2))</f>
        <v>0</v>
      </c>
      <c r="M371" s="23">
        <f>IF($N370&lt;=0,0,MIN($N370,IF(Übersicht!$C$13="Annuitätendarlehen",MAX(0,Übersicht!$Q$9-$L371),IF(Übersicht!$C$13="Ratendarlehen",Übersicht!$Q$10,IF($A371&gt;=Übersicht!$Q$11,$N370,0)))))</f>
        <v>0</v>
      </c>
      <c r="N371" s="23">
        <f t="shared" si="35"/>
        <v>0</v>
      </c>
    </row>
    <row r="372" spans="1:14" ht="15" customHeight="1" x14ac:dyDescent="0.25">
      <c r="A372" s="5">
        <v>365</v>
      </c>
      <c r="B372" s="20" t="str">
        <f>IF($D372&lt;=0,"",EDATE(Übersicht!$C$18,($A372-1)*12/Übersicht!$Q$6))</f>
        <v/>
      </c>
      <c r="C372" s="5" t="str">
        <f t="shared" si="30"/>
        <v/>
      </c>
      <c r="D372" s="21">
        <f t="shared" si="34"/>
        <v>0</v>
      </c>
      <c r="E372" s="7">
        <f t="shared" si="31"/>
        <v>0</v>
      </c>
      <c r="F372" s="7">
        <f>IF($D372&lt;=0,0,ROUND($D372*Übersicht!$Q$7,2))</f>
        <v>0</v>
      </c>
      <c r="G372" s="7">
        <f>IF($D372&lt;=0,0,MIN($D372,IF(Übersicht!$C$13="Annuitätendarlehen",MAX(0,Übersicht!$Q$9-$F372),IF(Übersicht!$C$13="Ratendarlehen",Übersicht!$Q$10,IF($A372&gt;=Übersicht!$Q$11,$D372,0)))))</f>
        <v>0</v>
      </c>
      <c r="H372" s="7">
        <f>IF($D372-$G372&lt;=0,0,IF(MOD($A372,Übersicht!$Q$6)=0,IF($A372/Übersicht!$Q$6&gt;=Übersicht!$C$21,MIN(Übersicht!$C$20,$D372-$G372),0),0))</f>
        <v>0</v>
      </c>
      <c r="I372" s="7">
        <f t="shared" si="32"/>
        <v>0</v>
      </c>
      <c r="J372" s="22">
        <f t="shared" si="33"/>
        <v>0</v>
      </c>
      <c r="K372" s="9" t="str">
        <f>IF($D372&lt;=0,"",IF($J372&lt;=0.005,"Volltilgung erreicht",IF($A372=Übersicht!$Q$13,"Ende der Zinsbindung",IF($H372&gt;0,"Sondertilgung",""))))</f>
        <v/>
      </c>
      <c r="L372" s="23">
        <f>IF($N371&lt;=0,0,ROUND($N371*Übersicht!$Q$7,2))</f>
        <v>0</v>
      </c>
      <c r="M372" s="23">
        <f>IF($N371&lt;=0,0,MIN($N371,IF(Übersicht!$C$13="Annuitätendarlehen",MAX(0,Übersicht!$Q$9-$L372),IF(Übersicht!$C$13="Ratendarlehen",Übersicht!$Q$10,IF($A372&gt;=Übersicht!$Q$11,$N371,0)))))</f>
        <v>0</v>
      </c>
      <c r="N372" s="23">
        <f t="shared" si="35"/>
        <v>0</v>
      </c>
    </row>
    <row r="373" spans="1:14" ht="15" customHeight="1" x14ac:dyDescent="0.25">
      <c r="A373" s="10">
        <v>366</v>
      </c>
      <c r="B373" s="24" t="str">
        <f>IF($D373&lt;=0,"",EDATE(Übersicht!$C$18,($A373-1)*12/Übersicht!$Q$6))</f>
        <v/>
      </c>
      <c r="C373" s="10" t="str">
        <f t="shared" si="30"/>
        <v/>
      </c>
      <c r="D373" s="25">
        <f t="shared" si="34"/>
        <v>0</v>
      </c>
      <c r="E373" s="12">
        <f t="shared" si="31"/>
        <v>0</v>
      </c>
      <c r="F373" s="12">
        <f>IF($D373&lt;=0,0,ROUND($D373*Übersicht!$Q$7,2))</f>
        <v>0</v>
      </c>
      <c r="G373" s="12">
        <f>IF($D373&lt;=0,0,MIN($D373,IF(Übersicht!$C$13="Annuitätendarlehen",MAX(0,Übersicht!$Q$9-$F373),IF(Übersicht!$C$13="Ratendarlehen",Übersicht!$Q$10,IF($A373&gt;=Übersicht!$Q$11,$D373,0)))))</f>
        <v>0</v>
      </c>
      <c r="H373" s="12">
        <f>IF($D373-$G373&lt;=0,0,IF(MOD($A373,Übersicht!$Q$6)=0,IF($A373/Übersicht!$Q$6&gt;=Übersicht!$C$21,MIN(Übersicht!$C$20,$D373-$G373),0),0))</f>
        <v>0</v>
      </c>
      <c r="I373" s="12">
        <f t="shared" si="32"/>
        <v>0</v>
      </c>
      <c r="J373" s="26">
        <f t="shared" si="33"/>
        <v>0</v>
      </c>
      <c r="K373" s="14" t="str">
        <f>IF($D373&lt;=0,"",IF($J373&lt;=0.005,"Volltilgung erreicht",IF($A373=Übersicht!$Q$13,"Ende der Zinsbindung",IF($H373&gt;0,"Sondertilgung",""))))</f>
        <v/>
      </c>
      <c r="L373" s="23">
        <f>IF($N372&lt;=0,0,ROUND($N372*Übersicht!$Q$7,2))</f>
        <v>0</v>
      </c>
      <c r="M373" s="23">
        <f>IF($N372&lt;=0,0,MIN($N372,IF(Übersicht!$C$13="Annuitätendarlehen",MAX(0,Übersicht!$Q$9-$L373),IF(Übersicht!$C$13="Ratendarlehen",Übersicht!$Q$10,IF($A373&gt;=Übersicht!$Q$11,$N372,0)))))</f>
        <v>0</v>
      </c>
      <c r="N373" s="23">
        <f t="shared" si="35"/>
        <v>0</v>
      </c>
    </row>
    <row r="374" spans="1:14" ht="15" customHeight="1" x14ac:dyDescent="0.25">
      <c r="A374" s="5">
        <v>367</v>
      </c>
      <c r="B374" s="20" t="str">
        <f>IF($D374&lt;=0,"",EDATE(Übersicht!$C$18,($A374-1)*12/Übersicht!$Q$6))</f>
        <v/>
      </c>
      <c r="C374" s="5" t="str">
        <f t="shared" si="30"/>
        <v/>
      </c>
      <c r="D374" s="21">
        <f t="shared" si="34"/>
        <v>0</v>
      </c>
      <c r="E374" s="7">
        <f t="shared" si="31"/>
        <v>0</v>
      </c>
      <c r="F374" s="7">
        <f>IF($D374&lt;=0,0,ROUND($D374*Übersicht!$Q$7,2))</f>
        <v>0</v>
      </c>
      <c r="G374" s="7">
        <f>IF($D374&lt;=0,0,MIN($D374,IF(Übersicht!$C$13="Annuitätendarlehen",MAX(0,Übersicht!$Q$9-$F374),IF(Übersicht!$C$13="Ratendarlehen",Übersicht!$Q$10,IF($A374&gt;=Übersicht!$Q$11,$D374,0)))))</f>
        <v>0</v>
      </c>
      <c r="H374" s="7">
        <f>IF($D374-$G374&lt;=0,0,IF(MOD($A374,Übersicht!$Q$6)=0,IF($A374/Übersicht!$Q$6&gt;=Übersicht!$C$21,MIN(Übersicht!$C$20,$D374-$G374),0),0))</f>
        <v>0</v>
      </c>
      <c r="I374" s="7">
        <f t="shared" si="32"/>
        <v>0</v>
      </c>
      <c r="J374" s="22">
        <f t="shared" si="33"/>
        <v>0</v>
      </c>
      <c r="K374" s="9" t="str">
        <f>IF($D374&lt;=0,"",IF($J374&lt;=0.005,"Volltilgung erreicht",IF($A374=Übersicht!$Q$13,"Ende der Zinsbindung",IF($H374&gt;0,"Sondertilgung",""))))</f>
        <v/>
      </c>
      <c r="L374" s="23">
        <f>IF($N373&lt;=0,0,ROUND($N373*Übersicht!$Q$7,2))</f>
        <v>0</v>
      </c>
      <c r="M374" s="23">
        <f>IF($N373&lt;=0,0,MIN($N373,IF(Übersicht!$C$13="Annuitätendarlehen",MAX(0,Übersicht!$Q$9-$L374),IF(Übersicht!$C$13="Ratendarlehen",Übersicht!$Q$10,IF($A374&gt;=Übersicht!$Q$11,$N373,0)))))</f>
        <v>0</v>
      </c>
      <c r="N374" s="23">
        <f t="shared" si="35"/>
        <v>0</v>
      </c>
    </row>
    <row r="375" spans="1:14" ht="15" customHeight="1" x14ac:dyDescent="0.25">
      <c r="A375" s="10">
        <v>368</v>
      </c>
      <c r="B375" s="24" t="str">
        <f>IF($D375&lt;=0,"",EDATE(Übersicht!$C$18,($A375-1)*12/Übersicht!$Q$6))</f>
        <v/>
      </c>
      <c r="C375" s="10" t="str">
        <f t="shared" si="30"/>
        <v/>
      </c>
      <c r="D375" s="25">
        <f t="shared" si="34"/>
        <v>0</v>
      </c>
      <c r="E375" s="12">
        <f t="shared" si="31"/>
        <v>0</v>
      </c>
      <c r="F375" s="12">
        <f>IF($D375&lt;=0,0,ROUND($D375*Übersicht!$Q$7,2))</f>
        <v>0</v>
      </c>
      <c r="G375" s="12">
        <f>IF($D375&lt;=0,0,MIN($D375,IF(Übersicht!$C$13="Annuitätendarlehen",MAX(0,Übersicht!$Q$9-$F375),IF(Übersicht!$C$13="Ratendarlehen",Übersicht!$Q$10,IF($A375&gt;=Übersicht!$Q$11,$D375,0)))))</f>
        <v>0</v>
      </c>
      <c r="H375" s="12">
        <f>IF($D375-$G375&lt;=0,0,IF(MOD($A375,Übersicht!$Q$6)=0,IF($A375/Übersicht!$Q$6&gt;=Übersicht!$C$21,MIN(Übersicht!$C$20,$D375-$G375),0),0))</f>
        <v>0</v>
      </c>
      <c r="I375" s="12">
        <f t="shared" si="32"/>
        <v>0</v>
      </c>
      <c r="J375" s="26">
        <f t="shared" si="33"/>
        <v>0</v>
      </c>
      <c r="K375" s="14" t="str">
        <f>IF($D375&lt;=0,"",IF($J375&lt;=0.005,"Volltilgung erreicht",IF($A375=Übersicht!$Q$13,"Ende der Zinsbindung",IF($H375&gt;0,"Sondertilgung",""))))</f>
        <v/>
      </c>
      <c r="L375" s="23">
        <f>IF($N374&lt;=0,0,ROUND($N374*Übersicht!$Q$7,2))</f>
        <v>0</v>
      </c>
      <c r="M375" s="23">
        <f>IF($N374&lt;=0,0,MIN($N374,IF(Übersicht!$C$13="Annuitätendarlehen",MAX(0,Übersicht!$Q$9-$L375),IF(Übersicht!$C$13="Ratendarlehen",Übersicht!$Q$10,IF($A375&gt;=Übersicht!$Q$11,$N374,0)))))</f>
        <v>0</v>
      </c>
      <c r="N375" s="23">
        <f t="shared" si="35"/>
        <v>0</v>
      </c>
    </row>
    <row r="376" spans="1:14" ht="15" customHeight="1" x14ac:dyDescent="0.25">
      <c r="A376" s="5">
        <v>369</v>
      </c>
      <c r="B376" s="20" t="str">
        <f>IF($D376&lt;=0,"",EDATE(Übersicht!$C$18,($A376-1)*12/Übersicht!$Q$6))</f>
        <v/>
      </c>
      <c r="C376" s="5" t="str">
        <f t="shared" si="30"/>
        <v/>
      </c>
      <c r="D376" s="21">
        <f t="shared" si="34"/>
        <v>0</v>
      </c>
      <c r="E376" s="7">
        <f t="shared" si="31"/>
        <v>0</v>
      </c>
      <c r="F376" s="7">
        <f>IF($D376&lt;=0,0,ROUND($D376*Übersicht!$Q$7,2))</f>
        <v>0</v>
      </c>
      <c r="G376" s="7">
        <f>IF($D376&lt;=0,0,MIN($D376,IF(Übersicht!$C$13="Annuitätendarlehen",MAX(0,Übersicht!$Q$9-$F376),IF(Übersicht!$C$13="Ratendarlehen",Übersicht!$Q$10,IF($A376&gt;=Übersicht!$Q$11,$D376,0)))))</f>
        <v>0</v>
      </c>
      <c r="H376" s="7">
        <f>IF($D376-$G376&lt;=0,0,IF(MOD($A376,Übersicht!$Q$6)=0,IF($A376/Übersicht!$Q$6&gt;=Übersicht!$C$21,MIN(Übersicht!$C$20,$D376-$G376),0),0))</f>
        <v>0</v>
      </c>
      <c r="I376" s="7">
        <f t="shared" si="32"/>
        <v>0</v>
      </c>
      <c r="J376" s="22">
        <f t="shared" si="33"/>
        <v>0</v>
      </c>
      <c r="K376" s="9" t="str">
        <f>IF($D376&lt;=0,"",IF($J376&lt;=0.005,"Volltilgung erreicht",IF($A376=Übersicht!$Q$13,"Ende der Zinsbindung",IF($H376&gt;0,"Sondertilgung",""))))</f>
        <v/>
      </c>
      <c r="L376" s="23">
        <f>IF($N375&lt;=0,0,ROUND($N375*Übersicht!$Q$7,2))</f>
        <v>0</v>
      </c>
      <c r="M376" s="23">
        <f>IF($N375&lt;=0,0,MIN($N375,IF(Übersicht!$C$13="Annuitätendarlehen",MAX(0,Übersicht!$Q$9-$L376),IF(Übersicht!$C$13="Ratendarlehen",Übersicht!$Q$10,IF($A376&gt;=Übersicht!$Q$11,$N375,0)))))</f>
        <v>0</v>
      </c>
      <c r="N376" s="23">
        <f t="shared" si="35"/>
        <v>0</v>
      </c>
    </row>
    <row r="377" spans="1:14" ht="15" customHeight="1" x14ac:dyDescent="0.25">
      <c r="A377" s="10">
        <v>370</v>
      </c>
      <c r="B377" s="24" t="str">
        <f>IF($D377&lt;=0,"",EDATE(Übersicht!$C$18,($A377-1)*12/Übersicht!$Q$6))</f>
        <v/>
      </c>
      <c r="C377" s="10" t="str">
        <f t="shared" si="30"/>
        <v/>
      </c>
      <c r="D377" s="25">
        <f t="shared" si="34"/>
        <v>0</v>
      </c>
      <c r="E377" s="12">
        <f t="shared" si="31"/>
        <v>0</v>
      </c>
      <c r="F377" s="12">
        <f>IF($D377&lt;=0,0,ROUND($D377*Übersicht!$Q$7,2))</f>
        <v>0</v>
      </c>
      <c r="G377" s="12">
        <f>IF($D377&lt;=0,0,MIN($D377,IF(Übersicht!$C$13="Annuitätendarlehen",MAX(0,Übersicht!$Q$9-$F377),IF(Übersicht!$C$13="Ratendarlehen",Übersicht!$Q$10,IF($A377&gt;=Übersicht!$Q$11,$D377,0)))))</f>
        <v>0</v>
      </c>
      <c r="H377" s="12">
        <f>IF($D377-$G377&lt;=0,0,IF(MOD($A377,Übersicht!$Q$6)=0,IF($A377/Übersicht!$Q$6&gt;=Übersicht!$C$21,MIN(Übersicht!$C$20,$D377-$G377),0),0))</f>
        <v>0</v>
      </c>
      <c r="I377" s="12">
        <f t="shared" si="32"/>
        <v>0</v>
      </c>
      <c r="J377" s="26">
        <f t="shared" si="33"/>
        <v>0</v>
      </c>
      <c r="K377" s="14" t="str">
        <f>IF($D377&lt;=0,"",IF($J377&lt;=0.005,"Volltilgung erreicht",IF($A377=Übersicht!$Q$13,"Ende der Zinsbindung",IF($H377&gt;0,"Sondertilgung",""))))</f>
        <v/>
      </c>
      <c r="L377" s="23">
        <f>IF($N376&lt;=0,0,ROUND($N376*Übersicht!$Q$7,2))</f>
        <v>0</v>
      </c>
      <c r="M377" s="23">
        <f>IF($N376&lt;=0,0,MIN($N376,IF(Übersicht!$C$13="Annuitätendarlehen",MAX(0,Übersicht!$Q$9-$L377),IF(Übersicht!$C$13="Ratendarlehen",Übersicht!$Q$10,IF($A377&gt;=Übersicht!$Q$11,$N376,0)))))</f>
        <v>0</v>
      </c>
      <c r="N377" s="23">
        <f t="shared" si="35"/>
        <v>0</v>
      </c>
    </row>
    <row r="378" spans="1:14" ht="15" customHeight="1" x14ac:dyDescent="0.25">
      <c r="A378" s="5">
        <v>371</v>
      </c>
      <c r="B378" s="20" t="str">
        <f>IF($D378&lt;=0,"",EDATE(Übersicht!$C$18,($A378-1)*12/Übersicht!$Q$6))</f>
        <v/>
      </c>
      <c r="C378" s="5" t="str">
        <f t="shared" si="30"/>
        <v/>
      </c>
      <c r="D378" s="21">
        <f t="shared" si="34"/>
        <v>0</v>
      </c>
      <c r="E378" s="7">
        <f t="shared" si="31"/>
        <v>0</v>
      </c>
      <c r="F378" s="7">
        <f>IF($D378&lt;=0,0,ROUND($D378*Übersicht!$Q$7,2))</f>
        <v>0</v>
      </c>
      <c r="G378" s="7">
        <f>IF($D378&lt;=0,0,MIN($D378,IF(Übersicht!$C$13="Annuitätendarlehen",MAX(0,Übersicht!$Q$9-$F378),IF(Übersicht!$C$13="Ratendarlehen",Übersicht!$Q$10,IF($A378&gt;=Übersicht!$Q$11,$D378,0)))))</f>
        <v>0</v>
      </c>
      <c r="H378" s="7">
        <f>IF($D378-$G378&lt;=0,0,IF(MOD($A378,Übersicht!$Q$6)=0,IF($A378/Übersicht!$Q$6&gt;=Übersicht!$C$21,MIN(Übersicht!$C$20,$D378-$G378),0),0))</f>
        <v>0</v>
      </c>
      <c r="I378" s="7">
        <f t="shared" si="32"/>
        <v>0</v>
      </c>
      <c r="J378" s="22">
        <f t="shared" si="33"/>
        <v>0</v>
      </c>
      <c r="K378" s="9" t="str">
        <f>IF($D378&lt;=0,"",IF($J378&lt;=0.005,"Volltilgung erreicht",IF($A378=Übersicht!$Q$13,"Ende der Zinsbindung",IF($H378&gt;0,"Sondertilgung",""))))</f>
        <v/>
      </c>
      <c r="L378" s="23">
        <f>IF($N377&lt;=0,0,ROUND($N377*Übersicht!$Q$7,2))</f>
        <v>0</v>
      </c>
      <c r="M378" s="23">
        <f>IF($N377&lt;=0,0,MIN($N377,IF(Übersicht!$C$13="Annuitätendarlehen",MAX(0,Übersicht!$Q$9-$L378),IF(Übersicht!$C$13="Ratendarlehen",Übersicht!$Q$10,IF($A378&gt;=Übersicht!$Q$11,$N377,0)))))</f>
        <v>0</v>
      </c>
      <c r="N378" s="23">
        <f t="shared" si="35"/>
        <v>0</v>
      </c>
    </row>
    <row r="379" spans="1:14" ht="15" customHeight="1" x14ac:dyDescent="0.25">
      <c r="A379" s="10">
        <v>372</v>
      </c>
      <c r="B379" s="24" t="str">
        <f>IF($D379&lt;=0,"",EDATE(Übersicht!$C$18,($A379-1)*12/Übersicht!$Q$6))</f>
        <v/>
      </c>
      <c r="C379" s="10" t="str">
        <f t="shared" si="30"/>
        <v/>
      </c>
      <c r="D379" s="25">
        <f t="shared" si="34"/>
        <v>0</v>
      </c>
      <c r="E379" s="12">
        <f t="shared" si="31"/>
        <v>0</v>
      </c>
      <c r="F379" s="12">
        <f>IF($D379&lt;=0,0,ROUND($D379*Übersicht!$Q$7,2))</f>
        <v>0</v>
      </c>
      <c r="G379" s="12">
        <f>IF($D379&lt;=0,0,MIN($D379,IF(Übersicht!$C$13="Annuitätendarlehen",MAX(0,Übersicht!$Q$9-$F379),IF(Übersicht!$C$13="Ratendarlehen",Übersicht!$Q$10,IF($A379&gt;=Übersicht!$Q$11,$D379,0)))))</f>
        <v>0</v>
      </c>
      <c r="H379" s="12">
        <f>IF($D379-$G379&lt;=0,0,IF(MOD($A379,Übersicht!$Q$6)=0,IF($A379/Übersicht!$Q$6&gt;=Übersicht!$C$21,MIN(Übersicht!$C$20,$D379-$G379),0),0))</f>
        <v>0</v>
      </c>
      <c r="I379" s="12">
        <f t="shared" si="32"/>
        <v>0</v>
      </c>
      <c r="J379" s="26">
        <f t="shared" si="33"/>
        <v>0</v>
      </c>
      <c r="K379" s="14" t="str">
        <f>IF($D379&lt;=0,"",IF($J379&lt;=0.005,"Volltilgung erreicht",IF($A379=Übersicht!$Q$13,"Ende der Zinsbindung",IF($H379&gt;0,"Sondertilgung",""))))</f>
        <v/>
      </c>
      <c r="L379" s="23">
        <f>IF($N378&lt;=0,0,ROUND($N378*Übersicht!$Q$7,2))</f>
        <v>0</v>
      </c>
      <c r="M379" s="23">
        <f>IF($N378&lt;=0,0,MIN($N378,IF(Übersicht!$C$13="Annuitätendarlehen",MAX(0,Übersicht!$Q$9-$L379),IF(Übersicht!$C$13="Ratendarlehen",Übersicht!$Q$10,IF($A379&gt;=Übersicht!$Q$11,$N378,0)))))</f>
        <v>0</v>
      </c>
      <c r="N379" s="23">
        <f t="shared" si="35"/>
        <v>0</v>
      </c>
    </row>
    <row r="380" spans="1:14" ht="15" customHeight="1" x14ac:dyDescent="0.25">
      <c r="A380" s="5">
        <v>373</v>
      </c>
      <c r="B380" s="20" t="str">
        <f>IF($D380&lt;=0,"",EDATE(Übersicht!$C$18,($A380-1)*12/Übersicht!$Q$6))</f>
        <v/>
      </c>
      <c r="C380" s="5" t="str">
        <f t="shared" si="30"/>
        <v/>
      </c>
      <c r="D380" s="21">
        <f t="shared" si="34"/>
        <v>0</v>
      </c>
      <c r="E380" s="7">
        <f t="shared" si="31"/>
        <v>0</v>
      </c>
      <c r="F380" s="7">
        <f>IF($D380&lt;=0,0,ROUND($D380*Übersicht!$Q$7,2))</f>
        <v>0</v>
      </c>
      <c r="G380" s="7">
        <f>IF($D380&lt;=0,0,MIN($D380,IF(Übersicht!$C$13="Annuitätendarlehen",MAX(0,Übersicht!$Q$9-$F380),IF(Übersicht!$C$13="Ratendarlehen",Übersicht!$Q$10,IF($A380&gt;=Übersicht!$Q$11,$D380,0)))))</f>
        <v>0</v>
      </c>
      <c r="H380" s="7">
        <f>IF($D380-$G380&lt;=0,0,IF(MOD($A380,Übersicht!$Q$6)=0,IF($A380/Übersicht!$Q$6&gt;=Übersicht!$C$21,MIN(Übersicht!$C$20,$D380-$G380),0),0))</f>
        <v>0</v>
      </c>
      <c r="I380" s="7">
        <f t="shared" si="32"/>
        <v>0</v>
      </c>
      <c r="J380" s="22">
        <f t="shared" si="33"/>
        <v>0</v>
      </c>
      <c r="K380" s="9" t="str">
        <f>IF($D380&lt;=0,"",IF($J380&lt;=0.005,"Volltilgung erreicht",IF($A380=Übersicht!$Q$13,"Ende der Zinsbindung",IF($H380&gt;0,"Sondertilgung",""))))</f>
        <v/>
      </c>
      <c r="L380" s="23">
        <f>IF($N379&lt;=0,0,ROUND($N379*Übersicht!$Q$7,2))</f>
        <v>0</v>
      </c>
      <c r="M380" s="23">
        <f>IF($N379&lt;=0,0,MIN($N379,IF(Übersicht!$C$13="Annuitätendarlehen",MAX(0,Übersicht!$Q$9-$L380),IF(Übersicht!$C$13="Ratendarlehen",Übersicht!$Q$10,IF($A380&gt;=Übersicht!$Q$11,$N379,0)))))</f>
        <v>0</v>
      </c>
      <c r="N380" s="23">
        <f t="shared" si="35"/>
        <v>0</v>
      </c>
    </row>
    <row r="381" spans="1:14" ht="15" customHeight="1" x14ac:dyDescent="0.25">
      <c r="A381" s="10">
        <v>374</v>
      </c>
      <c r="B381" s="24" t="str">
        <f>IF($D381&lt;=0,"",EDATE(Übersicht!$C$18,($A381-1)*12/Übersicht!$Q$6))</f>
        <v/>
      </c>
      <c r="C381" s="10" t="str">
        <f t="shared" si="30"/>
        <v/>
      </c>
      <c r="D381" s="25">
        <f t="shared" si="34"/>
        <v>0</v>
      </c>
      <c r="E381" s="12">
        <f t="shared" si="31"/>
        <v>0</v>
      </c>
      <c r="F381" s="12">
        <f>IF($D381&lt;=0,0,ROUND($D381*Übersicht!$Q$7,2))</f>
        <v>0</v>
      </c>
      <c r="G381" s="12">
        <f>IF($D381&lt;=0,0,MIN($D381,IF(Übersicht!$C$13="Annuitätendarlehen",MAX(0,Übersicht!$Q$9-$F381),IF(Übersicht!$C$13="Ratendarlehen",Übersicht!$Q$10,IF($A381&gt;=Übersicht!$Q$11,$D381,0)))))</f>
        <v>0</v>
      </c>
      <c r="H381" s="12">
        <f>IF($D381-$G381&lt;=0,0,IF(MOD($A381,Übersicht!$Q$6)=0,IF($A381/Übersicht!$Q$6&gt;=Übersicht!$C$21,MIN(Übersicht!$C$20,$D381-$G381),0),0))</f>
        <v>0</v>
      </c>
      <c r="I381" s="12">
        <f t="shared" si="32"/>
        <v>0</v>
      </c>
      <c r="J381" s="26">
        <f t="shared" si="33"/>
        <v>0</v>
      </c>
      <c r="K381" s="14" t="str">
        <f>IF($D381&lt;=0,"",IF($J381&lt;=0.005,"Volltilgung erreicht",IF($A381=Übersicht!$Q$13,"Ende der Zinsbindung",IF($H381&gt;0,"Sondertilgung",""))))</f>
        <v/>
      </c>
      <c r="L381" s="23">
        <f>IF($N380&lt;=0,0,ROUND($N380*Übersicht!$Q$7,2))</f>
        <v>0</v>
      </c>
      <c r="M381" s="23">
        <f>IF($N380&lt;=0,0,MIN($N380,IF(Übersicht!$C$13="Annuitätendarlehen",MAX(0,Übersicht!$Q$9-$L381),IF(Übersicht!$C$13="Ratendarlehen",Übersicht!$Q$10,IF($A381&gt;=Übersicht!$Q$11,$N380,0)))))</f>
        <v>0</v>
      </c>
      <c r="N381" s="23">
        <f t="shared" si="35"/>
        <v>0</v>
      </c>
    </row>
    <row r="382" spans="1:14" ht="15" customHeight="1" x14ac:dyDescent="0.25">
      <c r="A382" s="5">
        <v>375</v>
      </c>
      <c r="B382" s="20" t="str">
        <f>IF($D382&lt;=0,"",EDATE(Übersicht!$C$18,($A382-1)*12/Übersicht!$Q$6))</f>
        <v/>
      </c>
      <c r="C382" s="5" t="str">
        <f t="shared" si="30"/>
        <v/>
      </c>
      <c r="D382" s="21">
        <f t="shared" si="34"/>
        <v>0</v>
      </c>
      <c r="E382" s="7">
        <f t="shared" si="31"/>
        <v>0</v>
      </c>
      <c r="F382" s="7">
        <f>IF($D382&lt;=0,0,ROUND($D382*Übersicht!$Q$7,2))</f>
        <v>0</v>
      </c>
      <c r="G382" s="7">
        <f>IF($D382&lt;=0,0,MIN($D382,IF(Übersicht!$C$13="Annuitätendarlehen",MAX(0,Übersicht!$Q$9-$F382),IF(Übersicht!$C$13="Ratendarlehen",Übersicht!$Q$10,IF($A382&gt;=Übersicht!$Q$11,$D382,0)))))</f>
        <v>0</v>
      </c>
      <c r="H382" s="7">
        <f>IF($D382-$G382&lt;=0,0,IF(MOD($A382,Übersicht!$Q$6)=0,IF($A382/Übersicht!$Q$6&gt;=Übersicht!$C$21,MIN(Übersicht!$C$20,$D382-$G382),0),0))</f>
        <v>0</v>
      </c>
      <c r="I382" s="7">
        <f t="shared" si="32"/>
        <v>0</v>
      </c>
      <c r="J382" s="22">
        <f t="shared" si="33"/>
        <v>0</v>
      </c>
      <c r="K382" s="9" t="str">
        <f>IF($D382&lt;=0,"",IF($J382&lt;=0.005,"Volltilgung erreicht",IF($A382=Übersicht!$Q$13,"Ende der Zinsbindung",IF($H382&gt;0,"Sondertilgung",""))))</f>
        <v/>
      </c>
      <c r="L382" s="23">
        <f>IF($N381&lt;=0,0,ROUND($N381*Übersicht!$Q$7,2))</f>
        <v>0</v>
      </c>
      <c r="M382" s="23">
        <f>IF($N381&lt;=0,0,MIN($N381,IF(Übersicht!$C$13="Annuitätendarlehen",MAX(0,Übersicht!$Q$9-$L382),IF(Übersicht!$C$13="Ratendarlehen",Übersicht!$Q$10,IF($A382&gt;=Übersicht!$Q$11,$N381,0)))))</f>
        <v>0</v>
      </c>
      <c r="N382" s="23">
        <f t="shared" si="35"/>
        <v>0</v>
      </c>
    </row>
    <row r="383" spans="1:14" ht="15" customHeight="1" x14ac:dyDescent="0.25">
      <c r="A383" s="10">
        <v>376</v>
      </c>
      <c r="B383" s="24" t="str">
        <f>IF($D383&lt;=0,"",EDATE(Übersicht!$C$18,($A383-1)*12/Übersicht!$Q$6))</f>
        <v/>
      </c>
      <c r="C383" s="10" t="str">
        <f t="shared" si="30"/>
        <v/>
      </c>
      <c r="D383" s="25">
        <f t="shared" si="34"/>
        <v>0</v>
      </c>
      <c r="E383" s="12">
        <f t="shared" si="31"/>
        <v>0</v>
      </c>
      <c r="F383" s="12">
        <f>IF($D383&lt;=0,0,ROUND($D383*Übersicht!$Q$7,2))</f>
        <v>0</v>
      </c>
      <c r="G383" s="12">
        <f>IF($D383&lt;=0,0,MIN($D383,IF(Übersicht!$C$13="Annuitätendarlehen",MAX(0,Übersicht!$Q$9-$F383),IF(Übersicht!$C$13="Ratendarlehen",Übersicht!$Q$10,IF($A383&gt;=Übersicht!$Q$11,$D383,0)))))</f>
        <v>0</v>
      </c>
      <c r="H383" s="12">
        <f>IF($D383-$G383&lt;=0,0,IF(MOD($A383,Übersicht!$Q$6)=0,IF($A383/Übersicht!$Q$6&gt;=Übersicht!$C$21,MIN(Übersicht!$C$20,$D383-$G383),0),0))</f>
        <v>0</v>
      </c>
      <c r="I383" s="12">
        <f t="shared" si="32"/>
        <v>0</v>
      </c>
      <c r="J383" s="26">
        <f t="shared" si="33"/>
        <v>0</v>
      </c>
      <c r="K383" s="14" t="str">
        <f>IF($D383&lt;=0,"",IF($J383&lt;=0.005,"Volltilgung erreicht",IF($A383=Übersicht!$Q$13,"Ende der Zinsbindung",IF($H383&gt;0,"Sondertilgung",""))))</f>
        <v/>
      </c>
      <c r="L383" s="23">
        <f>IF($N382&lt;=0,0,ROUND($N382*Übersicht!$Q$7,2))</f>
        <v>0</v>
      </c>
      <c r="M383" s="23">
        <f>IF($N382&lt;=0,0,MIN($N382,IF(Übersicht!$C$13="Annuitätendarlehen",MAX(0,Übersicht!$Q$9-$L383),IF(Übersicht!$C$13="Ratendarlehen",Übersicht!$Q$10,IF($A383&gt;=Übersicht!$Q$11,$N382,0)))))</f>
        <v>0</v>
      </c>
      <c r="N383" s="23">
        <f t="shared" si="35"/>
        <v>0</v>
      </c>
    </row>
    <row r="384" spans="1:14" ht="15" customHeight="1" x14ac:dyDescent="0.25">
      <c r="A384" s="5">
        <v>377</v>
      </c>
      <c r="B384" s="20" t="str">
        <f>IF($D384&lt;=0,"",EDATE(Übersicht!$C$18,($A384-1)*12/Übersicht!$Q$6))</f>
        <v/>
      </c>
      <c r="C384" s="5" t="str">
        <f t="shared" si="30"/>
        <v/>
      </c>
      <c r="D384" s="21">
        <f t="shared" si="34"/>
        <v>0</v>
      </c>
      <c r="E384" s="7">
        <f t="shared" si="31"/>
        <v>0</v>
      </c>
      <c r="F384" s="7">
        <f>IF($D384&lt;=0,0,ROUND($D384*Übersicht!$Q$7,2))</f>
        <v>0</v>
      </c>
      <c r="G384" s="7">
        <f>IF($D384&lt;=0,0,MIN($D384,IF(Übersicht!$C$13="Annuitätendarlehen",MAX(0,Übersicht!$Q$9-$F384),IF(Übersicht!$C$13="Ratendarlehen",Übersicht!$Q$10,IF($A384&gt;=Übersicht!$Q$11,$D384,0)))))</f>
        <v>0</v>
      </c>
      <c r="H384" s="7">
        <f>IF($D384-$G384&lt;=0,0,IF(MOD($A384,Übersicht!$Q$6)=0,IF($A384/Übersicht!$Q$6&gt;=Übersicht!$C$21,MIN(Übersicht!$C$20,$D384-$G384),0),0))</f>
        <v>0</v>
      </c>
      <c r="I384" s="7">
        <f t="shared" si="32"/>
        <v>0</v>
      </c>
      <c r="J384" s="22">
        <f t="shared" si="33"/>
        <v>0</v>
      </c>
      <c r="K384" s="9" t="str">
        <f>IF($D384&lt;=0,"",IF($J384&lt;=0.005,"Volltilgung erreicht",IF($A384=Übersicht!$Q$13,"Ende der Zinsbindung",IF($H384&gt;0,"Sondertilgung",""))))</f>
        <v/>
      </c>
      <c r="L384" s="23">
        <f>IF($N383&lt;=0,0,ROUND($N383*Übersicht!$Q$7,2))</f>
        <v>0</v>
      </c>
      <c r="M384" s="23">
        <f>IF($N383&lt;=0,0,MIN($N383,IF(Übersicht!$C$13="Annuitätendarlehen",MAX(0,Übersicht!$Q$9-$L384),IF(Übersicht!$C$13="Ratendarlehen",Übersicht!$Q$10,IF($A384&gt;=Übersicht!$Q$11,$N383,0)))))</f>
        <v>0</v>
      </c>
      <c r="N384" s="23">
        <f t="shared" si="35"/>
        <v>0</v>
      </c>
    </row>
    <row r="385" spans="1:14" ht="15" customHeight="1" x14ac:dyDescent="0.25">
      <c r="A385" s="10">
        <v>378</v>
      </c>
      <c r="B385" s="24" t="str">
        <f>IF($D385&lt;=0,"",EDATE(Übersicht!$C$18,($A385-1)*12/Übersicht!$Q$6))</f>
        <v/>
      </c>
      <c r="C385" s="10" t="str">
        <f t="shared" si="30"/>
        <v/>
      </c>
      <c r="D385" s="25">
        <f t="shared" si="34"/>
        <v>0</v>
      </c>
      <c r="E385" s="12">
        <f t="shared" si="31"/>
        <v>0</v>
      </c>
      <c r="F385" s="12">
        <f>IF($D385&lt;=0,0,ROUND($D385*Übersicht!$Q$7,2))</f>
        <v>0</v>
      </c>
      <c r="G385" s="12">
        <f>IF($D385&lt;=0,0,MIN($D385,IF(Übersicht!$C$13="Annuitätendarlehen",MAX(0,Übersicht!$Q$9-$F385),IF(Übersicht!$C$13="Ratendarlehen",Übersicht!$Q$10,IF($A385&gt;=Übersicht!$Q$11,$D385,0)))))</f>
        <v>0</v>
      </c>
      <c r="H385" s="12">
        <f>IF($D385-$G385&lt;=0,0,IF(MOD($A385,Übersicht!$Q$6)=0,IF($A385/Übersicht!$Q$6&gt;=Übersicht!$C$21,MIN(Übersicht!$C$20,$D385-$G385),0),0))</f>
        <v>0</v>
      </c>
      <c r="I385" s="12">
        <f t="shared" si="32"/>
        <v>0</v>
      </c>
      <c r="J385" s="26">
        <f t="shared" si="33"/>
        <v>0</v>
      </c>
      <c r="K385" s="14" t="str">
        <f>IF($D385&lt;=0,"",IF($J385&lt;=0.005,"Volltilgung erreicht",IF($A385=Übersicht!$Q$13,"Ende der Zinsbindung",IF($H385&gt;0,"Sondertilgung",""))))</f>
        <v/>
      </c>
      <c r="L385" s="23">
        <f>IF($N384&lt;=0,0,ROUND($N384*Übersicht!$Q$7,2))</f>
        <v>0</v>
      </c>
      <c r="M385" s="23">
        <f>IF($N384&lt;=0,0,MIN($N384,IF(Übersicht!$C$13="Annuitätendarlehen",MAX(0,Übersicht!$Q$9-$L385),IF(Übersicht!$C$13="Ratendarlehen",Übersicht!$Q$10,IF($A385&gt;=Übersicht!$Q$11,$N384,0)))))</f>
        <v>0</v>
      </c>
      <c r="N385" s="23">
        <f t="shared" si="35"/>
        <v>0</v>
      </c>
    </row>
    <row r="386" spans="1:14" ht="15" customHeight="1" x14ac:dyDescent="0.25">
      <c r="A386" s="5">
        <v>379</v>
      </c>
      <c r="B386" s="20" t="str">
        <f>IF($D386&lt;=0,"",EDATE(Übersicht!$C$18,($A386-1)*12/Übersicht!$Q$6))</f>
        <v/>
      </c>
      <c r="C386" s="5" t="str">
        <f t="shared" si="30"/>
        <v/>
      </c>
      <c r="D386" s="21">
        <f t="shared" si="34"/>
        <v>0</v>
      </c>
      <c r="E386" s="7">
        <f t="shared" si="31"/>
        <v>0</v>
      </c>
      <c r="F386" s="7">
        <f>IF($D386&lt;=0,0,ROUND($D386*Übersicht!$Q$7,2))</f>
        <v>0</v>
      </c>
      <c r="G386" s="7">
        <f>IF($D386&lt;=0,0,MIN($D386,IF(Übersicht!$C$13="Annuitätendarlehen",MAX(0,Übersicht!$Q$9-$F386),IF(Übersicht!$C$13="Ratendarlehen",Übersicht!$Q$10,IF($A386&gt;=Übersicht!$Q$11,$D386,0)))))</f>
        <v>0</v>
      </c>
      <c r="H386" s="7">
        <f>IF($D386-$G386&lt;=0,0,IF(MOD($A386,Übersicht!$Q$6)=0,IF($A386/Übersicht!$Q$6&gt;=Übersicht!$C$21,MIN(Übersicht!$C$20,$D386-$G386),0),0))</f>
        <v>0</v>
      </c>
      <c r="I386" s="7">
        <f t="shared" si="32"/>
        <v>0</v>
      </c>
      <c r="J386" s="22">
        <f t="shared" si="33"/>
        <v>0</v>
      </c>
      <c r="K386" s="9" t="str">
        <f>IF($D386&lt;=0,"",IF($J386&lt;=0.005,"Volltilgung erreicht",IF($A386=Übersicht!$Q$13,"Ende der Zinsbindung",IF($H386&gt;0,"Sondertilgung",""))))</f>
        <v/>
      </c>
      <c r="L386" s="23">
        <f>IF($N385&lt;=0,0,ROUND($N385*Übersicht!$Q$7,2))</f>
        <v>0</v>
      </c>
      <c r="M386" s="23">
        <f>IF($N385&lt;=0,0,MIN($N385,IF(Übersicht!$C$13="Annuitätendarlehen",MAX(0,Übersicht!$Q$9-$L386),IF(Übersicht!$C$13="Ratendarlehen",Übersicht!$Q$10,IF($A386&gt;=Übersicht!$Q$11,$N385,0)))))</f>
        <v>0</v>
      </c>
      <c r="N386" s="23">
        <f t="shared" si="35"/>
        <v>0</v>
      </c>
    </row>
    <row r="387" spans="1:14" ht="15" customHeight="1" x14ac:dyDescent="0.25">
      <c r="A387" s="10">
        <v>380</v>
      </c>
      <c r="B387" s="24" t="str">
        <f>IF($D387&lt;=0,"",EDATE(Übersicht!$C$18,($A387-1)*12/Übersicht!$Q$6))</f>
        <v/>
      </c>
      <c r="C387" s="10" t="str">
        <f t="shared" si="30"/>
        <v/>
      </c>
      <c r="D387" s="25">
        <f t="shared" si="34"/>
        <v>0</v>
      </c>
      <c r="E387" s="12">
        <f t="shared" si="31"/>
        <v>0</v>
      </c>
      <c r="F387" s="12">
        <f>IF($D387&lt;=0,0,ROUND($D387*Übersicht!$Q$7,2))</f>
        <v>0</v>
      </c>
      <c r="G387" s="12">
        <f>IF($D387&lt;=0,0,MIN($D387,IF(Übersicht!$C$13="Annuitätendarlehen",MAX(0,Übersicht!$Q$9-$F387),IF(Übersicht!$C$13="Ratendarlehen",Übersicht!$Q$10,IF($A387&gt;=Übersicht!$Q$11,$D387,0)))))</f>
        <v>0</v>
      </c>
      <c r="H387" s="12">
        <f>IF($D387-$G387&lt;=0,0,IF(MOD($A387,Übersicht!$Q$6)=0,IF($A387/Übersicht!$Q$6&gt;=Übersicht!$C$21,MIN(Übersicht!$C$20,$D387-$G387),0),0))</f>
        <v>0</v>
      </c>
      <c r="I387" s="12">
        <f t="shared" si="32"/>
        <v>0</v>
      </c>
      <c r="J387" s="26">
        <f t="shared" si="33"/>
        <v>0</v>
      </c>
      <c r="K387" s="14" t="str">
        <f>IF($D387&lt;=0,"",IF($J387&lt;=0.005,"Volltilgung erreicht",IF($A387=Übersicht!$Q$13,"Ende der Zinsbindung",IF($H387&gt;0,"Sondertilgung",""))))</f>
        <v/>
      </c>
      <c r="L387" s="23">
        <f>IF($N386&lt;=0,0,ROUND($N386*Übersicht!$Q$7,2))</f>
        <v>0</v>
      </c>
      <c r="M387" s="23">
        <f>IF($N386&lt;=0,0,MIN($N386,IF(Übersicht!$C$13="Annuitätendarlehen",MAX(0,Übersicht!$Q$9-$L387),IF(Übersicht!$C$13="Ratendarlehen",Übersicht!$Q$10,IF($A387&gt;=Übersicht!$Q$11,$N386,0)))))</f>
        <v>0</v>
      </c>
      <c r="N387" s="23">
        <f t="shared" si="35"/>
        <v>0</v>
      </c>
    </row>
    <row r="388" spans="1:14" ht="15" customHeight="1" x14ac:dyDescent="0.25">
      <c r="A388" s="5">
        <v>381</v>
      </c>
      <c r="B388" s="20" t="str">
        <f>IF($D388&lt;=0,"",EDATE(Übersicht!$C$18,($A388-1)*12/Übersicht!$Q$6))</f>
        <v/>
      </c>
      <c r="C388" s="5" t="str">
        <f t="shared" si="30"/>
        <v/>
      </c>
      <c r="D388" s="21">
        <f t="shared" si="34"/>
        <v>0</v>
      </c>
      <c r="E388" s="7">
        <f t="shared" si="31"/>
        <v>0</v>
      </c>
      <c r="F388" s="7">
        <f>IF($D388&lt;=0,0,ROUND($D388*Übersicht!$Q$7,2))</f>
        <v>0</v>
      </c>
      <c r="G388" s="7">
        <f>IF($D388&lt;=0,0,MIN($D388,IF(Übersicht!$C$13="Annuitätendarlehen",MAX(0,Übersicht!$Q$9-$F388),IF(Übersicht!$C$13="Ratendarlehen",Übersicht!$Q$10,IF($A388&gt;=Übersicht!$Q$11,$D388,0)))))</f>
        <v>0</v>
      </c>
      <c r="H388" s="7">
        <f>IF($D388-$G388&lt;=0,0,IF(MOD($A388,Übersicht!$Q$6)=0,IF($A388/Übersicht!$Q$6&gt;=Übersicht!$C$21,MIN(Übersicht!$C$20,$D388-$G388),0),0))</f>
        <v>0</v>
      </c>
      <c r="I388" s="7">
        <f t="shared" si="32"/>
        <v>0</v>
      </c>
      <c r="J388" s="22">
        <f t="shared" si="33"/>
        <v>0</v>
      </c>
      <c r="K388" s="9" t="str">
        <f>IF($D388&lt;=0,"",IF($J388&lt;=0.005,"Volltilgung erreicht",IF($A388=Übersicht!$Q$13,"Ende der Zinsbindung",IF($H388&gt;0,"Sondertilgung",""))))</f>
        <v/>
      </c>
      <c r="L388" s="23">
        <f>IF($N387&lt;=0,0,ROUND($N387*Übersicht!$Q$7,2))</f>
        <v>0</v>
      </c>
      <c r="M388" s="23">
        <f>IF($N387&lt;=0,0,MIN($N387,IF(Übersicht!$C$13="Annuitätendarlehen",MAX(0,Übersicht!$Q$9-$L388),IF(Übersicht!$C$13="Ratendarlehen",Übersicht!$Q$10,IF($A388&gt;=Übersicht!$Q$11,$N387,0)))))</f>
        <v>0</v>
      </c>
      <c r="N388" s="23">
        <f t="shared" si="35"/>
        <v>0</v>
      </c>
    </row>
    <row r="389" spans="1:14" ht="15" customHeight="1" x14ac:dyDescent="0.25">
      <c r="A389" s="10">
        <v>382</v>
      </c>
      <c r="B389" s="24" t="str">
        <f>IF($D389&lt;=0,"",EDATE(Übersicht!$C$18,($A389-1)*12/Übersicht!$Q$6))</f>
        <v/>
      </c>
      <c r="C389" s="10" t="str">
        <f t="shared" si="30"/>
        <v/>
      </c>
      <c r="D389" s="25">
        <f t="shared" si="34"/>
        <v>0</v>
      </c>
      <c r="E389" s="12">
        <f t="shared" si="31"/>
        <v>0</v>
      </c>
      <c r="F389" s="12">
        <f>IF($D389&lt;=0,0,ROUND($D389*Übersicht!$Q$7,2))</f>
        <v>0</v>
      </c>
      <c r="G389" s="12">
        <f>IF($D389&lt;=0,0,MIN($D389,IF(Übersicht!$C$13="Annuitätendarlehen",MAX(0,Übersicht!$Q$9-$F389),IF(Übersicht!$C$13="Ratendarlehen",Übersicht!$Q$10,IF($A389&gt;=Übersicht!$Q$11,$D389,0)))))</f>
        <v>0</v>
      </c>
      <c r="H389" s="12">
        <f>IF($D389-$G389&lt;=0,0,IF(MOD($A389,Übersicht!$Q$6)=0,IF($A389/Übersicht!$Q$6&gt;=Übersicht!$C$21,MIN(Übersicht!$C$20,$D389-$G389),0),0))</f>
        <v>0</v>
      </c>
      <c r="I389" s="12">
        <f t="shared" si="32"/>
        <v>0</v>
      </c>
      <c r="J389" s="26">
        <f t="shared" si="33"/>
        <v>0</v>
      </c>
      <c r="K389" s="14" t="str">
        <f>IF($D389&lt;=0,"",IF($J389&lt;=0.005,"Volltilgung erreicht",IF($A389=Übersicht!$Q$13,"Ende der Zinsbindung",IF($H389&gt;0,"Sondertilgung",""))))</f>
        <v/>
      </c>
      <c r="L389" s="23">
        <f>IF($N388&lt;=0,0,ROUND($N388*Übersicht!$Q$7,2))</f>
        <v>0</v>
      </c>
      <c r="M389" s="23">
        <f>IF($N388&lt;=0,0,MIN($N388,IF(Übersicht!$C$13="Annuitätendarlehen",MAX(0,Übersicht!$Q$9-$L389),IF(Übersicht!$C$13="Ratendarlehen",Übersicht!$Q$10,IF($A389&gt;=Übersicht!$Q$11,$N388,0)))))</f>
        <v>0</v>
      </c>
      <c r="N389" s="23">
        <f t="shared" si="35"/>
        <v>0</v>
      </c>
    </row>
    <row r="390" spans="1:14" ht="15" customHeight="1" x14ac:dyDescent="0.25">
      <c r="A390" s="5">
        <v>383</v>
      </c>
      <c r="B390" s="20" t="str">
        <f>IF($D390&lt;=0,"",EDATE(Übersicht!$C$18,($A390-1)*12/Übersicht!$Q$6))</f>
        <v/>
      </c>
      <c r="C390" s="5" t="str">
        <f t="shared" si="30"/>
        <v/>
      </c>
      <c r="D390" s="21">
        <f t="shared" si="34"/>
        <v>0</v>
      </c>
      <c r="E390" s="7">
        <f t="shared" si="31"/>
        <v>0</v>
      </c>
      <c r="F390" s="7">
        <f>IF($D390&lt;=0,0,ROUND($D390*Übersicht!$Q$7,2))</f>
        <v>0</v>
      </c>
      <c r="G390" s="7">
        <f>IF($D390&lt;=0,0,MIN($D390,IF(Übersicht!$C$13="Annuitätendarlehen",MAX(0,Übersicht!$Q$9-$F390),IF(Übersicht!$C$13="Ratendarlehen",Übersicht!$Q$10,IF($A390&gt;=Übersicht!$Q$11,$D390,0)))))</f>
        <v>0</v>
      </c>
      <c r="H390" s="7">
        <f>IF($D390-$G390&lt;=0,0,IF(MOD($A390,Übersicht!$Q$6)=0,IF($A390/Übersicht!$Q$6&gt;=Übersicht!$C$21,MIN(Übersicht!$C$20,$D390-$G390),0),0))</f>
        <v>0</v>
      </c>
      <c r="I390" s="7">
        <f t="shared" si="32"/>
        <v>0</v>
      </c>
      <c r="J390" s="22">
        <f t="shared" si="33"/>
        <v>0</v>
      </c>
      <c r="K390" s="9" t="str">
        <f>IF($D390&lt;=0,"",IF($J390&lt;=0.005,"Volltilgung erreicht",IF($A390=Übersicht!$Q$13,"Ende der Zinsbindung",IF($H390&gt;0,"Sondertilgung",""))))</f>
        <v/>
      </c>
      <c r="L390" s="23">
        <f>IF($N389&lt;=0,0,ROUND($N389*Übersicht!$Q$7,2))</f>
        <v>0</v>
      </c>
      <c r="M390" s="23">
        <f>IF($N389&lt;=0,0,MIN($N389,IF(Übersicht!$C$13="Annuitätendarlehen",MAX(0,Übersicht!$Q$9-$L390),IF(Übersicht!$C$13="Ratendarlehen",Übersicht!$Q$10,IF($A390&gt;=Übersicht!$Q$11,$N389,0)))))</f>
        <v>0</v>
      </c>
      <c r="N390" s="23">
        <f t="shared" si="35"/>
        <v>0</v>
      </c>
    </row>
    <row r="391" spans="1:14" ht="15" customHeight="1" x14ac:dyDescent="0.25">
      <c r="A391" s="10">
        <v>384</v>
      </c>
      <c r="B391" s="24" t="str">
        <f>IF($D391&lt;=0,"",EDATE(Übersicht!$C$18,($A391-1)*12/Übersicht!$Q$6))</f>
        <v/>
      </c>
      <c r="C391" s="10" t="str">
        <f t="shared" si="30"/>
        <v/>
      </c>
      <c r="D391" s="25">
        <f t="shared" si="34"/>
        <v>0</v>
      </c>
      <c r="E391" s="12">
        <f t="shared" si="31"/>
        <v>0</v>
      </c>
      <c r="F391" s="12">
        <f>IF($D391&lt;=0,0,ROUND($D391*Übersicht!$Q$7,2))</f>
        <v>0</v>
      </c>
      <c r="G391" s="12">
        <f>IF($D391&lt;=0,0,MIN($D391,IF(Übersicht!$C$13="Annuitätendarlehen",MAX(0,Übersicht!$Q$9-$F391),IF(Übersicht!$C$13="Ratendarlehen",Übersicht!$Q$10,IF($A391&gt;=Übersicht!$Q$11,$D391,0)))))</f>
        <v>0</v>
      </c>
      <c r="H391" s="12">
        <f>IF($D391-$G391&lt;=0,0,IF(MOD($A391,Übersicht!$Q$6)=0,IF($A391/Übersicht!$Q$6&gt;=Übersicht!$C$21,MIN(Übersicht!$C$20,$D391-$G391),0),0))</f>
        <v>0</v>
      </c>
      <c r="I391" s="12">
        <f t="shared" si="32"/>
        <v>0</v>
      </c>
      <c r="J391" s="26">
        <f t="shared" si="33"/>
        <v>0</v>
      </c>
      <c r="K391" s="14" t="str">
        <f>IF($D391&lt;=0,"",IF($J391&lt;=0.005,"Volltilgung erreicht",IF($A391=Übersicht!$Q$13,"Ende der Zinsbindung",IF($H391&gt;0,"Sondertilgung",""))))</f>
        <v/>
      </c>
      <c r="L391" s="23">
        <f>IF($N390&lt;=0,0,ROUND($N390*Übersicht!$Q$7,2))</f>
        <v>0</v>
      </c>
      <c r="M391" s="23">
        <f>IF($N390&lt;=0,0,MIN($N390,IF(Übersicht!$C$13="Annuitätendarlehen",MAX(0,Übersicht!$Q$9-$L391),IF(Übersicht!$C$13="Ratendarlehen",Übersicht!$Q$10,IF($A391&gt;=Übersicht!$Q$11,$N390,0)))))</f>
        <v>0</v>
      </c>
      <c r="N391" s="23">
        <f t="shared" si="35"/>
        <v>0</v>
      </c>
    </row>
    <row r="392" spans="1:14" ht="15" customHeight="1" x14ac:dyDescent="0.25">
      <c r="A392" s="5">
        <v>385</v>
      </c>
      <c r="B392" s="20" t="str">
        <f>IF($D392&lt;=0,"",EDATE(Übersicht!$C$18,($A392-1)*12/Übersicht!$Q$6))</f>
        <v/>
      </c>
      <c r="C392" s="5" t="str">
        <f t="shared" ref="C392:C455" si="36">IF($B392="","",YEAR($B392))</f>
        <v/>
      </c>
      <c r="D392" s="21">
        <f t="shared" si="34"/>
        <v>0</v>
      </c>
      <c r="E392" s="7">
        <f t="shared" ref="E392:E455" si="37">IF($D392&lt;=0,0,$F392+$G392)</f>
        <v>0</v>
      </c>
      <c r="F392" s="7">
        <f>IF($D392&lt;=0,0,ROUND($D392*Übersicht!$Q$7,2))</f>
        <v>0</v>
      </c>
      <c r="G392" s="7">
        <f>IF($D392&lt;=0,0,MIN($D392,IF(Übersicht!$C$13="Annuitätendarlehen",MAX(0,Übersicht!$Q$9-$F392),IF(Übersicht!$C$13="Ratendarlehen",Übersicht!$Q$10,IF($A392&gt;=Übersicht!$Q$11,$D392,0)))))</f>
        <v>0</v>
      </c>
      <c r="H392" s="7">
        <f>IF($D392-$G392&lt;=0,0,IF(MOD($A392,Übersicht!$Q$6)=0,IF($A392/Übersicht!$Q$6&gt;=Übersicht!$C$21,MIN(Übersicht!$C$20,$D392-$G392),0),0))</f>
        <v>0</v>
      </c>
      <c r="I392" s="7">
        <f t="shared" ref="I392:I455" si="38">IF($D392&lt;=0,0,$E392+$H392)</f>
        <v>0</v>
      </c>
      <c r="J392" s="22">
        <f t="shared" ref="J392:J455" si="39">IF($D392&lt;=0,0,ROUND($D392-$G392-$H392,2))</f>
        <v>0</v>
      </c>
      <c r="K392" s="9" t="str">
        <f>IF($D392&lt;=0,"",IF($J392&lt;=0.005,"Volltilgung erreicht",IF($A392=Übersicht!$Q$13,"Ende der Zinsbindung",IF($H392&gt;0,"Sondertilgung",""))))</f>
        <v/>
      </c>
      <c r="L392" s="23">
        <f>IF($N391&lt;=0,0,ROUND($N391*Übersicht!$Q$7,2))</f>
        <v>0</v>
      </c>
      <c r="M392" s="23">
        <f>IF($N391&lt;=0,0,MIN($N391,IF(Übersicht!$C$13="Annuitätendarlehen",MAX(0,Übersicht!$Q$9-$L392),IF(Übersicht!$C$13="Ratendarlehen",Übersicht!$Q$10,IF($A392&gt;=Übersicht!$Q$11,$N391,0)))))</f>
        <v>0</v>
      </c>
      <c r="N392" s="23">
        <f t="shared" si="35"/>
        <v>0</v>
      </c>
    </row>
    <row r="393" spans="1:14" ht="15" customHeight="1" x14ac:dyDescent="0.25">
      <c r="A393" s="10">
        <v>386</v>
      </c>
      <c r="B393" s="24" t="str">
        <f>IF($D393&lt;=0,"",EDATE(Übersicht!$C$18,($A393-1)*12/Übersicht!$Q$6))</f>
        <v/>
      </c>
      <c r="C393" s="10" t="str">
        <f t="shared" si="36"/>
        <v/>
      </c>
      <c r="D393" s="25">
        <f t="shared" ref="D393:D456" si="40">$J392</f>
        <v>0</v>
      </c>
      <c r="E393" s="12">
        <f t="shared" si="37"/>
        <v>0</v>
      </c>
      <c r="F393" s="12">
        <f>IF($D393&lt;=0,0,ROUND($D393*Übersicht!$Q$7,2))</f>
        <v>0</v>
      </c>
      <c r="G393" s="12">
        <f>IF($D393&lt;=0,0,MIN($D393,IF(Übersicht!$C$13="Annuitätendarlehen",MAX(0,Übersicht!$Q$9-$F393),IF(Übersicht!$C$13="Ratendarlehen",Übersicht!$Q$10,IF($A393&gt;=Übersicht!$Q$11,$D393,0)))))</f>
        <v>0</v>
      </c>
      <c r="H393" s="12">
        <f>IF($D393-$G393&lt;=0,0,IF(MOD($A393,Übersicht!$Q$6)=0,IF($A393/Übersicht!$Q$6&gt;=Übersicht!$C$21,MIN(Übersicht!$C$20,$D393-$G393),0),0))</f>
        <v>0</v>
      </c>
      <c r="I393" s="12">
        <f t="shared" si="38"/>
        <v>0</v>
      </c>
      <c r="J393" s="26">
        <f t="shared" si="39"/>
        <v>0</v>
      </c>
      <c r="K393" s="14" t="str">
        <f>IF($D393&lt;=0,"",IF($J393&lt;=0.005,"Volltilgung erreicht",IF($A393=Übersicht!$Q$13,"Ende der Zinsbindung",IF($H393&gt;0,"Sondertilgung",""))))</f>
        <v/>
      </c>
      <c r="L393" s="23">
        <f>IF($N392&lt;=0,0,ROUND($N392*Übersicht!$Q$7,2))</f>
        <v>0</v>
      </c>
      <c r="M393" s="23">
        <f>IF($N392&lt;=0,0,MIN($N392,IF(Übersicht!$C$13="Annuitätendarlehen",MAX(0,Übersicht!$Q$9-$L393),IF(Übersicht!$C$13="Ratendarlehen",Übersicht!$Q$10,IF($A393&gt;=Übersicht!$Q$11,$N392,0)))))</f>
        <v>0</v>
      </c>
      <c r="N393" s="23">
        <f t="shared" ref="N393:N456" si="41">IF($N392&lt;=0,0,ROUND($N392-$M393,2))</f>
        <v>0</v>
      </c>
    </row>
    <row r="394" spans="1:14" ht="15" customHeight="1" x14ac:dyDescent="0.25">
      <c r="A394" s="5">
        <v>387</v>
      </c>
      <c r="B394" s="20" t="str">
        <f>IF($D394&lt;=0,"",EDATE(Übersicht!$C$18,($A394-1)*12/Übersicht!$Q$6))</f>
        <v/>
      </c>
      <c r="C394" s="5" t="str">
        <f t="shared" si="36"/>
        <v/>
      </c>
      <c r="D394" s="21">
        <f t="shared" si="40"/>
        <v>0</v>
      </c>
      <c r="E394" s="7">
        <f t="shared" si="37"/>
        <v>0</v>
      </c>
      <c r="F394" s="7">
        <f>IF($D394&lt;=0,0,ROUND($D394*Übersicht!$Q$7,2))</f>
        <v>0</v>
      </c>
      <c r="G394" s="7">
        <f>IF($D394&lt;=0,0,MIN($D394,IF(Übersicht!$C$13="Annuitätendarlehen",MAX(0,Übersicht!$Q$9-$F394),IF(Übersicht!$C$13="Ratendarlehen",Übersicht!$Q$10,IF($A394&gt;=Übersicht!$Q$11,$D394,0)))))</f>
        <v>0</v>
      </c>
      <c r="H394" s="7">
        <f>IF($D394-$G394&lt;=0,0,IF(MOD($A394,Übersicht!$Q$6)=0,IF($A394/Übersicht!$Q$6&gt;=Übersicht!$C$21,MIN(Übersicht!$C$20,$D394-$G394),0),0))</f>
        <v>0</v>
      </c>
      <c r="I394" s="7">
        <f t="shared" si="38"/>
        <v>0</v>
      </c>
      <c r="J394" s="22">
        <f t="shared" si="39"/>
        <v>0</v>
      </c>
      <c r="K394" s="9" t="str">
        <f>IF($D394&lt;=0,"",IF($J394&lt;=0.005,"Volltilgung erreicht",IF($A394=Übersicht!$Q$13,"Ende der Zinsbindung",IF($H394&gt;0,"Sondertilgung",""))))</f>
        <v/>
      </c>
      <c r="L394" s="23">
        <f>IF($N393&lt;=0,0,ROUND($N393*Übersicht!$Q$7,2))</f>
        <v>0</v>
      </c>
      <c r="M394" s="23">
        <f>IF($N393&lt;=0,0,MIN($N393,IF(Übersicht!$C$13="Annuitätendarlehen",MAX(0,Übersicht!$Q$9-$L394),IF(Übersicht!$C$13="Ratendarlehen",Übersicht!$Q$10,IF($A394&gt;=Übersicht!$Q$11,$N393,0)))))</f>
        <v>0</v>
      </c>
      <c r="N394" s="23">
        <f t="shared" si="41"/>
        <v>0</v>
      </c>
    </row>
    <row r="395" spans="1:14" ht="15" customHeight="1" x14ac:dyDescent="0.25">
      <c r="A395" s="10">
        <v>388</v>
      </c>
      <c r="B395" s="24" t="str">
        <f>IF($D395&lt;=0,"",EDATE(Übersicht!$C$18,($A395-1)*12/Übersicht!$Q$6))</f>
        <v/>
      </c>
      <c r="C395" s="10" t="str">
        <f t="shared" si="36"/>
        <v/>
      </c>
      <c r="D395" s="25">
        <f t="shared" si="40"/>
        <v>0</v>
      </c>
      <c r="E395" s="12">
        <f t="shared" si="37"/>
        <v>0</v>
      </c>
      <c r="F395" s="12">
        <f>IF($D395&lt;=0,0,ROUND($D395*Übersicht!$Q$7,2))</f>
        <v>0</v>
      </c>
      <c r="G395" s="12">
        <f>IF($D395&lt;=0,0,MIN($D395,IF(Übersicht!$C$13="Annuitätendarlehen",MAX(0,Übersicht!$Q$9-$F395),IF(Übersicht!$C$13="Ratendarlehen",Übersicht!$Q$10,IF($A395&gt;=Übersicht!$Q$11,$D395,0)))))</f>
        <v>0</v>
      </c>
      <c r="H395" s="12">
        <f>IF($D395-$G395&lt;=0,0,IF(MOD($A395,Übersicht!$Q$6)=0,IF($A395/Übersicht!$Q$6&gt;=Übersicht!$C$21,MIN(Übersicht!$C$20,$D395-$G395),0),0))</f>
        <v>0</v>
      </c>
      <c r="I395" s="12">
        <f t="shared" si="38"/>
        <v>0</v>
      </c>
      <c r="J395" s="26">
        <f t="shared" si="39"/>
        <v>0</v>
      </c>
      <c r="K395" s="14" t="str">
        <f>IF($D395&lt;=0,"",IF($J395&lt;=0.005,"Volltilgung erreicht",IF($A395=Übersicht!$Q$13,"Ende der Zinsbindung",IF($H395&gt;0,"Sondertilgung",""))))</f>
        <v/>
      </c>
      <c r="L395" s="23">
        <f>IF($N394&lt;=0,0,ROUND($N394*Übersicht!$Q$7,2))</f>
        <v>0</v>
      </c>
      <c r="M395" s="23">
        <f>IF($N394&lt;=0,0,MIN($N394,IF(Übersicht!$C$13="Annuitätendarlehen",MAX(0,Übersicht!$Q$9-$L395),IF(Übersicht!$C$13="Ratendarlehen",Übersicht!$Q$10,IF($A395&gt;=Übersicht!$Q$11,$N394,0)))))</f>
        <v>0</v>
      </c>
      <c r="N395" s="23">
        <f t="shared" si="41"/>
        <v>0</v>
      </c>
    </row>
    <row r="396" spans="1:14" ht="15" customHeight="1" x14ac:dyDescent="0.25">
      <c r="A396" s="5">
        <v>389</v>
      </c>
      <c r="B396" s="20" t="str">
        <f>IF($D396&lt;=0,"",EDATE(Übersicht!$C$18,($A396-1)*12/Übersicht!$Q$6))</f>
        <v/>
      </c>
      <c r="C396" s="5" t="str">
        <f t="shared" si="36"/>
        <v/>
      </c>
      <c r="D396" s="21">
        <f t="shared" si="40"/>
        <v>0</v>
      </c>
      <c r="E396" s="7">
        <f t="shared" si="37"/>
        <v>0</v>
      </c>
      <c r="F396" s="7">
        <f>IF($D396&lt;=0,0,ROUND($D396*Übersicht!$Q$7,2))</f>
        <v>0</v>
      </c>
      <c r="G396" s="7">
        <f>IF($D396&lt;=0,0,MIN($D396,IF(Übersicht!$C$13="Annuitätendarlehen",MAX(0,Übersicht!$Q$9-$F396),IF(Übersicht!$C$13="Ratendarlehen",Übersicht!$Q$10,IF($A396&gt;=Übersicht!$Q$11,$D396,0)))))</f>
        <v>0</v>
      </c>
      <c r="H396" s="7">
        <f>IF($D396-$G396&lt;=0,0,IF(MOD($A396,Übersicht!$Q$6)=0,IF($A396/Übersicht!$Q$6&gt;=Übersicht!$C$21,MIN(Übersicht!$C$20,$D396-$G396),0),0))</f>
        <v>0</v>
      </c>
      <c r="I396" s="7">
        <f t="shared" si="38"/>
        <v>0</v>
      </c>
      <c r="J396" s="22">
        <f t="shared" si="39"/>
        <v>0</v>
      </c>
      <c r="K396" s="9" t="str">
        <f>IF($D396&lt;=0,"",IF($J396&lt;=0.005,"Volltilgung erreicht",IF($A396=Übersicht!$Q$13,"Ende der Zinsbindung",IF($H396&gt;0,"Sondertilgung",""))))</f>
        <v/>
      </c>
      <c r="L396" s="23">
        <f>IF($N395&lt;=0,0,ROUND($N395*Übersicht!$Q$7,2))</f>
        <v>0</v>
      </c>
      <c r="M396" s="23">
        <f>IF($N395&lt;=0,0,MIN($N395,IF(Übersicht!$C$13="Annuitätendarlehen",MAX(0,Übersicht!$Q$9-$L396),IF(Übersicht!$C$13="Ratendarlehen",Übersicht!$Q$10,IF($A396&gt;=Übersicht!$Q$11,$N395,0)))))</f>
        <v>0</v>
      </c>
      <c r="N396" s="23">
        <f t="shared" si="41"/>
        <v>0</v>
      </c>
    </row>
    <row r="397" spans="1:14" ht="15" customHeight="1" x14ac:dyDescent="0.25">
      <c r="A397" s="10">
        <v>390</v>
      </c>
      <c r="B397" s="24" t="str">
        <f>IF($D397&lt;=0,"",EDATE(Übersicht!$C$18,($A397-1)*12/Übersicht!$Q$6))</f>
        <v/>
      </c>
      <c r="C397" s="10" t="str">
        <f t="shared" si="36"/>
        <v/>
      </c>
      <c r="D397" s="25">
        <f t="shared" si="40"/>
        <v>0</v>
      </c>
      <c r="E397" s="12">
        <f t="shared" si="37"/>
        <v>0</v>
      </c>
      <c r="F397" s="12">
        <f>IF($D397&lt;=0,0,ROUND($D397*Übersicht!$Q$7,2))</f>
        <v>0</v>
      </c>
      <c r="G397" s="12">
        <f>IF($D397&lt;=0,0,MIN($D397,IF(Übersicht!$C$13="Annuitätendarlehen",MAX(0,Übersicht!$Q$9-$F397),IF(Übersicht!$C$13="Ratendarlehen",Übersicht!$Q$10,IF($A397&gt;=Übersicht!$Q$11,$D397,0)))))</f>
        <v>0</v>
      </c>
      <c r="H397" s="12">
        <f>IF($D397-$G397&lt;=0,0,IF(MOD($A397,Übersicht!$Q$6)=0,IF($A397/Übersicht!$Q$6&gt;=Übersicht!$C$21,MIN(Übersicht!$C$20,$D397-$G397),0),0))</f>
        <v>0</v>
      </c>
      <c r="I397" s="12">
        <f t="shared" si="38"/>
        <v>0</v>
      </c>
      <c r="J397" s="26">
        <f t="shared" si="39"/>
        <v>0</v>
      </c>
      <c r="K397" s="14" t="str">
        <f>IF($D397&lt;=0,"",IF($J397&lt;=0.005,"Volltilgung erreicht",IF($A397=Übersicht!$Q$13,"Ende der Zinsbindung",IF($H397&gt;0,"Sondertilgung",""))))</f>
        <v/>
      </c>
      <c r="L397" s="23">
        <f>IF($N396&lt;=0,0,ROUND($N396*Übersicht!$Q$7,2))</f>
        <v>0</v>
      </c>
      <c r="M397" s="23">
        <f>IF($N396&lt;=0,0,MIN($N396,IF(Übersicht!$C$13="Annuitätendarlehen",MAX(0,Übersicht!$Q$9-$L397),IF(Übersicht!$C$13="Ratendarlehen",Übersicht!$Q$10,IF($A397&gt;=Übersicht!$Q$11,$N396,0)))))</f>
        <v>0</v>
      </c>
      <c r="N397" s="23">
        <f t="shared" si="41"/>
        <v>0</v>
      </c>
    </row>
    <row r="398" spans="1:14" ht="15" customHeight="1" x14ac:dyDescent="0.25">
      <c r="A398" s="5">
        <v>391</v>
      </c>
      <c r="B398" s="20" t="str">
        <f>IF($D398&lt;=0,"",EDATE(Übersicht!$C$18,($A398-1)*12/Übersicht!$Q$6))</f>
        <v/>
      </c>
      <c r="C398" s="5" t="str">
        <f t="shared" si="36"/>
        <v/>
      </c>
      <c r="D398" s="21">
        <f t="shared" si="40"/>
        <v>0</v>
      </c>
      <c r="E398" s="7">
        <f t="shared" si="37"/>
        <v>0</v>
      </c>
      <c r="F398" s="7">
        <f>IF($D398&lt;=0,0,ROUND($D398*Übersicht!$Q$7,2))</f>
        <v>0</v>
      </c>
      <c r="G398" s="7">
        <f>IF($D398&lt;=0,0,MIN($D398,IF(Übersicht!$C$13="Annuitätendarlehen",MAX(0,Übersicht!$Q$9-$F398),IF(Übersicht!$C$13="Ratendarlehen",Übersicht!$Q$10,IF($A398&gt;=Übersicht!$Q$11,$D398,0)))))</f>
        <v>0</v>
      </c>
      <c r="H398" s="7">
        <f>IF($D398-$G398&lt;=0,0,IF(MOD($A398,Übersicht!$Q$6)=0,IF($A398/Übersicht!$Q$6&gt;=Übersicht!$C$21,MIN(Übersicht!$C$20,$D398-$G398),0),0))</f>
        <v>0</v>
      </c>
      <c r="I398" s="7">
        <f t="shared" si="38"/>
        <v>0</v>
      </c>
      <c r="J398" s="22">
        <f t="shared" si="39"/>
        <v>0</v>
      </c>
      <c r="K398" s="9" t="str">
        <f>IF($D398&lt;=0,"",IF($J398&lt;=0.005,"Volltilgung erreicht",IF($A398=Übersicht!$Q$13,"Ende der Zinsbindung",IF($H398&gt;0,"Sondertilgung",""))))</f>
        <v/>
      </c>
      <c r="L398" s="23">
        <f>IF($N397&lt;=0,0,ROUND($N397*Übersicht!$Q$7,2))</f>
        <v>0</v>
      </c>
      <c r="M398" s="23">
        <f>IF($N397&lt;=0,0,MIN($N397,IF(Übersicht!$C$13="Annuitätendarlehen",MAX(0,Übersicht!$Q$9-$L398),IF(Übersicht!$C$13="Ratendarlehen",Übersicht!$Q$10,IF($A398&gt;=Übersicht!$Q$11,$N397,0)))))</f>
        <v>0</v>
      </c>
      <c r="N398" s="23">
        <f t="shared" si="41"/>
        <v>0</v>
      </c>
    </row>
    <row r="399" spans="1:14" ht="15" customHeight="1" x14ac:dyDescent="0.25">
      <c r="A399" s="10">
        <v>392</v>
      </c>
      <c r="B399" s="24" t="str">
        <f>IF($D399&lt;=0,"",EDATE(Übersicht!$C$18,($A399-1)*12/Übersicht!$Q$6))</f>
        <v/>
      </c>
      <c r="C399" s="10" t="str">
        <f t="shared" si="36"/>
        <v/>
      </c>
      <c r="D399" s="25">
        <f t="shared" si="40"/>
        <v>0</v>
      </c>
      <c r="E399" s="12">
        <f t="shared" si="37"/>
        <v>0</v>
      </c>
      <c r="F399" s="12">
        <f>IF($D399&lt;=0,0,ROUND($D399*Übersicht!$Q$7,2))</f>
        <v>0</v>
      </c>
      <c r="G399" s="12">
        <f>IF($D399&lt;=0,0,MIN($D399,IF(Übersicht!$C$13="Annuitätendarlehen",MAX(0,Übersicht!$Q$9-$F399),IF(Übersicht!$C$13="Ratendarlehen",Übersicht!$Q$10,IF($A399&gt;=Übersicht!$Q$11,$D399,0)))))</f>
        <v>0</v>
      </c>
      <c r="H399" s="12">
        <f>IF($D399-$G399&lt;=0,0,IF(MOD($A399,Übersicht!$Q$6)=0,IF($A399/Übersicht!$Q$6&gt;=Übersicht!$C$21,MIN(Übersicht!$C$20,$D399-$G399),0),0))</f>
        <v>0</v>
      </c>
      <c r="I399" s="12">
        <f t="shared" si="38"/>
        <v>0</v>
      </c>
      <c r="J399" s="26">
        <f t="shared" si="39"/>
        <v>0</v>
      </c>
      <c r="K399" s="14" t="str">
        <f>IF($D399&lt;=0,"",IF($J399&lt;=0.005,"Volltilgung erreicht",IF($A399=Übersicht!$Q$13,"Ende der Zinsbindung",IF($H399&gt;0,"Sondertilgung",""))))</f>
        <v/>
      </c>
      <c r="L399" s="23">
        <f>IF($N398&lt;=0,0,ROUND($N398*Übersicht!$Q$7,2))</f>
        <v>0</v>
      </c>
      <c r="M399" s="23">
        <f>IF($N398&lt;=0,0,MIN($N398,IF(Übersicht!$C$13="Annuitätendarlehen",MAX(0,Übersicht!$Q$9-$L399),IF(Übersicht!$C$13="Ratendarlehen",Übersicht!$Q$10,IF($A399&gt;=Übersicht!$Q$11,$N398,0)))))</f>
        <v>0</v>
      </c>
      <c r="N399" s="23">
        <f t="shared" si="41"/>
        <v>0</v>
      </c>
    </row>
    <row r="400" spans="1:14" ht="15" customHeight="1" x14ac:dyDescent="0.25">
      <c r="A400" s="5">
        <v>393</v>
      </c>
      <c r="B400" s="20" t="str">
        <f>IF($D400&lt;=0,"",EDATE(Übersicht!$C$18,($A400-1)*12/Übersicht!$Q$6))</f>
        <v/>
      </c>
      <c r="C400" s="5" t="str">
        <f t="shared" si="36"/>
        <v/>
      </c>
      <c r="D400" s="21">
        <f t="shared" si="40"/>
        <v>0</v>
      </c>
      <c r="E400" s="7">
        <f t="shared" si="37"/>
        <v>0</v>
      </c>
      <c r="F400" s="7">
        <f>IF($D400&lt;=0,0,ROUND($D400*Übersicht!$Q$7,2))</f>
        <v>0</v>
      </c>
      <c r="G400" s="7">
        <f>IF($D400&lt;=0,0,MIN($D400,IF(Übersicht!$C$13="Annuitätendarlehen",MAX(0,Übersicht!$Q$9-$F400),IF(Übersicht!$C$13="Ratendarlehen",Übersicht!$Q$10,IF($A400&gt;=Übersicht!$Q$11,$D400,0)))))</f>
        <v>0</v>
      </c>
      <c r="H400" s="7">
        <f>IF($D400-$G400&lt;=0,0,IF(MOD($A400,Übersicht!$Q$6)=0,IF($A400/Übersicht!$Q$6&gt;=Übersicht!$C$21,MIN(Übersicht!$C$20,$D400-$G400),0),0))</f>
        <v>0</v>
      </c>
      <c r="I400" s="7">
        <f t="shared" si="38"/>
        <v>0</v>
      </c>
      <c r="J400" s="22">
        <f t="shared" si="39"/>
        <v>0</v>
      </c>
      <c r="K400" s="9" t="str">
        <f>IF($D400&lt;=0,"",IF($J400&lt;=0.005,"Volltilgung erreicht",IF($A400=Übersicht!$Q$13,"Ende der Zinsbindung",IF($H400&gt;0,"Sondertilgung",""))))</f>
        <v/>
      </c>
      <c r="L400" s="23">
        <f>IF($N399&lt;=0,0,ROUND($N399*Übersicht!$Q$7,2))</f>
        <v>0</v>
      </c>
      <c r="M400" s="23">
        <f>IF($N399&lt;=0,0,MIN($N399,IF(Übersicht!$C$13="Annuitätendarlehen",MAX(0,Übersicht!$Q$9-$L400),IF(Übersicht!$C$13="Ratendarlehen",Übersicht!$Q$10,IF($A400&gt;=Übersicht!$Q$11,$N399,0)))))</f>
        <v>0</v>
      </c>
      <c r="N400" s="23">
        <f t="shared" si="41"/>
        <v>0</v>
      </c>
    </row>
    <row r="401" spans="1:14" ht="15" customHeight="1" x14ac:dyDescent="0.25">
      <c r="A401" s="10">
        <v>394</v>
      </c>
      <c r="B401" s="24" t="str">
        <f>IF($D401&lt;=0,"",EDATE(Übersicht!$C$18,($A401-1)*12/Übersicht!$Q$6))</f>
        <v/>
      </c>
      <c r="C401" s="10" t="str">
        <f t="shared" si="36"/>
        <v/>
      </c>
      <c r="D401" s="25">
        <f t="shared" si="40"/>
        <v>0</v>
      </c>
      <c r="E401" s="12">
        <f t="shared" si="37"/>
        <v>0</v>
      </c>
      <c r="F401" s="12">
        <f>IF($D401&lt;=0,0,ROUND($D401*Übersicht!$Q$7,2))</f>
        <v>0</v>
      </c>
      <c r="G401" s="12">
        <f>IF($D401&lt;=0,0,MIN($D401,IF(Übersicht!$C$13="Annuitätendarlehen",MAX(0,Übersicht!$Q$9-$F401),IF(Übersicht!$C$13="Ratendarlehen",Übersicht!$Q$10,IF($A401&gt;=Übersicht!$Q$11,$D401,0)))))</f>
        <v>0</v>
      </c>
      <c r="H401" s="12">
        <f>IF($D401-$G401&lt;=0,0,IF(MOD($A401,Übersicht!$Q$6)=0,IF($A401/Übersicht!$Q$6&gt;=Übersicht!$C$21,MIN(Übersicht!$C$20,$D401-$G401),0),0))</f>
        <v>0</v>
      </c>
      <c r="I401" s="12">
        <f t="shared" si="38"/>
        <v>0</v>
      </c>
      <c r="J401" s="26">
        <f t="shared" si="39"/>
        <v>0</v>
      </c>
      <c r="K401" s="14" t="str">
        <f>IF($D401&lt;=0,"",IF($J401&lt;=0.005,"Volltilgung erreicht",IF($A401=Übersicht!$Q$13,"Ende der Zinsbindung",IF($H401&gt;0,"Sondertilgung",""))))</f>
        <v/>
      </c>
      <c r="L401" s="23">
        <f>IF($N400&lt;=0,0,ROUND($N400*Übersicht!$Q$7,2))</f>
        <v>0</v>
      </c>
      <c r="M401" s="23">
        <f>IF($N400&lt;=0,0,MIN($N400,IF(Übersicht!$C$13="Annuitätendarlehen",MAX(0,Übersicht!$Q$9-$L401),IF(Übersicht!$C$13="Ratendarlehen",Übersicht!$Q$10,IF($A401&gt;=Übersicht!$Q$11,$N400,0)))))</f>
        <v>0</v>
      </c>
      <c r="N401" s="23">
        <f t="shared" si="41"/>
        <v>0</v>
      </c>
    </row>
    <row r="402" spans="1:14" ht="15" customHeight="1" x14ac:dyDescent="0.25">
      <c r="A402" s="5">
        <v>395</v>
      </c>
      <c r="B402" s="20" t="str">
        <f>IF($D402&lt;=0,"",EDATE(Übersicht!$C$18,($A402-1)*12/Übersicht!$Q$6))</f>
        <v/>
      </c>
      <c r="C402" s="5" t="str">
        <f t="shared" si="36"/>
        <v/>
      </c>
      <c r="D402" s="21">
        <f t="shared" si="40"/>
        <v>0</v>
      </c>
      <c r="E402" s="7">
        <f t="shared" si="37"/>
        <v>0</v>
      </c>
      <c r="F402" s="7">
        <f>IF($D402&lt;=0,0,ROUND($D402*Übersicht!$Q$7,2))</f>
        <v>0</v>
      </c>
      <c r="G402" s="7">
        <f>IF($D402&lt;=0,0,MIN($D402,IF(Übersicht!$C$13="Annuitätendarlehen",MAX(0,Übersicht!$Q$9-$F402),IF(Übersicht!$C$13="Ratendarlehen",Übersicht!$Q$10,IF($A402&gt;=Übersicht!$Q$11,$D402,0)))))</f>
        <v>0</v>
      </c>
      <c r="H402" s="7">
        <f>IF($D402-$G402&lt;=0,0,IF(MOD($A402,Übersicht!$Q$6)=0,IF($A402/Übersicht!$Q$6&gt;=Übersicht!$C$21,MIN(Übersicht!$C$20,$D402-$G402),0),0))</f>
        <v>0</v>
      </c>
      <c r="I402" s="7">
        <f t="shared" si="38"/>
        <v>0</v>
      </c>
      <c r="J402" s="22">
        <f t="shared" si="39"/>
        <v>0</v>
      </c>
      <c r="K402" s="9" t="str">
        <f>IF($D402&lt;=0,"",IF($J402&lt;=0.005,"Volltilgung erreicht",IF($A402=Übersicht!$Q$13,"Ende der Zinsbindung",IF($H402&gt;0,"Sondertilgung",""))))</f>
        <v/>
      </c>
      <c r="L402" s="23">
        <f>IF($N401&lt;=0,0,ROUND($N401*Übersicht!$Q$7,2))</f>
        <v>0</v>
      </c>
      <c r="M402" s="23">
        <f>IF($N401&lt;=0,0,MIN($N401,IF(Übersicht!$C$13="Annuitätendarlehen",MAX(0,Übersicht!$Q$9-$L402),IF(Übersicht!$C$13="Ratendarlehen",Übersicht!$Q$10,IF($A402&gt;=Übersicht!$Q$11,$N401,0)))))</f>
        <v>0</v>
      </c>
      <c r="N402" s="23">
        <f t="shared" si="41"/>
        <v>0</v>
      </c>
    </row>
    <row r="403" spans="1:14" ht="15" customHeight="1" x14ac:dyDescent="0.25">
      <c r="A403" s="10">
        <v>396</v>
      </c>
      <c r="B403" s="24" t="str">
        <f>IF($D403&lt;=0,"",EDATE(Übersicht!$C$18,($A403-1)*12/Übersicht!$Q$6))</f>
        <v/>
      </c>
      <c r="C403" s="10" t="str">
        <f t="shared" si="36"/>
        <v/>
      </c>
      <c r="D403" s="25">
        <f t="shared" si="40"/>
        <v>0</v>
      </c>
      <c r="E403" s="12">
        <f t="shared" si="37"/>
        <v>0</v>
      </c>
      <c r="F403" s="12">
        <f>IF($D403&lt;=0,0,ROUND($D403*Übersicht!$Q$7,2))</f>
        <v>0</v>
      </c>
      <c r="G403" s="12">
        <f>IF($D403&lt;=0,0,MIN($D403,IF(Übersicht!$C$13="Annuitätendarlehen",MAX(0,Übersicht!$Q$9-$F403),IF(Übersicht!$C$13="Ratendarlehen",Übersicht!$Q$10,IF($A403&gt;=Übersicht!$Q$11,$D403,0)))))</f>
        <v>0</v>
      </c>
      <c r="H403" s="12">
        <f>IF($D403-$G403&lt;=0,0,IF(MOD($A403,Übersicht!$Q$6)=0,IF($A403/Übersicht!$Q$6&gt;=Übersicht!$C$21,MIN(Übersicht!$C$20,$D403-$G403),0),0))</f>
        <v>0</v>
      </c>
      <c r="I403" s="12">
        <f t="shared" si="38"/>
        <v>0</v>
      </c>
      <c r="J403" s="26">
        <f t="shared" si="39"/>
        <v>0</v>
      </c>
      <c r="K403" s="14" t="str">
        <f>IF($D403&lt;=0,"",IF($J403&lt;=0.005,"Volltilgung erreicht",IF($A403=Übersicht!$Q$13,"Ende der Zinsbindung",IF($H403&gt;0,"Sondertilgung",""))))</f>
        <v/>
      </c>
      <c r="L403" s="23">
        <f>IF($N402&lt;=0,0,ROUND($N402*Übersicht!$Q$7,2))</f>
        <v>0</v>
      </c>
      <c r="M403" s="23">
        <f>IF($N402&lt;=0,0,MIN($N402,IF(Übersicht!$C$13="Annuitätendarlehen",MAX(0,Übersicht!$Q$9-$L403),IF(Übersicht!$C$13="Ratendarlehen",Übersicht!$Q$10,IF($A403&gt;=Übersicht!$Q$11,$N402,0)))))</f>
        <v>0</v>
      </c>
      <c r="N403" s="23">
        <f t="shared" si="41"/>
        <v>0</v>
      </c>
    </row>
    <row r="404" spans="1:14" ht="15" customHeight="1" x14ac:dyDescent="0.25">
      <c r="A404" s="5">
        <v>397</v>
      </c>
      <c r="B404" s="20" t="str">
        <f>IF($D404&lt;=0,"",EDATE(Übersicht!$C$18,($A404-1)*12/Übersicht!$Q$6))</f>
        <v/>
      </c>
      <c r="C404" s="5" t="str">
        <f t="shared" si="36"/>
        <v/>
      </c>
      <c r="D404" s="21">
        <f t="shared" si="40"/>
        <v>0</v>
      </c>
      <c r="E404" s="7">
        <f t="shared" si="37"/>
        <v>0</v>
      </c>
      <c r="F404" s="7">
        <f>IF($D404&lt;=0,0,ROUND($D404*Übersicht!$Q$7,2))</f>
        <v>0</v>
      </c>
      <c r="G404" s="7">
        <f>IF($D404&lt;=0,0,MIN($D404,IF(Übersicht!$C$13="Annuitätendarlehen",MAX(0,Übersicht!$Q$9-$F404),IF(Übersicht!$C$13="Ratendarlehen",Übersicht!$Q$10,IF($A404&gt;=Übersicht!$Q$11,$D404,0)))))</f>
        <v>0</v>
      </c>
      <c r="H404" s="7">
        <f>IF($D404-$G404&lt;=0,0,IF(MOD($A404,Übersicht!$Q$6)=0,IF($A404/Übersicht!$Q$6&gt;=Übersicht!$C$21,MIN(Übersicht!$C$20,$D404-$G404),0),0))</f>
        <v>0</v>
      </c>
      <c r="I404" s="7">
        <f t="shared" si="38"/>
        <v>0</v>
      </c>
      <c r="J404" s="22">
        <f t="shared" si="39"/>
        <v>0</v>
      </c>
      <c r="K404" s="9" t="str">
        <f>IF($D404&lt;=0,"",IF($J404&lt;=0.005,"Volltilgung erreicht",IF($A404=Übersicht!$Q$13,"Ende der Zinsbindung",IF($H404&gt;0,"Sondertilgung",""))))</f>
        <v/>
      </c>
      <c r="L404" s="23">
        <f>IF($N403&lt;=0,0,ROUND($N403*Übersicht!$Q$7,2))</f>
        <v>0</v>
      </c>
      <c r="M404" s="23">
        <f>IF($N403&lt;=0,0,MIN($N403,IF(Übersicht!$C$13="Annuitätendarlehen",MAX(0,Übersicht!$Q$9-$L404),IF(Übersicht!$C$13="Ratendarlehen",Übersicht!$Q$10,IF($A404&gt;=Übersicht!$Q$11,$N403,0)))))</f>
        <v>0</v>
      </c>
      <c r="N404" s="23">
        <f t="shared" si="41"/>
        <v>0</v>
      </c>
    </row>
    <row r="405" spans="1:14" ht="15" customHeight="1" x14ac:dyDescent="0.25">
      <c r="A405" s="10">
        <v>398</v>
      </c>
      <c r="B405" s="24" t="str">
        <f>IF($D405&lt;=0,"",EDATE(Übersicht!$C$18,($A405-1)*12/Übersicht!$Q$6))</f>
        <v/>
      </c>
      <c r="C405" s="10" t="str">
        <f t="shared" si="36"/>
        <v/>
      </c>
      <c r="D405" s="25">
        <f t="shared" si="40"/>
        <v>0</v>
      </c>
      <c r="E405" s="12">
        <f t="shared" si="37"/>
        <v>0</v>
      </c>
      <c r="F405" s="12">
        <f>IF($D405&lt;=0,0,ROUND($D405*Übersicht!$Q$7,2))</f>
        <v>0</v>
      </c>
      <c r="G405" s="12">
        <f>IF($D405&lt;=0,0,MIN($D405,IF(Übersicht!$C$13="Annuitätendarlehen",MAX(0,Übersicht!$Q$9-$F405),IF(Übersicht!$C$13="Ratendarlehen",Übersicht!$Q$10,IF($A405&gt;=Übersicht!$Q$11,$D405,0)))))</f>
        <v>0</v>
      </c>
      <c r="H405" s="12">
        <f>IF($D405-$G405&lt;=0,0,IF(MOD($A405,Übersicht!$Q$6)=0,IF($A405/Übersicht!$Q$6&gt;=Übersicht!$C$21,MIN(Übersicht!$C$20,$D405-$G405),0),0))</f>
        <v>0</v>
      </c>
      <c r="I405" s="12">
        <f t="shared" si="38"/>
        <v>0</v>
      </c>
      <c r="J405" s="26">
        <f t="shared" si="39"/>
        <v>0</v>
      </c>
      <c r="K405" s="14" t="str">
        <f>IF($D405&lt;=0,"",IF($J405&lt;=0.005,"Volltilgung erreicht",IF($A405=Übersicht!$Q$13,"Ende der Zinsbindung",IF($H405&gt;0,"Sondertilgung",""))))</f>
        <v/>
      </c>
      <c r="L405" s="23">
        <f>IF($N404&lt;=0,0,ROUND($N404*Übersicht!$Q$7,2))</f>
        <v>0</v>
      </c>
      <c r="M405" s="23">
        <f>IF($N404&lt;=0,0,MIN($N404,IF(Übersicht!$C$13="Annuitätendarlehen",MAX(0,Übersicht!$Q$9-$L405),IF(Übersicht!$C$13="Ratendarlehen",Übersicht!$Q$10,IF($A405&gt;=Übersicht!$Q$11,$N404,0)))))</f>
        <v>0</v>
      </c>
      <c r="N405" s="23">
        <f t="shared" si="41"/>
        <v>0</v>
      </c>
    </row>
    <row r="406" spans="1:14" ht="15" customHeight="1" x14ac:dyDescent="0.25">
      <c r="A406" s="5">
        <v>399</v>
      </c>
      <c r="B406" s="20" t="str">
        <f>IF($D406&lt;=0,"",EDATE(Übersicht!$C$18,($A406-1)*12/Übersicht!$Q$6))</f>
        <v/>
      </c>
      <c r="C406" s="5" t="str">
        <f t="shared" si="36"/>
        <v/>
      </c>
      <c r="D406" s="21">
        <f t="shared" si="40"/>
        <v>0</v>
      </c>
      <c r="E406" s="7">
        <f t="shared" si="37"/>
        <v>0</v>
      </c>
      <c r="F406" s="7">
        <f>IF($D406&lt;=0,0,ROUND($D406*Übersicht!$Q$7,2))</f>
        <v>0</v>
      </c>
      <c r="G406" s="7">
        <f>IF($D406&lt;=0,0,MIN($D406,IF(Übersicht!$C$13="Annuitätendarlehen",MAX(0,Übersicht!$Q$9-$F406),IF(Übersicht!$C$13="Ratendarlehen",Übersicht!$Q$10,IF($A406&gt;=Übersicht!$Q$11,$D406,0)))))</f>
        <v>0</v>
      </c>
      <c r="H406" s="7">
        <f>IF($D406-$G406&lt;=0,0,IF(MOD($A406,Übersicht!$Q$6)=0,IF($A406/Übersicht!$Q$6&gt;=Übersicht!$C$21,MIN(Übersicht!$C$20,$D406-$G406),0),0))</f>
        <v>0</v>
      </c>
      <c r="I406" s="7">
        <f t="shared" si="38"/>
        <v>0</v>
      </c>
      <c r="J406" s="22">
        <f t="shared" si="39"/>
        <v>0</v>
      </c>
      <c r="K406" s="9" t="str">
        <f>IF($D406&lt;=0,"",IF($J406&lt;=0.005,"Volltilgung erreicht",IF($A406=Übersicht!$Q$13,"Ende der Zinsbindung",IF($H406&gt;0,"Sondertilgung",""))))</f>
        <v/>
      </c>
      <c r="L406" s="23">
        <f>IF($N405&lt;=0,0,ROUND($N405*Übersicht!$Q$7,2))</f>
        <v>0</v>
      </c>
      <c r="M406" s="23">
        <f>IF($N405&lt;=0,0,MIN($N405,IF(Übersicht!$C$13="Annuitätendarlehen",MAX(0,Übersicht!$Q$9-$L406),IF(Übersicht!$C$13="Ratendarlehen",Übersicht!$Q$10,IF($A406&gt;=Übersicht!$Q$11,$N405,0)))))</f>
        <v>0</v>
      </c>
      <c r="N406" s="23">
        <f t="shared" si="41"/>
        <v>0</v>
      </c>
    </row>
    <row r="407" spans="1:14" ht="15" customHeight="1" x14ac:dyDescent="0.25">
      <c r="A407" s="10">
        <v>400</v>
      </c>
      <c r="B407" s="24" t="str">
        <f>IF($D407&lt;=0,"",EDATE(Übersicht!$C$18,($A407-1)*12/Übersicht!$Q$6))</f>
        <v/>
      </c>
      <c r="C407" s="10" t="str">
        <f t="shared" si="36"/>
        <v/>
      </c>
      <c r="D407" s="25">
        <f t="shared" si="40"/>
        <v>0</v>
      </c>
      <c r="E407" s="12">
        <f t="shared" si="37"/>
        <v>0</v>
      </c>
      <c r="F407" s="12">
        <f>IF($D407&lt;=0,0,ROUND($D407*Übersicht!$Q$7,2))</f>
        <v>0</v>
      </c>
      <c r="G407" s="12">
        <f>IF($D407&lt;=0,0,MIN($D407,IF(Übersicht!$C$13="Annuitätendarlehen",MAX(0,Übersicht!$Q$9-$F407),IF(Übersicht!$C$13="Ratendarlehen",Übersicht!$Q$10,IF($A407&gt;=Übersicht!$Q$11,$D407,0)))))</f>
        <v>0</v>
      </c>
      <c r="H407" s="12">
        <f>IF($D407-$G407&lt;=0,0,IF(MOD($A407,Übersicht!$Q$6)=0,IF($A407/Übersicht!$Q$6&gt;=Übersicht!$C$21,MIN(Übersicht!$C$20,$D407-$G407),0),0))</f>
        <v>0</v>
      </c>
      <c r="I407" s="12">
        <f t="shared" si="38"/>
        <v>0</v>
      </c>
      <c r="J407" s="26">
        <f t="shared" si="39"/>
        <v>0</v>
      </c>
      <c r="K407" s="14" t="str">
        <f>IF($D407&lt;=0,"",IF($J407&lt;=0.005,"Volltilgung erreicht",IF($A407=Übersicht!$Q$13,"Ende der Zinsbindung",IF($H407&gt;0,"Sondertilgung",""))))</f>
        <v/>
      </c>
      <c r="L407" s="23">
        <f>IF($N406&lt;=0,0,ROUND($N406*Übersicht!$Q$7,2))</f>
        <v>0</v>
      </c>
      <c r="M407" s="23">
        <f>IF($N406&lt;=0,0,MIN($N406,IF(Übersicht!$C$13="Annuitätendarlehen",MAX(0,Übersicht!$Q$9-$L407),IF(Übersicht!$C$13="Ratendarlehen",Übersicht!$Q$10,IF($A407&gt;=Übersicht!$Q$11,$N406,0)))))</f>
        <v>0</v>
      </c>
      <c r="N407" s="23">
        <f t="shared" si="41"/>
        <v>0</v>
      </c>
    </row>
    <row r="408" spans="1:14" ht="15" customHeight="1" x14ac:dyDescent="0.25">
      <c r="A408" s="5">
        <v>401</v>
      </c>
      <c r="B408" s="20" t="str">
        <f>IF($D408&lt;=0,"",EDATE(Übersicht!$C$18,($A408-1)*12/Übersicht!$Q$6))</f>
        <v/>
      </c>
      <c r="C408" s="5" t="str">
        <f t="shared" si="36"/>
        <v/>
      </c>
      <c r="D408" s="21">
        <f t="shared" si="40"/>
        <v>0</v>
      </c>
      <c r="E408" s="7">
        <f t="shared" si="37"/>
        <v>0</v>
      </c>
      <c r="F408" s="7">
        <f>IF($D408&lt;=0,0,ROUND($D408*Übersicht!$Q$7,2))</f>
        <v>0</v>
      </c>
      <c r="G408" s="7">
        <f>IF($D408&lt;=0,0,MIN($D408,IF(Übersicht!$C$13="Annuitätendarlehen",MAX(0,Übersicht!$Q$9-$F408),IF(Übersicht!$C$13="Ratendarlehen",Übersicht!$Q$10,IF($A408&gt;=Übersicht!$Q$11,$D408,0)))))</f>
        <v>0</v>
      </c>
      <c r="H408" s="7">
        <f>IF($D408-$G408&lt;=0,0,IF(MOD($A408,Übersicht!$Q$6)=0,IF($A408/Übersicht!$Q$6&gt;=Übersicht!$C$21,MIN(Übersicht!$C$20,$D408-$G408),0),0))</f>
        <v>0</v>
      </c>
      <c r="I408" s="7">
        <f t="shared" si="38"/>
        <v>0</v>
      </c>
      <c r="J408" s="22">
        <f t="shared" si="39"/>
        <v>0</v>
      </c>
      <c r="K408" s="9" t="str">
        <f>IF($D408&lt;=0,"",IF($J408&lt;=0.005,"Volltilgung erreicht",IF($A408=Übersicht!$Q$13,"Ende der Zinsbindung",IF($H408&gt;0,"Sondertilgung",""))))</f>
        <v/>
      </c>
      <c r="L408" s="23">
        <f>IF($N407&lt;=0,0,ROUND($N407*Übersicht!$Q$7,2))</f>
        <v>0</v>
      </c>
      <c r="M408" s="23">
        <f>IF($N407&lt;=0,0,MIN($N407,IF(Übersicht!$C$13="Annuitätendarlehen",MAX(0,Übersicht!$Q$9-$L408),IF(Übersicht!$C$13="Ratendarlehen",Übersicht!$Q$10,IF($A408&gt;=Übersicht!$Q$11,$N407,0)))))</f>
        <v>0</v>
      </c>
      <c r="N408" s="23">
        <f t="shared" si="41"/>
        <v>0</v>
      </c>
    </row>
    <row r="409" spans="1:14" ht="15" customHeight="1" x14ac:dyDescent="0.25">
      <c r="A409" s="10">
        <v>402</v>
      </c>
      <c r="B409" s="24" t="str">
        <f>IF($D409&lt;=0,"",EDATE(Übersicht!$C$18,($A409-1)*12/Übersicht!$Q$6))</f>
        <v/>
      </c>
      <c r="C409" s="10" t="str">
        <f t="shared" si="36"/>
        <v/>
      </c>
      <c r="D409" s="25">
        <f t="shared" si="40"/>
        <v>0</v>
      </c>
      <c r="E409" s="12">
        <f t="shared" si="37"/>
        <v>0</v>
      </c>
      <c r="F409" s="12">
        <f>IF($D409&lt;=0,0,ROUND($D409*Übersicht!$Q$7,2))</f>
        <v>0</v>
      </c>
      <c r="G409" s="12">
        <f>IF($D409&lt;=0,0,MIN($D409,IF(Übersicht!$C$13="Annuitätendarlehen",MAX(0,Übersicht!$Q$9-$F409),IF(Übersicht!$C$13="Ratendarlehen",Übersicht!$Q$10,IF($A409&gt;=Übersicht!$Q$11,$D409,0)))))</f>
        <v>0</v>
      </c>
      <c r="H409" s="12">
        <f>IF($D409-$G409&lt;=0,0,IF(MOD($A409,Übersicht!$Q$6)=0,IF($A409/Übersicht!$Q$6&gt;=Übersicht!$C$21,MIN(Übersicht!$C$20,$D409-$G409),0),0))</f>
        <v>0</v>
      </c>
      <c r="I409" s="12">
        <f t="shared" si="38"/>
        <v>0</v>
      </c>
      <c r="J409" s="26">
        <f t="shared" si="39"/>
        <v>0</v>
      </c>
      <c r="K409" s="14" t="str">
        <f>IF($D409&lt;=0,"",IF($J409&lt;=0.005,"Volltilgung erreicht",IF($A409=Übersicht!$Q$13,"Ende der Zinsbindung",IF($H409&gt;0,"Sondertilgung",""))))</f>
        <v/>
      </c>
      <c r="L409" s="23">
        <f>IF($N408&lt;=0,0,ROUND($N408*Übersicht!$Q$7,2))</f>
        <v>0</v>
      </c>
      <c r="M409" s="23">
        <f>IF($N408&lt;=0,0,MIN($N408,IF(Übersicht!$C$13="Annuitätendarlehen",MAX(0,Übersicht!$Q$9-$L409),IF(Übersicht!$C$13="Ratendarlehen",Übersicht!$Q$10,IF($A409&gt;=Übersicht!$Q$11,$N408,0)))))</f>
        <v>0</v>
      </c>
      <c r="N409" s="23">
        <f t="shared" si="41"/>
        <v>0</v>
      </c>
    </row>
    <row r="410" spans="1:14" ht="15" customHeight="1" x14ac:dyDescent="0.25">
      <c r="A410" s="5">
        <v>403</v>
      </c>
      <c r="B410" s="20" t="str">
        <f>IF($D410&lt;=0,"",EDATE(Übersicht!$C$18,($A410-1)*12/Übersicht!$Q$6))</f>
        <v/>
      </c>
      <c r="C410" s="5" t="str">
        <f t="shared" si="36"/>
        <v/>
      </c>
      <c r="D410" s="21">
        <f t="shared" si="40"/>
        <v>0</v>
      </c>
      <c r="E410" s="7">
        <f t="shared" si="37"/>
        <v>0</v>
      </c>
      <c r="F410" s="7">
        <f>IF($D410&lt;=0,0,ROUND($D410*Übersicht!$Q$7,2))</f>
        <v>0</v>
      </c>
      <c r="G410" s="7">
        <f>IF($D410&lt;=0,0,MIN($D410,IF(Übersicht!$C$13="Annuitätendarlehen",MAX(0,Übersicht!$Q$9-$F410),IF(Übersicht!$C$13="Ratendarlehen",Übersicht!$Q$10,IF($A410&gt;=Übersicht!$Q$11,$D410,0)))))</f>
        <v>0</v>
      </c>
      <c r="H410" s="7">
        <f>IF($D410-$G410&lt;=0,0,IF(MOD($A410,Übersicht!$Q$6)=0,IF($A410/Übersicht!$Q$6&gt;=Übersicht!$C$21,MIN(Übersicht!$C$20,$D410-$G410),0),0))</f>
        <v>0</v>
      </c>
      <c r="I410" s="7">
        <f t="shared" si="38"/>
        <v>0</v>
      </c>
      <c r="J410" s="22">
        <f t="shared" si="39"/>
        <v>0</v>
      </c>
      <c r="K410" s="9" t="str">
        <f>IF($D410&lt;=0,"",IF($J410&lt;=0.005,"Volltilgung erreicht",IF($A410=Übersicht!$Q$13,"Ende der Zinsbindung",IF($H410&gt;0,"Sondertilgung",""))))</f>
        <v/>
      </c>
      <c r="L410" s="23">
        <f>IF($N409&lt;=0,0,ROUND($N409*Übersicht!$Q$7,2))</f>
        <v>0</v>
      </c>
      <c r="M410" s="23">
        <f>IF($N409&lt;=0,0,MIN($N409,IF(Übersicht!$C$13="Annuitätendarlehen",MAX(0,Übersicht!$Q$9-$L410),IF(Übersicht!$C$13="Ratendarlehen",Übersicht!$Q$10,IF($A410&gt;=Übersicht!$Q$11,$N409,0)))))</f>
        <v>0</v>
      </c>
      <c r="N410" s="23">
        <f t="shared" si="41"/>
        <v>0</v>
      </c>
    </row>
    <row r="411" spans="1:14" ht="15" customHeight="1" x14ac:dyDescent="0.25">
      <c r="A411" s="10">
        <v>404</v>
      </c>
      <c r="B411" s="24" t="str">
        <f>IF($D411&lt;=0,"",EDATE(Übersicht!$C$18,($A411-1)*12/Übersicht!$Q$6))</f>
        <v/>
      </c>
      <c r="C411" s="10" t="str">
        <f t="shared" si="36"/>
        <v/>
      </c>
      <c r="D411" s="25">
        <f t="shared" si="40"/>
        <v>0</v>
      </c>
      <c r="E411" s="12">
        <f t="shared" si="37"/>
        <v>0</v>
      </c>
      <c r="F411" s="12">
        <f>IF($D411&lt;=0,0,ROUND($D411*Übersicht!$Q$7,2))</f>
        <v>0</v>
      </c>
      <c r="G411" s="12">
        <f>IF($D411&lt;=0,0,MIN($D411,IF(Übersicht!$C$13="Annuitätendarlehen",MAX(0,Übersicht!$Q$9-$F411),IF(Übersicht!$C$13="Ratendarlehen",Übersicht!$Q$10,IF($A411&gt;=Übersicht!$Q$11,$D411,0)))))</f>
        <v>0</v>
      </c>
      <c r="H411" s="12">
        <f>IF($D411-$G411&lt;=0,0,IF(MOD($A411,Übersicht!$Q$6)=0,IF($A411/Übersicht!$Q$6&gt;=Übersicht!$C$21,MIN(Übersicht!$C$20,$D411-$G411),0),0))</f>
        <v>0</v>
      </c>
      <c r="I411" s="12">
        <f t="shared" si="38"/>
        <v>0</v>
      </c>
      <c r="J411" s="26">
        <f t="shared" si="39"/>
        <v>0</v>
      </c>
      <c r="K411" s="14" t="str">
        <f>IF($D411&lt;=0,"",IF($J411&lt;=0.005,"Volltilgung erreicht",IF($A411=Übersicht!$Q$13,"Ende der Zinsbindung",IF($H411&gt;0,"Sondertilgung",""))))</f>
        <v/>
      </c>
      <c r="L411" s="23">
        <f>IF($N410&lt;=0,0,ROUND($N410*Übersicht!$Q$7,2))</f>
        <v>0</v>
      </c>
      <c r="M411" s="23">
        <f>IF($N410&lt;=0,0,MIN($N410,IF(Übersicht!$C$13="Annuitätendarlehen",MAX(0,Übersicht!$Q$9-$L411),IF(Übersicht!$C$13="Ratendarlehen",Übersicht!$Q$10,IF($A411&gt;=Übersicht!$Q$11,$N410,0)))))</f>
        <v>0</v>
      </c>
      <c r="N411" s="23">
        <f t="shared" si="41"/>
        <v>0</v>
      </c>
    </row>
    <row r="412" spans="1:14" ht="15" customHeight="1" x14ac:dyDescent="0.25">
      <c r="A412" s="5">
        <v>405</v>
      </c>
      <c r="B412" s="20" t="str">
        <f>IF($D412&lt;=0,"",EDATE(Übersicht!$C$18,($A412-1)*12/Übersicht!$Q$6))</f>
        <v/>
      </c>
      <c r="C412" s="5" t="str">
        <f t="shared" si="36"/>
        <v/>
      </c>
      <c r="D412" s="21">
        <f t="shared" si="40"/>
        <v>0</v>
      </c>
      <c r="E412" s="7">
        <f t="shared" si="37"/>
        <v>0</v>
      </c>
      <c r="F412" s="7">
        <f>IF($D412&lt;=0,0,ROUND($D412*Übersicht!$Q$7,2))</f>
        <v>0</v>
      </c>
      <c r="G412" s="7">
        <f>IF($D412&lt;=0,0,MIN($D412,IF(Übersicht!$C$13="Annuitätendarlehen",MAX(0,Übersicht!$Q$9-$F412),IF(Übersicht!$C$13="Ratendarlehen",Übersicht!$Q$10,IF($A412&gt;=Übersicht!$Q$11,$D412,0)))))</f>
        <v>0</v>
      </c>
      <c r="H412" s="7">
        <f>IF($D412-$G412&lt;=0,0,IF(MOD($A412,Übersicht!$Q$6)=0,IF($A412/Übersicht!$Q$6&gt;=Übersicht!$C$21,MIN(Übersicht!$C$20,$D412-$G412),0),0))</f>
        <v>0</v>
      </c>
      <c r="I412" s="7">
        <f t="shared" si="38"/>
        <v>0</v>
      </c>
      <c r="J412" s="22">
        <f t="shared" si="39"/>
        <v>0</v>
      </c>
      <c r="K412" s="9" t="str">
        <f>IF($D412&lt;=0,"",IF($J412&lt;=0.005,"Volltilgung erreicht",IF($A412=Übersicht!$Q$13,"Ende der Zinsbindung",IF($H412&gt;0,"Sondertilgung",""))))</f>
        <v/>
      </c>
      <c r="L412" s="23">
        <f>IF($N411&lt;=0,0,ROUND($N411*Übersicht!$Q$7,2))</f>
        <v>0</v>
      </c>
      <c r="M412" s="23">
        <f>IF($N411&lt;=0,0,MIN($N411,IF(Übersicht!$C$13="Annuitätendarlehen",MAX(0,Übersicht!$Q$9-$L412),IF(Übersicht!$C$13="Ratendarlehen",Übersicht!$Q$10,IF($A412&gt;=Übersicht!$Q$11,$N411,0)))))</f>
        <v>0</v>
      </c>
      <c r="N412" s="23">
        <f t="shared" si="41"/>
        <v>0</v>
      </c>
    </row>
    <row r="413" spans="1:14" ht="15" customHeight="1" x14ac:dyDescent="0.25">
      <c r="A413" s="10">
        <v>406</v>
      </c>
      <c r="B413" s="24" t="str">
        <f>IF($D413&lt;=0,"",EDATE(Übersicht!$C$18,($A413-1)*12/Übersicht!$Q$6))</f>
        <v/>
      </c>
      <c r="C413" s="10" t="str">
        <f t="shared" si="36"/>
        <v/>
      </c>
      <c r="D413" s="25">
        <f t="shared" si="40"/>
        <v>0</v>
      </c>
      <c r="E413" s="12">
        <f t="shared" si="37"/>
        <v>0</v>
      </c>
      <c r="F413" s="12">
        <f>IF($D413&lt;=0,0,ROUND($D413*Übersicht!$Q$7,2))</f>
        <v>0</v>
      </c>
      <c r="G413" s="12">
        <f>IF($D413&lt;=0,0,MIN($D413,IF(Übersicht!$C$13="Annuitätendarlehen",MAX(0,Übersicht!$Q$9-$F413),IF(Übersicht!$C$13="Ratendarlehen",Übersicht!$Q$10,IF($A413&gt;=Übersicht!$Q$11,$D413,0)))))</f>
        <v>0</v>
      </c>
      <c r="H413" s="12">
        <f>IF($D413-$G413&lt;=0,0,IF(MOD($A413,Übersicht!$Q$6)=0,IF($A413/Übersicht!$Q$6&gt;=Übersicht!$C$21,MIN(Übersicht!$C$20,$D413-$G413),0),0))</f>
        <v>0</v>
      </c>
      <c r="I413" s="12">
        <f t="shared" si="38"/>
        <v>0</v>
      </c>
      <c r="J413" s="26">
        <f t="shared" si="39"/>
        <v>0</v>
      </c>
      <c r="K413" s="14" t="str">
        <f>IF($D413&lt;=0,"",IF($J413&lt;=0.005,"Volltilgung erreicht",IF($A413=Übersicht!$Q$13,"Ende der Zinsbindung",IF($H413&gt;0,"Sondertilgung",""))))</f>
        <v/>
      </c>
      <c r="L413" s="23">
        <f>IF($N412&lt;=0,0,ROUND($N412*Übersicht!$Q$7,2))</f>
        <v>0</v>
      </c>
      <c r="M413" s="23">
        <f>IF($N412&lt;=0,0,MIN($N412,IF(Übersicht!$C$13="Annuitätendarlehen",MAX(0,Übersicht!$Q$9-$L413),IF(Übersicht!$C$13="Ratendarlehen",Übersicht!$Q$10,IF($A413&gt;=Übersicht!$Q$11,$N412,0)))))</f>
        <v>0</v>
      </c>
      <c r="N413" s="23">
        <f t="shared" si="41"/>
        <v>0</v>
      </c>
    </row>
    <row r="414" spans="1:14" ht="15" customHeight="1" x14ac:dyDescent="0.25">
      <c r="A414" s="5">
        <v>407</v>
      </c>
      <c r="B414" s="20" t="str">
        <f>IF($D414&lt;=0,"",EDATE(Übersicht!$C$18,($A414-1)*12/Übersicht!$Q$6))</f>
        <v/>
      </c>
      <c r="C414" s="5" t="str">
        <f t="shared" si="36"/>
        <v/>
      </c>
      <c r="D414" s="21">
        <f t="shared" si="40"/>
        <v>0</v>
      </c>
      <c r="E414" s="7">
        <f t="shared" si="37"/>
        <v>0</v>
      </c>
      <c r="F414" s="7">
        <f>IF($D414&lt;=0,0,ROUND($D414*Übersicht!$Q$7,2))</f>
        <v>0</v>
      </c>
      <c r="G414" s="7">
        <f>IF($D414&lt;=0,0,MIN($D414,IF(Übersicht!$C$13="Annuitätendarlehen",MAX(0,Übersicht!$Q$9-$F414),IF(Übersicht!$C$13="Ratendarlehen",Übersicht!$Q$10,IF($A414&gt;=Übersicht!$Q$11,$D414,0)))))</f>
        <v>0</v>
      </c>
      <c r="H414" s="7">
        <f>IF($D414-$G414&lt;=0,0,IF(MOD($A414,Übersicht!$Q$6)=0,IF($A414/Übersicht!$Q$6&gt;=Übersicht!$C$21,MIN(Übersicht!$C$20,$D414-$G414),0),0))</f>
        <v>0</v>
      </c>
      <c r="I414" s="7">
        <f t="shared" si="38"/>
        <v>0</v>
      </c>
      <c r="J414" s="22">
        <f t="shared" si="39"/>
        <v>0</v>
      </c>
      <c r="K414" s="9" t="str">
        <f>IF($D414&lt;=0,"",IF($J414&lt;=0.005,"Volltilgung erreicht",IF($A414=Übersicht!$Q$13,"Ende der Zinsbindung",IF($H414&gt;0,"Sondertilgung",""))))</f>
        <v/>
      </c>
      <c r="L414" s="23">
        <f>IF($N413&lt;=0,0,ROUND($N413*Übersicht!$Q$7,2))</f>
        <v>0</v>
      </c>
      <c r="M414" s="23">
        <f>IF($N413&lt;=0,0,MIN($N413,IF(Übersicht!$C$13="Annuitätendarlehen",MAX(0,Übersicht!$Q$9-$L414),IF(Übersicht!$C$13="Ratendarlehen",Übersicht!$Q$10,IF($A414&gt;=Übersicht!$Q$11,$N413,0)))))</f>
        <v>0</v>
      </c>
      <c r="N414" s="23">
        <f t="shared" si="41"/>
        <v>0</v>
      </c>
    </row>
    <row r="415" spans="1:14" ht="15" customHeight="1" x14ac:dyDescent="0.25">
      <c r="A415" s="10">
        <v>408</v>
      </c>
      <c r="B415" s="24" t="str">
        <f>IF($D415&lt;=0,"",EDATE(Übersicht!$C$18,($A415-1)*12/Übersicht!$Q$6))</f>
        <v/>
      </c>
      <c r="C415" s="10" t="str">
        <f t="shared" si="36"/>
        <v/>
      </c>
      <c r="D415" s="25">
        <f t="shared" si="40"/>
        <v>0</v>
      </c>
      <c r="E415" s="12">
        <f t="shared" si="37"/>
        <v>0</v>
      </c>
      <c r="F415" s="12">
        <f>IF($D415&lt;=0,0,ROUND($D415*Übersicht!$Q$7,2))</f>
        <v>0</v>
      </c>
      <c r="G415" s="12">
        <f>IF($D415&lt;=0,0,MIN($D415,IF(Übersicht!$C$13="Annuitätendarlehen",MAX(0,Übersicht!$Q$9-$F415),IF(Übersicht!$C$13="Ratendarlehen",Übersicht!$Q$10,IF($A415&gt;=Übersicht!$Q$11,$D415,0)))))</f>
        <v>0</v>
      </c>
      <c r="H415" s="12">
        <f>IF($D415-$G415&lt;=0,0,IF(MOD($A415,Übersicht!$Q$6)=0,IF($A415/Übersicht!$Q$6&gt;=Übersicht!$C$21,MIN(Übersicht!$C$20,$D415-$G415),0),0))</f>
        <v>0</v>
      </c>
      <c r="I415" s="12">
        <f t="shared" si="38"/>
        <v>0</v>
      </c>
      <c r="J415" s="26">
        <f t="shared" si="39"/>
        <v>0</v>
      </c>
      <c r="K415" s="14" t="str">
        <f>IF($D415&lt;=0,"",IF($J415&lt;=0.005,"Volltilgung erreicht",IF($A415=Übersicht!$Q$13,"Ende der Zinsbindung",IF($H415&gt;0,"Sondertilgung",""))))</f>
        <v/>
      </c>
      <c r="L415" s="23">
        <f>IF($N414&lt;=0,0,ROUND($N414*Übersicht!$Q$7,2))</f>
        <v>0</v>
      </c>
      <c r="M415" s="23">
        <f>IF($N414&lt;=0,0,MIN($N414,IF(Übersicht!$C$13="Annuitätendarlehen",MAX(0,Übersicht!$Q$9-$L415),IF(Übersicht!$C$13="Ratendarlehen",Übersicht!$Q$10,IF($A415&gt;=Übersicht!$Q$11,$N414,0)))))</f>
        <v>0</v>
      </c>
      <c r="N415" s="23">
        <f t="shared" si="41"/>
        <v>0</v>
      </c>
    </row>
    <row r="416" spans="1:14" ht="15" customHeight="1" x14ac:dyDescent="0.25">
      <c r="A416" s="5">
        <v>409</v>
      </c>
      <c r="B416" s="20" t="str">
        <f>IF($D416&lt;=0,"",EDATE(Übersicht!$C$18,($A416-1)*12/Übersicht!$Q$6))</f>
        <v/>
      </c>
      <c r="C416" s="5" t="str">
        <f t="shared" si="36"/>
        <v/>
      </c>
      <c r="D416" s="21">
        <f t="shared" si="40"/>
        <v>0</v>
      </c>
      <c r="E416" s="7">
        <f t="shared" si="37"/>
        <v>0</v>
      </c>
      <c r="F416" s="7">
        <f>IF($D416&lt;=0,0,ROUND($D416*Übersicht!$Q$7,2))</f>
        <v>0</v>
      </c>
      <c r="G416" s="7">
        <f>IF($D416&lt;=0,0,MIN($D416,IF(Übersicht!$C$13="Annuitätendarlehen",MAX(0,Übersicht!$Q$9-$F416),IF(Übersicht!$C$13="Ratendarlehen",Übersicht!$Q$10,IF($A416&gt;=Übersicht!$Q$11,$D416,0)))))</f>
        <v>0</v>
      </c>
      <c r="H416" s="7">
        <f>IF($D416-$G416&lt;=0,0,IF(MOD($A416,Übersicht!$Q$6)=0,IF($A416/Übersicht!$Q$6&gt;=Übersicht!$C$21,MIN(Übersicht!$C$20,$D416-$G416),0),0))</f>
        <v>0</v>
      </c>
      <c r="I416" s="7">
        <f t="shared" si="38"/>
        <v>0</v>
      </c>
      <c r="J416" s="22">
        <f t="shared" si="39"/>
        <v>0</v>
      </c>
      <c r="K416" s="9" t="str">
        <f>IF($D416&lt;=0,"",IF($J416&lt;=0.005,"Volltilgung erreicht",IF($A416=Übersicht!$Q$13,"Ende der Zinsbindung",IF($H416&gt;0,"Sondertilgung",""))))</f>
        <v/>
      </c>
      <c r="L416" s="23">
        <f>IF($N415&lt;=0,0,ROUND($N415*Übersicht!$Q$7,2))</f>
        <v>0</v>
      </c>
      <c r="M416" s="23">
        <f>IF($N415&lt;=0,0,MIN($N415,IF(Übersicht!$C$13="Annuitätendarlehen",MAX(0,Übersicht!$Q$9-$L416),IF(Übersicht!$C$13="Ratendarlehen",Übersicht!$Q$10,IF($A416&gt;=Übersicht!$Q$11,$N415,0)))))</f>
        <v>0</v>
      </c>
      <c r="N416" s="23">
        <f t="shared" si="41"/>
        <v>0</v>
      </c>
    </row>
    <row r="417" spans="1:14" ht="15" customHeight="1" x14ac:dyDescent="0.25">
      <c r="A417" s="10">
        <v>410</v>
      </c>
      <c r="B417" s="24" t="str">
        <f>IF($D417&lt;=0,"",EDATE(Übersicht!$C$18,($A417-1)*12/Übersicht!$Q$6))</f>
        <v/>
      </c>
      <c r="C417" s="10" t="str">
        <f t="shared" si="36"/>
        <v/>
      </c>
      <c r="D417" s="25">
        <f t="shared" si="40"/>
        <v>0</v>
      </c>
      <c r="E417" s="12">
        <f t="shared" si="37"/>
        <v>0</v>
      </c>
      <c r="F417" s="12">
        <f>IF($D417&lt;=0,0,ROUND($D417*Übersicht!$Q$7,2))</f>
        <v>0</v>
      </c>
      <c r="G417" s="12">
        <f>IF($D417&lt;=0,0,MIN($D417,IF(Übersicht!$C$13="Annuitätendarlehen",MAX(0,Übersicht!$Q$9-$F417),IF(Übersicht!$C$13="Ratendarlehen",Übersicht!$Q$10,IF($A417&gt;=Übersicht!$Q$11,$D417,0)))))</f>
        <v>0</v>
      </c>
      <c r="H417" s="12">
        <f>IF($D417-$G417&lt;=0,0,IF(MOD($A417,Übersicht!$Q$6)=0,IF($A417/Übersicht!$Q$6&gt;=Übersicht!$C$21,MIN(Übersicht!$C$20,$D417-$G417),0),0))</f>
        <v>0</v>
      </c>
      <c r="I417" s="12">
        <f t="shared" si="38"/>
        <v>0</v>
      </c>
      <c r="J417" s="26">
        <f t="shared" si="39"/>
        <v>0</v>
      </c>
      <c r="K417" s="14" t="str">
        <f>IF($D417&lt;=0,"",IF($J417&lt;=0.005,"Volltilgung erreicht",IF($A417=Übersicht!$Q$13,"Ende der Zinsbindung",IF($H417&gt;0,"Sondertilgung",""))))</f>
        <v/>
      </c>
      <c r="L417" s="23">
        <f>IF($N416&lt;=0,0,ROUND($N416*Übersicht!$Q$7,2))</f>
        <v>0</v>
      </c>
      <c r="M417" s="23">
        <f>IF($N416&lt;=0,0,MIN($N416,IF(Übersicht!$C$13="Annuitätendarlehen",MAX(0,Übersicht!$Q$9-$L417),IF(Übersicht!$C$13="Ratendarlehen",Übersicht!$Q$10,IF($A417&gt;=Übersicht!$Q$11,$N416,0)))))</f>
        <v>0</v>
      </c>
      <c r="N417" s="23">
        <f t="shared" si="41"/>
        <v>0</v>
      </c>
    </row>
    <row r="418" spans="1:14" ht="15" customHeight="1" x14ac:dyDescent="0.25">
      <c r="A418" s="5">
        <v>411</v>
      </c>
      <c r="B418" s="20" t="str">
        <f>IF($D418&lt;=0,"",EDATE(Übersicht!$C$18,($A418-1)*12/Übersicht!$Q$6))</f>
        <v/>
      </c>
      <c r="C418" s="5" t="str">
        <f t="shared" si="36"/>
        <v/>
      </c>
      <c r="D418" s="21">
        <f t="shared" si="40"/>
        <v>0</v>
      </c>
      <c r="E418" s="7">
        <f t="shared" si="37"/>
        <v>0</v>
      </c>
      <c r="F418" s="7">
        <f>IF($D418&lt;=0,0,ROUND($D418*Übersicht!$Q$7,2))</f>
        <v>0</v>
      </c>
      <c r="G418" s="7">
        <f>IF($D418&lt;=0,0,MIN($D418,IF(Übersicht!$C$13="Annuitätendarlehen",MAX(0,Übersicht!$Q$9-$F418),IF(Übersicht!$C$13="Ratendarlehen",Übersicht!$Q$10,IF($A418&gt;=Übersicht!$Q$11,$D418,0)))))</f>
        <v>0</v>
      </c>
      <c r="H418" s="7">
        <f>IF($D418-$G418&lt;=0,0,IF(MOD($A418,Übersicht!$Q$6)=0,IF($A418/Übersicht!$Q$6&gt;=Übersicht!$C$21,MIN(Übersicht!$C$20,$D418-$G418),0),0))</f>
        <v>0</v>
      </c>
      <c r="I418" s="7">
        <f t="shared" si="38"/>
        <v>0</v>
      </c>
      <c r="J418" s="22">
        <f t="shared" si="39"/>
        <v>0</v>
      </c>
      <c r="K418" s="9" t="str">
        <f>IF($D418&lt;=0,"",IF($J418&lt;=0.005,"Volltilgung erreicht",IF($A418=Übersicht!$Q$13,"Ende der Zinsbindung",IF($H418&gt;0,"Sondertilgung",""))))</f>
        <v/>
      </c>
      <c r="L418" s="23">
        <f>IF($N417&lt;=0,0,ROUND($N417*Übersicht!$Q$7,2))</f>
        <v>0</v>
      </c>
      <c r="M418" s="23">
        <f>IF($N417&lt;=0,0,MIN($N417,IF(Übersicht!$C$13="Annuitätendarlehen",MAX(0,Übersicht!$Q$9-$L418),IF(Übersicht!$C$13="Ratendarlehen",Übersicht!$Q$10,IF($A418&gt;=Übersicht!$Q$11,$N417,0)))))</f>
        <v>0</v>
      </c>
      <c r="N418" s="23">
        <f t="shared" si="41"/>
        <v>0</v>
      </c>
    </row>
    <row r="419" spans="1:14" ht="15" customHeight="1" x14ac:dyDescent="0.25">
      <c r="A419" s="10">
        <v>412</v>
      </c>
      <c r="B419" s="24" t="str">
        <f>IF($D419&lt;=0,"",EDATE(Übersicht!$C$18,($A419-1)*12/Übersicht!$Q$6))</f>
        <v/>
      </c>
      <c r="C419" s="10" t="str">
        <f t="shared" si="36"/>
        <v/>
      </c>
      <c r="D419" s="25">
        <f t="shared" si="40"/>
        <v>0</v>
      </c>
      <c r="E419" s="12">
        <f t="shared" si="37"/>
        <v>0</v>
      </c>
      <c r="F419" s="12">
        <f>IF($D419&lt;=0,0,ROUND($D419*Übersicht!$Q$7,2))</f>
        <v>0</v>
      </c>
      <c r="G419" s="12">
        <f>IF($D419&lt;=0,0,MIN($D419,IF(Übersicht!$C$13="Annuitätendarlehen",MAX(0,Übersicht!$Q$9-$F419),IF(Übersicht!$C$13="Ratendarlehen",Übersicht!$Q$10,IF($A419&gt;=Übersicht!$Q$11,$D419,0)))))</f>
        <v>0</v>
      </c>
      <c r="H419" s="12">
        <f>IF($D419-$G419&lt;=0,0,IF(MOD($A419,Übersicht!$Q$6)=0,IF($A419/Übersicht!$Q$6&gt;=Übersicht!$C$21,MIN(Übersicht!$C$20,$D419-$G419),0),0))</f>
        <v>0</v>
      </c>
      <c r="I419" s="12">
        <f t="shared" si="38"/>
        <v>0</v>
      </c>
      <c r="J419" s="26">
        <f t="shared" si="39"/>
        <v>0</v>
      </c>
      <c r="K419" s="14" t="str">
        <f>IF($D419&lt;=0,"",IF($J419&lt;=0.005,"Volltilgung erreicht",IF($A419=Übersicht!$Q$13,"Ende der Zinsbindung",IF($H419&gt;0,"Sondertilgung",""))))</f>
        <v/>
      </c>
      <c r="L419" s="23">
        <f>IF($N418&lt;=0,0,ROUND($N418*Übersicht!$Q$7,2))</f>
        <v>0</v>
      </c>
      <c r="M419" s="23">
        <f>IF($N418&lt;=0,0,MIN($N418,IF(Übersicht!$C$13="Annuitätendarlehen",MAX(0,Übersicht!$Q$9-$L419),IF(Übersicht!$C$13="Ratendarlehen",Übersicht!$Q$10,IF($A419&gt;=Übersicht!$Q$11,$N418,0)))))</f>
        <v>0</v>
      </c>
      <c r="N419" s="23">
        <f t="shared" si="41"/>
        <v>0</v>
      </c>
    </row>
    <row r="420" spans="1:14" ht="15" customHeight="1" x14ac:dyDescent="0.25">
      <c r="A420" s="5">
        <v>413</v>
      </c>
      <c r="B420" s="20" t="str">
        <f>IF($D420&lt;=0,"",EDATE(Übersicht!$C$18,($A420-1)*12/Übersicht!$Q$6))</f>
        <v/>
      </c>
      <c r="C420" s="5" t="str">
        <f t="shared" si="36"/>
        <v/>
      </c>
      <c r="D420" s="21">
        <f t="shared" si="40"/>
        <v>0</v>
      </c>
      <c r="E420" s="7">
        <f t="shared" si="37"/>
        <v>0</v>
      </c>
      <c r="F420" s="7">
        <f>IF($D420&lt;=0,0,ROUND($D420*Übersicht!$Q$7,2))</f>
        <v>0</v>
      </c>
      <c r="G420" s="7">
        <f>IF($D420&lt;=0,0,MIN($D420,IF(Übersicht!$C$13="Annuitätendarlehen",MAX(0,Übersicht!$Q$9-$F420),IF(Übersicht!$C$13="Ratendarlehen",Übersicht!$Q$10,IF($A420&gt;=Übersicht!$Q$11,$D420,0)))))</f>
        <v>0</v>
      </c>
      <c r="H420" s="7">
        <f>IF($D420-$G420&lt;=0,0,IF(MOD($A420,Übersicht!$Q$6)=0,IF($A420/Übersicht!$Q$6&gt;=Übersicht!$C$21,MIN(Übersicht!$C$20,$D420-$G420),0),0))</f>
        <v>0</v>
      </c>
      <c r="I420" s="7">
        <f t="shared" si="38"/>
        <v>0</v>
      </c>
      <c r="J420" s="22">
        <f t="shared" si="39"/>
        <v>0</v>
      </c>
      <c r="K420" s="9" t="str">
        <f>IF($D420&lt;=0,"",IF($J420&lt;=0.005,"Volltilgung erreicht",IF($A420=Übersicht!$Q$13,"Ende der Zinsbindung",IF($H420&gt;0,"Sondertilgung",""))))</f>
        <v/>
      </c>
      <c r="L420" s="23">
        <f>IF($N419&lt;=0,0,ROUND($N419*Übersicht!$Q$7,2))</f>
        <v>0</v>
      </c>
      <c r="M420" s="23">
        <f>IF($N419&lt;=0,0,MIN($N419,IF(Übersicht!$C$13="Annuitätendarlehen",MAX(0,Übersicht!$Q$9-$L420),IF(Übersicht!$C$13="Ratendarlehen",Übersicht!$Q$10,IF($A420&gt;=Übersicht!$Q$11,$N419,0)))))</f>
        <v>0</v>
      </c>
      <c r="N420" s="23">
        <f t="shared" si="41"/>
        <v>0</v>
      </c>
    </row>
    <row r="421" spans="1:14" ht="15" customHeight="1" x14ac:dyDescent="0.25">
      <c r="A421" s="10">
        <v>414</v>
      </c>
      <c r="B421" s="24" t="str">
        <f>IF($D421&lt;=0,"",EDATE(Übersicht!$C$18,($A421-1)*12/Übersicht!$Q$6))</f>
        <v/>
      </c>
      <c r="C421" s="10" t="str">
        <f t="shared" si="36"/>
        <v/>
      </c>
      <c r="D421" s="25">
        <f t="shared" si="40"/>
        <v>0</v>
      </c>
      <c r="E421" s="12">
        <f t="shared" si="37"/>
        <v>0</v>
      </c>
      <c r="F421" s="12">
        <f>IF($D421&lt;=0,0,ROUND($D421*Übersicht!$Q$7,2))</f>
        <v>0</v>
      </c>
      <c r="G421" s="12">
        <f>IF($D421&lt;=0,0,MIN($D421,IF(Übersicht!$C$13="Annuitätendarlehen",MAX(0,Übersicht!$Q$9-$F421),IF(Übersicht!$C$13="Ratendarlehen",Übersicht!$Q$10,IF($A421&gt;=Übersicht!$Q$11,$D421,0)))))</f>
        <v>0</v>
      </c>
      <c r="H421" s="12">
        <f>IF($D421-$G421&lt;=0,0,IF(MOD($A421,Übersicht!$Q$6)=0,IF($A421/Übersicht!$Q$6&gt;=Übersicht!$C$21,MIN(Übersicht!$C$20,$D421-$G421),0),0))</f>
        <v>0</v>
      </c>
      <c r="I421" s="12">
        <f t="shared" si="38"/>
        <v>0</v>
      </c>
      <c r="J421" s="26">
        <f t="shared" si="39"/>
        <v>0</v>
      </c>
      <c r="K421" s="14" t="str">
        <f>IF($D421&lt;=0,"",IF($J421&lt;=0.005,"Volltilgung erreicht",IF($A421=Übersicht!$Q$13,"Ende der Zinsbindung",IF($H421&gt;0,"Sondertilgung",""))))</f>
        <v/>
      </c>
      <c r="L421" s="23">
        <f>IF($N420&lt;=0,0,ROUND($N420*Übersicht!$Q$7,2))</f>
        <v>0</v>
      </c>
      <c r="M421" s="23">
        <f>IF($N420&lt;=0,0,MIN($N420,IF(Übersicht!$C$13="Annuitätendarlehen",MAX(0,Übersicht!$Q$9-$L421),IF(Übersicht!$C$13="Ratendarlehen",Übersicht!$Q$10,IF($A421&gt;=Übersicht!$Q$11,$N420,0)))))</f>
        <v>0</v>
      </c>
      <c r="N421" s="23">
        <f t="shared" si="41"/>
        <v>0</v>
      </c>
    </row>
    <row r="422" spans="1:14" ht="15" customHeight="1" x14ac:dyDescent="0.25">
      <c r="A422" s="5">
        <v>415</v>
      </c>
      <c r="B422" s="20" t="str">
        <f>IF($D422&lt;=0,"",EDATE(Übersicht!$C$18,($A422-1)*12/Übersicht!$Q$6))</f>
        <v/>
      </c>
      <c r="C422" s="5" t="str">
        <f t="shared" si="36"/>
        <v/>
      </c>
      <c r="D422" s="21">
        <f t="shared" si="40"/>
        <v>0</v>
      </c>
      <c r="E422" s="7">
        <f t="shared" si="37"/>
        <v>0</v>
      </c>
      <c r="F422" s="7">
        <f>IF($D422&lt;=0,0,ROUND($D422*Übersicht!$Q$7,2))</f>
        <v>0</v>
      </c>
      <c r="G422" s="7">
        <f>IF($D422&lt;=0,0,MIN($D422,IF(Übersicht!$C$13="Annuitätendarlehen",MAX(0,Übersicht!$Q$9-$F422),IF(Übersicht!$C$13="Ratendarlehen",Übersicht!$Q$10,IF($A422&gt;=Übersicht!$Q$11,$D422,0)))))</f>
        <v>0</v>
      </c>
      <c r="H422" s="7">
        <f>IF($D422-$G422&lt;=0,0,IF(MOD($A422,Übersicht!$Q$6)=0,IF($A422/Übersicht!$Q$6&gt;=Übersicht!$C$21,MIN(Übersicht!$C$20,$D422-$G422),0),0))</f>
        <v>0</v>
      </c>
      <c r="I422" s="7">
        <f t="shared" si="38"/>
        <v>0</v>
      </c>
      <c r="J422" s="22">
        <f t="shared" si="39"/>
        <v>0</v>
      </c>
      <c r="K422" s="9" t="str">
        <f>IF($D422&lt;=0,"",IF($J422&lt;=0.005,"Volltilgung erreicht",IF($A422=Übersicht!$Q$13,"Ende der Zinsbindung",IF($H422&gt;0,"Sondertilgung",""))))</f>
        <v/>
      </c>
      <c r="L422" s="23">
        <f>IF($N421&lt;=0,0,ROUND($N421*Übersicht!$Q$7,2))</f>
        <v>0</v>
      </c>
      <c r="M422" s="23">
        <f>IF($N421&lt;=0,0,MIN($N421,IF(Übersicht!$C$13="Annuitätendarlehen",MAX(0,Übersicht!$Q$9-$L422),IF(Übersicht!$C$13="Ratendarlehen",Übersicht!$Q$10,IF($A422&gt;=Übersicht!$Q$11,$N421,0)))))</f>
        <v>0</v>
      </c>
      <c r="N422" s="23">
        <f t="shared" si="41"/>
        <v>0</v>
      </c>
    </row>
    <row r="423" spans="1:14" ht="15" customHeight="1" x14ac:dyDescent="0.25">
      <c r="A423" s="10">
        <v>416</v>
      </c>
      <c r="B423" s="24" t="str">
        <f>IF($D423&lt;=0,"",EDATE(Übersicht!$C$18,($A423-1)*12/Übersicht!$Q$6))</f>
        <v/>
      </c>
      <c r="C423" s="10" t="str">
        <f t="shared" si="36"/>
        <v/>
      </c>
      <c r="D423" s="25">
        <f t="shared" si="40"/>
        <v>0</v>
      </c>
      <c r="E423" s="12">
        <f t="shared" si="37"/>
        <v>0</v>
      </c>
      <c r="F423" s="12">
        <f>IF($D423&lt;=0,0,ROUND($D423*Übersicht!$Q$7,2))</f>
        <v>0</v>
      </c>
      <c r="G423" s="12">
        <f>IF($D423&lt;=0,0,MIN($D423,IF(Übersicht!$C$13="Annuitätendarlehen",MAX(0,Übersicht!$Q$9-$F423),IF(Übersicht!$C$13="Ratendarlehen",Übersicht!$Q$10,IF($A423&gt;=Übersicht!$Q$11,$D423,0)))))</f>
        <v>0</v>
      </c>
      <c r="H423" s="12">
        <f>IF($D423-$G423&lt;=0,0,IF(MOD($A423,Übersicht!$Q$6)=0,IF($A423/Übersicht!$Q$6&gt;=Übersicht!$C$21,MIN(Übersicht!$C$20,$D423-$G423),0),0))</f>
        <v>0</v>
      </c>
      <c r="I423" s="12">
        <f t="shared" si="38"/>
        <v>0</v>
      </c>
      <c r="J423" s="26">
        <f t="shared" si="39"/>
        <v>0</v>
      </c>
      <c r="K423" s="14" t="str">
        <f>IF($D423&lt;=0,"",IF($J423&lt;=0.005,"Volltilgung erreicht",IF($A423=Übersicht!$Q$13,"Ende der Zinsbindung",IF($H423&gt;0,"Sondertilgung",""))))</f>
        <v/>
      </c>
      <c r="L423" s="23">
        <f>IF($N422&lt;=0,0,ROUND($N422*Übersicht!$Q$7,2))</f>
        <v>0</v>
      </c>
      <c r="M423" s="23">
        <f>IF($N422&lt;=0,0,MIN($N422,IF(Übersicht!$C$13="Annuitätendarlehen",MAX(0,Übersicht!$Q$9-$L423),IF(Übersicht!$C$13="Ratendarlehen",Übersicht!$Q$10,IF($A423&gt;=Übersicht!$Q$11,$N422,0)))))</f>
        <v>0</v>
      </c>
      <c r="N423" s="23">
        <f t="shared" si="41"/>
        <v>0</v>
      </c>
    </row>
    <row r="424" spans="1:14" ht="15" customHeight="1" x14ac:dyDescent="0.25">
      <c r="A424" s="5">
        <v>417</v>
      </c>
      <c r="B424" s="20" t="str">
        <f>IF($D424&lt;=0,"",EDATE(Übersicht!$C$18,($A424-1)*12/Übersicht!$Q$6))</f>
        <v/>
      </c>
      <c r="C424" s="5" t="str">
        <f t="shared" si="36"/>
        <v/>
      </c>
      <c r="D424" s="21">
        <f t="shared" si="40"/>
        <v>0</v>
      </c>
      <c r="E424" s="7">
        <f t="shared" si="37"/>
        <v>0</v>
      </c>
      <c r="F424" s="7">
        <f>IF($D424&lt;=0,0,ROUND($D424*Übersicht!$Q$7,2))</f>
        <v>0</v>
      </c>
      <c r="G424" s="7">
        <f>IF($D424&lt;=0,0,MIN($D424,IF(Übersicht!$C$13="Annuitätendarlehen",MAX(0,Übersicht!$Q$9-$F424),IF(Übersicht!$C$13="Ratendarlehen",Übersicht!$Q$10,IF($A424&gt;=Übersicht!$Q$11,$D424,0)))))</f>
        <v>0</v>
      </c>
      <c r="H424" s="7">
        <f>IF($D424-$G424&lt;=0,0,IF(MOD($A424,Übersicht!$Q$6)=0,IF($A424/Übersicht!$Q$6&gt;=Übersicht!$C$21,MIN(Übersicht!$C$20,$D424-$G424),0),0))</f>
        <v>0</v>
      </c>
      <c r="I424" s="7">
        <f t="shared" si="38"/>
        <v>0</v>
      </c>
      <c r="J424" s="22">
        <f t="shared" si="39"/>
        <v>0</v>
      </c>
      <c r="K424" s="9" t="str">
        <f>IF($D424&lt;=0,"",IF($J424&lt;=0.005,"Volltilgung erreicht",IF($A424=Übersicht!$Q$13,"Ende der Zinsbindung",IF($H424&gt;0,"Sondertilgung",""))))</f>
        <v/>
      </c>
      <c r="L424" s="23">
        <f>IF($N423&lt;=0,0,ROUND($N423*Übersicht!$Q$7,2))</f>
        <v>0</v>
      </c>
      <c r="M424" s="23">
        <f>IF($N423&lt;=0,0,MIN($N423,IF(Übersicht!$C$13="Annuitätendarlehen",MAX(0,Übersicht!$Q$9-$L424),IF(Übersicht!$C$13="Ratendarlehen",Übersicht!$Q$10,IF($A424&gt;=Übersicht!$Q$11,$N423,0)))))</f>
        <v>0</v>
      </c>
      <c r="N424" s="23">
        <f t="shared" si="41"/>
        <v>0</v>
      </c>
    </row>
    <row r="425" spans="1:14" ht="15" customHeight="1" x14ac:dyDescent="0.25">
      <c r="A425" s="10">
        <v>418</v>
      </c>
      <c r="B425" s="24" t="str">
        <f>IF($D425&lt;=0,"",EDATE(Übersicht!$C$18,($A425-1)*12/Übersicht!$Q$6))</f>
        <v/>
      </c>
      <c r="C425" s="10" t="str">
        <f t="shared" si="36"/>
        <v/>
      </c>
      <c r="D425" s="25">
        <f t="shared" si="40"/>
        <v>0</v>
      </c>
      <c r="E425" s="12">
        <f t="shared" si="37"/>
        <v>0</v>
      </c>
      <c r="F425" s="12">
        <f>IF($D425&lt;=0,0,ROUND($D425*Übersicht!$Q$7,2))</f>
        <v>0</v>
      </c>
      <c r="G425" s="12">
        <f>IF($D425&lt;=0,0,MIN($D425,IF(Übersicht!$C$13="Annuitätendarlehen",MAX(0,Übersicht!$Q$9-$F425),IF(Übersicht!$C$13="Ratendarlehen",Übersicht!$Q$10,IF($A425&gt;=Übersicht!$Q$11,$D425,0)))))</f>
        <v>0</v>
      </c>
      <c r="H425" s="12">
        <f>IF($D425-$G425&lt;=0,0,IF(MOD($A425,Übersicht!$Q$6)=0,IF($A425/Übersicht!$Q$6&gt;=Übersicht!$C$21,MIN(Übersicht!$C$20,$D425-$G425),0),0))</f>
        <v>0</v>
      </c>
      <c r="I425" s="12">
        <f t="shared" si="38"/>
        <v>0</v>
      </c>
      <c r="J425" s="26">
        <f t="shared" si="39"/>
        <v>0</v>
      </c>
      <c r="K425" s="14" t="str">
        <f>IF($D425&lt;=0,"",IF($J425&lt;=0.005,"Volltilgung erreicht",IF($A425=Übersicht!$Q$13,"Ende der Zinsbindung",IF($H425&gt;0,"Sondertilgung",""))))</f>
        <v/>
      </c>
      <c r="L425" s="23">
        <f>IF($N424&lt;=0,0,ROUND($N424*Übersicht!$Q$7,2))</f>
        <v>0</v>
      </c>
      <c r="M425" s="23">
        <f>IF($N424&lt;=0,0,MIN($N424,IF(Übersicht!$C$13="Annuitätendarlehen",MAX(0,Übersicht!$Q$9-$L425),IF(Übersicht!$C$13="Ratendarlehen",Übersicht!$Q$10,IF($A425&gt;=Übersicht!$Q$11,$N424,0)))))</f>
        <v>0</v>
      </c>
      <c r="N425" s="23">
        <f t="shared" si="41"/>
        <v>0</v>
      </c>
    </row>
    <row r="426" spans="1:14" ht="15" customHeight="1" x14ac:dyDescent="0.25">
      <c r="A426" s="5">
        <v>419</v>
      </c>
      <c r="B426" s="20" t="str">
        <f>IF($D426&lt;=0,"",EDATE(Übersicht!$C$18,($A426-1)*12/Übersicht!$Q$6))</f>
        <v/>
      </c>
      <c r="C426" s="5" t="str">
        <f t="shared" si="36"/>
        <v/>
      </c>
      <c r="D426" s="21">
        <f t="shared" si="40"/>
        <v>0</v>
      </c>
      <c r="E426" s="7">
        <f t="shared" si="37"/>
        <v>0</v>
      </c>
      <c r="F426" s="7">
        <f>IF($D426&lt;=0,0,ROUND($D426*Übersicht!$Q$7,2))</f>
        <v>0</v>
      </c>
      <c r="G426" s="7">
        <f>IF($D426&lt;=0,0,MIN($D426,IF(Übersicht!$C$13="Annuitätendarlehen",MAX(0,Übersicht!$Q$9-$F426),IF(Übersicht!$C$13="Ratendarlehen",Übersicht!$Q$10,IF($A426&gt;=Übersicht!$Q$11,$D426,0)))))</f>
        <v>0</v>
      </c>
      <c r="H426" s="7">
        <f>IF($D426-$G426&lt;=0,0,IF(MOD($A426,Übersicht!$Q$6)=0,IF($A426/Übersicht!$Q$6&gt;=Übersicht!$C$21,MIN(Übersicht!$C$20,$D426-$G426),0),0))</f>
        <v>0</v>
      </c>
      <c r="I426" s="7">
        <f t="shared" si="38"/>
        <v>0</v>
      </c>
      <c r="J426" s="22">
        <f t="shared" si="39"/>
        <v>0</v>
      </c>
      <c r="K426" s="9" t="str">
        <f>IF($D426&lt;=0,"",IF($J426&lt;=0.005,"Volltilgung erreicht",IF($A426=Übersicht!$Q$13,"Ende der Zinsbindung",IF($H426&gt;0,"Sondertilgung",""))))</f>
        <v/>
      </c>
      <c r="L426" s="23">
        <f>IF($N425&lt;=0,0,ROUND($N425*Übersicht!$Q$7,2))</f>
        <v>0</v>
      </c>
      <c r="M426" s="23">
        <f>IF($N425&lt;=0,0,MIN($N425,IF(Übersicht!$C$13="Annuitätendarlehen",MAX(0,Übersicht!$Q$9-$L426),IF(Übersicht!$C$13="Ratendarlehen",Übersicht!$Q$10,IF($A426&gt;=Übersicht!$Q$11,$N425,0)))))</f>
        <v>0</v>
      </c>
      <c r="N426" s="23">
        <f t="shared" si="41"/>
        <v>0</v>
      </c>
    </row>
    <row r="427" spans="1:14" ht="15" customHeight="1" x14ac:dyDescent="0.25">
      <c r="A427" s="10">
        <v>420</v>
      </c>
      <c r="B427" s="24" t="str">
        <f>IF($D427&lt;=0,"",EDATE(Übersicht!$C$18,($A427-1)*12/Übersicht!$Q$6))</f>
        <v/>
      </c>
      <c r="C427" s="10" t="str">
        <f t="shared" si="36"/>
        <v/>
      </c>
      <c r="D427" s="25">
        <f t="shared" si="40"/>
        <v>0</v>
      </c>
      <c r="E427" s="12">
        <f t="shared" si="37"/>
        <v>0</v>
      </c>
      <c r="F427" s="12">
        <f>IF($D427&lt;=0,0,ROUND($D427*Übersicht!$Q$7,2))</f>
        <v>0</v>
      </c>
      <c r="G427" s="12">
        <f>IF($D427&lt;=0,0,MIN($D427,IF(Übersicht!$C$13="Annuitätendarlehen",MAX(0,Übersicht!$Q$9-$F427),IF(Übersicht!$C$13="Ratendarlehen",Übersicht!$Q$10,IF($A427&gt;=Übersicht!$Q$11,$D427,0)))))</f>
        <v>0</v>
      </c>
      <c r="H427" s="12">
        <f>IF($D427-$G427&lt;=0,0,IF(MOD($A427,Übersicht!$Q$6)=0,IF($A427/Übersicht!$Q$6&gt;=Übersicht!$C$21,MIN(Übersicht!$C$20,$D427-$G427),0),0))</f>
        <v>0</v>
      </c>
      <c r="I427" s="12">
        <f t="shared" si="38"/>
        <v>0</v>
      </c>
      <c r="J427" s="26">
        <f t="shared" si="39"/>
        <v>0</v>
      </c>
      <c r="K427" s="14" t="str">
        <f>IF($D427&lt;=0,"",IF($J427&lt;=0.005,"Volltilgung erreicht",IF($A427=Übersicht!$Q$13,"Ende der Zinsbindung",IF($H427&gt;0,"Sondertilgung",""))))</f>
        <v/>
      </c>
      <c r="L427" s="23">
        <f>IF($N426&lt;=0,0,ROUND($N426*Übersicht!$Q$7,2))</f>
        <v>0</v>
      </c>
      <c r="M427" s="23">
        <f>IF($N426&lt;=0,0,MIN($N426,IF(Übersicht!$C$13="Annuitätendarlehen",MAX(0,Übersicht!$Q$9-$L427),IF(Übersicht!$C$13="Ratendarlehen",Übersicht!$Q$10,IF($A427&gt;=Übersicht!$Q$11,$N426,0)))))</f>
        <v>0</v>
      </c>
      <c r="N427" s="23">
        <f t="shared" si="41"/>
        <v>0</v>
      </c>
    </row>
    <row r="428" spans="1:14" ht="15" customHeight="1" x14ac:dyDescent="0.25">
      <c r="A428" s="5">
        <v>421</v>
      </c>
      <c r="B428" s="20" t="str">
        <f>IF($D428&lt;=0,"",EDATE(Übersicht!$C$18,($A428-1)*12/Übersicht!$Q$6))</f>
        <v/>
      </c>
      <c r="C428" s="5" t="str">
        <f t="shared" si="36"/>
        <v/>
      </c>
      <c r="D428" s="21">
        <f t="shared" si="40"/>
        <v>0</v>
      </c>
      <c r="E428" s="7">
        <f t="shared" si="37"/>
        <v>0</v>
      </c>
      <c r="F428" s="7">
        <f>IF($D428&lt;=0,0,ROUND($D428*Übersicht!$Q$7,2))</f>
        <v>0</v>
      </c>
      <c r="G428" s="7">
        <f>IF($D428&lt;=0,0,MIN($D428,IF(Übersicht!$C$13="Annuitätendarlehen",MAX(0,Übersicht!$Q$9-$F428),IF(Übersicht!$C$13="Ratendarlehen",Übersicht!$Q$10,IF($A428&gt;=Übersicht!$Q$11,$D428,0)))))</f>
        <v>0</v>
      </c>
      <c r="H428" s="7">
        <f>IF($D428-$G428&lt;=0,0,IF(MOD($A428,Übersicht!$Q$6)=0,IF($A428/Übersicht!$Q$6&gt;=Übersicht!$C$21,MIN(Übersicht!$C$20,$D428-$G428),0),0))</f>
        <v>0</v>
      </c>
      <c r="I428" s="7">
        <f t="shared" si="38"/>
        <v>0</v>
      </c>
      <c r="J428" s="22">
        <f t="shared" si="39"/>
        <v>0</v>
      </c>
      <c r="K428" s="9" t="str">
        <f>IF($D428&lt;=0,"",IF($J428&lt;=0.005,"Volltilgung erreicht",IF($A428=Übersicht!$Q$13,"Ende der Zinsbindung",IF($H428&gt;0,"Sondertilgung",""))))</f>
        <v/>
      </c>
      <c r="L428" s="23">
        <f>IF($N427&lt;=0,0,ROUND($N427*Übersicht!$Q$7,2))</f>
        <v>0</v>
      </c>
      <c r="M428" s="23">
        <f>IF($N427&lt;=0,0,MIN($N427,IF(Übersicht!$C$13="Annuitätendarlehen",MAX(0,Übersicht!$Q$9-$L428),IF(Übersicht!$C$13="Ratendarlehen",Übersicht!$Q$10,IF($A428&gt;=Übersicht!$Q$11,$N427,0)))))</f>
        <v>0</v>
      </c>
      <c r="N428" s="23">
        <f t="shared" si="41"/>
        <v>0</v>
      </c>
    </row>
    <row r="429" spans="1:14" ht="15" customHeight="1" x14ac:dyDescent="0.25">
      <c r="A429" s="10">
        <v>422</v>
      </c>
      <c r="B429" s="24" t="str">
        <f>IF($D429&lt;=0,"",EDATE(Übersicht!$C$18,($A429-1)*12/Übersicht!$Q$6))</f>
        <v/>
      </c>
      <c r="C429" s="10" t="str">
        <f t="shared" si="36"/>
        <v/>
      </c>
      <c r="D429" s="25">
        <f t="shared" si="40"/>
        <v>0</v>
      </c>
      <c r="E429" s="12">
        <f t="shared" si="37"/>
        <v>0</v>
      </c>
      <c r="F429" s="12">
        <f>IF($D429&lt;=0,0,ROUND($D429*Übersicht!$Q$7,2))</f>
        <v>0</v>
      </c>
      <c r="G429" s="12">
        <f>IF($D429&lt;=0,0,MIN($D429,IF(Übersicht!$C$13="Annuitätendarlehen",MAX(0,Übersicht!$Q$9-$F429),IF(Übersicht!$C$13="Ratendarlehen",Übersicht!$Q$10,IF($A429&gt;=Übersicht!$Q$11,$D429,0)))))</f>
        <v>0</v>
      </c>
      <c r="H429" s="12">
        <f>IF($D429-$G429&lt;=0,0,IF(MOD($A429,Übersicht!$Q$6)=0,IF($A429/Übersicht!$Q$6&gt;=Übersicht!$C$21,MIN(Übersicht!$C$20,$D429-$G429),0),0))</f>
        <v>0</v>
      </c>
      <c r="I429" s="12">
        <f t="shared" si="38"/>
        <v>0</v>
      </c>
      <c r="J429" s="26">
        <f t="shared" si="39"/>
        <v>0</v>
      </c>
      <c r="K429" s="14" t="str">
        <f>IF($D429&lt;=0,"",IF($J429&lt;=0.005,"Volltilgung erreicht",IF($A429=Übersicht!$Q$13,"Ende der Zinsbindung",IF($H429&gt;0,"Sondertilgung",""))))</f>
        <v/>
      </c>
      <c r="L429" s="23">
        <f>IF($N428&lt;=0,0,ROUND($N428*Übersicht!$Q$7,2))</f>
        <v>0</v>
      </c>
      <c r="M429" s="23">
        <f>IF($N428&lt;=0,0,MIN($N428,IF(Übersicht!$C$13="Annuitätendarlehen",MAX(0,Übersicht!$Q$9-$L429),IF(Übersicht!$C$13="Ratendarlehen",Übersicht!$Q$10,IF($A429&gt;=Übersicht!$Q$11,$N428,0)))))</f>
        <v>0</v>
      </c>
      <c r="N429" s="23">
        <f t="shared" si="41"/>
        <v>0</v>
      </c>
    </row>
    <row r="430" spans="1:14" ht="15" customHeight="1" x14ac:dyDescent="0.25">
      <c r="A430" s="5">
        <v>423</v>
      </c>
      <c r="B430" s="20" t="str">
        <f>IF($D430&lt;=0,"",EDATE(Übersicht!$C$18,($A430-1)*12/Übersicht!$Q$6))</f>
        <v/>
      </c>
      <c r="C430" s="5" t="str">
        <f t="shared" si="36"/>
        <v/>
      </c>
      <c r="D430" s="21">
        <f t="shared" si="40"/>
        <v>0</v>
      </c>
      <c r="E430" s="7">
        <f t="shared" si="37"/>
        <v>0</v>
      </c>
      <c r="F430" s="7">
        <f>IF($D430&lt;=0,0,ROUND($D430*Übersicht!$Q$7,2))</f>
        <v>0</v>
      </c>
      <c r="G430" s="7">
        <f>IF($D430&lt;=0,0,MIN($D430,IF(Übersicht!$C$13="Annuitätendarlehen",MAX(0,Übersicht!$Q$9-$F430),IF(Übersicht!$C$13="Ratendarlehen",Übersicht!$Q$10,IF($A430&gt;=Übersicht!$Q$11,$D430,0)))))</f>
        <v>0</v>
      </c>
      <c r="H430" s="7">
        <f>IF($D430-$G430&lt;=0,0,IF(MOD($A430,Übersicht!$Q$6)=0,IF($A430/Übersicht!$Q$6&gt;=Übersicht!$C$21,MIN(Übersicht!$C$20,$D430-$G430),0),0))</f>
        <v>0</v>
      </c>
      <c r="I430" s="7">
        <f t="shared" si="38"/>
        <v>0</v>
      </c>
      <c r="J430" s="22">
        <f t="shared" si="39"/>
        <v>0</v>
      </c>
      <c r="K430" s="9" t="str">
        <f>IF($D430&lt;=0,"",IF($J430&lt;=0.005,"Volltilgung erreicht",IF($A430=Übersicht!$Q$13,"Ende der Zinsbindung",IF($H430&gt;0,"Sondertilgung",""))))</f>
        <v/>
      </c>
      <c r="L430" s="23">
        <f>IF($N429&lt;=0,0,ROUND($N429*Übersicht!$Q$7,2))</f>
        <v>0</v>
      </c>
      <c r="M430" s="23">
        <f>IF($N429&lt;=0,0,MIN($N429,IF(Übersicht!$C$13="Annuitätendarlehen",MAX(0,Übersicht!$Q$9-$L430),IF(Übersicht!$C$13="Ratendarlehen",Übersicht!$Q$10,IF($A430&gt;=Übersicht!$Q$11,$N429,0)))))</f>
        <v>0</v>
      </c>
      <c r="N430" s="23">
        <f t="shared" si="41"/>
        <v>0</v>
      </c>
    </row>
    <row r="431" spans="1:14" ht="15" customHeight="1" x14ac:dyDescent="0.25">
      <c r="A431" s="10">
        <v>424</v>
      </c>
      <c r="B431" s="24" t="str">
        <f>IF($D431&lt;=0,"",EDATE(Übersicht!$C$18,($A431-1)*12/Übersicht!$Q$6))</f>
        <v/>
      </c>
      <c r="C431" s="10" t="str">
        <f t="shared" si="36"/>
        <v/>
      </c>
      <c r="D431" s="25">
        <f t="shared" si="40"/>
        <v>0</v>
      </c>
      <c r="E431" s="12">
        <f t="shared" si="37"/>
        <v>0</v>
      </c>
      <c r="F431" s="12">
        <f>IF($D431&lt;=0,0,ROUND($D431*Übersicht!$Q$7,2))</f>
        <v>0</v>
      </c>
      <c r="G431" s="12">
        <f>IF($D431&lt;=0,0,MIN($D431,IF(Übersicht!$C$13="Annuitätendarlehen",MAX(0,Übersicht!$Q$9-$F431),IF(Übersicht!$C$13="Ratendarlehen",Übersicht!$Q$10,IF($A431&gt;=Übersicht!$Q$11,$D431,0)))))</f>
        <v>0</v>
      </c>
      <c r="H431" s="12">
        <f>IF($D431-$G431&lt;=0,0,IF(MOD($A431,Übersicht!$Q$6)=0,IF($A431/Übersicht!$Q$6&gt;=Übersicht!$C$21,MIN(Übersicht!$C$20,$D431-$G431),0),0))</f>
        <v>0</v>
      </c>
      <c r="I431" s="12">
        <f t="shared" si="38"/>
        <v>0</v>
      </c>
      <c r="J431" s="26">
        <f t="shared" si="39"/>
        <v>0</v>
      </c>
      <c r="K431" s="14" t="str">
        <f>IF($D431&lt;=0,"",IF($J431&lt;=0.005,"Volltilgung erreicht",IF($A431=Übersicht!$Q$13,"Ende der Zinsbindung",IF($H431&gt;0,"Sondertilgung",""))))</f>
        <v/>
      </c>
      <c r="L431" s="23">
        <f>IF($N430&lt;=0,0,ROUND($N430*Übersicht!$Q$7,2))</f>
        <v>0</v>
      </c>
      <c r="M431" s="23">
        <f>IF($N430&lt;=0,0,MIN($N430,IF(Übersicht!$C$13="Annuitätendarlehen",MAX(0,Übersicht!$Q$9-$L431),IF(Übersicht!$C$13="Ratendarlehen",Übersicht!$Q$10,IF($A431&gt;=Übersicht!$Q$11,$N430,0)))))</f>
        <v>0</v>
      </c>
      <c r="N431" s="23">
        <f t="shared" si="41"/>
        <v>0</v>
      </c>
    </row>
    <row r="432" spans="1:14" ht="15" customHeight="1" x14ac:dyDescent="0.25">
      <c r="A432" s="5">
        <v>425</v>
      </c>
      <c r="B432" s="20" t="str">
        <f>IF($D432&lt;=0,"",EDATE(Übersicht!$C$18,($A432-1)*12/Übersicht!$Q$6))</f>
        <v/>
      </c>
      <c r="C432" s="5" t="str">
        <f t="shared" si="36"/>
        <v/>
      </c>
      <c r="D432" s="21">
        <f t="shared" si="40"/>
        <v>0</v>
      </c>
      <c r="E432" s="7">
        <f t="shared" si="37"/>
        <v>0</v>
      </c>
      <c r="F432" s="7">
        <f>IF($D432&lt;=0,0,ROUND($D432*Übersicht!$Q$7,2))</f>
        <v>0</v>
      </c>
      <c r="G432" s="7">
        <f>IF($D432&lt;=0,0,MIN($D432,IF(Übersicht!$C$13="Annuitätendarlehen",MAX(0,Übersicht!$Q$9-$F432),IF(Übersicht!$C$13="Ratendarlehen",Übersicht!$Q$10,IF($A432&gt;=Übersicht!$Q$11,$D432,0)))))</f>
        <v>0</v>
      </c>
      <c r="H432" s="7">
        <f>IF($D432-$G432&lt;=0,0,IF(MOD($A432,Übersicht!$Q$6)=0,IF($A432/Übersicht!$Q$6&gt;=Übersicht!$C$21,MIN(Übersicht!$C$20,$D432-$G432),0),0))</f>
        <v>0</v>
      </c>
      <c r="I432" s="7">
        <f t="shared" si="38"/>
        <v>0</v>
      </c>
      <c r="J432" s="22">
        <f t="shared" si="39"/>
        <v>0</v>
      </c>
      <c r="K432" s="9" t="str">
        <f>IF($D432&lt;=0,"",IF($J432&lt;=0.005,"Volltilgung erreicht",IF($A432=Übersicht!$Q$13,"Ende der Zinsbindung",IF($H432&gt;0,"Sondertilgung",""))))</f>
        <v/>
      </c>
      <c r="L432" s="23">
        <f>IF($N431&lt;=0,0,ROUND($N431*Übersicht!$Q$7,2))</f>
        <v>0</v>
      </c>
      <c r="M432" s="23">
        <f>IF($N431&lt;=0,0,MIN($N431,IF(Übersicht!$C$13="Annuitätendarlehen",MAX(0,Übersicht!$Q$9-$L432),IF(Übersicht!$C$13="Ratendarlehen",Übersicht!$Q$10,IF($A432&gt;=Übersicht!$Q$11,$N431,0)))))</f>
        <v>0</v>
      </c>
      <c r="N432" s="23">
        <f t="shared" si="41"/>
        <v>0</v>
      </c>
    </row>
    <row r="433" spans="1:14" ht="15" customHeight="1" x14ac:dyDescent="0.25">
      <c r="A433" s="10">
        <v>426</v>
      </c>
      <c r="B433" s="24" t="str">
        <f>IF($D433&lt;=0,"",EDATE(Übersicht!$C$18,($A433-1)*12/Übersicht!$Q$6))</f>
        <v/>
      </c>
      <c r="C433" s="10" t="str">
        <f t="shared" si="36"/>
        <v/>
      </c>
      <c r="D433" s="25">
        <f t="shared" si="40"/>
        <v>0</v>
      </c>
      <c r="E433" s="12">
        <f t="shared" si="37"/>
        <v>0</v>
      </c>
      <c r="F433" s="12">
        <f>IF($D433&lt;=0,0,ROUND($D433*Übersicht!$Q$7,2))</f>
        <v>0</v>
      </c>
      <c r="G433" s="12">
        <f>IF($D433&lt;=0,0,MIN($D433,IF(Übersicht!$C$13="Annuitätendarlehen",MAX(0,Übersicht!$Q$9-$F433),IF(Übersicht!$C$13="Ratendarlehen",Übersicht!$Q$10,IF($A433&gt;=Übersicht!$Q$11,$D433,0)))))</f>
        <v>0</v>
      </c>
      <c r="H433" s="12">
        <f>IF($D433-$G433&lt;=0,0,IF(MOD($A433,Übersicht!$Q$6)=0,IF($A433/Übersicht!$Q$6&gt;=Übersicht!$C$21,MIN(Übersicht!$C$20,$D433-$G433),0),0))</f>
        <v>0</v>
      </c>
      <c r="I433" s="12">
        <f t="shared" si="38"/>
        <v>0</v>
      </c>
      <c r="J433" s="26">
        <f t="shared" si="39"/>
        <v>0</v>
      </c>
      <c r="K433" s="14" t="str">
        <f>IF($D433&lt;=0,"",IF($J433&lt;=0.005,"Volltilgung erreicht",IF($A433=Übersicht!$Q$13,"Ende der Zinsbindung",IF($H433&gt;0,"Sondertilgung",""))))</f>
        <v/>
      </c>
      <c r="L433" s="23">
        <f>IF($N432&lt;=0,0,ROUND($N432*Übersicht!$Q$7,2))</f>
        <v>0</v>
      </c>
      <c r="M433" s="23">
        <f>IF($N432&lt;=0,0,MIN($N432,IF(Übersicht!$C$13="Annuitätendarlehen",MAX(0,Übersicht!$Q$9-$L433),IF(Übersicht!$C$13="Ratendarlehen",Übersicht!$Q$10,IF($A433&gt;=Übersicht!$Q$11,$N432,0)))))</f>
        <v>0</v>
      </c>
      <c r="N433" s="23">
        <f t="shared" si="41"/>
        <v>0</v>
      </c>
    </row>
    <row r="434" spans="1:14" ht="15" customHeight="1" x14ac:dyDescent="0.25">
      <c r="A434" s="5">
        <v>427</v>
      </c>
      <c r="B434" s="20" t="str">
        <f>IF($D434&lt;=0,"",EDATE(Übersicht!$C$18,($A434-1)*12/Übersicht!$Q$6))</f>
        <v/>
      </c>
      <c r="C434" s="5" t="str">
        <f t="shared" si="36"/>
        <v/>
      </c>
      <c r="D434" s="21">
        <f t="shared" si="40"/>
        <v>0</v>
      </c>
      <c r="E434" s="7">
        <f t="shared" si="37"/>
        <v>0</v>
      </c>
      <c r="F434" s="7">
        <f>IF($D434&lt;=0,0,ROUND($D434*Übersicht!$Q$7,2))</f>
        <v>0</v>
      </c>
      <c r="G434" s="7">
        <f>IF($D434&lt;=0,0,MIN($D434,IF(Übersicht!$C$13="Annuitätendarlehen",MAX(0,Übersicht!$Q$9-$F434),IF(Übersicht!$C$13="Ratendarlehen",Übersicht!$Q$10,IF($A434&gt;=Übersicht!$Q$11,$D434,0)))))</f>
        <v>0</v>
      </c>
      <c r="H434" s="7">
        <f>IF($D434-$G434&lt;=0,0,IF(MOD($A434,Übersicht!$Q$6)=0,IF($A434/Übersicht!$Q$6&gt;=Übersicht!$C$21,MIN(Übersicht!$C$20,$D434-$G434),0),0))</f>
        <v>0</v>
      </c>
      <c r="I434" s="7">
        <f t="shared" si="38"/>
        <v>0</v>
      </c>
      <c r="J434" s="22">
        <f t="shared" si="39"/>
        <v>0</v>
      </c>
      <c r="K434" s="9" t="str">
        <f>IF($D434&lt;=0,"",IF($J434&lt;=0.005,"Volltilgung erreicht",IF($A434=Übersicht!$Q$13,"Ende der Zinsbindung",IF($H434&gt;0,"Sondertilgung",""))))</f>
        <v/>
      </c>
      <c r="L434" s="23">
        <f>IF($N433&lt;=0,0,ROUND($N433*Übersicht!$Q$7,2))</f>
        <v>0</v>
      </c>
      <c r="M434" s="23">
        <f>IF($N433&lt;=0,0,MIN($N433,IF(Übersicht!$C$13="Annuitätendarlehen",MAX(0,Übersicht!$Q$9-$L434),IF(Übersicht!$C$13="Ratendarlehen",Übersicht!$Q$10,IF($A434&gt;=Übersicht!$Q$11,$N433,0)))))</f>
        <v>0</v>
      </c>
      <c r="N434" s="23">
        <f t="shared" si="41"/>
        <v>0</v>
      </c>
    </row>
    <row r="435" spans="1:14" ht="15" customHeight="1" x14ac:dyDescent="0.25">
      <c r="A435" s="10">
        <v>428</v>
      </c>
      <c r="B435" s="24" t="str">
        <f>IF($D435&lt;=0,"",EDATE(Übersicht!$C$18,($A435-1)*12/Übersicht!$Q$6))</f>
        <v/>
      </c>
      <c r="C435" s="10" t="str">
        <f t="shared" si="36"/>
        <v/>
      </c>
      <c r="D435" s="25">
        <f t="shared" si="40"/>
        <v>0</v>
      </c>
      <c r="E435" s="12">
        <f t="shared" si="37"/>
        <v>0</v>
      </c>
      <c r="F435" s="12">
        <f>IF($D435&lt;=0,0,ROUND($D435*Übersicht!$Q$7,2))</f>
        <v>0</v>
      </c>
      <c r="G435" s="12">
        <f>IF($D435&lt;=0,0,MIN($D435,IF(Übersicht!$C$13="Annuitätendarlehen",MAX(0,Übersicht!$Q$9-$F435),IF(Übersicht!$C$13="Ratendarlehen",Übersicht!$Q$10,IF($A435&gt;=Übersicht!$Q$11,$D435,0)))))</f>
        <v>0</v>
      </c>
      <c r="H435" s="12">
        <f>IF($D435-$G435&lt;=0,0,IF(MOD($A435,Übersicht!$Q$6)=0,IF($A435/Übersicht!$Q$6&gt;=Übersicht!$C$21,MIN(Übersicht!$C$20,$D435-$G435),0),0))</f>
        <v>0</v>
      </c>
      <c r="I435" s="12">
        <f t="shared" si="38"/>
        <v>0</v>
      </c>
      <c r="J435" s="26">
        <f t="shared" si="39"/>
        <v>0</v>
      </c>
      <c r="K435" s="14" t="str">
        <f>IF($D435&lt;=0,"",IF($J435&lt;=0.005,"Volltilgung erreicht",IF($A435=Übersicht!$Q$13,"Ende der Zinsbindung",IF($H435&gt;0,"Sondertilgung",""))))</f>
        <v/>
      </c>
      <c r="L435" s="23">
        <f>IF($N434&lt;=0,0,ROUND($N434*Übersicht!$Q$7,2))</f>
        <v>0</v>
      </c>
      <c r="M435" s="23">
        <f>IF($N434&lt;=0,0,MIN($N434,IF(Übersicht!$C$13="Annuitätendarlehen",MAX(0,Übersicht!$Q$9-$L435),IF(Übersicht!$C$13="Ratendarlehen",Übersicht!$Q$10,IF($A435&gt;=Übersicht!$Q$11,$N434,0)))))</f>
        <v>0</v>
      </c>
      <c r="N435" s="23">
        <f t="shared" si="41"/>
        <v>0</v>
      </c>
    </row>
    <row r="436" spans="1:14" ht="15" customHeight="1" x14ac:dyDescent="0.25">
      <c r="A436" s="5">
        <v>429</v>
      </c>
      <c r="B436" s="20" t="str">
        <f>IF($D436&lt;=0,"",EDATE(Übersicht!$C$18,($A436-1)*12/Übersicht!$Q$6))</f>
        <v/>
      </c>
      <c r="C436" s="5" t="str">
        <f t="shared" si="36"/>
        <v/>
      </c>
      <c r="D436" s="21">
        <f t="shared" si="40"/>
        <v>0</v>
      </c>
      <c r="E436" s="7">
        <f t="shared" si="37"/>
        <v>0</v>
      </c>
      <c r="F436" s="7">
        <f>IF($D436&lt;=0,0,ROUND($D436*Übersicht!$Q$7,2))</f>
        <v>0</v>
      </c>
      <c r="G436" s="7">
        <f>IF($D436&lt;=0,0,MIN($D436,IF(Übersicht!$C$13="Annuitätendarlehen",MAX(0,Übersicht!$Q$9-$F436),IF(Übersicht!$C$13="Ratendarlehen",Übersicht!$Q$10,IF($A436&gt;=Übersicht!$Q$11,$D436,0)))))</f>
        <v>0</v>
      </c>
      <c r="H436" s="7">
        <f>IF($D436-$G436&lt;=0,0,IF(MOD($A436,Übersicht!$Q$6)=0,IF($A436/Übersicht!$Q$6&gt;=Übersicht!$C$21,MIN(Übersicht!$C$20,$D436-$G436),0),0))</f>
        <v>0</v>
      </c>
      <c r="I436" s="7">
        <f t="shared" si="38"/>
        <v>0</v>
      </c>
      <c r="J436" s="22">
        <f t="shared" si="39"/>
        <v>0</v>
      </c>
      <c r="K436" s="9" t="str">
        <f>IF($D436&lt;=0,"",IF($J436&lt;=0.005,"Volltilgung erreicht",IF($A436=Übersicht!$Q$13,"Ende der Zinsbindung",IF($H436&gt;0,"Sondertilgung",""))))</f>
        <v/>
      </c>
      <c r="L436" s="23">
        <f>IF($N435&lt;=0,0,ROUND($N435*Übersicht!$Q$7,2))</f>
        <v>0</v>
      </c>
      <c r="M436" s="23">
        <f>IF($N435&lt;=0,0,MIN($N435,IF(Übersicht!$C$13="Annuitätendarlehen",MAX(0,Übersicht!$Q$9-$L436),IF(Übersicht!$C$13="Ratendarlehen",Übersicht!$Q$10,IF($A436&gt;=Übersicht!$Q$11,$N435,0)))))</f>
        <v>0</v>
      </c>
      <c r="N436" s="23">
        <f t="shared" si="41"/>
        <v>0</v>
      </c>
    </row>
    <row r="437" spans="1:14" ht="15" customHeight="1" x14ac:dyDescent="0.25">
      <c r="A437" s="10">
        <v>430</v>
      </c>
      <c r="B437" s="24" t="str">
        <f>IF($D437&lt;=0,"",EDATE(Übersicht!$C$18,($A437-1)*12/Übersicht!$Q$6))</f>
        <v/>
      </c>
      <c r="C437" s="10" t="str">
        <f t="shared" si="36"/>
        <v/>
      </c>
      <c r="D437" s="25">
        <f t="shared" si="40"/>
        <v>0</v>
      </c>
      <c r="E437" s="12">
        <f t="shared" si="37"/>
        <v>0</v>
      </c>
      <c r="F437" s="12">
        <f>IF($D437&lt;=0,0,ROUND($D437*Übersicht!$Q$7,2))</f>
        <v>0</v>
      </c>
      <c r="G437" s="12">
        <f>IF($D437&lt;=0,0,MIN($D437,IF(Übersicht!$C$13="Annuitätendarlehen",MAX(0,Übersicht!$Q$9-$F437),IF(Übersicht!$C$13="Ratendarlehen",Übersicht!$Q$10,IF($A437&gt;=Übersicht!$Q$11,$D437,0)))))</f>
        <v>0</v>
      </c>
      <c r="H437" s="12">
        <f>IF($D437-$G437&lt;=0,0,IF(MOD($A437,Übersicht!$Q$6)=0,IF($A437/Übersicht!$Q$6&gt;=Übersicht!$C$21,MIN(Übersicht!$C$20,$D437-$G437),0),0))</f>
        <v>0</v>
      </c>
      <c r="I437" s="12">
        <f t="shared" si="38"/>
        <v>0</v>
      </c>
      <c r="J437" s="26">
        <f t="shared" si="39"/>
        <v>0</v>
      </c>
      <c r="K437" s="14" t="str">
        <f>IF($D437&lt;=0,"",IF($J437&lt;=0.005,"Volltilgung erreicht",IF($A437=Übersicht!$Q$13,"Ende der Zinsbindung",IF($H437&gt;0,"Sondertilgung",""))))</f>
        <v/>
      </c>
      <c r="L437" s="23">
        <f>IF($N436&lt;=0,0,ROUND($N436*Übersicht!$Q$7,2))</f>
        <v>0</v>
      </c>
      <c r="M437" s="23">
        <f>IF($N436&lt;=0,0,MIN($N436,IF(Übersicht!$C$13="Annuitätendarlehen",MAX(0,Übersicht!$Q$9-$L437),IF(Übersicht!$C$13="Ratendarlehen",Übersicht!$Q$10,IF($A437&gt;=Übersicht!$Q$11,$N436,0)))))</f>
        <v>0</v>
      </c>
      <c r="N437" s="23">
        <f t="shared" si="41"/>
        <v>0</v>
      </c>
    </row>
    <row r="438" spans="1:14" ht="15" customHeight="1" x14ac:dyDescent="0.25">
      <c r="A438" s="5">
        <v>431</v>
      </c>
      <c r="B438" s="20" t="str">
        <f>IF($D438&lt;=0,"",EDATE(Übersicht!$C$18,($A438-1)*12/Übersicht!$Q$6))</f>
        <v/>
      </c>
      <c r="C438" s="5" t="str">
        <f t="shared" si="36"/>
        <v/>
      </c>
      <c r="D438" s="21">
        <f t="shared" si="40"/>
        <v>0</v>
      </c>
      <c r="E438" s="7">
        <f t="shared" si="37"/>
        <v>0</v>
      </c>
      <c r="F438" s="7">
        <f>IF($D438&lt;=0,0,ROUND($D438*Übersicht!$Q$7,2))</f>
        <v>0</v>
      </c>
      <c r="G438" s="7">
        <f>IF($D438&lt;=0,0,MIN($D438,IF(Übersicht!$C$13="Annuitätendarlehen",MAX(0,Übersicht!$Q$9-$F438),IF(Übersicht!$C$13="Ratendarlehen",Übersicht!$Q$10,IF($A438&gt;=Übersicht!$Q$11,$D438,0)))))</f>
        <v>0</v>
      </c>
      <c r="H438" s="7">
        <f>IF($D438-$G438&lt;=0,0,IF(MOD($A438,Übersicht!$Q$6)=0,IF($A438/Übersicht!$Q$6&gt;=Übersicht!$C$21,MIN(Übersicht!$C$20,$D438-$G438),0),0))</f>
        <v>0</v>
      </c>
      <c r="I438" s="7">
        <f t="shared" si="38"/>
        <v>0</v>
      </c>
      <c r="J438" s="22">
        <f t="shared" si="39"/>
        <v>0</v>
      </c>
      <c r="K438" s="9" t="str">
        <f>IF($D438&lt;=0,"",IF($J438&lt;=0.005,"Volltilgung erreicht",IF($A438=Übersicht!$Q$13,"Ende der Zinsbindung",IF($H438&gt;0,"Sondertilgung",""))))</f>
        <v/>
      </c>
      <c r="L438" s="23">
        <f>IF($N437&lt;=0,0,ROUND($N437*Übersicht!$Q$7,2))</f>
        <v>0</v>
      </c>
      <c r="M438" s="23">
        <f>IF($N437&lt;=0,0,MIN($N437,IF(Übersicht!$C$13="Annuitätendarlehen",MAX(0,Übersicht!$Q$9-$L438),IF(Übersicht!$C$13="Ratendarlehen",Übersicht!$Q$10,IF($A438&gt;=Übersicht!$Q$11,$N437,0)))))</f>
        <v>0</v>
      </c>
      <c r="N438" s="23">
        <f t="shared" si="41"/>
        <v>0</v>
      </c>
    </row>
    <row r="439" spans="1:14" ht="15" customHeight="1" x14ac:dyDescent="0.25">
      <c r="A439" s="10">
        <v>432</v>
      </c>
      <c r="B439" s="24" t="str">
        <f>IF($D439&lt;=0,"",EDATE(Übersicht!$C$18,($A439-1)*12/Übersicht!$Q$6))</f>
        <v/>
      </c>
      <c r="C439" s="10" t="str">
        <f t="shared" si="36"/>
        <v/>
      </c>
      <c r="D439" s="25">
        <f t="shared" si="40"/>
        <v>0</v>
      </c>
      <c r="E439" s="12">
        <f t="shared" si="37"/>
        <v>0</v>
      </c>
      <c r="F439" s="12">
        <f>IF($D439&lt;=0,0,ROUND($D439*Übersicht!$Q$7,2))</f>
        <v>0</v>
      </c>
      <c r="G439" s="12">
        <f>IF($D439&lt;=0,0,MIN($D439,IF(Übersicht!$C$13="Annuitätendarlehen",MAX(0,Übersicht!$Q$9-$F439),IF(Übersicht!$C$13="Ratendarlehen",Übersicht!$Q$10,IF($A439&gt;=Übersicht!$Q$11,$D439,0)))))</f>
        <v>0</v>
      </c>
      <c r="H439" s="12">
        <f>IF($D439-$G439&lt;=0,0,IF(MOD($A439,Übersicht!$Q$6)=0,IF($A439/Übersicht!$Q$6&gt;=Übersicht!$C$21,MIN(Übersicht!$C$20,$D439-$G439),0),0))</f>
        <v>0</v>
      </c>
      <c r="I439" s="12">
        <f t="shared" si="38"/>
        <v>0</v>
      </c>
      <c r="J439" s="26">
        <f t="shared" si="39"/>
        <v>0</v>
      </c>
      <c r="K439" s="14" t="str">
        <f>IF($D439&lt;=0,"",IF($J439&lt;=0.005,"Volltilgung erreicht",IF($A439=Übersicht!$Q$13,"Ende der Zinsbindung",IF($H439&gt;0,"Sondertilgung",""))))</f>
        <v/>
      </c>
      <c r="L439" s="23">
        <f>IF($N438&lt;=0,0,ROUND($N438*Übersicht!$Q$7,2))</f>
        <v>0</v>
      </c>
      <c r="M439" s="23">
        <f>IF($N438&lt;=0,0,MIN($N438,IF(Übersicht!$C$13="Annuitätendarlehen",MAX(0,Übersicht!$Q$9-$L439),IF(Übersicht!$C$13="Ratendarlehen",Übersicht!$Q$10,IF($A439&gt;=Übersicht!$Q$11,$N438,0)))))</f>
        <v>0</v>
      </c>
      <c r="N439" s="23">
        <f t="shared" si="41"/>
        <v>0</v>
      </c>
    </row>
    <row r="440" spans="1:14" ht="15" customHeight="1" x14ac:dyDescent="0.25">
      <c r="A440" s="5">
        <v>433</v>
      </c>
      <c r="B440" s="20" t="str">
        <f>IF($D440&lt;=0,"",EDATE(Übersicht!$C$18,($A440-1)*12/Übersicht!$Q$6))</f>
        <v/>
      </c>
      <c r="C440" s="5" t="str">
        <f t="shared" si="36"/>
        <v/>
      </c>
      <c r="D440" s="21">
        <f t="shared" si="40"/>
        <v>0</v>
      </c>
      <c r="E440" s="7">
        <f t="shared" si="37"/>
        <v>0</v>
      </c>
      <c r="F440" s="7">
        <f>IF($D440&lt;=0,0,ROUND($D440*Übersicht!$Q$7,2))</f>
        <v>0</v>
      </c>
      <c r="G440" s="7">
        <f>IF($D440&lt;=0,0,MIN($D440,IF(Übersicht!$C$13="Annuitätendarlehen",MAX(0,Übersicht!$Q$9-$F440),IF(Übersicht!$C$13="Ratendarlehen",Übersicht!$Q$10,IF($A440&gt;=Übersicht!$Q$11,$D440,0)))))</f>
        <v>0</v>
      </c>
      <c r="H440" s="7">
        <f>IF($D440-$G440&lt;=0,0,IF(MOD($A440,Übersicht!$Q$6)=0,IF($A440/Übersicht!$Q$6&gt;=Übersicht!$C$21,MIN(Übersicht!$C$20,$D440-$G440),0),0))</f>
        <v>0</v>
      </c>
      <c r="I440" s="7">
        <f t="shared" si="38"/>
        <v>0</v>
      </c>
      <c r="J440" s="22">
        <f t="shared" si="39"/>
        <v>0</v>
      </c>
      <c r="K440" s="9" t="str">
        <f>IF($D440&lt;=0,"",IF($J440&lt;=0.005,"Volltilgung erreicht",IF($A440=Übersicht!$Q$13,"Ende der Zinsbindung",IF($H440&gt;0,"Sondertilgung",""))))</f>
        <v/>
      </c>
      <c r="L440" s="23">
        <f>IF($N439&lt;=0,0,ROUND($N439*Übersicht!$Q$7,2))</f>
        <v>0</v>
      </c>
      <c r="M440" s="23">
        <f>IF($N439&lt;=0,0,MIN($N439,IF(Übersicht!$C$13="Annuitätendarlehen",MAX(0,Übersicht!$Q$9-$L440),IF(Übersicht!$C$13="Ratendarlehen",Übersicht!$Q$10,IF($A440&gt;=Übersicht!$Q$11,$N439,0)))))</f>
        <v>0</v>
      </c>
      <c r="N440" s="23">
        <f t="shared" si="41"/>
        <v>0</v>
      </c>
    </row>
    <row r="441" spans="1:14" ht="15" customHeight="1" x14ac:dyDescent="0.25">
      <c r="A441" s="10">
        <v>434</v>
      </c>
      <c r="B441" s="24" t="str">
        <f>IF($D441&lt;=0,"",EDATE(Übersicht!$C$18,($A441-1)*12/Übersicht!$Q$6))</f>
        <v/>
      </c>
      <c r="C441" s="10" t="str">
        <f t="shared" si="36"/>
        <v/>
      </c>
      <c r="D441" s="25">
        <f t="shared" si="40"/>
        <v>0</v>
      </c>
      <c r="E441" s="12">
        <f t="shared" si="37"/>
        <v>0</v>
      </c>
      <c r="F441" s="12">
        <f>IF($D441&lt;=0,0,ROUND($D441*Übersicht!$Q$7,2))</f>
        <v>0</v>
      </c>
      <c r="G441" s="12">
        <f>IF($D441&lt;=0,0,MIN($D441,IF(Übersicht!$C$13="Annuitätendarlehen",MAX(0,Übersicht!$Q$9-$F441),IF(Übersicht!$C$13="Ratendarlehen",Übersicht!$Q$10,IF($A441&gt;=Übersicht!$Q$11,$D441,0)))))</f>
        <v>0</v>
      </c>
      <c r="H441" s="12">
        <f>IF($D441-$G441&lt;=0,0,IF(MOD($A441,Übersicht!$Q$6)=0,IF($A441/Übersicht!$Q$6&gt;=Übersicht!$C$21,MIN(Übersicht!$C$20,$D441-$G441),0),0))</f>
        <v>0</v>
      </c>
      <c r="I441" s="12">
        <f t="shared" si="38"/>
        <v>0</v>
      </c>
      <c r="J441" s="26">
        <f t="shared" si="39"/>
        <v>0</v>
      </c>
      <c r="K441" s="14" t="str">
        <f>IF($D441&lt;=0,"",IF($J441&lt;=0.005,"Volltilgung erreicht",IF($A441=Übersicht!$Q$13,"Ende der Zinsbindung",IF($H441&gt;0,"Sondertilgung",""))))</f>
        <v/>
      </c>
      <c r="L441" s="23">
        <f>IF($N440&lt;=0,0,ROUND($N440*Übersicht!$Q$7,2))</f>
        <v>0</v>
      </c>
      <c r="M441" s="23">
        <f>IF($N440&lt;=0,0,MIN($N440,IF(Übersicht!$C$13="Annuitätendarlehen",MAX(0,Übersicht!$Q$9-$L441),IF(Übersicht!$C$13="Ratendarlehen",Übersicht!$Q$10,IF($A441&gt;=Übersicht!$Q$11,$N440,0)))))</f>
        <v>0</v>
      </c>
      <c r="N441" s="23">
        <f t="shared" si="41"/>
        <v>0</v>
      </c>
    </row>
    <row r="442" spans="1:14" ht="15" customHeight="1" x14ac:dyDescent="0.25">
      <c r="A442" s="5">
        <v>435</v>
      </c>
      <c r="B442" s="20" t="str">
        <f>IF($D442&lt;=0,"",EDATE(Übersicht!$C$18,($A442-1)*12/Übersicht!$Q$6))</f>
        <v/>
      </c>
      <c r="C442" s="5" t="str">
        <f t="shared" si="36"/>
        <v/>
      </c>
      <c r="D442" s="21">
        <f t="shared" si="40"/>
        <v>0</v>
      </c>
      <c r="E442" s="7">
        <f t="shared" si="37"/>
        <v>0</v>
      </c>
      <c r="F442" s="7">
        <f>IF($D442&lt;=0,0,ROUND($D442*Übersicht!$Q$7,2))</f>
        <v>0</v>
      </c>
      <c r="G442" s="7">
        <f>IF($D442&lt;=0,0,MIN($D442,IF(Übersicht!$C$13="Annuitätendarlehen",MAX(0,Übersicht!$Q$9-$F442),IF(Übersicht!$C$13="Ratendarlehen",Übersicht!$Q$10,IF($A442&gt;=Übersicht!$Q$11,$D442,0)))))</f>
        <v>0</v>
      </c>
      <c r="H442" s="7">
        <f>IF($D442-$G442&lt;=0,0,IF(MOD($A442,Übersicht!$Q$6)=0,IF($A442/Übersicht!$Q$6&gt;=Übersicht!$C$21,MIN(Übersicht!$C$20,$D442-$G442),0),0))</f>
        <v>0</v>
      </c>
      <c r="I442" s="7">
        <f t="shared" si="38"/>
        <v>0</v>
      </c>
      <c r="J442" s="22">
        <f t="shared" si="39"/>
        <v>0</v>
      </c>
      <c r="K442" s="9" t="str">
        <f>IF($D442&lt;=0,"",IF($J442&lt;=0.005,"Volltilgung erreicht",IF($A442=Übersicht!$Q$13,"Ende der Zinsbindung",IF($H442&gt;0,"Sondertilgung",""))))</f>
        <v/>
      </c>
      <c r="L442" s="23">
        <f>IF($N441&lt;=0,0,ROUND($N441*Übersicht!$Q$7,2))</f>
        <v>0</v>
      </c>
      <c r="M442" s="23">
        <f>IF($N441&lt;=0,0,MIN($N441,IF(Übersicht!$C$13="Annuitätendarlehen",MAX(0,Übersicht!$Q$9-$L442),IF(Übersicht!$C$13="Ratendarlehen",Übersicht!$Q$10,IF($A442&gt;=Übersicht!$Q$11,$N441,0)))))</f>
        <v>0</v>
      </c>
      <c r="N442" s="23">
        <f t="shared" si="41"/>
        <v>0</v>
      </c>
    </row>
    <row r="443" spans="1:14" ht="15" customHeight="1" x14ac:dyDescent="0.25">
      <c r="A443" s="10">
        <v>436</v>
      </c>
      <c r="B443" s="24" t="str">
        <f>IF($D443&lt;=0,"",EDATE(Übersicht!$C$18,($A443-1)*12/Übersicht!$Q$6))</f>
        <v/>
      </c>
      <c r="C443" s="10" t="str">
        <f t="shared" si="36"/>
        <v/>
      </c>
      <c r="D443" s="25">
        <f t="shared" si="40"/>
        <v>0</v>
      </c>
      <c r="E443" s="12">
        <f t="shared" si="37"/>
        <v>0</v>
      </c>
      <c r="F443" s="12">
        <f>IF($D443&lt;=0,0,ROUND($D443*Übersicht!$Q$7,2))</f>
        <v>0</v>
      </c>
      <c r="G443" s="12">
        <f>IF($D443&lt;=0,0,MIN($D443,IF(Übersicht!$C$13="Annuitätendarlehen",MAX(0,Übersicht!$Q$9-$F443),IF(Übersicht!$C$13="Ratendarlehen",Übersicht!$Q$10,IF($A443&gt;=Übersicht!$Q$11,$D443,0)))))</f>
        <v>0</v>
      </c>
      <c r="H443" s="12">
        <f>IF($D443-$G443&lt;=0,0,IF(MOD($A443,Übersicht!$Q$6)=0,IF($A443/Übersicht!$Q$6&gt;=Übersicht!$C$21,MIN(Übersicht!$C$20,$D443-$G443),0),0))</f>
        <v>0</v>
      </c>
      <c r="I443" s="12">
        <f t="shared" si="38"/>
        <v>0</v>
      </c>
      <c r="J443" s="26">
        <f t="shared" si="39"/>
        <v>0</v>
      </c>
      <c r="K443" s="14" t="str">
        <f>IF($D443&lt;=0,"",IF($J443&lt;=0.005,"Volltilgung erreicht",IF($A443=Übersicht!$Q$13,"Ende der Zinsbindung",IF($H443&gt;0,"Sondertilgung",""))))</f>
        <v/>
      </c>
      <c r="L443" s="23">
        <f>IF($N442&lt;=0,0,ROUND($N442*Übersicht!$Q$7,2))</f>
        <v>0</v>
      </c>
      <c r="M443" s="23">
        <f>IF($N442&lt;=0,0,MIN($N442,IF(Übersicht!$C$13="Annuitätendarlehen",MAX(0,Übersicht!$Q$9-$L443),IF(Übersicht!$C$13="Ratendarlehen",Übersicht!$Q$10,IF($A443&gt;=Übersicht!$Q$11,$N442,0)))))</f>
        <v>0</v>
      </c>
      <c r="N443" s="23">
        <f t="shared" si="41"/>
        <v>0</v>
      </c>
    </row>
    <row r="444" spans="1:14" ht="15" customHeight="1" x14ac:dyDescent="0.25">
      <c r="A444" s="5">
        <v>437</v>
      </c>
      <c r="B444" s="20" t="str">
        <f>IF($D444&lt;=0,"",EDATE(Übersicht!$C$18,($A444-1)*12/Übersicht!$Q$6))</f>
        <v/>
      </c>
      <c r="C444" s="5" t="str">
        <f t="shared" si="36"/>
        <v/>
      </c>
      <c r="D444" s="21">
        <f t="shared" si="40"/>
        <v>0</v>
      </c>
      <c r="E444" s="7">
        <f t="shared" si="37"/>
        <v>0</v>
      </c>
      <c r="F444" s="7">
        <f>IF($D444&lt;=0,0,ROUND($D444*Übersicht!$Q$7,2))</f>
        <v>0</v>
      </c>
      <c r="G444" s="7">
        <f>IF($D444&lt;=0,0,MIN($D444,IF(Übersicht!$C$13="Annuitätendarlehen",MAX(0,Übersicht!$Q$9-$F444),IF(Übersicht!$C$13="Ratendarlehen",Übersicht!$Q$10,IF($A444&gt;=Übersicht!$Q$11,$D444,0)))))</f>
        <v>0</v>
      </c>
      <c r="H444" s="7">
        <f>IF($D444-$G444&lt;=0,0,IF(MOD($A444,Übersicht!$Q$6)=0,IF($A444/Übersicht!$Q$6&gt;=Übersicht!$C$21,MIN(Übersicht!$C$20,$D444-$G444),0),0))</f>
        <v>0</v>
      </c>
      <c r="I444" s="7">
        <f t="shared" si="38"/>
        <v>0</v>
      </c>
      <c r="J444" s="22">
        <f t="shared" si="39"/>
        <v>0</v>
      </c>
      <c r="K444" s="9" t="str">
        <f>IF($D444&lt;=0,"",IF($J444&lt;=0.005,"Volltilgung erreicht",IF($A444=Übersicht!$Q$13,"Ende der Zinsbindung",IF($H444&gt;0,"Sondertilgung",""))))</f>
        <v/>
      </c>
      <c r="L444" s="23">
        <f>IF($N443&lt;=0,0,ROUND($N443*Übersicht!$Q$7,2))</f>
        <v>0</v>
      </c>
      <c r="M444" s="23">
        <f>IF($N443&lt;=0,0,MIN($N443,IF(Übersicht!$C$13="Annuitätendarlehen",MAX(0,Übersicht!$Q$9-$L444),IF(Übersicht!$C$13="Ratendarlehen",Übersicht!$Q$10,IF($A444&gt;=Übersicht!$Q$11,$N443,0)))))</f>
        <v>0</v>
      </c>
      <c r="N444" s="23">
        <f t="shared" si="41"/>
        <v>0</v>
      </c>
    </row>
    <row r="445" spans="1:14" ht="15" customHeight="1" x14ac:dyDescent="0.25">
      <c r="A445" s="10">
        <v>438</v>
      </c>
      <c r="B445" s="24" t="str">
        <f>IF($D445&lt;=0,"",EDATE(Übersicht!$C$18,($A445-1)*12/Übersicht!$Q$6))</f>
        <v/>
      </c>
      <c r="C445" s="10" t="str">
        <f t="shared" si="36"/>
        <v/>
      </c>
      <c r="D445" s="25">
        <f t="shared" si="40"/>
        <v>0</v>
      </c>
      <c r="E445" s="12">
        <f t="shared" si="37"/>
        <v>0</v>
      </c>
      <c r="F445" s="12">
        <f>IF($D445&lt;=0,0,ROUND($D445*Übersicht!$Q$7,2))</f>
        <v>0</v>
      </c>
      <c r="G445" s="12">
        <f>IF($D445&lt;=0,0,MIN($D445,IF(Übersicht!$C$13="Annuitätendarlehen",MAX(0,Übersicht!$Q$9-$F445),IF(Übersicht!$C$13="Ratendarlehen",Übersicht!$Q$10,IF($A445&gt;=Übersicht!$Q$11,$D445,0)))))</f>
        <v>0</v>
      </c>
      <c r="H445" s="12">
        <f>IF($D445-$G445&lt;=0,0,IF(MOD($A445,Übersicht!$Q$6)=0,IF($A445/Übersicht!$Q$6&gt;=Übersicht!$C$21,MIN(Übersicht!$C$20,$D445-$G445),0),0))</f>
        <v>0</v>
      </c>
      <c r="I445" s="12">
        <f t="shared" si="38"/>
        <v>0</v>
      </c>
      <c r="J445" s="26">
        <f t="shared" si="39"/>
        <v>0</v>
      </c>
      <c r="K445" s="14" t="str">
        <f>IF($D445&lt;=0,"",IF($J445&lt;=0.005,"Volltilgung erreicht",IF($A445=Übersicht!$Q$13,"Ende der Zinsbindung",IF($H445&gt;0,"Sondertilgung",""))))</f>
        <v/>
      </c>
      <c r="L445" s="23">
        <f>IF($N444&lt;=0,0,ROUND($N444*Übersicht!$Q$7,2))</f>
        <v>0</v>
      </c>
      <c r="M445" s="23">
        <f>IF($N444&lt;=0,0,MIN($N444,IF(Übersicht!$C$13="Annuitätendarlehen",MAX(0,Übersicht!$Q$9-$L445),IF(Übersicht!$C$13="Ratendarlehen",Übersicht!$Q$10,IF($A445&gt;=Übersicht!$Q$11,$N444,0)))))</f>
        <v>0</v>
      </c>
      <c r="N445" s="23">
        <f t="shared" si="41"/>
        <v>0</v>
      </c>
    </row>
    <row r="446" spans="1:14" ht="15" customHeight="1" x14ac:dyDescent="0.25">
      <c r="A446" s="5">
        <v>439</v>
      </c>
      <c r="B446" s="20" t="str">
        <f>IF($D446&lt;=0,"",EDATE(Übersicht!$C$18,($A446-1)*12/Übersicht!$Q$6))</f>
        <v/>
      </c>
      <c r="C446" s="5" t="str">
        <f t="shared" si="36"/>
        <v/>
      </c>
      <c r="D446" s="21">
        <f t="shared" si="40"/>
        <v>0</v>
      </c>
      <c r="E446" s="7">
        <f t="shared" si="37"/>
        <v>0</v>
      </c>
      <c r="F446" s="7">
        <f>IF($D446&lt;=0,0,ROUND($D446*Übersicht!$Q$7,2))</f>
        <v>0</v>
      </c>
      <c r="G446" s="7">
        <f>IF($D446&lt;=0,0,MIN($D446,IF(Übersicht!$C$13="Annuitätendarlehen",MAX(0,Übersicht!$Q$9-$F446),IF(Übersicht!$C$13="Ratendarlehen",Übersicht!$Q$10,IF($A446&gt;=Übersicht!$Q$11,$D446,0)))))</f>
        <v>0</v>
      </c>
      <c r="H446" s="7">
        <f>IF($D446-$G446&lt;=0,0,IF(MOD($A446,Übersicht!$Q$6)=0,IF($A446/Übersicht!$Q$6&gt;=Übersicht!$C$21,MIN(Übersicht!$C$20,$D446-$G446),0),0))</f>
        <v>0</v>
      </c>
      <c r="I446" s="7">
        <f t="shared" si="38"/>
        <v>0</v>
      </c>
      <c r="J446" s="22">
        <f t="shared" si="39"/>
        <v>0</v>
      </c>
      <c r="K446" s="9" t="str">
        <f>IF($D446&lt;=0,"",IF($J446&lt;=0.005,"Volltilgung erreicht",IF($A446=Übersicht!$Q$13,"Ende der Zinsbindung",IF($H446&gt;0,"Sondertilgung",""))))</f>
        <v/>
      </c>
      <c r="L446" s="23">
        <f>IF($N445&lt;=0,0,ROUND($N445*Übersicht!$Q$7,2))</f>
        <v>0</v>
      </c>
      <c r="M446" s="23">
        <f>IF($N445&lt;=0,0,MIN($N445,IF(Übersicht!$C$13="Annuitätendarlehen",MAX(0,Übersicht!$Q$9-$L446),IF(Übersicht!$C$13="Ratendarlehen",Übersicht!$Q$10,IF($A446&gt;=Übersicht!$Q$11,$N445,0)))))</f>
        <v>0</v>
      </c>
      <c r="N446" s="23">
        <f t="shared" si="41"/>
        <v>0</v>
      </c>
    </row>
    <row r="447" spans="1:14" ht="15" customHeight="1" x14ac:dyDescent="0.25">
      <c r="A447" s="10">
        <v>440</v>
      </c>
      <c r="B447" s="24" t="str">
        <f>IF($D447&lt;=0,"",EDATE(Übersicht!$C$18,($A447-1)*12/Übersicht!$Q$6))</f>
        <v/>
      </c>
      <c r="C447" s="10" t="str">
        <f t="shared" si="36"/>
        <v/>
      </c>
      <c r="D447" s="25">
        <f t="shared" si="40"/>
        <v>0</v>
      </c>
      <c r="E447" s="12">
        <f t="shared" si="37"/>
        <v>0</v>
      </c>
      <c r="F447" s="12">
        <f>IF($D447&lt;=0,0,ROUND($D447*Übersicht!$Q$7,2))</f>
        <v>0</v>
      </c>
      <c r="G447" s="12">
        <f>IF($D447&lt;=0,0,MIN($D447,IF(Übersicht!$C$13="Annuitätendarlehen",MAX(0,Übersicht!$Q$9-$F447),IF(Übersicht!$C$13="Ratendarlehen",Übersicht!$Q$10,IF($A447&gt;=Übersicht!$Q$11,$D447,0)))))</f>
        <v>0</v>
      </c>
      <c r="H447" s="12">
        <f>IF($D447-$G447&lt;=0,0,IF(MOD($A447,Übersicht!$Q$6)=0,IF($A447/Übersicht!$Q$6&gt;=Übersicht!$C$21,MIN(Übersicht!$C$20,$D447-$G447),0),0))</f>
        <v>0</v>
      </c>
      <c r="I447" s="12">
        <f t="shared" si="38"/>
        <v>0</v>
      </c>
      <c r="J447" s="26">
        <f t="shared" si="39"/>
        <v>0</v>
      </c>
      <c r="K447" s="14" t="str">
        <f>IF($D447&lt;=0,"",IF($J447&lt;=0.005,"Volltilgung erreicht",IF($A447=Übersicht!$Q$13,"Ende der Zinsbindung",IF($H447&gt;0,"Sondertilgung",""))))</f>
        <v/>
      </c>
      <c r="L447" s="23">
        <f>IF($N446&lt;=0,0,ROUND($N446*Übersicht!$Q$7,2))</f>
        <v>0</v>
      </c>
      <c r="M447" s="23">
        <f>IF($N446&lt;=0,0,MIN($N446,IF(Übersicht!$C$13="Annuitätendarlehen",MAX(0,Übersicht!$Q$9-$L447),IF(Übersicht!$C$13="Ratendarlehen",Übersicht!$Q$10,IF($A447&gt;=Übersicht!$Q$11,$N446,0)))))</f>
        <v>0</v>
      </c>
      <c r="N447" s="23">
        <f t="shared" si="41"/>
        <v>0</v>
      </c>
    </row>
    <row r="448" spans="1:14" ht="15" customHeight="1" x14ac:dyDescent="0.25">
      <c r="A448" s="5">
        <v>441</v>
      </c>
      <c r="B448" s="20" t="str">
        <f>IF($D448&lt;=0,"",EDATE(Übersicht!$C$18,($A448-1)*12/Übersicht!$Q$6))</f>
        <v/>
      </c>
      <c r="C448" s="5" t="str">
        <f t="shared" si="36"/>
        <v/>
      </c>
      <c r="D448" s="21">
        <f t="shared" si="40"/>
        <v>0</v>
      </c>
      <c r="E448" s="7">
        <f t="shared" si="37"/>
        <v>0</v>
      </c>
      <c r="F448" s="7">
        <f>IF($D448&lt;=0,0,ROUND($D448*Übersicht!$Q$7,2))</f>
        <v>0</v>
      </c>
      <c r="G448" s="7">
        <f>IF($D448&lt;=0,0,MIN($D448,IF(Übersicht!$C$13="Annuitätendarlehen",MAX(0,Übersicht!$Q$9-$F448),IF(Übersicht!$C$13="Ratendarlehen",Übersicht!$Q$10,IF($A448&gt;=Übersicht!$Q$11,$D448,0)))))</f>
        <v>0</v>
      </c>
      <c r="H448" s="7">
        <f>IF($D448-$G448&lt;=0,0,IF(MOD($A448,Übersicht!$Q$6)=0,IF($A448/Übersicht!$Q$6&gt;=Übersicht!$C$21,MIN(Übersicht!$C$20,$D448-$G448),0),0))</f>
        <v>0</v>
      </c>
      <c r="I448" s="7">
        <f t="shared" si="38"/>
        <v>0</v>
      </c>
      <c r="J448" s="22">
        <f t="shared" si="39"/>
        <v>0</v>
      </c>
      <c r="K448" s="9" t="str">
        <f>IF($D448&lt;=0,"",IF($J448&lt;=0.005,"Volltilgung erreicht",IF($A448=Übersicht!$Q$13,"Ende der Zinsbindung",IF($H448&gt;0,"Sondertilgung",""))))</f>
        <v/>
      </c>
      <c r="L448" s="23">
        <f>IF($N447&lt;=0,0,ROUND($N447*Übersicht!$Q$7,2))</f>
        <v>0</v>
      </c>
      <c r="M448" s="23">
        <f>IF($N447&lt;=0,0,MIN($N447,IF(Übersicht!$C$13="Annuitätendarlehen",MAX(0,Übersicht!$Q$9-$L448),IF(Übersicht!$C$13="Ratendarlehen",Übersicht!$Q$10,IF($A448&gt;=Übersicht!$Q$11,$N447,0)))))</f>
        <v>0</v>
      </c>
      <c r="N448" s="23">
        <f t="shared" si="41"/>
        <v>0</v>
      </c>
    </row>
    <row r="449" spans="1:14" ht="15" customHeight="1" x14ac:dyDescent="0.25">
      <c r="A449" s="10">
        <v>442</v>
      </c>
      <c r="B449" s="24" t="str">
        <f>IF($D449&lt;=0,"",EDATE(Übersicht!$C$18,($A449-1)*12/Übersicht!$Q$6))</f>
        <v/>
      </c>
      <c r="C449" s="10" t="str">
        <f t="shared" si="36"/>
        <v/>
      </c>
      <c r="D449" s="25">
        <f t="shared" si="40"/>
        <v>0</v>
      </c>
      <c r="E449" s="12">
        <f t="shared" si="37"/>
        <v>0</v>
      </c>
      <c r="F449" s="12">
        <f>IF($D449&lt;=0,0,ROUND($D449*Übersicht!$Q$7,2))</f>
        <v>0</v>
      </c>
      <c r="G449" s="12">
        <f>IF($D449&lt;=0,0,MIN($D449,IF(Übersicht!$C$13="Annuitätendarlehen",MAX(0,Übersicht!$Q$9-$F449),IF(Übersicht!$C$13="Ratendarlehen",Übersicht!$Q$10,IF($A449&gt;=Übersicht!$Q$11,$D449,0)))))</f>
        <v>0</v>
      </c>
      <c r="H449" s="12">
        <f>IF($D449-$G449&lt;=0,0,IF(MOD($A449,Übersicht!$Q$6)=0,IF($A449/Übersicht!$Q$6&gt;=Übersicht!$C$21,MIN(Übersicht!$C$20,$D449-$G449),0),0))</f>
        <v>0</v>
      </c>
      <c r="I449" s="12">
        <f t="shared" si="38"/>
        <v>0</v>
      </c>
      <c r="J449" s="26">
        <f t="shared" si="39"/>
        <v>0</v>
      </c>
      <c r="K449" s="14" t="str">
        <f>IF($D449&lt;=0,"",IF($J449&lt;=0.005,"Volltilgung erreicht",IF($A449=Übersicht!$Q$13,"Ende der Zinsbindung",IF($H449&gt;0,"Sondertilgung",""))))</f>
        <v/>
      </c>
      <c r="L449" s="23">
        <f>IF($N448&lt;=0,0,ROUND($N448*Übersicht!$Q$7,2))</f>
        <v>0</v>
      </c>
      <c r="M449" s="23">
        <f>IF($N448&lt;=0,0,MIN($N448,IF(Übersicht!$C$13="Annuitätendarlehen",MAX(0,Übersicht!$Q$9-$L449),IF(Übersicht!$C$13="Ratendarlehen",Übersicht!$Q$10,IF($A449&gt;=Übersicht!$Q$11,$N448,0)))))</f>
        <v>0</v>
      </c>
      <c r="N449" s="23">
        <f t="shared" si="41"/>
        <v>0</v>
      </c>
    </row>
    <row r="450" spans="1:14" ht="15" customHeight="1" x14ac:dyDescent="0.25">
      <c r="A450" s="5">
        <v>443</v>
      </c>
      <c r="B450" s="20" t="str">
        <f>IF($D450&lt;=0,"",EDATE(Übersicht!$C$18,($A450-1)*12/Übersicht!$Q$6))</f>
        <v/>
      </c>
      <c r="C450" s="5" t="str">
        <f t="shared" si="36"/>
        <v/>
      </c>
      <c r="D450" s="21">
        <f t="shared" si="40"/>
        <v>0</v>
      </c>
      <c r="E450" s="7">
        <f t="shared" si="37"/>
        <v>0</v>
      </c>
      <c r="F450" s="7">
        <f>IF($D450&lt;=0,0,ROUND($D450*Übersicht!$Q$7,2))</f>
        <v>0</v>
      </c>
      <c r="G450" s="7">
        <f>IF($D450&lt;=0,0,MIN($D450,IF(Übersicht!$C$13="Annuitätendarlehen",MAX(0,Übersicht!$Q$9-$F450),IF(Übersicht!$C$13="Ratendarlehen",Übersicht!$Q$10,IF($A450&gt;=Übersicht!$Q$11,$D450,0)))))</f>
        <v>0</v>
      </c>
      <c r="H450" s="7">
        <f>IF($D450-$G450&lt;=0,0,IF(MOD($A450,Übersicht!$Q$6)=0,IF($A450/Übersicht!$Q$6&gt;=Übersicht!$C$21,MIN(Übersicht!$C$20,$D450-$G450),0),0))</f>
        <v>0</v>
      </c>
      <c r="I450" s="7">
        <f t="shared" si="38"/>
        <v>0</v>
      </c>
      <c r="J450" s="22">
        <f t="shared" si="39"/>
        <v>0</v>
      </c>
      <c r="K450" s="9" t="str">
        <f>IF($D450&lt;=0,"",IF($J450&lt;=0.005,"Volltilgung erreicht",IF($A450=Übersicht!$Q$13,"Ende der Zinsbindung",IF($H450&gt;0,"Sondertilgung",""))))</f>
        <v/>
      </c>
      <c r="L450" s="23">
        <f>IF($N449&lt;=0,0,ROUND($N449*Übersicht!$Q$7,2))</f>
        <v>0</v>
      </c>
      <c r="M450" s="23">
        <f>IF($N449&lt;=0,0,MIN($N449,IF(Übersicht!$C$13="Annuitätendarlehen",MAX(0,Übersicht!$Q$9-$L450),IF(Übersicht!$C$13="Ratendarlehen",Übersicht!$Q$10,IF($A450&gt;=Übersicht!$Q$11,$N449,0)))))</f>
        <v>0</v>
      </c>
      <c r="N450" s="23">
        <f t="shared" si="41"/>
        <v>0</v>
      </c>
    </row>
    <row r="451" spans="1:14" ht="15" customHeight="1" x14ac:dyDescent="0.25">
      <c r="A451" s="10">
        <v>444</v>
      </c>
      <c r="B451" s="24" t="str">
        <f>IF($D451&lt;=0,"",EDATE(Übersicht!$C$18,($A451-1)*12/Übersicht!$Q$6))</f>
        <v/>
      </c>
      <c r="C451" s="10" t="str">
        <f t="shared" si="36"/>
        <v/>
      </c>
      <c r="D451" s="25">
        <f t="shared" si="40"/>
        <v>0</v>
      </c>
      <c r="E451" s="12">
        <f t="shared" si="37"/>
        <v>0</v>
      </c>
      <c r="F451" s="12">
        <f>IF($D451&lt;=0,0,ROUND($D451*Übersicht!$Q$7,2))</f>
        <v>0</v>
      </c>
      <c r="G451" s="12">
        <f>IF($D451&lt;=0,0,MIN($D451,IF(Übersicht!$C$13="Annuitätendarlehen",MAX(0,Übersicht!$Q$9-$F451),IF(Übersicht!$C$13="Ratendarlehen",Übersicht!$Q$10,IF($A451&gt;=Übersicht!$Q$11,$D451,0)))))</f>
        <v>0</v>
      </c>
      <c r="H451" s="12">
        <f>IF($D451-$G451&lt;=0,0,IF(MOD($A451,Übersicht!$Q$6)=0,IF($A451/Übersicht!$Q$6&gt;=Übersicht!$C$21,MIN(Übersicht!$C$20,$D451-$G451),0),0))</f>
        <v>0</v>
      </c>
      <c r="I451" s="12">
        <f t="shared" si="38"/>
        <v>0</v>
      </c>
      <c r="J451" s="26">
        <f t="shared" si="39"/>
        <v>0</v>
      </c>
      <c r="K451" s="14" t="str">
        <f>IF($D451&lt;=0,"",IF($J451&lt;=0.005,"Volltilgung erreicht",IF($A451=Übersicht!$Q$13,"Ende der Zinsbindung",IF($H451&gt;0,"Sondertilgung",""))))</f>
        <v/>
      </c>
      <c r="L451" s="23">
        <f>IF($N450&lt;=0,0,ROUND($N450*Übersicht!$Q$7,2))</f>
        <v>0</v>
      </c>
      <c r="M451" s="23">
        <f>IF($N450&lt;=0,0,MIN($N450,IF(Übersicht!$C$13="Annuitätendarlehen",MAX(0,Übersicht!$Q$9-$L451),IF(Übersicht!$C$13="Ratendarlehen",Übersicht!$Q$10,IF($A451&gt;=Übersicht!$Q$11,$N450,0)))))</f>
        <v>0</v>
      </c>
      <c r="N451" s="23">
        <f t="shared" si="41"/>
        <v>0</v>
      </c>
    </row>
    <row r="452" spans="1:14" ht="15" customHeight="1" x14ac:dyDescent="0.25">
      <c r="A452" s="5">
        <v>445</v>
      </c>
      <c r="B452" s="20" t="str">
        <f>IF($D452&lt;=0,"",EDATE(Übersicht!$C$18,($A452-1)*12/Übersicht!$Q$6))</f>
        <v/>
      </c>
      <c r="C452" s="5" t="str">
        <f t="shared" si="36"/>
        <v/>
      </c>
      <c r="D452" s="21">
        <f t="shared" si="40"/>
        <v>0</v>
      </c>
      <c r="E452" s="7">
        <f t="shared" si="37"/>
        <v>0</v>
      </c>
      <c r="F452" s="7">
        <f>IF($D452&lt;=0,0,ROUND($D452*Übersicht!$Q$7,2))</f>
        <v>0</v>
      </c>
      <c r="G452" s="7">
        <f>IF($D452&lt;=0,0,MIN($D452,IF(Übersicht!$C$13="Annuitätendarlehen",MAX(0,Übersicht!$Q$9-$F452),IF(Übersicht!$C$13="Ratendarlehen",Übersicht!$Q$10,IF($A452&gt;=Übersicht!$Q$11,$D452,0)))))</f>
        <v>0</v>
      </c>
      <c r="H452" s="7">
        <f>IF($D452-$G452&lt;=0,0,IF(MOD($A452,Übersicht!$Q$6)=0,IF($A452/Übersicht!$Q$6&gt;=Übersicht!$C$21,MIN(Übersicht!$C$20,$D452-$G452),0),0))</f>
        <v>0</v>
      </c>
      <c r="I452" s="7">
        <f t="shared" si="38"/>
        <v>0</v>
      </c>
      <c r="J452" s="22">
        <f t="shared" si="39"/>
        <v>0</v>
      </c>
      <c r="K452" s="9" t="str">
        <f>IF($D452&lt;=0,"",IF($J452&lt;=0.005,"Volltilgung erreicht",IF($A452=Übersicht!$Q$13,"Ende der Zinsbindung",IF($H452&gt;0,"Sondertilgung",""))))</f>
        <v/>
      </c>
      <c r="L452" s="23">
        <f>IF($N451&lt;=0,0,ROUND($N451*Übersicht!$Q$7,2))</f>
        <v>0</v>
      </c>
      <c r="M452" s="23">
        <f>IF($N451&lt;=0,0,MIN($N451,IF(Übersicht!$C$13="Annuitätendarlehen",MAX(0,Übersicht!$Q$9-$L452),IF(Übersicht!$C$13="Ratendarlehen",Übersicht!$Q$10,IF($A452&gt;=Übersicht!$Q$11,$N451,0)))))</f>
        <v>0</v>
      </c>
      <c r="N452" s="23">
        <f t="shared" si="41"/>
        <v>0</v>
      </c>
    </row>
    <row r="453" spans="1:14" ht="15" customHeight="1" x14ac:dyDescent="0.25">
      <c r="A453" s="10">
        <v>446</v>
      </c>
      <c r="B453" s="24" t="str">
        <f>IF($D453&lt;=0,"",EDATE(Übersicht!$C$18,($A453-1)*12/Übersicht!$Q$6))</f>
        <v/>
      </c>
      <c r="C453" s="10" t="str">
        <f t="shared" si="36"/>
        <v/>
      </c>
      <c r="D453" s="25">
        <f t="shared" si="40"/>
        <v>0</v>
      </c>
      <c r="E453" s="12">
        <f t="shared" si="37"/>
        <v>0</v>
      </c>
      <c r="F453" s="12">
        <f>IF($D453&lt;=0,0,ROUND($D453*Übersicht!$Q$7,2))</f>
        <v>0</v>
      </c>
      <c r="G453" s="12">
        <f>IF($D453&lt;=0,0,MIN($D453,IF(Übersicht!$C$13="Annuitätendarlehen",MAX(0,Übersicht!$Q$9-$F453),IF(Übersicht!$C$13="Ratendarlehen",Übersicht!$Q$10,IF($A453&gt;=Übersicht!$Q$11,$D453,0)))))</f>
        <v>0</v>
      </c>
      <c r="H453" s="12">
        <f>IF($D453-$G453&lt;=0,0,IF(MOD($A453,Übersicht!$Q$6)=0,IF($A453/Übersicht!$Q$6&gt;=Übersicht!$C$21,MIN(Übersicht!$C$20,$D453-$G453),0),0))</f>
        <v>0</v>
      </c>
      <c r="I453" s="12">
        <f t="shared" si="38"/>
        <v>0</v>
      </c>
      <c r="J453" s="26">
        <f t="shared" si="39"/>
        <v>0</v>
      </c>
      <c r="K453" s="14" t="str">
        <f>IF($D453&lt;=0,"",IF($J453&lt;=0.005,"Volltilgung erreicht",IF($A453=Übersicht!$Q$13,"Ende der Zinsbindung",IF($H453&gt;0,"Sondertilgung",""))))</f>
        <v/>
      </c>
      <c r="L453" s="23">
        <f>IF($N452&lt;=0,0,ROUND($N452*Übersicht!$Q$7,2))</f>
        <v>0</v>
      </c>
      <c r="M453" s="23">
        <f>IF($N452&lt;=0,0,MIN($N452,IF(Übersicht!$C$13="Annuitätendarlehen",MAX(0,Übersicht!$Q$9-$L453),IF(Übersicht!$C$13="Ratendarlehen",Übersicht!$Q$10,IF($A453&gt;=Übersicht!$Q$11,$N452,0)))))</f>
        <v>0</v>
      </c>
      <c r="N453" s="23">
        <f t="shared" si="41"/>
        <v>0</v>
      </c>
    </row>
    <row r="454" spans="1:14" ht="15" customHeight="1" x14ac:dyDescent="0.25">
      <c r="A454" s="5">
        <v>447</v>
      </c>
      <c r="B454" s="20" t="str">
        <f>IF($D454&lt;=0,"",EDATE(Übersicht!$C$18,($A454-1)*12/Übersicht!$Q$6))</f>
        <v/>
      </c>
      <c r="C454" s="5" t="str">
        <f t="shared" si="36"/>
        <v/>
      </c>
      <c r="D454" s="21">
        <f t="shared" si="40"/>
        <v>0</v>
      </c>
      <c r="E454" s="7">
        <f t="shared" si="37"/>
        <v>0</v>
      </c>
      <c r="F454" s="7">
        <f>IF($D454&lt;=0,0,ROUND($D454*Übersicht!$Q$7,2))</f>
        <v>0</v>
      </c>
      <c r="G454" s="7">
        <f>IF($D454&lt;=0,0,MIN($D454,IF(Übersicht!$C$13="Annuitätendarlehen",MAX(0,Übersicht!$Q$9-$F454),IF(Übersicht!$C$13="Ratendarlehen",Übersicht!$Q$10,IF($A454&gt;=Übersicht!$Q$11,$D454,0)))))</f>
        <v>0</v>
      </c>
      <c r="H454" s="7">
        <f>IF($D454-$G454&lt;=0,0,IF(MOD($A454,Übersicht!$Q$6)=0,IF($A454/Übersicht!$Q$6&gt;=Übersicht!$C$21,MIN(Übersicht!$C$20,$D454-$G454),0),0))</f>
        <v>0</v>
      </c>
      <c r="I454" s="7">
        <f t="shared" si="38"/>
        <v>0</v>
      </c>
      <c r="J454" s="22">
        <f t="shared" si="39"/>
        <v>0</v>
      </c>
      <c r="K454" s="9" t="str">
        <f>IF($D454&lt;=0,"",IF($J454&lt;=0.005,"Volltilgung erreicht",IF($A454=Übersicht!$Q$13,"Ende der Zinsbindung",IF($H454&gt;0,"Sondertilgung",""))))</f>
        <v/>
      </c>
      <c r="L454" s="23">
        <f>IF($N453&lt;=0,0,ROUND($N453*Übersicht!$Q$7,2))</f>
        <v>0</v>
      </c>
      <c r="M454" s="23">
        <f>IF($N453&lt;=0,0,MIN($N453,IF(Übersicht!$C$13="Annuitätendarlehen",MAX(0,Übersicht!$Q$9-$L454),IF(Übersicht!$C$13="Ratendarlehen",Übersicht!$Q$10,IF($A454&gt;=Übersicht!$Q$11,$N453,0)))))</f>
        <v>0</v>
      </c>
      <c r="N454" s="23">
        <f t="shared" si="41"/>
        <v>0</v>
      </c>
    </row>
    <row r="455" spans="1:14" ht="15" customHeight="1" x14ac:dyDescent="0.25">
      <c r="A455" s="10">
        <v>448</v>
      </c>
      <c r="B455" s="24" t="str">
        <f>IF($D455&lt;=0,"",EDATE(Übersicht!$C$18,($A455-1)*12/Übersicht!$Q$6))</f>
        <v/>
      </c>
      <c r="C455" s="10" t="str">
        <f t="shared" si="36"/>
        <v/>
      </c>
      <c r="D455" s="25">
        <f t="shared" si="40"/>
        <v>0</v>
      </c>
      <c r="E455" s="12">
        <f t="shared" si="37"/>
        <v>0</v>
      </c>
      <c r="F455" s="12">
        <f>IF($D455&lt;=0,0,ROUND($D455*Übersicht!$Q$7,2))</f>
        <v>0</v>
      </c>
      <c r="G455" s="12">
        <f>IF($D455&lt;=0,0,MIN($D455,IF(Übersicht!$C$13="Annuitätendarlehen",MAX(0,Übersicht!$Q$9-$F455),IF(Übersicht!$C$13="Ratendarlehen",Übersicht!$Q$10,IF($A455&gt;=Übersicht!$Q$11,$D455,0)))))</f>
        <v>0</v>
      </c>
      <c r="H455" s="12">
        <f>IF($D455-$G455&lt;=0,0,IF(MOD($A455,Übersicht!$Q$6)=0,IF($A455/Übersicht!$Q$6&gt;=Übersicht!$C$21,MIN(Übersicht!$C$20,$D455-$G455),0),0))</f>
        <v>0</v>
      </c>
      <c r="I455" s="12">
        <f t="shared" si="38"/>
        <v>0</v>
      </c>
      <c r="J455" s="26">
        <f t="shared" si="39"/>
        <v>0</v>
      </c>
      <c r="K455" s="14" t="str">
        <f>IF($D455&lt;=0,"",IF($J455&lt;=0.005,"Volltilgung erreicht",IF($A455=Übersicht!$Q$13,"Ende der Zinsbindung",IF($H455&gt;0,"Sondertilgung",""))))</f>
        <v/>
      </c>
      <c r="L455" s="23">
        <f>IF($N454&lt;=0,0,ROUND($N454*Übersicht!$Q$7,2))</f>
        <v>0</v>
      </c>
      <c r="M455" s="23">
        <f>IF($N454&lt;=0,0,MIN($N454,IF(Übersicht!$C$13="Annuitätendarlehen",MAX(0,Übersicht!$Q$9-$L455),IF(Übersicht!$C$13="Ratendarlehen",Übersicht!$Q$10,IF($A455&gt;=Übersicht!$Q$11,$N454,0)))))</f>
        <v>0</v>
      </c>
      <c r="N455" s="23">
        <f t="shared" si="41"/>
        <v>0</v>
      </c>
    </row>
    <row r="456" spans="1:14" ht="15" customHeight="1" x14ac:dyDescent="0.25">
      <c r="A456" s="5">
        <v>449</v>
      </c>
      <c r="B456" s="20" t="str">
        <f>IF($D456&lt;=0,"",EDATE(Übersicht!$C$18,($A456-1)*12/Übersicht!$Q$6))</f>
        <v/>
      </c>
      <c r="C456" s="5" t="str">
        <f t="shared" ref="C456:C487" si="42">IF($B456="","",YEAR($B456))</f>
        <v/>
      </c>
      <c r="D456" s="21">
        <f t="shared" si="40"/>
        <v>0</v>
      </c>
      <c r="E456" s="7">
        <f t="shared" ref="E456:E487" si="43">IF($D456&lt;=0,0,$F456+$G456)</f>
        <v>0</v>
      </c>
      <c r="F456" s="7">
        <f>IF($D456&lt;=0,0,ROUND($D456*Übersicht!$Q$7,2))</f>
        <v>0</v>
      </c>
      <c r="G456" s="7">
        <f>IF($D456&lt;=0,0,MIN($D456,IF(Übersicht!$C$13="Annuitätendarlehen",MAX(0,Übersicht!$Q$9-$F456),IF(Übersicht!$C$13="Ratendarlehen",Übersicht!$Q$10,IF($A456&gt;=Übersicht!$Q$11,$D456,0)))))</f>
        <v>0</v>
      </c>
      <c r="H456" s="7">
        <f>IF($D456-$G456&lt;=0,0,IF(MOD($A456,Übersicht!$Q$6)=0,IF($A456/Übersicht!$Q$6&gt;=Übersicht!$C$21,MIN(Übersicht!$C$20,$D456-$G456),0),0))</f>
        <v>0</v>
      </c>
      <c r="I456" s="7">
        <f t="shared" ref="I456:I487" si="44">IF($D456&lt;=0,0,$E456+$H456)</f>
        <v>0</v>
      </c>
      <c r="J456" s="22">
        <f t="shared" ref="J456:J487" si="45">IF($D456&lt;=0,0,ROUND($D456-$G456-$H456,2))</f>
        <v>0</v>
      </c>
      <c r="K456" s="9" t="str">
        <f>IF($D456&lt;=0,"",IF($J456&lt;=0.005,"Volltilgung erreicht",IF($A456=Übersicht!$Q$13,"Ende der Zinsbindung",IF($H456&gt;0,"Sondertilgung",""))))</f>
        <v/>
      </c>
      <c r="L456" s="23">
        <f>IF($N455&lt;=0,0,ROUND($N455*Übersicht!$Q$7,2))</f>
        <v>0</v>
      </c>
      <c r="M456" s="23">
        <f>IF($N455&lt;=0,0,MIN($N455,IF(Übersicht!$C$13="Annuitätendarlehen",MAX(0,Übersicht!$Q$9-$L456),IF(Übersicht!$C$13="Ratendarlehen",Übersicht!$Q$10,IF($A456&gt;=Übersicht!$Q$11,$N455,0)))))</f>
        <v>0</v>
      </c>
      <c r="N456" s="23">
        <f t="shared" si="41"/>
        <v>0</v>
      </c>
    </row>
    <row r="457" spans="1:14" ht="15" customHeight="1" x14ac:dyDescent="0.25">
      <c r="A457" s="10">
        <v>450</v>
      </c>
      <c r="B457" s="24" t="str">
        <f>IF($D457&lt;=0,"",EDATE(Übersicht!$C$18,($A457-1)*12/Übersicht!$Q$6))</f>
        <v/>
      </c>
      <c r="C457" s="10" t="str">
        <f t="shared" si="42"/>
        <v/>
      </c>
      <c r="D457" s="25">
        <f t="shared" ref="D457:D487" si="46">$J456</f>
        <v>0</v>
      </c>
      <c r="E457" s="12">
        <f t="shared" si="43"/>
        <v>0</v>
      </c>
      <c r="F457" s="12">
        <f>IF($D457&lt;=0,0,ROUND($D457*Übersicht!$Q$7,2))</f>
        <v>0</v>
      </c>
      <c r="G457" s="12">
        <f>IF($D457&lt;=0,0,MIN($D457,IF(Übersicht!$C$13="Annuitätendarlehen",MAX(0,Übersicht!$Q$9-$F457),IF(Übersicht!$C$13="Ratendarlehen",Übersicht!$Q$10,IF($A457&gt;=Übersicht!$Q$11,$D457,0)))))</f>
        <v>0</v>
      </c>
      <c r="H457" s="12">
        <f>IF($D457-$G457&lt;=0,0,IF(MOD($A457,Übersicht!$Q$6)=0,IF($A457/Übersicht!$Q$6&gt;=Übersicht!$C$21,MIN(Übersicht!$C$20,$D457-$G457),0),0))</f>
        <v>0</v>
      </c>
      <c r="I457" s="12">
        <f t="shared" si="44"/>
        <v>0</v>
      </c>
      <c r="J457" s="26">
        <f t="shared" si="45"/>
        <v>0</v>
      </c>
      <c r="K457" s="14" t="str">
        <f>IF($D457&lt;=0,"",IF($J457&lt;=0.005,"Volltilgung erreicht",IF($A457=Übersicht!$Q$13,"Ende der Zinsbindung",IF($H457&gt;0,"Sondertilgung",""))))</f>
        <v/>
      </c>
      <c r="L457" s="23">
        <f>IF($N456&lt;=0,0,ROUND($N456*Übersicht!$Q$7,2))</f>
        <v>0</v>
      </c>
      <c r="M457" s="23">
        <f>IF($N456&lt;=0,0,MIN($N456,IF(Übersicht!$C$13="Annuitätendarlehen",MAX(0,Übersicht!$Q$9-$L457),IF(Übersicht!$C$13="Ratendarlehen",Übersicht!$Q$10,IF($A457&gt;=Übersicht!$Q$11,$N456,0)))))</f>
        <v>0</v>
      </c>
      <c r="N457" s="23">
        <f t="shared" ref="N457:N487" si="47">IF($N456&lt;=0,0,ROUND($N456-$M457,2))</f>
        <v>0</v>
      </c>
    </row>
    <row r="458" spans="1:14" ht="15" customHeight="1" x14ac:dyDescent="0.25">
      <c r="A458" s="5">
        <v>451</v>
      </c>
      <c r="B458" s="20" t="str">
        <f>IF($D458&lt;=0,"",EDATE(Übersicht!$C$18,($A458-1)*12/Übersicht!$Q$6))</f>
        <v/>
      </c>
      <c r="C458" s="5" t="str">
        <f t="shared" si="42"/>
        <v/>
      </c>
      <c r="D458" s="21">
        <f t="shared" si="46"/>
        <v>0</v>
      </c>
      <c r="E458" s="7">
        <f t="shared" si="43"/>
        <v>0</v>
      </c>
      <c r="F458" s="7">
        <f>IF($D458&lt;=0,0,ROUND($D458*Übersicht!$Q$7,2))</f>
        <v>0</v>
      </c>
      <c r="G458" s="7">
        <f>IF($D458&lt;=0,0,MIN($D458,IF(Übersicht!$C$13="Annuitätendarlehen",MAX(0,Übersicht!$Q$9-$F458),IF(Übersicht!$C$13="Ratendarlehen",Übersicht!$Q$10,IF($A458&gt;=Übersicht!$Q$11,$D458,0)))))</f>
        <v>0</v>
      </c>
      <c r="H458" s="7">
        <f>IF($D458-$G458&lt;=0,0,IF(MOD($A458,Übersicht!$Q$6)=0,IF($A458/Übersicht!$Q$6&gt;=Übersicht!$C$21,MIN(Übersicht!$C$20,$D458-$G458),0),0))</f>
        <v>0</v>
      </c>
      <c r="I458" s="7">
        <f t="shared" si="44"/>
        <v>0</v>
      </c>
      <c r="J458" s="22">
        <f t="shared" si="45"/>
        <v>0</v>
      </c>
      <c r="K458" s="9" t="str">
        <f>IF($D458&lt;=0,"",IF($J458&lt;=0.005,"Volltilgung erreicht",IF($A458=Übersicht!$Q$13,"Ende der Zinsbindung",IF($H458&gt;0,"Sondertilgung",""))))</f>
        <v/>
      </c>
      <c r="L458" s="23">
        <f>IF($N457&lt;=0,0,ROUND($N457*Übersicht!$Q$7,2))</f>
        <v>0</v>
      </c>
      <c r="M458" s="23">
        <f>IF($N457&lt;=0,0,MIN($N457,IF(Übersicht!$C$13="Annuitätendarlehen",MAX(0,Übersicht!$Q$9-$L458),IF(Übersicht!$C$13="Ratendarlehen",Übersicht!$Q$10,IF($A458&gt;=Übersicht!$Q$11,$N457,0)))))</f>
        <v>0</v>
      </c>
      <c r="N458" s="23">
        <f t="shared" si="47"/>
        <v>0</v>
      </c>
    </row>
    <row r="459" spans="1:14" ht="15" customHeight="1" x14ac:dyDescent="0.25">
      <c r="A459" s="10">
        <v>452</v>
      </c>
      <c r="B459" s="24" t="str">
        <f>IF($D459&lt;=0,"",EDATE(Übersicht!$C$18,($A459-1)*12/Übersicht!$Q$6))</f>
        <v/>
      </c>
      <c r="C459" s="10" t="str">
        <f t="shared" si="42"/>
        <v/>
      </c>
      <c r="D459" s="25">
        <f t="shared" si="46"/>
        <v>0</v>
      </c>
      <c r="E459" s="12">
        <f t="shared" si="43"/>
        <v>0</v>
      </c>
      <c r="F459" s="12">
        <f>IF($D459&lt;=0,0,ROUND($D459*Übersicht!$Q$7,2))</f>
        <v>0</v>
      </c>
      <c r="G459" s="12">
        <f>IF($D459&lt;=0,0,MIN($D459,IF(Übersicht!$C$13="Annuitätendarlehen",MAX(0,Übersicht!$Q$9-$F459),IF(Übersicht!$C$13="Ratendarlehen",Übersicht!$Q$10,IF($A459&gt;=Übersicht!$Q$11,$D459,0)))))</f>
        <v>0</v>
      </c>
      <c r="H459" s="12">
        <f>IF($D459-$G459&lt;=0,0,IF(MOD($A459,Übersicht!$Q$6)=0,IF($A459/Übersicht!$Q$6&gt;=Übersicht!$C$21,MIN(Übersicht!$C$20,$D459-$G459),0),0))</f>
        <v>0</v>
      </c>
      <c r="I459" s="12">
        <f t="shared" si="44"/>
        <v>0</v>
      </c>
      <c r="J459" s="26">
        <f t="shared" si="45"/>
        <v>0</v>
      </c>
      <c r="K459" s="14" t="str">
        <f>IF($D459&lt;=0,"",IF($J459&lt;=0.005,"Volltilgung erreicht",IF($A459=Übersicht!$Q$13,"Ende der Zinsbindung",IF($H459&gt;0,"Sondertilgung",""))))</f>
        <v/>
      </c>
      <c r="L459" s="23">
        <f>IF($N458&lt;=0,0,ROUND($N458*Übersicht!$Q$7,2))</f>
        <v>0</v>
      </c>
      <c r="M459" s="23">
        <f>IF($N458&lt;=0,0,MIN($N458,IF(Übersicht!$C$13="Annuitätendarlehen",MAX(0,Übersicht!$Q$9-$L459),IF(Übersicht!$C$13="Ratendarlehen",Übersicht!$Q$10,IF($A459&gt;=Übersicht!$Q$11,$N458,0)))))</f>
        <v>0</v>
      </c>
      <c r="N459" s="23">
        <f t="shared" si="47"/>
        <v>0</v>
      </c>
    </row>
    <row r="460" spans="1:14" ht="15" customHeight="1" x14ac:dyDescent="0.25">
      <c r="A460" s="5">
        <v>453</v>
      </c>
      <c r="B460" s="20" t="str">
        <f>IF($D460&lt;=0,"",EDATE(Übersicht!$C$18,($A460-1)*12/Übersicht!$Q$6))</f>
        <v/>
      </c>
      <c r="C460" s="5" t="str">
        <f t="shared" si="42"/>
        <v/>
      </c>
      <c r="D460" s="21">
        <f t="shared" si="46"/>
        <v>0</v>
      </c>
      <c r="E460" s="7">
        <f t="shared" si="43"/>
        <v>0</v>
      </c>
      <c r="F460" s="7">
        <f>IF($D460&lt;=0,0,ROUND($D460*Übersicht!$Q$7,2))</f>
        <v>0</v>
      </c>
      <c r="G460" s="7">
        <f>IF($D460&lt;=0,0,MIN($D460,IF(Übersicht!$C$13="Annuitätendarlehen",MAX(0,Übersicht!$Q$9-$F460),IF(Übersicht!$C$13="Ratendarlehen",Übersicht!$Q$10,IF($A460&gt;=Übersicht!$Q$11,$D460,0)))))</f>
        <v>0</v>
      </c>
      <c r="H460" s="7">
        <f>IF($D460-$G460&lt;=0,0,IF(MOD($A460,Übersicht!$Q$6)=0,IF($A460/Übersicht!$Q$6&gt;=Übersicht!$C$21,MIN(Übersicht!$C$20,$D460-$G460),0),0))</f>
        <v>0</v>
      </c>
      <c r="I460" s="7">
        <f t="shared" si="44"/>
        <v>0</v>
      </c>
      <c r="J460" s="22">
        <f t="shared" si="45"/>
        <v>0</v>
      </c>
      <c r="K460" s="9" t="str">
        <f>IF($D460&lt;=0,"",IF($J460&lt;=0.005,"Volltilgung erreicht",IF($A460=Übersicht!$Q$13,"Ende der Zinsbindung",IF($H460&gt;0,"Sondertilgung",""))))</f>
        <v/>
      </c>
      <c r="L460" s="23">
        <f>IF($N459&lt;=0,0,ROUND($N459*Übersicht!$Q$7,2))</f>
        <v>0</v>
      </c>
      <c r="M460" s="23">
        <f>IF($N459&lt;=0,0,MIN($N459,IF(Übersicht!$C$13="Annuitätendarlehen",MAX(0,Übersicht!$Q$9-$L460),IF(Übersicht!$C$13="Ratendarlehen",Übersicht!$Q$10,IF($A460&gt;=Übersicht!$Q$11,$N459,0)))))</f>
        <v>0</v>
      </c>
      <c r="N460" s="23">
        <f t="shared" si="47"/>
        <v>0</v>
      </c>
    </row>
    <row r="461" spans="1:14" ht="15" customHeight="1" x14ac:dyDescent="0.25">
      <c r="A461" s="10">
        <v>454</v>
      </c>
      <c r="B461" s="24" t="str">
        <f>IF($D461&lt;=0,"",EDATE(Übersicht!$C$18,($A461-1)*12/Übersicht!$Q$6))</f>
        <v/>
      </c>
      <c r="C461" s="10" t="str">
        <f t="shared" si="42"/>
        <v/>
      </c>
      <c r="D461" s="25">
        <f t="shared" si="46"/>
        <v>0</v>
      </c>
      <c r="E461" s="12">
        <f t="shared" si="43"/>
        <v>0</v>
      </c>
      <c r="F461" s="12">
        <f>IF($D461&lt;=0,0,ROUND($D461*Übersicht!$Q$7,2))</f>
        <v>0</v>
      </c>
      <c r="G461" s="12">
        <f>IF($D461&lt;=0,0,MIN($D461,IF(Übersicht!$C$13="Annuitätendarlehen",MAX(0,Übersicht!$Q$9-$F461),IF(Übersicht!$C$13="Ratendarlehen",Übersicht!$Q$10,IF($A461&gt;=Übersicht!$Q$11,$D461,0)))))</f>
        <v>0</v>
      </c>
      <c r="H461" s="12">
        <f>IF($D461-$G461&lt;=0,0,IF(MOD($A461,Übersicht!$Q$6)=0,IF($A461/Übersicht!$Q$6&gt;=Übersicht!$C$21,MIN(Übersicht!$C$20,$D461-$G461),0),0))</f>
        <v>0</v>
      </c>
      <c r="I461" s="12">
        <f t="shared" si="44"/>
        <v>0</v>
      </c>
      <c r="J461" s="26">
        <f t="shared" si="45"/>
        <v>0</v>
      </c>
      <c r="K461" s="14" t="str">
        <f>IF($D461&lt;=0,"",IF($J461&lt;=0.005,"Volltilgung erreicht",IF($A461=Übersicht!$Q$13,"Ende der Zinsbindung",IF($H461&gt;0,"Sondertilgung",""))))</f>
        <v/>
      </c>
      <c r="L461" s="23">
        <f>IF($N460&lt;=0,0,ROUND($N460*Übersicht!$Q$7,2))</f>
        <v>0</v>
      </c>
      <c r="M461" s="23">
        <f>IF($N460&lt;=0,0,MIN($N460,IF(Übersicht!$C$13="Annuitätendarlehen",MAX(0,Übersicht!$Q$9-$L461),IF(Übersicht!$C$13="Ratendarlehen",Übersicht!$Q$10,IF($A461&gt;=Übersicht!$Q$11,$N460,0)))))</f>
        <v>0</v>
      </c>
      <c r="N461" s="23">
        <f t="shared" si="47"/>
        <v>0</v>
      </c>
    </row>
    <row r="462" spans="1:14" ht="15" customHeight="1" x14ac:dyDescent="0.25">
      <c r="A462" s="5">
        <v>455</v>
      </c>
      <c r="B462" s="20" t="str">
        <f>IF($D462&lt;=0,"",EDATE(Übersicht!$C$18,($A462-1)*12/Übersicht!$Q$6))</f>
        <v/>
      </c>
      <c r="C462" s="5" t="str">
        <f t="shared" si="42"/>
        <v/>
      </c>
      <c r="D462" s="21">
        <f t="shared" si="46"/>
        <v>0</v>
      </c>
      <c r="E462" s="7">
        <f t="shared" si="43"/>
        <v>0</v>
      </c>
      <c r="F462" s="7">
        <f>IF($D462&lt;=0,0,ROUND($D462*Übersicht!$Q$7,2))</f>
        <v>0</v>
      </c>
      <c r="G462" s="7">
        <f>IF($D462&lt;=0,0,MIN($D462,IF(Übersicht!$C$13="Annuitätendarlehen",MAX(0,Übersicht!$Q$9-$F462),IF(Übersicht!$C$13="Ratendarlehen",Übersicht!$Q$10,IF($A462&gt;=Übersicht!$Q$11,$D462,0)))))</f>
        <v>0</v>
      </c>
      <c r="H462" s="7">
        <f>IF($D462-$G462&lt;=0,0,IF(MOD($A462,Übersicht!$Q$6)=0,IF($A462/Übersicht!$Q$6&gt;=Übersicht!$C$21,MIN(Übersicht!$C$20,$D462-$G462),0),0))</f>
        <v>0</v>
      </c>
      <c r="I462" s="7">
        <f t="shared" si="44"/>
        <v>0</v>
      </c>
      <c r="J462" s="22">
        <f t="shared" si="45"/>
        <v>0</v>
      </c>
      <c r="K462" s="9" t="str">
        <f>IF($D462&lt;=0,"",IF($J462&lt;=0.005,"Volltilgung erreicht",IF($A462=Übersicht!$Q$13,"Ende der Zinsbindung",IF($H462&gt;0,"Sondertilgung",""))))</f>
        <v/>
      </c>
      <c r="L462" s="23">
        <f>IF($N461&lt;=0,0,ROUND($N461*Übersicht!$Q$7,2))</f>
        <v>0</v>
      </c>
      <c r="M462" s="23">
        <f>IF($N461&lt;=0,0,MIN($N461,IF(Übersicht!$C$13="Annuitätendarlehen",MAX(0,Übersicht!$Q$9-$L462),IF(Übersicht!$C$13="Ratendarlehen",Übersicht!$Q$10,IF($A462&gt;=Übersicht!$Q$11,$N461,0)))))</f>
        <v>0</v>
      </c>
      <c r="N462" s="23">
        <f t="shared" si="47"/>
        <v>0</v>
      </c>
    </row>
    <row r="463" spans="1:14" ht="15" customHeight="1" x14ac:dyDescent="0.25">
      <c r="A463" s="10">
        <v>456</v>
      </c>
      <c r="B463" s="24" t="str">
        <f>IF($D463&lt;=0,"",EDATE(Übersicht!$C$18,($A463-1)*12/Übersicht!$Q$6))</f>
        <v/>
      </c>
      <c r="C463" s="10" t="str">
        <f t="shared" si="42"/>
        <v/>
      </c>
      <c r="D463" s="25">
        <f t="shared" si="46"/>
        <v>0</v>
      </c>
      <c r="E463" s="12">
        <f t="shared" si="43"/>
        <v>0</v>
      </c>
      <c r="F463" s="12">
        <f>IF($D463&lt;=0,0,ROUND($D463*Übersicht!$Q$7,2))</f>
        <v>0</v>
      </c>
      <c r="G463" s="12">
        <f>IF($D463&lt;=0,0,MIN($D463,IF(Übersicht!$C$13="Annuitätendarlehen",MAX(0,Übersicht!$Q$9-$F463),IF(Übersicht!$C$13="Ratendarlehen",Übersicht!$Q$10,IF($A463&gt;=Übersicht!$Q$11,$D463,0)))))</f>
        <v>0</v>
      </c>
      <c r="H463" s="12">
        <f>IF($D463-$G463&lt;=0,0,IF(MOD($A463,Übersicht!$Q$6)=0,IF($A463/Übersicht!$Q$6&gt;=Übersicht!$C$21,MIN(Übersicht!$C$20,$D463-$G463),0),0))</f>
        <v>0</v>
      </c>
      <c r="I463" s="12">
        <f t="shared" si="44"/>
        <v>0</v>
      </c>
      <c r="J463" s="26">
        <f t="shared" si="45"/>
        <v>0</v>
      </c>
      <c r="K463" s="14" t="str">
        <f>IF($D463&lt;=0,"",IF($J463&lt;=0.005,"Volltilgung erreicht",IF($A463=Übersicht!$Q$13,"Ende der Zinsbindung",IF($H463&gt;0,"Sondertilgung",""))))</f>
        <v/>
      </c>
      <c r="L463" s="23">
        <f>IF($N462&lt;=0,0,ROUND($N462*Übersicht!$Q$7,2))</f>
        <v>0</v>
      </c>
      <c r="M463" s="23">
        <f>IF($N462&lt;=0,0,MIN($N462,IF(Übersicht!$C$13="Annuitätendarlehen",MAX(0,Übersicht!$Q$9-$L463),IF(Übersicht!$C$13="Ratendarlehen",Übersicht!$Q$10,IF($A463&gt;=Übersicht!$Q$11,$N462,0)))))</f>
        <v>0</v>
      </c>
      <c r="N463" s="23">
        <f t="shared" si="47"/>
        <v>0</v>
      </c>
    </row>
    <row r="464" spans="1:14" ht="15" customHeight="1" x14ac:dyDescent="0.25">
      <c r="A464" s="5">
        <v>457</v>
      </c>
      <c r="B464" s="20" t="str">
        <f>IF($D464&lt;=0,"",EDATE(Übersicht!$C$18,($A464-1)*12/Übersicht!$Q$6))</f>
        <v/>
      </c>
      <c r="C464" s="5" t="str">
        <f t="shared" si="42"/>
        <v/>
      </c>
      <c r="D464" s="21">
        <f t="shared" si="46"/>
        <v>0</v>
      </c>
      <c r="E464" s="7">
        <f t="shared" si="43"/>
        <v>0</v>
      </c>
      <c r="F464" s="7">
        <f>IF($D464&lt;=0,0,ROUND($D464*Übersicht!$Q$7,2))</f>
        <v>0</v>
      </c>
      <c r="G464" s="7">
        <f>IF($D464&lt;=0,0,MIN($D464,IF(Übersicht!$C$13="Annuitätendarlehen",MAX(0,Übersicht!$Q$9-$F464),IF(Übersicht!$C$13="Ratendarlehen",Übersicht!$Q$10,IF($A464&gt;=Übersicht!$Q$11,$D464,0)))))</f>
        <v>0</v>
      </c>
      <c r="H464" s="7">
        <f>IF($D464-$G464&lt;=0,0,IF(MOD($A464,Übersicht!$Q$6)=0,IF($A464/Übersicht!$Q$6&gt;=Übersicht!$C$21,MIN(Übersicht!$C$20,$D464-$G464),0),0))</f>
        <v>0</v>
      </c>
      <c r="I464" s="7">
        <f t="shared" si="44"/>
        <v>0</v>
      </c>
      <c r="J464" s="22">
        <f t="shared" si="45"/>
        <v>0</v>
      </c>
      <c r="K464" s="9" t="str">
        <f>IF($D464&lt;=0,"",IF($J464&lt;=0.005,"Volltilgung erreicht",IF($A464=Übersicht!$Q$13,"Ende der Zinsbindung",IF($H464&gt;0,"Sondertilgung",""))))</f>
        <v/>
      </c>
      <c r="L464" s="23">
        <f>IF($N463&lt;=0,0,ROUND($N463*Übersicht!$Q$7,2))</f>
        <v>0</v>
      </c>
      <c r="M464" s="23">
        <f>IF($N463&lt;=0,0,MIN($N463,IF(Übersicht!$C$13="Annuitätendarlehen",MAX(0,Übersicht!$Q$9-$L464),IF(Übersicht!$C$13="Ratendarlehen",Übersicht!$Q$10,IF($A464&gt;=Übersicht!$Q$11,$N463,0)))))</f>
        <v>0</v>
      </c>
      <c r="N464" s="23">
        <f t="shared" si="47"/>
        <v>0</v>
      </c>
    </row>
    <row r="465" spans="1:14" ht="15" customHeight="1" x14ac:dyDescent="0.25">
      <c r="A465" s="10">
        <v>458</v>
      </c>
      <c r="B465" s="24" t="str">
        <f>IF($D465&lt;=0,"",EDATE(Übersicht!$C$18,($A465-1)*12/Übersicht!$Q$6))</f>
        <v/>
      </c>
      <c r="C465" s="10" t="str">
        <f t="shared" si="42"/>
        <v/>
      </c>
      <c r="D465" s="25">
        <f t="shared" si="46"/>
        <v>0</v>
      </c>
      <c r="E465" s="12">
        <f t="shared" si="43"/>
        <v>0</v>
      </c>
      <c r="F465" s="12">
        <f>IF($D465&lt;=0,0,ROUND($D465*Übersicht!$Q$7,2))</f>
        <v>0</v>
      </c>
      <c r="G465" s="12">
        <f>IF($D465&lt;=0,0,MIN($D465,IF(Übersicht!$C$13="Annuitätendarlehen",MAX(0,Übersicht!$Q$9-$F465),IF(Übersicht!$C$13="Ratendarlehen",Übersicht!$Q$10,IF($A465&gt;=Übersicht!$Q$11,$D465,0)))))</f>
        <v>0</v>
      </c>
      <c r="H465" s="12">
        <f>IF($D465-$G465&lt;=0,0,IF(MOD($A465,Übersicht!$Q$6)=0,IF($A465/Übersicht!$Q$6&gt;=Übersicht!$C$21,MIN(Übersicht!$C$20,$D465-$G465),0),0))</f>
        <v>0</v>
      </c>
      <c r="I465" s="12">
        <f t="shared" si="44"/>
        <v>0</v>
      </c>
      <c r="J465" s="26">
        <f t="shared" si="45"/>
        <v>0</v>
      </c>
      <c r="K465" s="14" t="str">
        <f>IF($D465&lt;=0,"",IF($J465&lt;=0.005,"Volltilgung erreicht",IF($A465=Übersicht!$Q$13,"Ende der Zinsbindung",IF($H465&gt;0,"Sondertilgung",""))))</f>
        <v/>
      </c>
      <c r="L465" s="23">
        <f>IF($N464&lt;=0,0,ROUND($N464*Übersicht!$Q$7,2))</f>
        <v>0</v>
      </c>
      <c r="M465" s="23">
        <f>IF($N464&lt;=0,0,MIN($N464,IF(Übersicht!$C$13="Annuitätendarlehen",MAX(0,Übersicht!$Q$9-$L465),IF(Übersicht!$C$13="Ratendarlehen",Übersicht!$Q$10,IF($A465&gt;=Übersicht!$Q$11,$N464,0)))))</f>
        <v>0</v>
      </c>
      <c r="N465" s="23">
        <f t="shared" si="47"/>
        <v>0</v>
      </c>
    </row>
    <row r="466" spans="1:14" ht="15" customHeight="1" x14ac:dyDescent="0.25">
      <c r="A466" s="5">
        <v>459</v>
      </c>
      <c r="B466" s="20" t="str">
        <f>IF($D466&lt;=0,"",EDATE(Übersicht!$C$18,($A466-1)*12/Übersicht!$Q$6))</f>
        <v/>
      </c>
      <c r="C466" s="5" t="str">
        <f t="shared" si="42"/>
        <v/>
      </c>
      <c r="D466" s="21">
        <f t="shared" si="46"/>
        <v>0</v>
      </c>
      <c r="E466" s="7">
        <f t="shared" si="43"/>
        <v>0</v>
      </c>
      <c r="F466" s="7">
        <f>IF($D466&lt;=0,0,ROUND($D466*Übersicht!$Q$7,2))</f>
        <v>0</v>
      </c>
      <c r="G466" s="7">
        <f>IF($D466&lt;=0,0,MIN($D466,IF(Übersicht!$C$13="Annuitätendarlehen",MAX(0,Übersicht!$Q$9-$F466),IF(Übersicht!$C$13="Ratendarlehen",Übersicht!$Q$10,IF($A466&gt;=Übersicht!$Q$11,$D466,0)))))</f>
        <v>0</v>
      </c>
      <c r="H466" s="7">
        <f>IF($D466-$G466&lt;=0,0,IF(MOD($A466,Übersicht!$Q$6)=0,IF($A466/Übersicht!$Q$6&gt;=Übersicht!$C$21,MIN(Übersicht!$C$20,$D466-$G466),0),0))</f>
        <v>0</v>
      </c>
      <c r="I466" s="7">
        <f t="shared" si="44"/>
        <v>0</v>
      </c>
      <c r="J466" s="22">
        <f t="shared" si="45"/>
        <v>0</v>
      </c>
      <c r="K466" s="9" t="str">
        <f>IF($D466&lt;=0,"",IF($J466&lt;=0.005,"Volltilgung erreicht",IF($A466=Übersicht!$Q$13,"Ende der Zinsbindung",IF($H466&gt;0,"Sondertilgung",""))))</f>
        <v/>
      </c>
      <c r="L466" s="23">
        <f>IF($N465&lt;=0,0,ROUND($N465*Übersicht!$Q$7,2))</f>
        <v>0</v>
      </c>
      <c r="M466" s="23">
        <f>IF($N465&lt;=0,0,MIN($N465,IF(Übersicht!$C$13="Annuitätendarlehen",MAX(0,Übersicht!$Q$9-$L466),IF(Übersicht!$C$13="Ratendarlehen",Übersicht!$Q$10,IF($A466&gt;=Übersicht!$Q$11,$N465,0)))))</f>
        <v>0</v>
      </c>
      <c r="N466" s="23">
        <f t="shared" si="47"/>
        <v>0</v>
      </c>
    </row>
    <row r="467" spans="1:14" ht="15" customHeight="1" x14ac:dyDescent="0.25">
      <c r="A467" s="10">
        <v>460</v>
      </c>
      <c r="B467" s="24" t="str">
        <f>IF($D467&lt;=0,"",EDATE(Übersicht!$C$18,($A467-1)*12/Übersicht!$Q$6))</f>
        <v/>
      </c>
      <c r="C467" s="10" t="str">
        <f t="shared" si="42"/>
        <v/>
      </c>
      <c r="D467" s="25">
        <f t="shared" si="46"/>
        <v>0</v>
      </c>
      <c r="E467" s="12">
        <f t="shared" si="43"/>
        <v>0</v>
      </c>
      <c r="F467" s="12">
        <f>IF($D467&lt;=0,0,ROUND($D467*Übersicht!$Q$7,2))</f>
        <v>0</v>
      </c>
      <c r="G467" s="12">
        <f>IF($D467&lt;=0,0,MIN($D467,IF(Übersicht!$C$13="Annuitätendarlehen",MAX(0,Übersicht!$Q$9-$F467),IF(Übersicht!$C$13="Ratendarlehen",Übersicht!$Q$10,IF($A467&gt;=Übersicht!$Q$11,$D467,0)))))</f>
        <v>0</v>
      </c>
      <c r="H467" s="12">
        <f>IF($D467-$G467&lt;=0,0,IF(MOD($A467,Übersicht!$Q$6)=0,IF($A467/Übersicht!$Q$6&gt;=Übersicht!$C$21,MIN(Übersicht!$C$20,$D467-$G467),0),0))</f>
        <v>0</v>
      </c>
      <c r="I467" s="12">
        <f t="shared" si="44"/>
        <v>0</v>
      </c>
      <c r="J467" s="26">
        <f t="shared" si="45"/>
        <v>0</v>
      </c>
      <c r="K467" s="14" t="str">
        <f>IF($D467&lt;=0,"",IF($J467&lt;=0.005,"Volltilgung erreicht",IF($A467=Übersicht!$Q$13,"Ende der Zinsbindung",IF($H467&gt;0,"Sondertilgung",""))))</f>
        <v/>
      </c>
      <c r="L467" s="23">
        <f>IF($N466&lt;=0,0,ROUND($N466*Übersicht!$Q$7,2))</f>
        <v>0</v>
      </c>
      <c r="M467" s="23">
        <f>IF($N466&lt;=0,0,MIN($N466,IF(Übersicht!$C$13="Annuitätendarlehen",MAX(0,Übersicht!$Q$9-$L467),IF(Übersicht!$C$13="Ratendarlehen",Übersicht!$Q$10,IF($A467&gt;=Übersicht!$Q$11,$N466,0)))))</f>
        <v>0</v>
      </c>
      <c r="N467" s="23">
        <f t="shared" si="47"/>
        <v>0</v>
      </c>
    </row>
    <row r="468" spans="1:14" ht="15" customHeight="1" x14ac:dyDescent="0.25">
      <c r="A468" s="5">
        <v>461</v>
      </c>
      <c r="B468" s="20" t="str">
        <f>IF($D468&lt;=0,"",EDATE(Übersicht!$C$18,($A468-1)*12/Übersicht!$Q$6))</f>
        <v/>
      </c>
      <c r="C468" s="5" t="str">
        <f t="shared" si="42"/>
        <v/>
      </c>
      <c r="D468" s="21">
        <f t="shared" si="46"/>
        <v>0</v>
      </c>
      <c r="E468" s="7">
        <f t="shared" si="43"/>
        <v>0</v>
      </c>
      <c r="F468" s="7">
        <f>IF($D468&lt;=0,0,ROUND($D468*Übersicht!$Q$7,2))</f>
        <v>0</v>
      </c>
      <c r="G468" s="7">
        <f>IF($D468&lt;=0,0,MIN($D468,IF(Übersicht!$C$13="Annuitätendarlehen",MAX(0,Übersicht!$Q$9-$F468),IF(Übersicht!$C$13="Ratendarlehen",Übersicht!$Q$10,IF($A468&gt;=Übersicht!$Q$11,$D468,0)))))</f>
        <v>0</v>
      </c>
      <c r="H468" s="7">
        <f>IF($D468-$G468&lt;=0,0,IF(MOD($A468,Übersicht!$Q$6)=0,IF($A468/Übersicht!$Q$6&gt;=Übersicht!$C$21,MIN(Übersicht!$C$20,$D468-$G468),0),0))</f>
        <v>0</v>
      </c>
      <c r="I468" s="7">
        <f t="shared" si="44"/>
        <v>0</v>
      </c>
      <c r="J468" s="22">
        <f t="shared" si="45"/>
        <v>0</v>
      </c>
      <c r="K468" s="9" t="str">
        <f>IF($D468&lt;=0,"",IF($J468&lt;=0.005,"Volltilgung erreicht",IF($A468=Übersicht!$Q$13,"Ende der Zinsbindung",IF($H468&gt;0,"Sondertilgung",""))))</f>
        <v/>
      </c>
      <c r="L468" s="23">
        <f>IF($N467&lt;=0,0,ROUND($N467*Übersicht!$Q$7,2))</f>
        <v>0</v>
      </c>
      <c r="M468" s="23">
        <f>IF($N467&lt;=0,0,MIN($N467,IF(Übersicht!$C$13="Annuitätendarlehen",MAX(0,Übersicht!$Q$9-$L468),IF(Übersicht!$C$13="Ratendarlehen",Übersicht!$Q$10,IF($A468&gt;=Übersicht!$Q$11,$N467,0)))))</f>
        <v>0</v>
      </c>
      <c r="N468" s="23">
        <f t="shared" si="47"/>
        <v>0</v>
      </c>
    </row>
    <row r="469" spans="1:14" ht="15" customHeight="1" x14ac:dyDescent="0.25">
      <c r="A469" s="10">
        <v>462</v>
      </c>
      <c r="B469" s="24" t="str">
        <f>IF($D469&lt;=0,"",EDATE(Übersicht!$C$18,($A469-1)*12/Übersicht!$Q$6))</f>
        <v/>
      </c>
      <c r="C469" s="10" t="str">
        <f t="shared" si="42"/>
        <v/>
      </c>
      <c r="D469" s="25">
        <f t="shared" si="46"/>
        <v>0</v>
      </c>
      <c r="E469" s="12">
        <f t="shared" si="43"/>
        <v>0</v>
      </c>
      <c r="F469" s="12">
        <f>IF($D469&lt;=0,0,ROUND($D469*Übersicht!$Q$7,2))</f>
        <v>0</v>
      </c>
      <c r="G469" s="12">
        <f>IF($D469&lt;=0,0,MIN($D469,IF(Übersicht!$C$13="Annuitätendarlehen",MAX(0,Übersicht!$Q$9-$F469),IF(Übersicht!$C$13="Ratendarlehen",Übersicht!$Q$10,IF($A469&gt;=Übersicht!$Q$11,$D469,0)))))</f>
        <v>0</v>
      </c>
      <c r="H469" s="12">
        <f>IF($D469-$G469&lt;=0,0,IF(MOD($A469,Übersicht!$Q$6)=0,IF($A469/Übersicht!$Q$6&gt;=Übersicht!$C$21,MIN(Übersicht!$C$20,$D469-$G469),0),0))</f>
        <v>0</v>
      </c>
      <c r="I469" s="12">
        <f t="shared" si="44"/>
        <v>0</v>
      </c>
      <c r="J469" s="26">
        <f t="shared" si="45"/>
        <v>0</v>
      </c>
      <c r="K469" s="14" t="str">
        <f>IF($D469&lt;=0,"",IF($J469&lt;=0.005,"Volltilgung erreicht",IF($A469=Übersicht!$Q$13,"Ende der Zinsbindung",IF($H469&gt;0,"Sondertilgung",""))))</f>
        <v/>
      </c>
      <c r="L469" s="23">
        <f>IF($N468&lt;=0,0,ROUND($N468*Übersicht!$Q$7,2))</f>
        <v>0</v>
      </c>
      <c r="M469" s="23">
        <f>IF($N468&lt;=0,0,MIN($N468,IF(Übersicht!$C$13="Annuitätendarlehen",MAX(0,Übersicht!$Q$9-$L469),IF(Übersicht!$C$13="Ratendarlehen",Übersicht!$Q$10,IF($A469&gt;=Übersicht!$Q$11,$N468,0)))))</f>
        <v>0</v>
      </c>
      <c r="N469" s="23">
        <f t="shared" si="47"/>
        <v>0</v>
      </c>
    </row>
    <row r="470" spans="1:14" ht="15" customHeight="1" x14ac:dyDescent="0.25">
      <c r="A470" s="5">
        <v>463</v>
      </c>
      <c r="B470" s="20" t="str">
        <f>IF($D470&lt;=0,"",EDATE(Übersicht!$C$18,($A470-1)*12/Übersicht!$Q$6))</f>
        <v/>
      </c>
      <c r="C470" s="5" t="str">
        <f t="shared" si="42"/>
        <v/>
      </c>
      <c r="D470" s="21">
        <f t="shared" si="46"/>
        <v>0</v>
      </c>
      <c r="E470" s="7">
        <f t="shared" si="43"/>
        <v>0</v>
      </c>
      <c r="F470" s="7">
        <f>IF($D470&lt;=0,0,ROUND($D470*Übersicht!$Q$7,2))</f>
        <v>0</v>
      </c>
      <c r="G470" s="7">
        <f>IF($D470&lt;=0,0,MIN($D470,IF(Übersicht!$C$13="Annuitätendarlehen",MAX(0,Übersicht!$Q$9-$F470),IF(Übersicht!$C$13="Ratendarlehen",Übersicht!$Q$10,IF($A470&gt;=Übersicht!$Q$11,$D470,0)))))</f>
        <v>0</v>
      </c>
      <c r="H470" s="7">
        <f>IF($D470-$G470&lt;=0,0,IF(MOD($A470,Übersicht!$Q$6)=0,IF($A470/Übersicht!$Q$6&gt;=Übersicht!$C$21,MIN(Übersicht!$C$20,$D470-$G470),0),0))</f>
        <v>0</v>
      </c>
      <c r="I470" s="7">
        <f t="shared" si="44"/>
        <v>0</v>
      </c>
      <c r="J470" s="22">
        <f t="shared" si="45"/>
        <v>0</v>
      </c>
      <c r="K470" s="9" t="str">
        <f>IF($D470&lt;=0,"",IF($J470&lt;=0.005,"Volltilgung erreicht",IF($A470=Übersicht!$Q$13,"Ende der Zinsbindung",IF($H470&gt;0,"Sondertilgung",""))))</f>
        <v/>
      </c>
      <c r="L470" s="23">
        <f>IF($N469&lt;=0,0,ROUND($N469*Übersicht!$Q$7,2))</f>
        <v>0</v>
      </c>
      <c r="M470" s="23">
        <f>IF($N469&lt;=0,0,MIN($N469,IF(Übersicht!$C$13="Annuitätendarlehen",MAX(0,Übersicht!$Q$9-$L470),IF(Übersicht!$C$13="Ratendarlehen",Übersicht!$Q$10,IF($A470&gt;=Übersicht!$Q$11,$N469,0)))))</f>
        <v>0</v>
      </c>
      <c r="N470" s="23">
        <f t="shared" si="47"/>
        <v>0</v>
      </c>
    </row>
    <row r="471" spans="1:14" ht="15" customHeight="1" x14ac:dyDescent="0.25">
      <c r="A471" s="10">
        <v>464</v>
      </c>
      <c r="B471" s="24" t="str">
        <f>IF($D471&lt;=0,"",EDATE(Übersicht!$C$18,($A471-1)*12/Übersicht!$Q$6))</f>
        <v/>
      </c>
      <c r="C471" s="10" t="str">
        <f t="shared" si="42"/>
        <v/>
      </c>
      <c r="D471" s="25">
        <f t="shared" si="46"/>
        <v>0</v>
      </c>
      <c r="E471" s="12">
        <f t="shared" si="43"/>
        <v>0</v>
      </c>
      <c r="F471" s="12">
        <f>IF($D471&lt;=0,0,ROUND($D471*Übersicht!$Q$7,2))</f>
        <v>0</v>
      </c>
      <c r="G471" s="12">
        <f>IF($D471&lt;=0,0,MIN($D471,IF(Übersicht!$C$13="Annuitätendarlehen",MAX(0,Übersicht!$Q$9-$F471),IF(Übersicht!$C$13="Ratendarlehen",Übersicht!$Q$10,IF($A471&gt;=Übersicht!$Q$11,$D471,0)))))</f>
        <v>0</v>
      </c>
      <c r="H471" s="12">
        <f>IF($D471-$G471&lt;=0,0,IF(MOD($A471,Übersicht!$Q$6)=0,IF($A471/Übersicht!$Q$6&gt;=Übersicht!$C$21,MIN(Übersicht!$C$20,$D471-$G471),0),0))</f>
        <v>0</v>
      </c>
      <c r="I471" s="12">
        <f t="shared" si="44"/>
        <v>0</v>
      </c>
      <c r="J471" s="26">
        <f t="shared" si="45"/>
        <v>0</v>
      </c>
      <c r="K471" s="14" t="str">
        <f>IF($D471&lt;=0,"",IF($J471&lt;=0.005,"Volltilgung erreicht",IF($A471=Übersicht!$Q$13,"Ende der Zinsbindung",IF($H471&gt;0,"Sondertilgung",""))))</f>
        <v/>
      </c>
      <c r="L471" s="23">
        <f>IF($N470&lt;=0,0,ROUND($N470*Übersicht!$Q$7,2))</f>
        <v>0</v>
      </c>
      <c r="M471" s="23">
        <f>IF($N470&lt;=0,0,MIN($N470,IF(Übersicht!$C$13="Annuitätendarlehen",MAX(0,Übersicht!$Q$9-$L471),IF(Übersicht!$C$13="Ratendarlehen",Übersicht!$Q$10,IF($A471&gt;=Übersicht!$Q$11,$N470,0)))))</f>
        <v>0</v>
      </c>
      <c r="N471" s="23">
        <f t="shared" si="47"/>
        <v>0</v>
      </c>
    </row>
    <row r="472" spans="1:14" ht="15" customHeight="1" x14ac:dyDescent="0.25">
      <c r="A472" s="5">
        <v>465</v>
      </c>
      <c r="B472" s="20" t="str">
        <f>IF($D472&lt;=0,"",EDATE(Übersicht!$C$18,($A472-1)*12/Übersicht!$Q$6))</f>
        <v/>
      </c>
      <c r="C472" s="5" t="str">
        <f t="shared" si="42"/>
        <v/>
      </c>
      <c r="D472" s="21">
        <f t="shared" si="46"/>
        <v>0</v>
      </c>
      <c r="E472" s="7">
        <f t="shared" si="43"/>
        <v>0</v>
      </c>
      <c r="F472" s="7">
        <f>IF($D472&lt;=0,0,ROUND($D472*Übersicht!$Q$7,2))</f>
        <v>0</v>
      </c>
      <c r="G472" s="7">
        <f>IF($D472&lt;=0,0,MIN($D472,IF(Übersicht!$C$13="Annuitätendarlehen",MAX(0,Übersicht!$Q$9-$F472),IF(Übersicht!$C$13="Ratendarlehen",Übersicht!$Q$10,IF($A472&gt;=Übersicht!$Q$11,$D472,0)))))</f>
        <v>0</v>
      </c>
      <c r="H472" s="7">
        <f>IF($D472-$G472&lt;=0,0,IF(MOD($A472,Übersicht!$Q$6)=0,IF($A472/Übersicht!$Q$6&gt;=Übersicht!$C$21,MIN(Übersicht!$C$20,$D472-$G472),0),0))</f>
        <v>0</v>
      </c>
      <c r="I472" s="7">
        <f t="shared" si="44"/>
        <v>0</v>
      </c>
      <c r="J472" s="22">
        <f t="shared" si="45"/>
        <v>0</v>
      </c>
      <c r="K472" s="9" t="str">
        <f>IF($D472&lt;=0,"",IF($J472&lt;=0.005,"Volltilgung erreicht",IF($A472=Übersicht!$Q$13,"Ende der Zinsbindung",IF($H472&gt;0,"Sondertilgung",""))))</f>
        <v/>
      </c>
      <c r="L472" s="23">
        <f>IF($N471&lt;=0,0,ROUND($N471*Übersicht!$Q$7,2))</f>
        <v>0</v>
      </c>
      <c r="M472" s="23">
        <f>IF($N471&lt;=0,0,MIN($N471,IF(Übersicht!$C$13="Annuitätendarlehen",MAX(0,Übersicht!$Q$9-$L472),IF(Übersicht!$C$13="Ratendarlehen",Übersicht!$Q$10,IF($A472&gt;=Übersicht!$Q$11,$N471,0)))))</f>
        <v>0</v>
      </c>
      <c r="N472" s="23">
        <f t="shared" si="47"/>
        <v>0</v>
      </c>
    </row>
    <row r="473" spans="1:14" ht="15" customHeight="1" x14ac:dyDescent="0.25">
      <c r="A473" s="10">
        <v>466</v>
      </c>
      <c r="B473" s="24" t="str">
        <f>IF($D473&lt;=0,"",EDATE(Übersicht!$C$18,($A473-1)*12/Übersicht!$Q$6))</f>
        <v/>
      </c>
      <c r="C473" s="10" t="str">
        <f t="shared" si="42"/>
        <v/>
      </c>
      <c r="D473" s="25">
        <f t="shared" si="46"/>
        <v>0</v>
      </c>
      <c r="E473" s="12">
        <f t="shared" si="43"/>
        <v>0</v>
      </c>
      <c r="F473" s="12">
        <f>IF($D473&lt;=0,0,ROUND($D473*Übersicht!$Q$7,2))</f>
        <v>0</v>
      </c>
      <c r="G473" s="12">
        <f>IF($D473&lt;=0,0,MIN($D473,IF(Übersicht!$C$13="Annuitätendarlehen",MAX(0,Übersicht!$Q$9-$F473),IF(Übersicht!$C$13="Ratendarlehen",Übersicht!$Q$10,IF($A473&gt;=Übersicht!$Q$11,$D473,0)))))</f>
        <v>0</v>
      </c>
      <c r="H473" s="12">
        <f>IF($D473-$G473&lt;=0,0,IF(MOD($A473,Übersicht!$Q$6)=0,IF($A473/Übersicht!$Q$6&gt;=Übersicht!$C$21,MIN(Übersicht!$C$20,$D473-$G473),0),0))</f>
        <v>0</v>
      </c>
      <c r="I473" s="12">
        <f t="shared" si="44"/>
        <v>0</v>
      </c>
      <c r="J473" s="26">
        <f t="shared" si="45"/>
        <v>0</v>
      </c>
      <c r="K473" s="14" t="str">
        <f>IF($D473&lt;=0,"",IF($J473&lt;=0.005,"Volltilgung erreicht",IF($A473=Übersicht!$Q$13,"Ende der Zinsbindung",IF($H473&gt;0,"Sondertilgung",""))))</f>
        <v/>
      </c>
      <c r="L473" s="23">
        <f>IF($N472&lt;=0,0,ROUND($N472*Übersicht!$Q$7,2))</f>
        <v>0</v>
      </c>
      <c r="M473" s="23">
        <f>IF($N472&lt;=0,0,MIN($N472,IF(Übersicht!$C$13="Annuitätendarlehen",MAX(0,Übersicht!$Q$9-$L473),IF(Übersicht!$C$13="Ratendarlehen",Übersicht!$Q$10,IF($A473&gt;=Übersicht!$Q$11,$N472,0)))))</f>
        <v>0</v>
      </c>
      <c r="N473" s="23">
        <f t="shared" si="47"/>
        <v>0</v>
      </c>
    </row>
    <row r="474" spans="1:14" ht="15" customHeight="1" x14ac:dyDescent="0.25">
      <c r="A474" s="5">
        <v>467</v>
      </c>
      <c r="B474" s="20" t="str">
        <f>IF($D474&lt;=0,"",EDATE(Übersicht!$C$18,($A474-1)*12/Übersicht!$Q$6))</f>
        <v/>
      </c>
      <c r="C474" s="5" t="str">
        <f t="shared" si="42"/>
        <v/>
      </c>
      <c r="D474" s="21">
        <f t="shared" si="46"/>
        <v>0</v>
      </c>
      <c r="E474" s="7">
        <f t="shared" si="43"/>
        <v>0</v>
      </c>
      <c r="F474" s="7">
        <f>IF($D474&lt;=0,0,ROUND($D474*Übersicht!$Q$7,2))</f>
        <v>0</v>
      </c>
      <c r="G474" s="7">
        <f>IF($D474&lt;=0,0,MIN($D474,IF(Übersicht!$C$13="Annuitätendarlehen",MAX(0,Übersicht!$Q$9-$F474),IF(Übersicht!$C$13="Ratendarlehen",Übersicht!$Q$10,IF($A474&gt;=Übersicht!$Q$11,$D474,0)))))</f>
        <v>0</v>
      </c>
      <c r="H474" s="7">
        <f>IF($D474-$G474&lt;=0,0,IF(MOD($A474,Übersicht!$Q$6)=0,IF($A474/Übersicht!$Q$6&gt;=Übersicht!$C$21,MIN(Übersicht!$C$20,$D474-$G474),0),0))</f>
        <v>0</v>
      </c>
      <c r="I474" s="7">
        <f t="shared" si="44"/>
        <v>0</v>
      </c>
      <c r="J474" s="22">
        <f t="shared" si="45"/>
        <v>0</v>
      </c>
      <c r="K474" s="9" t="str">
        <f>IF($D474&lt;=0,"",IF($J474&lt;=0.005,"Volltilgung erreicht",IF($A474=Übersicht!$Q$13,"Ende der Zinsbindung",IF($H474&gt;0,"Sondertilgung",""))))</f>
        <v/>
      </c>
      <c r="L474" s="23">
        <f>IF($N473&lt;=0,0,ROUND($N473*Übersicht!$Q$7,2))</f>
        <v>0</v>
      </c>
      <c r="M474" s="23">
        <f>IF($N473&lt;=0,0,MIN($N473,IF(Übersicht!$C$13="Annuitätendarlehen",MAX(0,Übersicht!$Q$9-$L474),IF(Übersicht!$C$13="Ratendarlehen",Übersicht!$Q$10,IF($A474&gt;=Übersicht!$Q$11,$N473,0)))))</f>
        <v>0</v>
      </c>
      <c r="N474" s="23">
        <f t="shared" si="47"/>
        <v>0</v>
      </c>
    </row>
    <row r="475" spans="1:14" ht="15" customHeight="1" x14ac:dyDescent="0.25">
      <c r="A475" s="10">
        <v>468</v>
      </c>
      <c r="B475" s="24" t="str">
        <f>IF($D475&lt;=0,"",EDATE(Übersicht!$C$18,($A475-1)*12/Übersicht!$Q$6))</f>
        <v/>
      </c>
      <c r="C475" s="10" t="str">
        <f t="shared" si="42"/>
        <v/>
      </c>
      <c r="D475" s="25">
        <f t="shared" si="46"/>
        <v>0</v>
      </c>
      <c r="E475" s="12">
        <f t="shared" si="43"/>
        <v>0</v>
      </c>
      <c r="F475" s="12">
        <f>IF($D475&lt;=0,0,ROUND($D475*Übersicht!$Q$7,2))</f>
        <v>0</v>
      </c>
      <c r="G475" s="12">
        <f>IF($D475&lt;=0,0,MIN($D475,IF(Übersicht!$C$13="Annuitätendarlehen",MAX(0,Übersicht!$Q$9-$F475),IF(Übersicht!$C$13="Ratendarlehen",Übersicht!$Q$10,IF($A475&gt;=Übersicht!$Q$11,$D475,0)))))</f>
        <v>0</v>
      </c>
      <c r="H475" s="12">
        <f>IF($D475-$G475&lt;=0,0,IF(MOD($A475,Übersicht!$Q$6)=0,IF($A475/Übersicht!$Q$6&gt;=Übersicht!$C$21,MIN(Übersicht!$C$20,$D475-$G475),0),0))</f>
        <v>0</v>
      </c>
      <c r="I475" s="12">
        <f t="shared" si="44"/>
        <v>0</v>
      </c>
      <c r="J475" s="26">
        <f t="shared" si="45"/>
        <v>0</v>
      </c>
      <c r="K475" s="14" t="str">
        <f>IF($D475&lt;=0,"",IF($J475&lt;=0.005,"Volltilgung erreicht",IF($A475=Übersicht!$Q$13,"Ende der Zinsbindung",IF($H475&gt;0,"Sondertilgung",""))))</f>
        <v/>
      </c>
      <c r="L475" s="23">
        <f>IF($N474&lt;=0,0,ROUND($N474*Übersicht!$Q$7,2))</f>
        <v>0</v>
      </c>
      <c r="M475" s="23">
        <f>IF($N474&lt;=0,0,MIN($N474,IF(Übersicht!$C$13="Annuitätendarlehen",MAX(0,Übersicht!$Q$9-$L475),IF(Übersicht!$C$13="Ratendarlehen",Übersicht!$Q$10,IF($A475&gt;=Übersicht!$Q$11,$N474,0)))))</f>
        <v>0</v>
      </c>
      <c r="N475" s="23">
        <f t="shared" si="47"/>
        <v>0</v>
      </c>
    </row>
    <row r="476" spans="1:14" ht="15" customHeight="1" x14ac:dyDescent="0.25">
      <c r="A476" s="5">
        <v>469</v>
      </c>
      <c r="B476" s="20" t="str">
        <f>IF($D476&lt;=0,"",EDATE(Übersicht!$C$18,($A476-1)*12/Übersicht!$Q$6))</f>
        <v/>
      </c>
      <c r="C476" s="5" t="str">
        <f t="shared" si="42"/>
        <v/>
      </c>
      <c r="D476" s="21">
        <f t="shared" si="46"/>
        <v>0</v>
      </c>
      <c r="E476" s="7">
        <f t="shared" si="43"/>
        <v>0</v>
      </c>
      <c r="F476" s="7">
        <f>IF($D476&lt;=0,0,ROUND($D476*Übersicht!$Q$7,2))</f>
        <v>0</v>
      </c>
      <c r="G476" s="7">
        <f>IF($D476&lt;=0,0,MIN($D476,IF(Übersicht!$C$13="Annuitätendarlehen",MAX(0,Übersicht!$Q$9-$F476),IF(Übersicht!$C$13="Ratendarlehen",Übersicht!$Q$10,IF($A476&gt;=Übersicht!$Q$11,$D476,0)))))</f>
        <v>0</v>
      </c>
      <c r="H476" s="7">
        <f>IF($D476-$G476&lt;=0,0,IF(MOD($A476,Übersicht!$Q$6)=0,IF($A476/Übersicht!$Q$6&gt;=Übersicht!$C$21,MIN(Übersicht!$C$20,$D476-$G476),0),0))</f>
        <v>0</v>
      </c>
      <c r="I476" s="7">
        <f t="shared" si="44"/>
        <v>0</v>
      </c>
      <c r="J476" s="22">
        <f t="shared" si="45"/>
        <v>0</v>
      </c>
      <c r="K476" s="9" t="str">
        <f>IF($D476&lt;=0,"",IF($J476&lt;=0.005,"Volltilgung erreicht",IF($A476=Übersicht!$Q$13,"Ende der Zinsbindung",IF($H476&gt;0,"Sondertilgung",""))))</f>
        <v/>
      </c>
      <c r="L476" s="23">
        <f>IF($N475&lt;=0,0,ROUND($N475*Übersicht!$Q$7,2))</f>
        <v>0</v>
      </c>
      <c r="M476" s="23">
        <f>IF($N475&lt;=0,0,MIN($N475,IF(Übersicht!$C$13="Annuitätendarlehen",MAX(0,Übersicht!$Q$9-$L476),IF(Übersicht!$C$13="Ratendarlehen",Übersicht!$Q$10,IF($A476&gt;=Übersicht!$Q$11,$N475,0)))))</f>
        <v>0</v>
      </c>
      <c r="N476" s="23">
        <f t="shared" si="47"/>
        <v>0</v>
      </c>
    </row>
    <row r="477" spans="1:14" ht="15" customHeight="1" x14ac:dyDescent="0.25">
      <c r="A477" s="10">
        <v>470</v>
      </c>
      <c r="B477" s="24" t="str">
        <f>IF($D477&lt;=0,"",EDATE(Übersicht!$C$18,($A477-1)*12/Übersicht!$Q$6))</f>
        <v/>
      </c>
      <c r="C477" s="10" t="str">
        <f t="shared" si="42"/>
        <v/>
      </c>
      <c r="D477" s="25">
        <f t="shared" si="46"/>
        <v>0</v>
      </c>
      <c r="E477" s="12">
        <f t="shared" si="43"/>
        <v>0</v>
      </c>
      <c r="F477" s="12">
        <f>IF($D477&lt;=0,0,ROUND($D477*Übersicht!$Q$7,2))</f>
        <v>0</v>
      </c>
      <c r="G477" s="12">
        <f>IF($D477&lt;=0,0,MIN($D477,IF(Übersicht!$C$13="Annuitätendarlehen",MAX(0,Übersicht!$Q$9-$F477),IF(Übersicht!$C$13="Ratendarlehen",Übersicht!$Q$10,IF($A477&gt;=Übersicht!$Q$11,$D477,0)))))</f>
        <v>0</v>
      </c>
      <c r="H477" s="12">
        <f>IF($D477-$G477&lt;=0,0,IF(MOD($A477,Übersicht!$Q$6)=0,IF($A477/Übersicht!$Q$6&gt;=Übersicht!$C$21,MIN(Übersicht!$C$20,$D477-$G477),0),0))</f>
        <v>0</v>
      </c>
      <c r="I477" s="12">
        <f t="shared" si="44"/>
        <v>0</v>
      </c>
      <c r="J477" s="26">
        <f t="shared" si="45"/>
        <v>0</v>
      </c>
      <c r="K477" s="14" t="str">
        <f>IF($D477&lt;=0,"",IF($J477&lt;=0.005,"Volltilgung erreicht",IF($A477=Übersicht!$Q$13,"Ende der Zinsbindung",IF($H477&gt;0,"Sondertilgung",""))))</f>
        <v/>
      </c>
      <c r="L477" s="23">
        <f>IF($N476&lt;=0,0,ROUND($N476*Übersicht!$Q$7,2))</f>
        <v>0</v>
      </c>
      <c r="M477" s="23">
        <f>IF($N476&lt;=0,0,MIN($N476,IF(Übersicht!$C$13="Annuitätendarlehen",MAX(0,Übersicht!$Q$9-$L477),IF(Übersicht!$C$13="Ratendarlehen",Übersicht!$Q$10,IF($A477&gt;=Übersicht!$Q$11,$N476,0)))))</f>
        <v>0</v>
      </c>
      <c r="N477" s="23">
        <f t="shared" si="47"/>
        <v>0</v>
      </c>
    </row>
    <row r="478" spans="1:14" ht="15" customHeight="1" x14ac:dyDescent="0.25">
      <c r="A478" s="5">
        <v>471</v>
      </c>
      <c r="B478" s="20" t="str">
        <f>IF($D478&lt;=0,"",EDATE(Übersicht!$C$18,($A478-1)*12/Übersicht!$Q$6))</f>
        <v/>
      </c>
      <c r="C478" s="5" t="str">
        <f t="shared" si="42"/>
        <v/>
      </c>
      <c r="D478" s="21">
        <f t="shared" si="46"/>
        <v>0</v>
      </c>
      <c r="E478" s="7">
        <f t="shared" si="43"/>
        <v>0</v>
      </c>
      <c r="F478" s="7">
        <f>IF($D478&lt;=0,0,ROUND($D478*Übersicht!$Q$7,2))</f>
        <v>0</v>
      </c>
      <c r="G478" s="7">
        <f>IF($D478&lt;=0,0,MIN($D478,IF(Übersicht!$C$13="Annuitätendarlehen",MAX(0,Übersicht!$Q$9-$F478),IF(Übersicht!$C$13="Ratendarlehen",Übersicht!$Q$10,IF($A478&gt;=Übersicht!$Q$11,$D478,0)))))</f>
        <v>0</v>
      </c>
      <c r="H478" s="7">
        <f>IF($D478-$G478&lt;=0,0,IF(MOD($A478,Übersicht!$Q$6)=0,IF($A478/Übersicht!$Q$6&gt;=Übersicht!$C$21,MIN(Übersicht!$C$20,$D478-$G478),0),0))</f>
        <v>0</v>
      </c>
      <c r="I478" s="7">
        <f t="shared" si="44"/>
        <v>0</v>
      </c>
      <c r="J478" s="22">
        <f t="shared" si="45"/>
        <v>0</v>
      </c>
      <c r="K478" s="9" t="str">
        <f>IF($D478&lt;=0,"",IF($J478&lt;=0.005,"Volltilgung erreicht",IF($A478=Übersicht!$Q$13,"Ende der Zinsbindung",IF($H478&gt;0,"Sondertilgung",""))))</f>
        <v/>
      </c>
      <c r="L478" s="23">
        <f>IF($N477&lt;=0,0,ROUND($N477*Übersicht!$Q$7,2))</f>
        <v>0</v>
      </c>
      <c r="M478" s="23">
        <f>IF($N477&lt;=0,0,MIN($N477,IF(Übersicht!$C$13="Annuitätendarlehen",MAX(0,Übersicht!$Q$9-$L478),IF(Übersicht!$C$13="Ratendarlehen",Übersicht!$Q$10,IF($A478&gt;=Übersicht!$Q$11,$N477,0)))))</f>
        <v>0</v>
      </c>
      <c r="N478" s="23">
        <f t="shared" si="47"/>
        <v>0</v>
      </c>
    </row>
    <row r="479" spans="1:14" ht="15" customHeight="1" x14ac:dyDescent="0.25">
      <c r="A479" s="10">
        <v>472</v>
      </c>
      <c r="B479" s="24" t="str">
        <f>IF($D479&lt;=0,"",EDATE(Übersicht!$C$18,($A479-1)*12/Übersicht!$Q$6))</f>
        <v/>
      </c>
      <c r="C479" s="10" t="str">
        <f t="shared" si="42"/>
        <v/>
      </c>
      <c r="D479" s="25">
        <f t="shared" si="46"/>
        <v>0</v>
      </c>
      <c r="E479" s="12">
        <f t="shared" si="43"/>
        <v>0</v>
      </c>
      <c r="F479" s="12">
        <f>IF($D479&lt;=0,0,ROUND($D479*Übersicht!$Q$7,2))</f>
        <v>0</v>
      </c>
      <c r="G479" s="12">
        <f>IF($D479&lt;=0,0,MIN($D479,IF(Übersicht!$C$13="Annuitätendarlehen",MAX(0,Übersicht!$Q$9-$F479),IF(Übersicht!$C$13="Ratendarlehen",Übersicht!$Q$10,IF($A479&gt;=Übersicht!$Q$11,$D479,0)))))</f>
        <v>0</v>
      </c>
      <c r="H479" s="12">
        <f>IF($D479-$G479&lt;=0,0,IF(MOD($A479,Übersicht!$Q$6)=0,IF($A479/Übersicht!$Q$6&gt;=Übersicht!$C$21,MIN(Übersicht!$C$20,$D479-$G479),0),0))</f>
        <v>0</v>
      </c>
      <c r="I479" s="12">
        <f t="shared" si="44"/>
        <v>0</v>
      </c>
      <c r="J479" s="26">
        <f t="shared" si="45"/>
        <v>0</v>
      </c>
      <c r="K479" s="14" t="str">
        <f>IF($D479&lt;=0,"",IF($J479&lt;=0.005,"Volltilgung erreicht",IF($A479=Übersicht!$Q$13,"Ende der Zinsbindung",IF($H479&gt;0,"Sondertilgung",""))))</f>
        <v/>
      </c>
      <c r="L479" s="23">
        <f>IF($N478&lt;=0,0,ROUND($N478*Übersicht!$Q$7,2))</f>
        <v>0</v>
      </c>
      <c r="M479" s="23">
        <f>IF($N478&lt;=0,0,MIN($N478,IF(Übersicht!$C$13="Annuitätendarlehen",MAX(0,Übersicht!$Q$9-$L479),IF(Übersicht!$C$13="Ratendarlehen",Übersicht!$Q$10,IF($A479&gt;=Übersicht!$Q$11,$N478,0)))))</f>
        <v>0</v>
      </c>
      <c r="N479" s="23">
        <f t="shared" si="47"/>
        <v>0</v>
      </c>
    </row>
    <row r="480" spans="1:14" ht="15" customHeight="1" x14ac:dyDescent="0.25">
      <c r="A480" s="5">
        <v>473</v>
      </c>
      <c r="B480" s="20" t="str">
        <f>IF($D480&lt;=0,"",EDATE(Übersicht!$C$18,($A480-1)*12/Übersicht!$Q$6))</f>
        <v/>
      </c>
      <c r="C480" s="5" t="str">
        <f t="shared" si="42"/>
        <v/>
      </c>
      <c r="D480" s="21">
        <f t="shared" si="46"/>
        <v>0</v>
      </c>
      <c r="E480" s="7">
        <f t="shared" si="43"/>
        <v>0</v>
      </c>
      <c r="F480" s="7">
        <f>IF($D480&lt;=0,0,ROUND($D480*Übersicht!$Q$7,2))</f>
        <v>0</v>
      </c>
      <c r="G480" s="7">
        <f>IF($D480&lt;=0,0,MIN($D480,IF(Übersicht!$C$13="Annuitätendarlehen",MAX(0,Übersicht!$Q$9-$F480),IF(Übersicht!$C$13="Ratendarlehen",Übersicht!$Q$10,IF($A480&gt;=Übersicht!$Q$11,$D480,0)))))</f>
        <v>0</v>
      </c>
      <c r="H480" s="7">
        <f>IF($D480-$G480&lt;=0,0,IF(MOD($A480,Übersicht!$Q$6)=0,IF($A480/Übersicht!$Q$6&gt;=Übersicht!$C$21,MIN(Übersicht!$C$20,$D480-$G480),0),0))</f>
        <v>0</v>
      </c>
      <c r="I480" s="7">
        <f t="shared" si="44"/>
        <v>0</v>
      </c>
      <c r="J480" s="22">
        <f t="shared" si="45"/>
        <v>0</v>
      </c>
      <c r="K480" s="9" t="str">
        <f>IF($D480&lt;=0,"",IF($J480&lt;=0.005,"Volltilgung erreicht",IF($A480=Übersicht!$Q$13,"Ende der Zinsbindung",IF($H480&gt;0,"Sondertilgung",""))))</f>
        <v/>
      </c>
      <c r="L480" s="23">
        <f>IF($N479&lt;=0,0,ROUND($N479*Übersicht!$Q$7,2))</f>
        <v>0</v>
      </c>
      <c r="M480" s="23">
        <f>IF($N479&lt;=0,0,MIN($N479,IF(Übersicht!$C$13="Annuitätendarlehen",MAX(0,Übersicht!$Q$9-$L480),IF(Übersicht!$C$13="Ratendarlehen",Übersicht!$Q$10,IF($A480&gt;=Übersicht!$Q$11,$N479,0)))))</f>
        <v>0</v>
      </c>
      <c r="N480" s="23">
        <f t="shared" si="47"/>
        <v>0</v>
      </c>
    </row>
    <row r="481" spans="1:14" ht="15" customHeight="1" x14ac:dyDescent="0.25">
      <c r="A481" s="10">
        <v>474</v>
      </c>
      <c r="B481" s="24" t="str">
        <f>IF($D481&lt;=0,"",EDATE(Übersicht!$C$18,($A481-1)*12/Übersicht!$Q$6))</f>
        <v/>
      </c>
      <c r="C481" s="10" t="str">
        <f t="shared" si="42"/>
        <v/>
      </c>
      <c r="D481" s="25">
        <f t="shared" si="46"/>
        <v>0</v>
      </c>
      <c r="E481" s="12">
        <f t="shared" si="43"/>
        <v>0</v>
      </c>
      <c r="F481" s="12">
        <f>IF($D481&lt;=0,0,ROUND($D481*Übersicht!$Q$7,2))</f>
        <v>0</v>
      </c>
      <c r="G481" s="12">
        <f>IF($D481&lt;=0,0,MIN($D481,IF(Übersicht!$C$13="Annuitätendarlehen",MAX(0,Übersicht!$Q$9-$F481),IF(Übersicht!$C$13="Ratendarlehen",Übersicht!$Q$10,IF($A481&gt;=Übersicht!$Q$11,$D481,0)))))</f>
        <v>0</v>
      </c>
      <c r="H481" s="12">
        <f>IF($D481-$G481&lt;=0,0,IF(MOD($A481,Übersicht!$Q$6)=0,IF($A481/Übersicht!$Q$6&gt;=Übersicht!$C$21,MIN(Übersicht!$C$20,$D481-$G481),0),0))</f>
        <v>0</v>
      </c>
      <c r="I481" s="12">
        <f t="shared" si="44"/>
        <v>0</v>
      </c>
      <c r="J481" s="26">
        <f t="shared" si="45"/>
        <v>0</v>
      </c>
      <c r="K481" s="14" t="str">
        <f>IF($D481&lt;=0,"",IF($J481&lt;=0.005,"Volltilgung erreicht",IF($A481=Übersicht!$Q$13,"Ende der Zinsbindung",IF($H481&gt;0,"Sondertilgung",""))))</f>
        <v/>
      </c>
      <c r="L481" s="23">
        <f>IF($N480&lt;=0,0,ROUND($N480*Übersicht!$Q$7,2))</f>
        <v>0</v>
      </c>
      <c r="M481" s="23">
        <f>IF($N480&lt;=0,0,MIN($N480,IF(Übersicht!$C$13="Annuitätendarlehen",MAX(0,Übersicht!$Q$9-$L481),IF(Übersicht!$C$13="Ratendarlehen",Übersicht!$Q$10,IF($A481&gt;=Übersicht!$Q$11,$N480,0)))))</f>
        <v>0</v>
      </c>
      <c r="N481" s="23">
        <f t="shared" si="47"/>
        <v>0</v>
      </c>
    </row>
    <row r="482" spans="1:14" ht="15" customHeight="1" x14ac:dyDescent="0.25">
      <c r="A482" s="5">
        <v>475</v>
      </c>
      <c r="B482" s="20" t="str">
        <f>IF($D482&lt;=0,"",EDATE(Übersicht!$C$18,($A482-1)*12/Übersicht!$Q$6))</f>
        <v/>
      </c>
      <c r="C482" s="5" t="str">
        <f t="shared" si="42"/>
        <v/>
      </c>
      <c r="D482" s="21">
        <f t="shared" si="46"/>
        <v>0</v>
      </c>
      <c r="E482" s="7">
        <f t="shared" si="43"/>
        <v>0</v>
      </c>
      <c r="F482" s="7">
        <f>IF($D482&lt;=0,0,ROUND($D482*Übersicht!$Q$7,2))</f>
        <v>0</v>
      </c>
      <c r="G482" s="7">
        <f>IF($D482&lt;=0,0,MIN($D482,IF(Übersicht!$C$13="Annuitätendarlehen",MAX(0,Übersicht!$Q$9-$F482),IF(Übersicht!$C$13="Ratendarlehen",Übersicht!$Q$10,IF($A482&gt;=Übersicht!$Q$11,$D482,0)))))</f>
        <v>0</v>
      </c>
      <c r="H482" s="7">
        <f>IF($D482-$G482&lt;=0,0,IF(MOD($A482,Übersicht!$Q$6)=0,IF($A482/Übersicht!$Q$6&gt;=Übersicht!$C$21,MIN(Übersicht!$C$20,$D482-$G482),0),0))</f>
        <v>0</v>
      </c>
      <c r="I482" s="7">
        <f t="shared" si="44"/>
        <v>0</v>
      </c>
      <c r="J482" s="22">
        <f t="shared" si="45"/>
        <v>0</v>
      </c>
      <c r="K482" s="9" t="str">
        <f>IF($D482&lt;=0,"",IF($J482&lt;=0.005,"Volltilgung erreicht",IF($A482=Übersicht!$Q$13,"Ende der Zinsbindung",IF($H482&gt;0,"Sondertilgung",""))))</f>
        <v/>
      </c>
      <c r="L482" s="23">
        <f>IF($N481&lt;=0,0,ROUND($N481*Übersicht!$Q$7,2))</f>
        <v>0</v>
      </c>
      <c r="M482" s="23">
        <f>IF($N481&lt;=0,0,MIN($N481,IF(Übersicht!$C$13="Annuitätendarlehen",MAX(0,Übersicht!$Q$9-$L482),IF(Übersicht!$C$13="Ratendarlehen",Übersicht!$Q$10,IF($A482&gt;=Übersicht!$Q$11,$N481,0)))))</f>
        <v>0</v>
      </c>
      <c r="N482" s="23">
        <f t="shared" si="47"/>
        <v>0</v>
      </c>
    </row>
    <row r="483" spans="1:14" ht="15" customHeight="1" x14ac:dyDescent="0.25">
      <c r="A483" s="10">
        <v>476</v>
      </c>
      <c r="B483" s="24" t="str">
        <f>IF($D483&lt;=0,"",EDATE(Übersicht!$C$18,($A483-1)*12/Übersicht!$Q$6))</f>
        <v/>
      </c>
      <c r="C483" s="10" t="str">
        <f t="shared" si="42"/>
        <v/>
      </c>
      <c r="D483" s="25">
        <f t="shared" si="46"/>
        <v>0</v>
      </c>
      <c r="E483" s="12">
        <f t="shared" si="43"/>
        <v>0</v>
      </c>
      <c r="F483" s="12">
        <f>IF($D483&lt;=0,0,ROUND($D483*Übersicht!$Q$7,2))</f>
        <v>0</v>
      </c>
      <c r="G483" s="12">
        <f>IF($D483&lt;=0,0,MIN($D483,IF(Übersicht!$C$13="Annuitätendarlehen",MAX(0,Übersicht!$Q$9-$F483),IF(Übersicht!$C$13="Ratendarlehen",Übersicht!$Q$10,IF($A483&gt;=Übersicht!$Q$11,$D483,0)))))</f>
        <v>0</v>
      </c>
      <c r="H483" s="12">
        <f>IF($D483-$G483&lt;=0,0,IF(MOD($A483,Übersicht!$Q$6)=0,IF($A483/Übersicht!$Q$6&gt;=Übersicht!$C$21,MIN(Übersicht!$C$20,$D483-$G483),0),0))</f>
        <v>0</v>
      </c>
      <c r="I483" s="12">
        <f t="shared" si="44"/>
        <v>0</v>
      </c>
      <c r="J483" s="26">
        <f t="shared" si="45"/>
        <v>0</v>
      </c>
      <c r="K483" s="14" t="str">
        <f>IF($D483&lt;=0,"",IF($J483&lt;=0.005,"Volltilgung erreicht",IF($A483=Übersicht!$Q$13,"Ende der Zinsbindung",IF($H483&gt;0,"Sondertilgung",""))))</f>
        <v/>
      </c>
      <c r="L483" s="23">
        <f>IF($N482&lt;=0,0,ROUND($N482*Übersicht!$Q$7,2))</f>
        <v>0</v>
      </c>
      <c r="M483" s="23">
        <f>IF($N482&lt;=0,0,MIN($N482,IF(Übersicht!$C$13="Annuitätendarlehen",MAX(0,Übersicht!$Q$9-$L483),IF(Übersicht!$C$13="Ratendarlehen",Übersicht!$Q$10,IF($A483&gt;=Übersicht!$Q$11,$N482,0)))))</f>
        <v>0</v>
      </c>
      <c r="N483" s="23">
        <f t="shared" si="47"/>
        <v>0</v>
      </c>
    </row>
    <row r="484" spans="1:14" ht="15" customHeight="1" x14ac:dyDescent="0.25">
      <c r="A484" s="5">
        <v>477</v>
      </c>
      <c r="B484" s="20" t="str">
        <f>IF($D484&lt;=0,"",EDATE(Übersicht!$C$18,($A484-1)*12/Übersicht!$Q$6))</f>
        <v/>
      </c>
      <c r="C484" s="5" t="str">
        <f t="shared" si="42"/>
        <v/>
      </c>
      <c r="D484" s="21">
        <f t="shared" si="46"/>
        <v>0</v>
      </c>
      <c r="E484" s="7">
        <f t="shared" si="43"/>
        <v>0</v>
      </c>
      <c r="F484" s="7">
        <f>IF($D484&lt;=0,0,ROUND($D484*Übersicht!$Q$7,2))</f>
        <v>0</v>
      </c>
      <c r="G484" s="7">
        <f>IF($D484&lt;=0,0,MIN($D484,IF(Übersicht!$C$13="Annuitätendarlehen",MAX(0,Übersicht!$Q$9-$F484),IF(Übersicht!$C$13="Ratendarlehen",Übersicht!$Q$10,IF($A484&gt;=Übersicht!$Q$11,$D484,0)))))</f>
        <v>0</v>
      </c>
      <c r="H484" s="7">
        <f>IF($D484-$G484&lt;=0,0,IF(MOD($A484,Übersicht!$Q$6)=0,IF($A484/Übersicht!$Q$6&gt;=Übersicht!$C$21,MIN(Übersicht!$C$20,$D484-$G484),0),0))</f>
        <v>0</v>
      </c>
      <c r="I484" s="7">
        <f t="shared" si="44"/>
        <v>0</v>
      </c>
      <c r="J484" s="22">
        <f t="shared" si="45"/>
        <v>0</v>
      </c>
      <c r="K484" s="9" t="str">
        <f>IF($D484&lt;=0,"",IF($J484&lt;=0.005,"Volltilgung erreicht",IF($A484=Übersicht!$Q$13,"Ende der Zinsbindung",IF($H484&gt;0,"Sondertilgung",""))))</f>
        <v/>
      </c>
      <c r="L484" s="23">
        <f>IF($N483&lt;=0,0,ROUND($N483*Übersicht!$Q$7,2))</f>
        <v>0</v>
      </c>
      <c r="M484" s="23">
        <f>IF($N483&lt;=0,0,MIN($N483,IF(Übersicht!$C$13="Annuitätendarlehen",MAX(0,Übersicht!$Q$9-$L484),IF(Übersicht!$C$13="Ratendarlehen",Übersicht!$Q$10,IF($A484&gt;=Übersicht!$Q$11,$N483,0)))))</f>
        <v>0</v>
      </c>
      <c r="N484" s="23">
        <f t="shared" si="47"/>
        <v>0</v>
      </c>
    </row>
    <row r="485" spans="1:14" ht="15" customHeight="1" x14ac:dyDescent="0.25">
      <c r="A485" s="10">
        <v>478</v>
      </c>
      <c r="B485" s="24" t="str">
        <f>IF($D485&lt;=0,"",EDATE(Übersicht!$C$18,($A485-1)*12/Übersicht!$Q$6))</f>
        <v/>
      </c>
      <c r="C485" s="10" t="str">
        <f t="shared" si="42"/>
        <v/>
      </c>
      <c r="D485" s="25">
        <f t="shared" si="46"/>
        <v>0</v>
      </c>
      <c r="E485" s="12">
        <f t="shared" si="43"/>
        <v>0</v>
      </c>
      <c r="F485" s="12">
        <f>IF($D485&lt;=0,0,ROUND($D485*Übersicht!$Q$7,2))</f>
        <v>0</v>
      </c>
      <c r="G485" s="12">
        <f>IF($D485&lt;=0,0,MIN($D485,IF(Übersicht!$C$13="Annuitätendarlehen",MAX(0,Übersicht!$Q$9-$F485),IF(Übersicht!$C$13="Ratendarlehen",Übersicht!$Q$10,IF($A485&gt;=Übersicht!$Q$11,$D485,0)))))</f>
        <v>0</v>
      </c>
      <c r="H485" s="12">
        <f>IF($D485-$G485&lt;=0,0,IF(MOD($A485,Übersicht!$Q$6)=0,IF($A485/Übersicht!$Q$6&gt;=Übersicht!$C$21,MIN(Übersicht!$C$20,$D485-$G485),0),0))</f>
        <v>0</v>
      </c>
      <c r="I485" s="12">
        <f t="shared" si="44"/>
        <v>0</v>
      </c>
      <c r="J485" s="26">
        <f t="shared" si="45"/>
        <v>0</v>
      </c>
      <c r="K485" s="14" t="str">
        <f>IF($D485&lt;=0,"",IF($J485&lt;=0.005,"Volltilgung erreicht",IF($A485=Übersicht!$Q$13,"Ende der Zinsbindung",IF($H485&gt;0,"Sondertilgung",""))))</f>
        <v/>
      </c>
      <c r="L485" s="23">
        <f>IF($N484&lt;=0,0,ROUND($N484*Übersicht!$Q$7,2))</f>
        <v>0</v>
      </c>
      <c r="M485" s="23">
        <f>IF($N484&lt;=0,0,MIN($N484,IF(Übersicht!$C$13="Annuitätendarlehen",MAX(0,Übersicht!$Q$9-$L485),IF(Übersicht!$C$13="Ratendarlehen",Übersicht!$Q$10,IF($A485&gt;=Übersicht!$Q$11,$N484,0)))))</f>
        <v>0</v>
      </c>
      <c r="N485" s="23">
        <f t="shared" si="47"/>
        <v>0</v>
      </c>
    </row>
    <row r="486" spans="1:14" ht="15" customHeight="1" x14ac:dyDescent="0.25">
      <c r="A486" s="5">
        <v>479</v>
      </c>
      <c r="B486" s="20" t="str">
        <f>IF($D486&lt;=0,"",EDATE(Übersicht!$C$18,($A486-1)*12/Übersicht!$Q$6))</f>
        <v/>
      </c>
      <c r="C486" s="5" t="str">
        <f t="shared" si="42"/>
        <v/>
      </c>
      <c r="D486" s="21">
        <f t="shared" si="46"/>
        <v>0</v>
      </c>
      <c r="E486" s="7">
        <f t="shared" si="43"/>
        <v>0</v>
      </c>
      <c r="F486" s="7">
        <f>IF($D486&lt;=0,0,ROUND($D486*Übersicht!$Q$7,2))</f>
        <v>0</v>
      </c>
      <c r="G486" s="7">
        <f>IF($D486&lt;=0,0,MIN($D486,IF(Übersicht!$C$13="Annuitätendarlehen",MAX(0,Übersicht!$Q$9-$F486),IF(Übersicht!$C$13="Ratendarlehen",Übersicht!$Q$10,IF($A486&gt;=Übersicht!$Q$11,$D486,0)))))</f>
        <v>0</v>
      </c>
      <c r="H486" s="7">
        <f>IF($D486-$G486&lt;=0,0,IF(MOD($A486,Übersicht!$Q$6)=0,IF($A486/Übersicht!$Q$6&gt;=Übersicht!$C$21,MIN(Übersicht!$C$20,$D486-$G486),0),0))</f>
        <v>0</v>
      </c>
      <c r="I486" s="7">
        <f t="shared" si="44"/>
        <v>0</v>
      </c>
      <c r="J486" s="22">
        <f t="shared" si="45"/>
        <v>0</v>
      </c>
      <c r="K486" s="9" t="str">
        <f>IF($D486&lt;=0,"",IF($J486&lt;=0.005,"Volltilgung erreicht",IF($A486=Übersicht!$Q$13,"Ende der Zinsbindung",IF($H486&gt;0,"Sondertilgung",""))))</f>
        <v/>
      </c>
      <c r="L486" s="23">
        <f>IF($N485&lt;=0,0,ROUND($N485*Übersicht!$Q$7,2))</f>
        <v>0</v>
      </c>
      <c r="M486" s="23">
        <f>IF($N485&lt;=0,0,MIN($N485,IF(Übersicht!$C$13="Annuitätendarlehen",MAX(0,Übersicht!$Q$9-$L486),IF(Übersicht!$C$13="Ratendarlehen",Übersicht!$Q$10,IF($A486&gt;=Übersicht!$Q$11,$N485,0)))))</f>
        <v>0</v>
      </c>
      <c r="N486" s="23">
        <f t="shared" si="47"/>
        <v>0</v>
      </c>
    </row>
    <row r="487" spans="1:14" ht="15" customHeight="1" x14ac:dyDescent="0.25">
      <c r="A487" s="10">
        <v>480</v>
      </c>
      <c r="B487" s="24" t="str">
        <f>IF($D487&lt;=0,"",EDATE(Übersicht!$C$18,($A487-1)*12/Übersicht!$Q$6))</f>
        <v/>
      </c>
      <c r="C487" s="10" t="str">
        <f t="shared" si="42"/>
        <v/>
      </c>
      <c r="D487" s="25">
        <f t="shared" si="46"/>
        <v>0</v>
      </c>
      <c r="E487" s="12">
        <f t="shared" si="43"/>
        <v>0</v>
      </c>
      <c r="F487" s="12">
        <f>IF($D487&lt;=0,0,ROUND($D487*Übersicht!$Q$7,2))</f>
        <v>0</v>
      </c>
      <c r="G487" s="12">
        <f>IF($D487&lt;=0,0,MIN($D487,IF(Übersicht!$C$13="Annuitätendarlehen",MAX(0,Übersicht!$Q$9-$F487),IF(Übersicht!$C$13="Ratendarlehen",Übersicht!$Q$10,IF($A487&gt;=Übersicht!$Q$11,$D487,0)))))</f>
        <v>0</v>
      </c>
      <c r="H487" s="12">
        <f>IF($D487-$G487&lt;=0,0,IF(MOD($A487,Übersicht!$Q$6)=0,IF($A487/Übersicht!$Q$6&gt;=Übersicht!$C$21,MIN(Übersicht!$C$20,$D487-$G487),0),0))</f>
        <v>0</v>
      </c>
      <c r="I487" s="12">
        <f t="shared" si="44"/>
        <v>0</v>
      </c>
      <c r="J487" s="26">
        <f t="shared" si="45"/>
        <v>0</v>
      </c>
      <c r="K487" s="14" t="str">
        <f>IF($D487&lt;=0,"",IF($J487&lt;=0.005,"Volltilgung erreicht",IF($A487=Übersicht!$Q$13,"Ende der Zinsbindung",IF($H487&gt;0,"Sondertilgung",""))))</f>
        <v/>
      </c>
      <c r="L487" s="23">
        <f>IF($N486&lt;=0,0,ROUND($N486*Übersicht!$Q$7,2))</f>
        <v>0</v>
      </c>
      <c r="M487" s="23">
        <f>IF($N486&lt;=0,0,MIN($N486,IF(Übersicht!$C$13="Annuitätendarlehen",MAX(0,Übersicht!$Q$9-$L487),IF(Übersicht!$C$13="Ratendarlehen",Übersicht!$Q$10,IF($A487&gt;=Übersicht!$Q$11,$N486,0)))))</f>
        <v>0</v>
      </c>
      <c r="N487" s="23">
        <f t="shared" si="47"/>
        <v>0</v>
      </c>
    </row>
  </sheetData>
  <autoFilter ref="A7:K487" xr:uid="{00000000-0009-0000-0000-000001000000}"/>
  <mergeCells count="12">
    <mergeCell ref="A1:K1"/>
    <mergeCell ref="A2:K2"/>
    <mergeCell ref="A4:B4"/>
    <mergeCell ref="C4:D4"/>
    <mergeCell ref="E4:F4"/>
    <mergeCell ref="G4:H4"/>
    <mergeCell ref="I4:J4"/>
    <mergeCell ref="A5:B5"/>
    <mergeCell ref="C5:D5"/>
    <mergeCell ref="E5:F5"/>
    <mergeCell ref="G5:H5"/>
    <mergeCell ref="I5:J5"/>
  </mergeCells>
  <conditionalFormatting sqref="A8:K487">
    <cfRule type="expression" dxfId="2" priority="2">
      <formula>$K8="Ende der Zinsbindung"</formula>
    </cfRule>
    <cfRule type="expression" dxfId="1" priority="3">
      <formula>$K8="Volltilgung erreicht"</formula>
    </cfRule>
  </conditionalFormatting>
  <conditionalFormatting sqref="H8:H487">
    <cfRule type="expression" dxfId="0" priority="4">
      <formula>$H8&gt;0</formula>
    </cfRule>
  </conditionalFormatting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Übersicht</vt:lpstr>
      <vt:lpstr>Zahlungsplan</vt:lpstr>
      <vt:lpstr>Zahlungsplan!Drucktitel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2026-08-12T05:50:12Z</dcterms:created>
  <dcterms:modified xsi:type="dcterms:W3CDTF">2026-08-12T06:17:29Z</dcterms:modified>
  <dc:language>en-US</dc:language>
</cp:coreProperties>
</file>