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C4C1B96-206D-4053-AF18-872D02F39A33}" xr6:coauthVersionLast="47" xr6:coauthVersionMax="47" xr10:uidLastSave="{00000000-0000-0000-0000-000000000000}"/>
  <bookViews>
    <workbookView xWindow="1725" yWindow="1725" windowWidth="25500" windowHeight="13500" tabRatio="500" xr2:uid="{00000000-000D-0000-FFFF-FFFF00000000}"/>
  </bookViews>
  <sheets>
    <sheet name="Übersicht" sheetId="1" r:id="rId1"/>
    <sheet name="Tilgungsplan" sheetId="2" r:id="rId2"/>
    <sheet name="Szenarien" sheetId="3" r:id="rId3"/>
  </sheets>
  <definedNames>
    <definedName name="_xlnm._FilterDatabase" localSheetId="1" hidden="1">Tilgungsplan!$A$7:$N$487</definedName>
    <definedName name="_xlnm.Print_Titles" localSheetId="1">Tilgungsplan!$7:$7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3" l="1"/>
  <c r="G8" i="3"/>
  <c r="D8" i="2"/>
  <c r="B36" i="1"/>
  <c r="B37" i="1" s="1"/>
  <c r="C31" i="1"/>
  <c r="H30" i="1"/>
  <c r="C29" i="1"/>
  <c r="H27" i="1"/>
  <c r="C27" i="1"/>
  <c r="H26" i="1"/>
  <c r="C25" i="1"/>
  <c r="C24" i="1"/>
  <c r="C19" i="3" l="1"/>
  <c r="H19" i="3" s="1"/>
  <c r="C22" i="3"/>
  <c r="H22" i="3" s="1"/>
  <c r="C25" i="3"/>
  <c r="H25" i="3" s="1"/>
  <c r="C21" i="3"/>
  <c r="H21" i="3" s="1"/>
  <c r="C24" i="3"/>
  <c r="H24" i="3" s="1"/>
  <c r="C20" i="3"/>
  <c r="H20" i="3" s="1"/>
  <c r="C23" i="3"/>
  <c r="H23" i="3" s="1"/>
  <c r="C30" i="1"/>
  <c r="K8" i="1"/>
  <c r="B8" i="2"/>
  <c r="C28" i="1"/>
  <c r="C26" i="1"/>
  <c r="B38" i="1"/>
  <c r="F8" i="2"/>
  <c r="K8" i="2" l="1"/>
  <c r="C32" i="3"/>
  <c r="AD8" i="2"/>
  <c r="AE8" i="2" s="1"/>
  <c r="H8" i="1"/>
  <c r="AA8" i="2"/>
  <c r="AB8" i="2" s="1"/>
  <c r="X8" i="2"/>
  <c r="Y8" i="2" s="1"/>
  <c r="U8" i="2"/>
  <c r="V8" i="2" s="1"/>
  <c r="R8" i="2"/>
  <c r="S8" i="2" s="1"/>
  <c r="D19" i="3"/>
  <c r="D22" i="3"/>
  <c r="D25" i="3"/>
  <c r="G25" i="3" s="1"/>
  <c r="D21" i="3"/>
  <c r="D24" i="3"/>
  <c r="G24" i="3" s="1"/>
  <c r="D20" i="3"/>
  <c r="D23" i="3"/>
  <c r="AC8" i="2"/>
  <c r="Z8" i="2"/>
  <c r="W8" i="2"/>
  <c r="Q8" i="2"/>
  <c r="T8" i="2"/>
  <c r="G8" i="2"/>
  <c r="B39" i="1"/>
  <c r="C8" i="2"/>
  <c r="F21" i="3" l="1"/>
  <c r="E21" i="3"/>
  <c r="Q9" i="2"/>
  <c r="R9" i="2" s="1"/>
  <c r="S9" i="2" s="1"/>
  <c r="F22" i="3"/>
  <c r="E22" i="3"/>
  <c r="Z9" i="2"/>
  <c r="F24" i="3"/>
  <c r="E24" i="3"/>
  <c r="AC9" i="2"/>
  <c r="F25" i="3"/>
  <c r="E25" i="3"/>
  <c r="H8" i="2"/>
  <c r="J8" i="2" s="1"/>
  <c r="L8" i="2"/>
  <c r="G21" i="3"/>
  <c r="T9" i="2"/>
  <c r="U9" i="2" s="1"/>
  <c r="V9" i="2" s="1"/>
  <c r="F23" i="3"/>
  <c r="E23" i="3"/>
  <c r="F19" i="3"/>
  <c r="E19" i="3"/>
  <c r="B40" i="1"/>
  <c r="G22" i="3"/>
  <c r="Y9" i="2"/>
  <c r="X9" i="2"/>
  <c r="W9" i="2"/>
  <c r="G19" i="3"/>
  <c r="G23" i="3"/>
  <c r="E8" i="2"/>
  <c r="F20" i="3"/>
  <c r="E20" i="3"/>
  <c r="G20" i="3"/>
  <c r="U10" i="2" l="1"/>
  <c r="V10" i="2" s="1"/>
  <c r="T10" i="2"/>
  <c r="N8" i="2"/>
  <c r="D9" i="2"/>
  <c r="R10" i="2"/>
  <c r="S10" i="2" s="1"/>
  <c r="Q10" i="2"/>
  <c r="M8" i="2"/>
  <c r="B41" i="1"/>
  <c r="W10" i="2"/>
  <c r="AD9" i="2"/>
  <c r="AE9" i="2" s="1"/>
  <c r="I8" i="2"/>
  <c r="AA9" i="2"/>
  <c r="AB9" i="2" s="1"/>
  <c r="Q11" i="2" l="1"/>
  <c r="R11" i="2" s="1"/>
  <c r="S11" i="2" s="1"/>
  <c r="T11" i="2"/>
  <c r="U11" i="2" s="1"/>
  <c r="V11" i="2" s="1"/>
  <c r="B42" i="1"/>
  <c r="AD10" i="2"/>
  <c r="AE10" i="2" s="1"/>
  <c r="AC10" i="2"/>
  <c r="Z10" i="2"/>
  <c r="F9" i="2"/>
  <c r="G9" i="2" s="1"/>
  <c r="B9" i="2"/>
  <c r="X10" i="2"/>
  <c r="Y10" i="2" s="1"/>
  <c r="H9" i="2" l="1"/>
  <c r="J9" i="2"/>
  <c r="T12" i="2"/>
  <c r="U12" i="2" s="1"/>
  <c r="V12" i="2" s="1"/>
  <c r="AC11" i="2"/>
  <c r="AD11" i="2"/>
  <c r="AE11" i="2" s="1"/>
  <c r="Q12" i="2"/>
  <c r="R12" i="2" s="1"/>
  <c r="S12" i="2" s="1"/>
  <c r="C9" i="2"/>
  <c r="E9" i="2"/>
  <c r="I9" i="2" s="1"/>
  <c r="K9" i="2"/>
  <c r="B43" i="1"/>
  <c r="W11" i="2"/>
  <c r="AA10" i="2"/>
  <c r="AB10" i="2" s="1"/>
  <c r="R13" i="2" l="1"/>
  <c r="S13" i="2" s="1"/>
  <c r="Q13" i="2"/>
  <c r="AD12" i="2"/>
  <c r="AE12" i="2" s="1"/>
  <c r="AC12" i="2"/>
  <c r="T13" i="2"/>
  <c r="U13" i="2" s="1"/>
  <c r="V13" i="2" s="1"/>
  <c r="Z11" i="2"/>
  <c r="AA11" i="2"/>
  <c r="AB11" i="2" s="1"/>
  <c r="X11" i="2"/>
  <c r="Y11" i="2" s="1"/>
  <c r="D10" i="2"/>
  <c r="N9" i="2"/>
  <c r="B44" i="1"/>
  <c r="L9" i="2"/>
  <c r="Z12" i="2" l="1"/>
  <c r="AA12" i="2"/>
  <c r="AB12" i="2" s="1"/>
  <c r="AC13" i="2"/>
  <c r="AD13" i="2" s="1"/>
  <c r="AE13" i="2" s="1"/>
  <c r="T14" i="2"/>
  <c r="U14" i="2" s="1"/>
  <c r="V14" i="2" s="1"/>
  <c r="R14" i="2"/>
  <c r="S14" i="2" s="1"/>
  <c r="Q14" i="2"/>
  <c r="F10" i="2"/>
  <c r="B10" i="2"/>
  <c r="M9" i="2"/>
  <c r="B45" i="1"/>
  <c r="X12" i="2"/>
  <c r="Y12" i="2" s="1"/>
  <c r="W12" i="2"/>
  <c r="Q15" i="2" l="1"/>
  <c r="R15" i="2" s="1"/>
  <c r="S15" i="2" s="1"/>
  <c r="U15" i="2"/>
  <c r="V15" i="2" s="1"/>
  <c r="T15" i="2"/>
  <c r="W13" i="2"/>
  <c r="X13" i="2" s="1"/>
  <c r="Y13" i="2" s="1"/>
  <c r="AD14" i="2"/>
  <c r="AE14" i="2" s="1"/>
  <c r="AC14" i="2"/>
  <c r="Z13" i="2"/>
  <c r="AA13" i="2" s="1"/>
  <c r="AB13" i="2" s="1"/>
  <c r="K10" i="2"/>
  <c r="B46" i="1"/>
  <c r="G10" i="2"/>
  <c r="C10" i="2"/>
  <c r="AC15" i="2" l="1"/>
  <c r="AD15" i="2" s="1"/>
  <c r="AE15" i="2" s="1"/>
  <c r="W14" i="2"/>
  <c r="X14" i="2"/>
  <c r="Y14" i="2" s="1"/>
  <c r="T16" i="2"/>
  <c r="U16" i="2" s="1"/>
  <c r="V16" i="2" s="1"/>
  <c r="AA14" i="2"/>
  <c r="Z14" i="2"/>
  <c r="AB14" i="2"/>
  <c r="R16" i="2"/>
  <c r="S16" i="2" s="1"/>
  <c r="Q16" i="2"/>
  <c r="H10" i="2"/>
  <c r="B47" i="1"/>
  <c r="E10" i="2"/>
  <c r="Q17" i="2" l="1"/>
  <c r="R17" i="2" s="1"/>
  <c r="S17" i="2" s="1"/>
  <c r="W15" i="2"/>
  <c r="X15" i="2" s="1"/>
  <c r="Y15" i="2" s="1"/>
  <c r="U17" i="2"/>
  <c r="V17" i="2" s="1"/>
  <c r="T17" i="2"/>
  <c r="AC16" i="2"/>
  <c r="AD16" i="2" s="1"/>
  <c r="AE16" i="2" s="1"/>
  <c r="L10" i="2"/>
  <c r="B48" i="1"/>
  <c r="Z15" i="2"/>
  <c r="AA15" i="2" s="1"/>
  <c r="AB15" i="2" s="1"/>
  <c r="I10" i="2"/>
  <c r="J10" i="2"/>
  <c r="AC17" i="2" l="1"/>
  <c r="AD17" i="2" s="1"/>
  <c r="AE17" i="2" s="1"/>
  <c r="U18" i="2"/>
  <c r="V18" i="2" s="1"/>
  <c r="T18" i="2"/>
  <c r="X16" i="2"/>
  <c r="Y16" i="2" s="1"/>
  <c r="W16" i="2"/>
  <c r="Z16" i="2"/>
  <c r="AA16" i="2"/>
  <c r="AB16" i="2" s="1"/>
  <c r="Q18" i="2"/>
  <c r="R18" i="2" s="1"/>
  <c r="S18" i="2" s="1"/>
  <c r="B49" i="1"/>
  <c r="M10" i="2"/>
  <c r="D11" i="2"/>
  <c r="N10" i="2"/>
  <c r="W17" i="2" l="1"/>
  <c r="X17" i="2" s="1"/>
  <c r="Y17" i="2" s="1"/>
  <c r="Q19" i="2"/>
  <c r="R19" i="2" s="1"/>
  <c r="S19" i="2" s="1"/>
  <c r="T19" i="2"/>
  <c r="U19" i="2" s="1"/>
  <c r="V19" i="2" s="1"/>
  <c r="Z17" i="2"/>
  <c r="AA17" i="2"/>
  <c r="AB17" i="2" s="1"/>
  <c r="AC18" i="2"/>
  <c r="AD18" i="2" s="1"/>
  <c r="AE18" i="2" s="1"/>
  <c r="B11" i="2"/>
  <c r="F11" i="2"/>
  <c r="B50" i="1"/>
  <c r="AC19" i="2" l="1"/>
  <c r="AD19" i="2" s="1"/>
  <c r="AE19" i="2" s="1"/>
  <c r="T20" i="2"/>
  <c r="U20" i="2" s="1"/>
  <c r="V20" i="2" s="1"/>
  <c r="R20" i="2"/>
  <c r="S20" i="2" s="1"/>
  <c r="Q20" i="2"/>
  <c r="Z18" i="2"/>
  <c r="AA18" i="2" s="1"/>
  <c r="AB18" i="2" s="1"/>
  <c r="W18" i="2"/>
  <c r="X18" i="2" s="1"/>
  <c r="Y18" i="2" s="1"/>
  <c r="B51" i="1"/>
  <c r="C11" i="2"/>
  <c r="K11" i="2"/>
  <c r="G11" i="2"/>
  <c r="Z19" i="2" l="1"/>
  <c r="AA19" i="2"/>
  <c r="AB19" i="2" s="1"/>
  <c r="W19" i="2"/>
  <c r="X19" i="2"/>
  <c r="Y19" i="2" s="1"/>
  <c r="Q21" i="2"/>
  <c r="R21" i="2" s="1"/>
  <c r="S21" i="2" s="1"/>
  <c r="T21" i="2"/>
  <c r="U21" i="2" s="1"/>
  <c r="V21" i="2" s="1"/>
  <c r="AD20" i="2"/>
  <c r="AE20" i="2" s="1"/>
  <c r="AC20" i="2"/>
  <c r="B52" i="1"/>
  <c r="H11" i="2"/>
  <c r="E11" i="2"/>
  <c r="I11" i="2" s="1"/>
  <c r="AC21" i="2" l="1"/>
  <c r="AD21" i="2" s="1"/>
  <c r="AE21" i="2" s="1"/>
  <c r="Q22" i="2"/>
  <c r="R22" i="2" s="1"/>
  <c r="S22" i="2" s="1"/>
  <c r="W20" i="2"/>
  <c r="X20" i="2" s="1"/>
  <c r="Y20" i="2" s="1"/>
  <c r="U22" i="2"/>
  <c r="V22" i="2" s="1"/>
  <c r="T22" i="2"/>
  <c r="AA20" i="2"/>
  <c r="AB20" i="2" s="1"/>
  <c r="Z20" i="2"/>
  <c r="B53" i="1"/>
  <c r="J11" i="2"/>
  <c r="L11" i="2"/>
  <c r="X21" i="2" l="1"/>
  <c r="Y21" i="2" s="1"/>
  <c r="W21" i="2"/>
  <c r="R23" i="2"/>
  <c r="S23" i="2" s="1"/>
  <c r="Q23" i="2"/>
  <c r="Z21" i="2"/>
  <c r="AA21" i="2"/>
  <c r="AB21" i="2" s="1"/>
  <c r="U23" i="2"/>
  <c r="V23" i="2" s="1"/>
  <c r="T23" i="2"/>
  <c r="AD22" i="2"/>
  <c r="AE22" i="2" s="1"/>
  <c r="AC22" i="2"/>
  <c r="M11" i="2"/>
  <c r="D12" i="2"/>
  <c r="N11" i="2"/>
  <c r="B54" i="1"/>
  <c r="AC23" i="2" l="1"/>
  <c r="AD23" i="2" s="1"/>
  <c r="AE23" i="2" s="1"/>
  <c r="Z22" i="2"/>
  <c r="AA22" i="2"/>
  <c r="AB22" i="2" s="1"/>
  <c r="T24" i="2"/>
  <c r="U24" i="2" s="1"/>
  <c r="V24" i="2" s="1"/>
  <c r="Q24" i="2"/>
  <c r="R24" i="2" s="1"/>
  <c r="S24" i="2" s="1"/>
  <c r="W22" i="2"/>
  <c r="Y22" i="2"/>
  <c r="X22" i="2"/>
  <c r="F12" i="2"/>
  <c r="B12" i="2"/>
  <c r="B55" i="1"/>
  <c r="T25" i="2" l="1"/>
  <c r="U25" i="2"/>
  <c r="V25" i="2" s="1"/>
  <c r="Z23" i="2"/>
  <c r="AA23" i="2" s="1"/>
  <c r="AB23" i="2" s="1"/>
  <c r="Q25" i="2"/>
  <c r="R25" i="2" s="1"/>
  <c r="S25" i="2" s="1"/>
  <c r="AC24" i="2"/>
  <c r="AD24" i="2" s="1"/>
  <c r="AE24" i="2" s="1"/>
  <c r="C12" i="2"/>
  <c r="B56" i="1"/>
  <c r="W23" i="2"/>
  <c r="X23" i="2" s="1"/>
  <c r="Y23" i="2" s="1"/>
  <c r="K12" i="2"/>
  <c r="G12" i="2"/>
  <c r="W24" i="2" l="1"/>
  <c r="X24" i="2"/>
  <c r="Y24" i="2" s="1"/>
  <c r="AC25" i="2"/>
  <c r="AD25" i="2" s="1"/>
  <c r="AE25" i="2" s="1"/>
  <c r="AA24" i="2"/>
  <c r="AB24" i="2" s="1"/>
  <c r="Z24" i="2"/>
  <c r="Q26" i="2"/>
  <c r="R26" i="2" s="1"/>
  <c r="S26" i="2" s="1"/>
  <c r="T26" i="2"/>
  <c r="U26" i="2" s="1"/>
  <c r="V26" i="2" s="1"/>
  <c r="B57" i="1"/>
  <c r="E12" i="2"/>
  <c r="H12" i="2"/>
  <c r="J12" i="2"/>
  <c r="T27" i="2" l="1"/>
  <c r="U27" i="2" s="1"/>
  <c r="V27" i="2" s="1"/>
  <c r="Z25" i="2"/>
  <c r="AA25" i="2" s="1"/>
  <c r="AB25" i="2" s="1"/>
  <c r="AC26" i="2"/>
  <c r="AD26" i="2"/>
  <c r="AE26" i="2" s="1"/>
  <c r="Q27" i="2"/>
  <c r="R27" i="2" s="1"/>
  <c r="S27" i="2" s="1"/>
  <c r="W25" i="2"/>
  <c r="X25" i="2" s="1"/>
  <c r="Y25" i="2" s="1"/>
  <c r="B58" i="1"/>
  <c r="I12" i="2"/>
  <c r="D13" i="2"/>
  <c r="N12" i="2"/>
  <c r="L12" i="2"/>
  <c r="Q28" i="2" l="1"/>
  <c r="R28" i="2" s="1"/>
  <c r="S28" i="2" s="1"/>
  <c r="W26" i="2"/>
  <c r="X26" i="2" s="1"/>
  <c r="Y26" i="2" s="1"/>
  <c r="AC27" i="2"/>
  <c r="AD27" i="2" s="1"/>
  <c r="AE27" i="2" s="1"/>
  <c r="Z26" i="2"/>
  <c r="AA26" i="2"/>
  <c r="AB26" i="2" s="1"/>
  <c r="U28" i="2"/>
  <c r="V28" i="2" s="1"/>
  <c r="T28" i="2"/>
  <c r="M12" i="2"/>
  <c r="F13" i="2"/>
  <c r="K13" i="2" s="1"/>
  <c r="B13" i="2"/>
  <c r="C13" i="2" s="1"/>
  <c r="B59" i="1"/>
  <c r="AC28" i="2" l="1"/>
  <c r="AD28" i="2" s="1"/>
  <c r="AE28" i="2" s="1"/>
  <c r="W27" i="2"/>
  <c r="X27" i="2"/>
  <c r="Y27" i="2" s="1"/>
  <c r="T29" i="2"/>
  <c r="U29" i="2" s="1"/>
  <c r="V29" i="2" s="1"/>
  <c r="AB27" i="2"/>
  <c r="Z27" i="2"/>
  <c r="AA27" i="2"/>
  <c r="Q29" i="2"/>
  <c r="R29" i="2" s="1"/>
  <c r="S29" i="2" s="1"/>
  <c r="B60" i="1"/>
  <c r="G13" i="2"/>
  <c r="T30" i="2" l="1"/>
  <c r="U30" i="2" s="1"/>
  <c r="V30" i="2" s="1"/>
  <c r="W28" i="2"/>
  <c r="X28" i="2" s="1"/>
  <c r="Y28" i="2" s="1"/>
  <c r="Q30" i="2"/>
  <c r="R30" i="2" s="1"/>
  <c r="S30" i="2" s="1"/>
  <c r="AC29" i="2"/>
  <c r="AD29" i="2" s="1"/>
  <c r="AE29" i="2" s="1"/>
  <c r="H13" i="2"/>
  <c r="L13" i="2"/>
  <c r="J13" i="2"/>
  <c r="E13" i="2"/>
  <c r="I13" i="2" s="1"/>
  <c r="Z28" i="2"/>
  <c r="AA28" i="2" s="1"/>
  <c r="AB28" i="2" s="1"/>
  <c r="B61" i="1"/>
  <c r="Q31" i="2" l="1"/>
  <c r="R31" i="2"/>
  <c r="S31" i="2" s="1"/>
  <c r="Z29" i="2"/>
  <c r="AA29" i="2"/>
  <c r="AB29" i="2" s="1"/>
  <c r="W29" i="2"/>
  <c r="X29" i="2"/>
  <c r="Y29" i="2" s="1"/>
  <c r="AD30" i="2"/>
  <c r="AE30" i="2" s="1"/>
  <c r="AC30" i="2"/>
  <c r="T31" i="2"/>
  <c r="U31" i="2"/>
  <c r="V31" i="2" s="1"/>
  <c r="B62" i="1"/>
  <c r="M13" i="2"/>
  <c r="D14" i="2"/>
  <c r="N13" i="2"/>
  <c r="AD31" i="2" l="1"/>
  <c r="AE31" i="2" s="1"/>
  <c r="AC31" i="2"/>
  <c r="Z30" i="2"/>
  <c r="AA30" i="2" s="1"/>
  <c r="AB30" i="2" s="1"/>
  <c r="U32" i="2"/>
  <c r="V32" i="2" s="1"/>
  <c r="T32" i="2"/>
  <c r="W30" i="2"/>
  <c r="X30" i="2" s="1"/>
  <c r="Y30" i="2" s="1"/>
  <c r="R32" i="2"/>
  <c r="S32" i="2" s="1"/>
  <c r="Q32" i="2"/>
  <c r="G14" i="2"/>
  <c r="F14" i="2"/>
  <c r="K14" i="2" s="1"/>
  <c r="B14" i="2"/>
  <c r="C14" i="2" s="1"/>
  <c r="B63" i="1"/>
  <c r="W31" i="2" l="1"/>
  <c r="X31" i="2"/>
  <c r="Y31" i="2" s="1"/>
  <c r="T33" i="2"/>
  <c r="U33" i="2" s="1"/>
  <c r="V33" i="2" s="1"/>
  <c r="Q33" i="2"/>
  <c r="R33" i="2"/>
  <c r="S33" i="2" s="1"/>
  <c r="Z31" i="2"/>
  <c r="AA31" i="2" s="1"/>
  <c r="AB31" i="2" s="1"/>
  <c r="AC32" i="2"/>
  <c r="AD32" i="2"/>
  <c r="AE32" i="2" s="1"/>
  <c r="B64" i="1"/>
  <c r="H14" i="2"/>
  <c r="L14" i="2" s="1"/>
  <c r="J14" i="2"/>
  <c r="E14" i="2"/>
  <c r="I14" i="2" s="1"/>
  <c r="M14" i="2" l="1"/>
  <c r="Z32" i="2"/>
  <c r="AA32" i="2" s="1"/>
  <c r="AB32" i="2" s="1"/>
  <c r="AD33" i="2"/>
  <c r="AE33" i="2" s="1"/>
  <c r="AC33" i="2"/>
  <c r="R34" i="2"/>
  <c r="S34" i="2" s="1"/>
  <c r="Q34" i="2"/>
  <c r="T34" i="2"/>
  <c r="U34" i="2" s="1"/>
  <c r="V34" i="2" s="1"/>
  <c r="X32" i="2"/>
  <c r="Y32" i="2" s="1"/>
  <c r="W32" i="2"/>
  <c r="B65" i="1"/>
  <c r="D15" i="2"/>
  <c r="N14" i="2"/>
  <c r="T35" i="2" l="1"/>
  <c r="U35" i="2" s="1"/>
  <c r="V35" i="2" s="1"/>
  <c r="X33" i="2"/>
  <c r="Y33" i="2" s="1"/>
  <c r="W33" i="2"/>
  <c r="AC34" i="2"/>
  <c r="AD34" i="2"/>
  <c r="AE34" i="2" s="1"/>
  <c r="Q35" i="2"/>
  <c r="R35" i="2" s="1"/>
  <c r="S35" i="2" s="1"/>
  <c r="Z33" i="2"/>
  <c r="AA33" i="2" s="1"/>
  <c r="AB33" i="2" s="1"/>
  <c r="B66" i="1"/>
  <c r="F15" i="2"/>
  <c r="K15" i="2" s="1"/>
  <c r="B15" i="2"/>
  <c r="C15" i="2" s="1"/>
  <c r="Q36" i="2" l="1"/>
  <c r="R36" i="2"/>
  <c r="S36" i="2" s="1"/>
  <c r="X34" i="2"/>
  <c r="Y34" i="2" s="1"/>
  <c r="W34" i="2"/>
  <c r="Z34" i="2"/>
  <c r="AA34" i="2" s="1"/>
  <c r="AB34" i="2" s="1"/>
  <c r="AC35" i="2"/>
  <c r="AD35" i="2" s="1"/>
  <c r="AE35" i="2" s="1"/>
  <c r="T36" i="2"/>
  <c r="U36" i="2" s="1"/>
  <c r="V36" i="2" s="1"/>
  <c r="G15" i="2"/>
  <c r="E15" i="2" s="1"/>
  <c r="B67" i="1"/>
  <c r="Z35" i="2" l="1"/>
  <c r="AA35" i="2" s="1"/>
  <c r="AB35" i="2" s="1"/>
  <c r="T37" i="2"/>
  <c r="U37" i="2" s="1"/>
  <c r="V37" i="2" s="1"/>
  <c r="X35" i="2"/>
  <c r="Y35" i="2" s="1"/>
  <c r="W35" i="2"/>
  <c r="R37" i="2"/>
  <c r="S37" i="2" s="1"/>
  <c r="Q37" i="2"/>
  <c r="AC36" i="2"/>
  <c r="AD36" i="2"/>
  <c r="AE36" i="2" s="1"/>
  <c r="L15" i="2"/>
  <c r="H15" i="2"/>
  <c r="J15" i="2" s="1"/>
  <c r="B68" i="1"/>
  <c r="D16" i="2" l="1"/>
  <c r="N15" i="2"/>
  <c r="AC37" i="2"/>
  <c r="AD37" i="2"/>
  <c r="AE37" i="2" s="1"/>
  <c r="U38" i="2"/>
  <c r="V38" i="2" s="1"/>
  <c r="T38" i="2"/>
  <c r="Q38" i="2"/>
  <c r="R38" i="2"/>
  <c r="S38" i="2" s="1"/>
  <c r="W36" i="2"/>
  <c r="X36" i="2"/>
  <c r="Y36" i="2" s="1"/>
  <c r="Z36" i="2"/>
  <c r="AA36" i="2" s="1"/>
  <c r="AB36" i="2" s="1"/>
  <c r="M15" i="2"/>
  <c r="I15" i="2"/>
  <c r="B69" i="1"/>
  <c r="Z37" i="2" l="1"/>
  <c r="AA37" i="2" s="1"/>
  <c r="AB37" i="2" s="1"/>
  <c r="AC38" i="2"/>
  <c r="AD38" i="2" s="1"/>
  <c r="AE38" i="2" s="1"/>
  <c r="Q39" i="2"/>
  <c r="R39" i="2" s="1"/>
  <c r="S39" i="2" s="1"/>
  <c r="X37" i="2"/>
  <c r="Y37" i="2" s="1"/>
  <c r="W37" i="2"/>
  <c r="T39" i="2"/>
  <c r="U39" i="2" s="1"/>
  <c r="V39" i="2" s="1"/>
  <c r="B70" i="1"/>
  <c r="B16" i="2"/>
  <c r="C16" i="2" s="1"/>
  <c r="F16" i="2"/>
  <c r="K16" i="2" s="1"/>
  <c r="W38" i="2" l="1"/>
  <c r="X38" i="2" s="1"/>
  <c r="Y38" i="2" s="1"/>
  <c r="Q40" i="2"/>
  <c r="R40" i="2" s="1"/>
  <c r="S40" i="2" s="1"/>
  <c r="AC39" i="2"/>
  <c r="AD39" i="2" s="1"/>
  <c r="AE39" i="2" s="1"/>
  <c r="T40" i="2"/>
  <c r="U40" i="2" s="1"/>
  <c r="V40" i="2" s="1"/>
  <c r="Z38" i="2"/>
  <c r="AA38" i="2" s="1"/>
  <c r="AB38" i="2" s="1"/>
  <c r="B71" i="1"/>
  <c r="G16" i="2"/>
  <c r="E16" i="2" s="1"/>
  <c r="T41" i="2" l="1"/>
  <c r="U41" i="2" s="1"/>
  <c r="V41" i="2" s="1"/>
  <c r="AC40" i="2"/>
  <c r="AD40" i="2" s="1"/>
  <c r="AE40" i="2" s="1"/>
  <c r="Q41" i="2"/>
  <c r="R41" i="2"/>
  <c r="S41" i="2" s="1"/>
  <c r="Z39" i="2"/>
  <c r="AA39" i="2" s="1"/>
  <c r="AB39" i="2" s="1"/>
  <c r="X39" i="2"/>
  <c r="Y39" i="2" s="1"/>
  <c r="W39" i="2"/>
  <c r="B72" i="1"/>
  <c r="H16" i="2"/>
  <c r="L16" i="2" s="1"/>
  <c r="W40" i="2" l="1"/>
  <c r="X40" i="2" s="1"/>
  <c r="Y40" i="2" s="1"/>
  <c r="M16" i="2"/>
  <c r="Q42" i="2"/>
  <c r="R42" i="2"/>
  <c r="S42" i="2" s="1"/>
  <c r="AD41" i="2"/>
  <c r="AE41" i="2" s="1"/>
  <c r="AC41" i="2"/>
  <c r="Z40" i="2"/>
  <c r="AA40" i="2" s="1"/>
  <c r="AB40" i="2" s="1"/>
  <c r="T42" i="2"/>
  <c r="U42" i="2" s="1"/>
  <c r="V42" i="2" s="1"/>
  <c r="I16" i="2"/>
  <c r="J16" i="2"/>
  <c r="B73" i="1"/>
  <c r="AC42" i="2" l="1"/>
  <c r="AD42" i="2"/>
  <c r="AE42" i="2" s="1"/>
  <c r="T43" i="2"/>
  <c r="U43" i="2" s="1"/>
  <c r="V43" i="2" s="1"/>
  <c r="Q43" i="2"/>
  <c r="R43" i="2"/>
  <c r="S43" i="2" s="1"/>
  <c r="Z41" i="2"/>
  <c r="AA41" i="2" s="1"/>
  <c r="AB41" i="2" s="1"/>
  <c r="W41" i="2"/>
  <c r="X41" i="2"/>
  <c r="Y41" i="2" s="1"/>
  <c r="D17" i="2"/>
  <c r="N16" i="2"/>
  <c r="B74" i="1"/>
  <c r="Z42" i="2" l="1"/>
  <c r="AA42" i="2" s="1"/>
  <c r="AB42" i="2" s="1"/>
  <c r="R44" i="2"/>
  <c r="S44" i="2" s="1"/>
  <c r="Q44" i="2"/>
  <c r="W42" i="2"/>
  <c r="X42" i="2" s="1"/>
  <c r="Y42" i="2" s="1"/>
  <c r="T44" i="2"/>
  <c r="U44" i="2" s="1"/>
  <c r="V44" i="2" s="1"/>
  <c r="AC43" i="2"/>
  <c r="AD43" i="2"/>
  <c r="AE43" i="2" s="1"/>
  <c r="B17" i="2"/>
  <c r="C17" i="2" s="1"/>
  <c r="F17" i="2"/>
  <c r="K17" i="2" s="1"/>
  <c r="B75" i="1"/>
  <c r="W43" i="2" l="1"/>
  <c r="X43" i="2" s="1"/>
  <c r="Y43" i="2" s="1"/>
  <c r="U45" i="2"/>
  <c r="V45" i="2" s="1"/>
  <c r="T45" i="2"/>
  <c r="Q45" i="2"/>
  <c r="R45" i="2" s="1"/>
  <c r="S45" i="2" s="1"/>
  <c r="AC44" i="2"/>
  <c r="AD44" i="2"/>
  <c r="AE44" i="2" s="1"/>
  <c r="Z43" i="2"/>
  <c r="AA43" i="2" s="1"/>
  <c r="AB43" i="2" s="1"/>
  <c r="G17" i="2"/>
  <c r="Q46" i="2" l="1"/>
  <c r="R46" i="2" s="1"/>
  <c r="S46" i="2" s="1"/>
  <c r="Z44" i="2"/>
  <c r="AA44" i="2" s="1"/>
  <c r="AB44" i="2" s="1"/>
  <c r="AD45" i="2"/>
  <c r="AE45" i="2" s="1"/>
  <c r="AC45" i="2"/>
  <c r="T46" i="2"/>
  <c r="U46" i="2" s="1"/>
  <c r="V46" i="2" s="1"/>
  <c r="W44" i="2"/>
  <c r="X44" i="2"/>
  <c r="Y44" i="2" s="1"/>
  <c r="E17" i="2"/>
  <c r="H17" i="2"/>
  <c r="L17" i="2" s="1"/>
  <c r="T47" i="2" l="1"/>
  <c r="U47" i="2" s="1"/>
  <c r="V47" i="2" s="1"/>
  <c r="AA45" i="2"/>
  <c r="AB45" i="2" s="1"/>
  <c r="Z45" i="2"/>
  <c r="M17" i="2"/>
  <c r="X45" i="2"/>
  <c r="Y45" i="2" s="1"/>
  <c r="W45" i="2"/>
  <c r="AC46" i="2"/>
  <c r="AD46" i="2" s="1"/>
  <c r="AE46" i="2" s="1"/>
  <c r="R47" i="2"/>
  <c r="S47" i="2" s="1"/>
  <c r="Q47" i="2"/>
  <c r="J17" i="2"/>
  <c r="I17" i="2"/>
  <c r="AD47" i="2" l="1"/>
  <c r="AE47" i="2" s="1"/>
  <c r="AC47" i="2"/>
  <c r="Q48" i="2"/>
  <c r="R48" i="2"/>
  <c r="S48" i="2" s="1"/>
  <c r="AA46" i="2"/>
  <c r="AB46" i="2" s="1"/>
  <c r="Z46" i="2"/>
  <c r="W46" i="2"/>
  <c r="X46" i="2"/>
  <c r="Y46" i="2" s="1"/>
  <c r="T48" i="2"/>
  <c r="U48" i="2" s="1"/>
  <c r="V48" i="2" s="1"/>
  <c r="D18" i="2"/>
  <c r="N17" i="2"/>
  <c r="T49" i="2" l="1"/>
  <c r="U49" i="2" s="1"/>
  <c r="V49" i="2" s="1"/>
  <c r="Z47" i="2"/>
  <c r="AA47" i="2" s="1"/>
  <c r="AB47" i="2" s="1"/>
  <c r="X47" i="2"/>
  <c r="Y47" i="2" s="1"/>
  <c r="W47" i="2"/>
  <c r="R49" i="2"/>
  <c r="S49" i="2" s="1"/>
  <c r="Q49" i="2"/>
  <c r="AC48" i="2"/>
  <c r="AD48" i="2"/>
  <c r="AE48" i="2" s="1"/>
  <c r="G18" i="2"/>
  <c r="E18" i="2" s="1"/>
  <c r="F18" i="2"/>
  <c r="K18" i="2" s="1"/>
  <c r="B18" i="2"/>
  <c r="C18" i="2" s="1"/>
  <c r="Q50" i="2" l="1"/>
  <c r="R50" i="2" s="1"/>
  <c r="S50" i="2" s="1"/>
  <c r="W48" i="2"/>
  <c r="X48" i="2" s="1"/>
  <c r="Y48" i="2" s="1"/>
  <c r="T50" i="2"/>
  <c r="U50" i="2" s="1"/>
  <c r="V50" i="2" s="1"/>
  <c r="AC49" i="2"/>
  <c r="AD49" i="2"/>
  <c r="AE49" i="2" s="1"/>
  <c r="AA48" i="2"/>
  <c r="AB48" i="2" s="1"/>
  <c r="Z48" i="2"/>
  <c r="L18" i="2"/>
  <c r="H18" i="2"/>
  <c r="I18" i="2" s="1"/>
  <c r="J18" i="2"/>
  <c r="Z49" i="2" l="1"/>
  <c r="AA49" i="2" s="1"/>
  <c r="AB49" i="2" s="1"/>
  <c r="T51" i="2"/>
  <c r="U51" i="2" s="1"/>
  <c r="V51" i="2" s="1"/>
  <c r="AC50" i="2"/>
  <c r="AD50" i="2" s="1"/>
  <c r="AE50" i="2" s="1"/>
  <c r="W49" i="2"/>
  <c r="X49" i="2"/>
  <c r="Y49" i="2" s="1"/>
  <c r="Q51" i="2"/>
  <c r="R51" i="2" s="1"/>
  <c r="S51" i="2" s="1"/>
  <c r="M18" i="2"/>
  <c r="D19" i="2"/>
  <c r="N18" i="2"/>
  <c r="Q52" i="2" l="1"/>
  <c r="R52" i="2" s="1"/>
  <c r="S52" i="2" s="1"/>
  <c r="AD51" i="2"/>
  <c r="AE51" i="2" s="1"/>
  <c r="AC51" i="2"/>
  <c r="W50" i="2"/>
  <c r="X50" i="2" s="1"/>
  <c r="Y50" i="2" s="1"/>
  <c r="U52" i="2"/>
  <c r="V52" i="2" s="1"/>
  <c r="T52" i="2"/>
  <c r="AA50" i="2"/>
  <c r="AB50" i="2" s="1"/>
  <c r="Z50" i="2"/>
  <c r="H19" i="2"/>
  <c r="J19" i="2" s="1"/>
  <c r="G19" i="2"/>
  <c r="F19" i="2"/>
  <c r="K19" i="2" s="1"/>
  <c r="B19" i="2"/>
  <c r="C19" i="2" s="1"/>
  <c r="D20" i="2" l="1"/>
  <c r="C48" i="3"/>
  <c r="N19" i="2"/>
  <c r="T53" i="2"/>
  <c r="U53" i="2" s="1"/>
  <c r="V53" i="2" s="1"/>
  <c r="Z51" i="2"/>
  <c r="AA51" i="2" s="1"/>
  <c r="AB51" i="2" s="1"/>
  <c r="AC52" i="2"/>
  <c r="AD52" i="2" s="1"/>
  <c r="AE52" i="2" s="1"/>
  <c r="W51" i="2"/>
  <c r="X51" i="2"/>
  <c r="Y51" i="2" s="1"/>
  <c r="Q53" i="2"/>
  <c r="R53" i="2" s="1"/>
  <c r="S53" i="2" s="1"/>
  <c r="E19" i="2"/>
  <c r="I19" i="2" s="1"/>
  <c r="D48" i="3"/>
  <c r="L19" i="2"/>
  <c r="W52" i="2" l="1"/>
  <c r="X52" i="2"/>
  <c r="Y52" i="2" s="1"/>
  <c r="AC53" i="2"/>
  <c r="AD53" i="2"/>
  <c r="AE53" i="2" s="1"/>
  <c r="AA52" i="2"/>
  <c r="AB52" i="2" s="1"/>
  <c r="Z52" i="2"/>
  <c r="R54" i="2"/>
  <c r="S54" i="2" s="1"/>
  <c r="Q54" i="2"/>
  <c r="T54" i="2"/>
  <c r="U54" i="2" s="1"/>
  <c r="V54" i="2" s="1"/>
  <c r="E48" i="3"/>
  <c r="F48" i="3" s="1"/>
  <c r="M19" i="2"/>
  <c r="F20" i="2"/>
  <c r="K20" i="2" s="1"/>
  <c r="B20" i="2"/>
  <c r="C20" i="2" s="1"/>
  <c r="T55" i="2" l="1"/>
  <c r="U55" i="2" s="1"/>
  <c r="V55" i="2" s="1"/>
  <c r="Z53" i="2"/>
  <c r="AA53" i="2" s="1"/>
  <c r="AB53" i="2" s="1"/>
  <c r="R55" i="2"/>
  <c r="S55" i="2" s="1"/>
  <c r="Q55" i="2"/>
  <c r="AC54" i="2"/>
  <c r="AD54" i="2"/>
  <c r="AE54" i="2" s="1"/>
  <c r="X53" i="2"/>
  <c r="Y53" i="2" s="1"/>
  <c r="W53" i="2"/>
  <c r="G20" i="2"/>
  <c r="Q56" i="2" l="1"/>
  <c r="R56" i="2" s="1"/>
  <c r="S56" i="2" s="1"/>
  <c r="Z54" i="2"/>
  <c r="AA54" i="2" s="1"/>
  <c r="AB54" i="2" s="1"/>
  <c r="X54" i="2"/>
  <c r="Y54" i="2" s="1"/>
  <c r="W54" i="2"/>
  <c r="AD55" i="2"/>
  <c r="AE55" i="2" s="1"/>
  <c r="AC55" i="2"/>
  <c r="U56" i="2"/>
  <c r="V56" i="2" s="1"/>
  <c r="T56" i="2"/>
  <c r="H20" i="2"/>
  <c r="J20" i="2"/>
  <c r="L20" i="2"/>
  <c r="E20" i="2"/>
  <c r="I20" i="2" s="1"/>
  <c r="AC56" i="2" l="1"/>
  <c r="AD56" i="2" s="1"/>
  <c r="AE56" i="2" s="1"/>
  <c r="Z55" i="2"/>
  <c r="AA55" i="2" s="1"/>
  <c r="AB55" i="2" s="1"/>
  <c r="T57" i="2"/>
  <c r="U57" i="2" s="1"/>
  <c r="V57" i="2" s="1"/>
  <c r="W55" i="2"/>
  <c r="X55" i="2" s="1"/>
  <c r="Y55" i="2" s="1"/>
  <c r="R57" i="2"/>
  <c r="S57" i="2" s="1"/>
  <c r="Q57" i="2"/>
  <c r="D21" i="2"/>
  <c r="N20" i="2"/>
  <c r="M20" i="2"/>
  <c r="W56" i="2" l="1"/>
  <c r="X56" i="2"/>
  <c r="Y56" i="2" s="1"/>
  <c r="Z56" i="2"/>
  <c r="AA56" i="2"/>
  <c r="AB56" i="2" s="1"/>
  <c r="Q58" i="2"/>
  <c r="R58" i="2"/>
  <c r="S58" i="2" s="1"/>
  <c r="U58" i="2"/>
  <c r="V58" i="2" s="1"/>
  <c r="T58" i="2"/>
  <c r="AC57" i="2"/>
  <c r="AD57" i="2" s="1"/>
  <c r="AE57" i="2" s="1"/>
  <c r="B21" i="2"/>
  <c r="C21" i="2" s="1"/>
  <c r="E21" i="2"/>
  <c r="G21" i="2"/>
  <c r="F21" i="2"/>
  <c r="K21" i="2" s="1"/>
  <c r="T59" i="2" l="1"/>
  <c r="U59" i="2" s="1"/>
  <c r="V59" i="2" s="1"/>
  <c r="AC58" i="2"/>
  <c r="AD58" i="2" s="1"/>
  <c r="AE58" i="2" s="1"/>
  <c r="R59" i="2"/>
  <c r="S59" i="2" s="1"/>
  <c r="Q59" i="2"/>
  <c r="AA57" i="2"/>
  <c r="AB57" i="2" s="1"/>
  <c r="Z57" i="2"/>
  <c r="W57" i="2"/>
  <c r="X57" i="2" s="1"/>
  <c r="Y57" i="2" s="1"/>
  <c r="H21" i="2"/>
  <c r="J21" i="2" s="1"/>
  <c r="Z58" i="2" l="1"/>
  <c r="AA58" i="2" s="1"/>
  <c r="AB58" i="2" s="1"/>
  <c r="AC59" i="2"/>
  <c r="AD59" i="2"/>
  <c r="AE59" i="2" s="1"/>
  <c r="X58" i="2"/>
  <c r="Y58" i="2" s="1"/>
  <c r="W58" i="2"/>
  <c r="R60" i="2"/>
  <c r="S60" i="2" s="1"/>
  <c r="Q60" i="2"/>
  <c r="U60" i="2"/>
  <c r="V60" i="2" s="1"/>
  <c r="T60" i="2"/>
  <c r="D22" i="2"/>
  <c r="N21" i="2"/>
  <c r="L21" i="2"/>
  <c r="I21" i="2"/>
  <c r="Q61" i="2" l="1"/>
  <c r="R61" i="2" s="1"/>
  <c r="S61" i="2" s="1"/>
  <c r="T61" i="2"/>
  <c r="U61" i="2" s="1"/>
  <c r="V61" i="2" s="1"/>
  <c r="AD60" i="2"/>
  <c r="AE60" i="2" s="1"/>
  <c r="AC60" i="2"/>
  <c r="W59" i="2"/>
  <c r="X59" i="2"/>
  <c r="Y59" i="2" s="1"/>
  <c r="AA59" i="2"/>
  <c r="AB59" i="2" s="1"/>
  <c r="Z59" i="2"/>
  <c r="M21" i="2"/>
  <c r="F22" i="2"/>
  <c r="K22" i="2" s="1"/>
  <c r="B22" i="2"/>
  <c r="C22" i="2" s="1"/>
  <c r="AA60" i="2" l="1"/>
  <c r="AB60" i="2" s="1"/>
  <c r="Z60" i="2"/>
  <c r="X60" i="2"/>
  <c r="Y60" i="2" s="1"/>
  <c r="W60" i="2"/>
  <c r="AC61" i="2"/>
  <c r="AD61" i="2" s="1"/>
  <c r="AE61" i="2" s="1"/>
  <c r="T62" i="2"/>
  <c r="U62" i="2" s="1"/>
  <c r="V62" i="2" s="1"/>
  <c r="Q62" i="2"/>
  <c r="R62" i="2"/>
  <c r="S62" i="2" s="1"/>
  <c r="G22" i="2"/>
  <c r="Q63" i="2" l="1"/>
  <c r="R63" i="2"/>
  <c r="S63" i="2" s="1"/>
  <c r="AC62" i="2"/>
  <c r="AD62" i="2" s="1"/>
  <c r="AE62" i="2" s="1"/>
  <c r="T63" i="2"/>
  <c r="U63" i="2" s="1"/>
  <c r="V63" i="2" s="1"/>
  <c r="W61" i="2"/>
  <c r="X61" i="2"/>
  <c r="Y61" i="2" s="1"/>
  <c r="AA61" i="2"/>
  <c r="AB61" i="2" s="1"/>
  <c r="Z61" i="2"/>
  <c r="H22" i="2"/>
  <c r="L22" i="2"/>
  <c r="E22" i="2"/>
  <c r="I22" i="2" s="1"/>
  <c r="J22" i="2"/>
  <c r="W62" i="2" l="1"/>
  <c r="X62" i="2"/>
  <c r="Y62" i="2" s="1"/>
  <c r="T64" i="2"/>
  <c r="U64" i="2" s="1"/>
  <c r="V64" i="2" s="1"/>
  <c r="AA62" i="2"/>
  <c r="AB62" i="2" s="1"/>
  <c r="Z62" i="2"/>
  <c r="AC63" i="2"/>
  <c r="AD63" i="2"/>
  <c r="AE63" i="2" s="1"/>
  <c r="Q64" i="2"/>
  <c r="R64" i="2" s="1"/>
  <c r="S64" i="2" s="1"/>
  <c r="D23" i="2"/>
  <c r="N22" i="2"/>
  <c r="M22" i="2"/>
  <c r="AC64" i="2" l="1"/>
  <c r="AD64" i="2"/>
  <c r="AE64" i="2" s="1"/>
  <c r="T65" i="2"/>
  <c r="U65" i="2" s="1"/>
  <c r="V65" i="2" s="1"/>
  <c r="Q65" i="2"/>
  <c r="R65" i="2"/>
  <c r="S65" i="2" s="1"/>
  <c r="AA63" i="2"/>
  <c r="AB63" i="2" s="1"/>
  <c r="Z63" i="2"/>
  <c r="X63" i="2"/>
  <c r="Y63" i="2" s="1"/>
  <c r="W63" i="2"/>
  <c r="G23" i="2"/>
  <c r="E23" i="2" s="1"/>
  <c r="F23" i="2"/>
  <c r="K23" i="2" s="1"/>
  <c r="B23" i="2"/>
  <c r="C23" i="2" s="1"/>
  <c r="Z64" i="2" l="1"/>
  <c r="AA64" i="2" s="1"/>
  <c r="AB64" i="2" s="1"/>
  <c r="W64" i="2"/>
  <c r="X64" i="2" s="1"/>
  <c r="Y64" i="2" s="1"/>
  <c r="R66" i="2"/>
  <c r="S66" i="2" s="1"/>
  <c r="Q66" i="2"/>
  <c r="U66" i="2"/>
  <c r="V66" i="2" s="1"/>
  <c r="T66" i="2"/>
  <c r="AD65" i="2"/>
  <c r="AE65" i="2" s="1"/>
  <c r="AC65" i="2"/>
  <c r="H23" i="2"/>
  <c r="I23" i="2" s="1"/>
  <c r="L23" i="2"/>
  <c r="J23" i="2"/>
  <c r="AC66" i="2" l="1"/>
  <c r="AD66" i="2" s="1"/>
  <c r="AE66" i="2" s="1"/>
  <c r="W65" i="2"/>
  <c r="X65" i="2" s="1"/>
  <c r="Y65" i="2" s="1"/>
  <c r="U67" i="2"/>
  <c r="V67" i="2" s="1"/>
  <c r="T67" i="2"/>
  <c r="Q67" i="2"/>
  <c r="R67" i="2" s="1"/>
  <c r="S67" i="2" s="1"/>
  <c r="AA65" i="2"/>
  <c r="AB65" i="2" s="1"/>
  <c r="Z65" i="2"/>
  <c r="M23" i="2"/>
  <c r="D24" i="2"/>
  <c r="N23" i="2"/>
  <c r="Z66" i="2" l="1"/>
  <c r="AA66" i="2"/>
  <c r="AB66" i="2" s="1"/>
  <c r="T68" i="2"/>
  <c r="U68" i="2" s="1"/>
  <c r="V68" i="2" s="1"/>
  <c r="W66" i="2"/>
  <c r="X66" i="2"/>
  <c r="Y66" i="2" s="1"/>
  <c r="Q68" i="2"/>
  <c r="R68" i="2"/>
  <c r="S68" i="2" s="1"/>
  <c r="AD67" i="2"/>
  <c r="AE67" i="2" s="1"/>
  <c r="AC67" i="2"/>
  <c r="B24" i="2"/>
  <c r="C24" i="2" s="1"/>
  <c r="F24" i="2"/>
  <c r="K24" i="2" s="1"/>
  <c r="R69" i="2" l="1"/>
  <c r="S69" i="2" s="1"/>
  <c r="Q69" i="2"/>
  <c r="T69" i="2"/>
  <c r="U69" i="2" s="1"/>
  <c r="V69" i="2" s="1"/>
  <c r="AC68" i="2"/>
  <c r="AD68" i="2" s="1"/>
  <c r="AE68" i="2" s="1"/>
  <c r="W67" i="2"/>
  <c r="X67" i="2"/>
  <c r="Y67" i="2" s="1"/>
  <c r="AA67" i="2"/>
  <c r="AB67" i="2" s="1"/>
  <c r="Z67" i="2"/>
  <c r="G24" i="2"/>
  <c r="W68" i="2" l="1"/>
  <c r="X68" i="2" s="1"/>
  <c r="Y68" i="2" s="1"/>
  <c r="AC69" i="2"/>
  <c r="AD69" i="2"/>
  <c r="AE69" i="2" s="1"/>
  <c r="Z68" i="2"/>
  <c r="AA68" i="2" s="1"/>
  <c r="AB68" i="2" s="1"/>
  <c r="T70" i="2"/>
  <c r="U70" i="2" s="1"/>
  <c r="V70" i="2" s="1"/>
  <c r="Q70" i="2"/>
  <c r="R70" i="2" s="1"/>
  <c r="S70" i="2" s="1"/>
  <c r="H24" i="2"/>
  <c r="L24" i="2" s="1"/>
  <c r="E24" i="2"/>
  <c r="M24" i="2" l="1"/>
  <c r="T71" i="2"/>
  <c r="U71" i="2" s="1"/>
  <c r="V71" i="2" s="1"/>
  <c r="Q71" i="2"/>
  <c r="R71" i="2" s="1"/>
  <c r="S71" i="2" s="1"/>
  <c r="AC70" i="2"/>
  <c r="AD70" i="2" s="1"/>
  <c r="AE70" i="2" s="1"/>
  <c r="Z69" i="2"/>
  <c r="AA69" i="2" s="1"/>
  <c r="AB69" i="2" s="1"/>
  <c r="X69" i="2"/>
  <c r="Y69" i="2" s="1"/>
  <c r="W69" i="2"/>
  <c r="I24" i="2"/>
  <c r="J24" i="2"/>
  <c r="W70" i="2" l="1"/>
  <c r="X70" i="2" s="1"/>
  <c r="Y70" i="2" s="1"/>
  <c r="Z70" i="2"/>
  <c r="AA70" i="2" s="1"/>
  <c r="AB70" i="2" s="1"/>
  <c r="Q72" i="2"/>
  <c r="R72" i="2" s="1"/>
  <c r="S72" i="2" s="1"/>
  <c r="AD71" i="2"/>
  <c r="AE71" i="2" s="1"/>
  <c r="AC71" i="2"/>
  <c r="T72" i="2"/>
  <c r="U72" i="2"/>
  <c r="V72" i="2" s="1"/>
  <c r="D25" i="2"/>
  <c r="N24" i="2"/>
  <c r="AC72" i="2" l="1"/>
  <c r="AD72" i="2" s="1"/>
  <c r="AE72" i="2" s="1"/>
  <c r="Z71" i="2"/>
  <c r="AA71" i="2" s="1"/>
  <c r="AB71" i="2" s="1"/>
  <c r="T73" i="2"/>
  <c r="U73" i="2" s="1"/>
  <c r="V73" i="2" s="1"/>
  <c r="Q73" i="2"/>
  <c r="R73" i="2"/>
  <c r="S73" i="2" s="1"/>
  <c r="W71" i="2"/>
  <c r="X71" i="2"/>
  <c r="Y71" i="2" s="1"/>
  <c r="G25" i="2"/>
  <c r="H25" i="2" s="1"/>
  <c r="F25" i="2"/>
  <c r="K25" i="2" s="1"/>
  <c r="B25" i="2"/>
  <c r="C25" i="2" s="1"/>
  <c r="W72" i="2" l="1"/>
  <c r="X72" i="2"/>
  <c r="Y72" i="2" s="1"/>
  <c r="R74" i="2"/>
  <c r="S74" i="2" s="1"/>
  <c r="Q74" i="2"/>
  <c r="Z72" i="2"/>
  <c r="AA72" i="2" s="1"/>
  <c r="AB72" i="2" s="1"/>
  <c r="T74" i="2"/>
  <c r="U74" i="2" s="1"/>
  <c r="V74" i="2" s="1"/>
  <c r="AC73" i="2"/>
  <c r="AD73" i="2" s="1"/>
  <c r="AE73" i="2" s="1"/>
  <c r="L25" i="2"/>
  <c r="J25" i="2"/>
  <c r="E25" i="2"/>
  <c r="I25" i="2" s="1"/>
  <c r="AC74" i="2" l="1"/>
  <c r="AD74" i="2"/>
  <c r="AE74" i="2" s="1"/>
  <c r="T75" i="2"/>
  <c r="U75" i="2" s="1"/>
  <c r="V75" i="2" s="1"/>
  <c r="Z73" i="2"/>
  <c r="AA73" i="2" s="1"/>
  <c r="AB73" i="2" s="1"/>
  <c r="Q75" i="2"/>
  <c r="R75" i="2" s="1"/>
  <c r="S75" i="2" s="1"/>
  <c r="W73" i="2"/>
  <c r="X73" i="2" s="1"/>
  <c r="Y73" i="2" s="1"/>
  <c r="M25" i="2"/>
  <c r="D26" i="2"/>
  <c r="N25" i="2"/>
  <c r="Q76" i="2" l="1"/>
  <c r="R76" i="2" s="1"/>
  <c r="S76" i="2" s="1"/>
  <c r="Z74" i="2"/>
  <c r="AA74" i="2" s="1"/>
  <c r="AB74" i="2" s="1"/>
  <c r="X74" i="2"/>
  <c r="Y74" i="2" s="1"/>
  <c r="W74" i="2"/>
  <c r="T76" i="2"/>
  <c r="U76" i="2" s="1"/>
  <c r="V76" i="2" s="1"/>
  <c r="AC75" i="2"/>
  <c r="AD75" i="2" s="1"/>
  <c r="AE75" i="2" s="1"/>
  <c r="B26" i="2"/>
  <c r="C26" i="2" s="1"/>
  <c r="F26" i="2"/>
  <c r="K26" i="2" s="1"/>
  <c r="AD76" i="2" l="1"/>
  <c r="AE76" i="2" s="1"/>
  <c r="AC76" i="2"/>
  <c r="X75" i="2"/>
  <c r="Y75" i="2" s="1"/>
  <c r="W75" i="2"/>
  <c r="Z75" i="2"/>
  <c r="AA75" i="2" s="1"/>
  <c r="AB75" i="2" s="1"/>
  <c r="T77" i="2"/>
  <c r="U77" i="2" s="1"/>
  <c r="V77" i="2" s="1"/>
  <c r="R77" i="2"/>
  <c r="S77" i="2" s="1"/>
  <c r="Q77" i="2"/>
  <c r="G26" i="2"/>
  <c r="T78" i="2" l="1"/>
  <c r="U78" i="2" s="1"/>
  <c r="V78" i="2" s="1"/>
  <c r="Q78" i="2"/>
  <c r="R78" i="2"/>
  <c r="S78" i="2" s="1"/>
  <c r="W76" i="2"/>
  <c r="X76" i="2"/>
  <c r="Y76" i="2" s="1"/>
  <c r="Z76" i="2"/>
  <c r="AA76" i="2"/>
  <c r="AB76" i="2" s="1"/>
  <c r="AC77" i="2"/>
  <c r="AD77" i="2" s="1"/>
  <c r="AE77" i="2" s="1"/>
  <c r="E26" i="2"/>
  <c r="H26" i="2"/>
  <c r="J26" i="2" s="1"/>
  <c r="D27" i="2" l="1"/>
  <c r="N26" i="2"/>
  <c r="W77" i="2"/>
  <c r="X77" i="2"/>
  <c r="Y77" i="2" s="1"/>
  <c r="Z77" i="2"/>
  <c r="AA77" i="2" s="1"/>
  <c r="AB77" i="2" s="1"/>
  <c r="Q79" i="2"/>
  <c r="R79" i="2" s="1"/>
  <c r="S79" i="2" s="1"/>
  <c r="AD78" i="2"/>
  <c r="AE78" i="2" s="1"/>
  <c r="AC78" i="2"/>
  <c r="U79" i="2"/>
  <c r="V79" i="2" s="1"/>
  <c r="T79" i="2"/>
  <c r="I26" i="2"/>
  <c r="L26" i="2"/>
  <c r="T80" i="2" l="1"/>
  <c r="U80" i="2" s="1"/>
  <c r="V80" i="2" s="1"/>
  <c r="AC79" i="2"/>
  <c r="AD79" i="2"/>
  <c r="AE79" i="2" s="1"/>
  <c r="Z78" i="2"/>
  <c r="AA78" i="2" s="1"/>
  <c r="AB78" i="2" s="1"/>
  <c r="Q80" i="2"/>
  <c r="R80" i="2" s="1"/>
  <c r="S80" i="2" s="1"/>
  <c r="W78" i="2"/>
  <c r="X78" i="2" s="1"/>
  <c r="Y78" i="2" s="1"/>
  <c r="M26" i="2"/>
  <c r="F27" i="2"/>
  <c r="K27" i="2" s="1"/>
  <c r="B27" i="2"/>
  <c r="C27" i="2" s="1"/>
  <c r="W79" i="2" l="1"/>
  <c r="X79" i="2" s="1"/>
  <c r="Y79" i="2" s="1"/>
  <c r="Z79" i="2"/>
  <c r="AA79" i="2" s="1"/>
  <c r="AB79" i="2" s="1"/>
  <c r="AC80" i="2"/>
  <c r="AD80" i="2" s="1"/>
  <c r="AE80" i="2" s="1"/>
  <c r="R81" i="2"/>
  <c r="S81" i="2" s="1"/>
  <c r="Q81" i="2"/>
  <c r="T81" i="2"/>
  <c r="U81" i="2" s="1"/>
  <c r="V81" i="2" s="1"/>
  <c r="G27" i="2"/>
  <c r="Q82" i="2" l="1"/>
  <c r="R82" i="2" s="1"/>
  <c r="S82" i="2" s="1"/>
  <c r="AC81" i="2"/>
  <c r="AD81" i="2" s="1"/>
  <c r="AE81" i="2" s="1"/>
  <c r="U82" i="2"/>
  <c r="V82" i="2" s="1"/>
  <c r="T82" i="2"/>
  <c r="Z80" i="2"/>
  <c r="AA80" i="2" s="1"/>
  <c r="AB80" i="2" s="1"/>
  <c r="W80" i="2"/>
  <c r="X80" i="2" s="1"/>
  <c r="Y80" i="2" s="1"/>
  <c r="H27" i="2"/>
  <c r="J27" i="2" s="1"/>
  <c r="E27" i="2"/>
  <c r="I27" i="2" s="1"/>
  <c r="D28" i="2" l="1"/>
  <c r="N27" i="2"/>
  <c r="AA81" i="2"/>
  <c r="AB81" i="2" s="1"/>
  <c r="Z81" i="2"/>
  <c r="AC82" i="2"/>
  <c r="AD82" i="2" s="1"/>
  <c r="AE82" i="2" s="1"/>
  <c r="W81" i="2"/>
  <c r="X81" i="2" s="1"/>
  <c r="Y81" i="2" s="1"/>
  <c r="U83" i="2"/>
  <c r="V83" i="2" s="1"/>
  <c r="T83" i="2"/>
  <c r="Q83" i="2"/>
  <c r="R83" i="2" s="1"/>
  <c r="S83" i="2" s="1"/>
  <c r="L27" i="2"/>
  <c r="Q84" i="2" l="1"/>
  <c r="R84" i="2"/>
  <c r="S84" i="2" s="1"/>
  <c r="T84" i="2"/>
  <c r="U84" i="2"/>
  <c r="V84" i="2" s="1"/>
  <c r="AD83" i="2"/>
  <c r="AE83" i="2" s="1"/>
  <c r="AC83" i="2"/>
  <c r="Z82" i="2"/>
  <c r="AA82" i="2"/>
  <c r="AB82" i="2" s="1"/>
  <c r="W82" i="2"/>
  <c r="X82" i="2"/>
  <c r="Y82" i="2" s="1"/>
  <c r="M27" i="2"/>
  <c r="F28" i="2"/>
  <c r="K28" i="2" s="1"/>
  <c r="B28" i="2"/>
  <c r="C28" i="2" s="1"/>
  <c r="AC84" i="2" l="1"/>
  <c r="AD84" i="2" s="1"/>
  <c r="AE84" i="2" s="1"/>
  <c r="W83" i="2"/>
  <c r="X83" i="2" s="1"/>
  <c r="Y83" i="2" s="1"/>
  <c r="Z83" i="2"/>
  <c r="AA83" i="2" s="1"/>
  <c r="AB83" i="2" s="1"/>
  <c r="U85" i="2"/>
  <c r="V85" i="2" s="1"/>
  <c r="T85" i="2"/>
  <c r="R85" i="2"/>
  <c r="S85" i="2" s="1"/>
  <c r="Q85" i="2"/>
  <c r="G28" i="2"/>
  <c r="E28" i="2" s="1"/>
  <c r="Q86" i="2" l="1"/>
  <c r="R86" i="2"/>
  <c r="S86" i="2" s="1"/>
  <c r="T86" i="2"/>
  <c r="U86" i="2" s="1"/>
  <c r="V86" i="2" s="1"/>
  <c r="W84" i="2"/>
  <c r="X84" i="2"/>
  <c r="Y84" i="2" s="1"/>
  <c r="AA84" i="2"/>
  <c r="AB84" i="2" s="1"/>
  <c r="Z84" i="2"/>
  <c r="AD85" i="2"/>
  <c r="AE85" i="2" s="1"/>
  <c r="AC85" i="2"/>
  <c r="H28" i="2"/>
  <c r="I28" i="2" s="1"/>
  <c r="T87" i="2" l="1"/>
  <c r="U87" i="2"/>
  <c r="V87" i="2"/>
  <c r="AD86" i="2"/>
  <c r="AE86" i="2" s="1"/>
  <c r="AC86" i="2"/>
  <c r="Z85" i="2"/>
  <c r="AA85" i="2"/>
  <c r="AB85" i="2" s="1"/>
  <c r="W85" i="2"/>
  <c r="X85" i="2" s="1"/>
  <c r="Y85" i="2" s="1"/>
  <c r="R87" i="2"/>
  <c r="S87" i="2" s="1"/>
  <c r="Q87" i="2"/>
  <c r="L28" i="2"/>
  <c r="J28" i="2"/>
  <c r="Q88" i="2" l="1"/>
  <c r="R88" i="2" s="1"/>
  <c r="S88" i="2" s="1"/>
  <c r="AA86" i="2"/>
  <c r="AB86" i="2" s="1"/>
  <c r="Z86" i="2"/>
  <c r="W86" i="2"/>
  <c r="X86" i="2" s="1"/>
  <c r="Y86" i="2" s="1"/>
  <c r="AC87" i="2"/>
  <c r="AD87" i="2" s="1"/>
  <c r="AE87" i="2" s="1"/>
  <c r="M28" i="2"/>
  <c r="D29" i="2"/>
  <c r="N28" i="2"/>
  <c r="T88" i="2"/>
  <c r="U88" i="2"/>
  <c r="V88" i="2" s="1"/>
  <c r="T89" i="2" l="1"/>
  <c r="U89" i="2"/>
  <c r="V89" i="2" s="1"/>
  <c r="AD88" i="2"/>
  <c r="AE88" i="2" s="1"/>
  <c r="AC88" i="2"/>
  <c r="Z87" i="2"/>
  <c r="AA87" i="2"/>
  <c r="AB87" i="2" s="1"/>
  <c r="W87" i="2"/>
  <c r="X87" i="2"/>
  <c r="Y87" i="2" s="1"/>
  <c r="Q89" i="2"/>
  <c r="R89" i="2"/>
  <c r="S89" i="2" s="1"/>
  <c r="B29" i="2"/>
  <c r="C29" i="2" s="1"/>
  <c r="F29" i="2"/>
  <c r="K29" i="2" s="1"/>
  <c r="Z88" i="2" l="1"/>
  <c r="AA88" i="2" s="1"/>
  <c r="AB88" i="2" s="1"/>
  <c r="Q90" i="2"/>
  <c r="R90" i="2"/>
  <c r="S90" i="2" s="1"/>
  <c r="AD89" i="2"/>
  <c r="AE89" i="2" s="1"/>
  <c r="AC89" i="2"/>
  <c r="X88" i="2"/>
  <c r="Y88" i="2" s="1"/>
  <c r="W88" i="2"/>
  <c r="T90" i="2"/>
  <c r="U90" i="2" s="1"/>
  <c r="V90" i="2" s="1"/>
  <c r="G29" i="2"/>
  <c r="W89" i="2" l="1"/>
  <c r="X89" i="2" s="1"/>
  <c r="Y89" i="2" s="1"/>
  <c r="Q91" i="2"/>
  <c r="R91" i="2" s="1"/>
  <c r="S91" i="2" s="1"/>
  <c r="U91" i="2"/>
  <c r="V91" i="2" s="1"/>
  <c r="T91" i="2"/>
  <c r="AC90" i="2"/>
  <c r="AD90" i="2" s="1"/>
  <c r="AE90" i="2" s="1"/>
  <c r="AA89" i="2"/>
  <c r="AB89" i="2" s="1"/>
  <c r="Z89" i="2"/>
  <c r="H29" i="2"/>
  <c r="L29" i="2" s="1"/>
  <c r="E29" i="2"/>
  <c r="M29" i="2" l="1"/>
  <c r="AC91" i="2"/>
  <c r="AD91" i="2" s="1"/>
  <c r="AE91" i="2" s="1"/>
  <c r="Q92" i="2"/>
  <c r="R92" i="2" s="1"/>
  <c r="S92" i="2" s="1"/>
  <c r="Z90" i="2"/>
  <c r="AA90" i="2" s="1"/>
  <c r="AB90" i="2" s="1"/>
  <c r="T92" i="2"/>
  <c r="U92" i="2"/>
  <c r="V92" i="2" s="1"/>
  <c r="X90" i="2"/>
  <c r="Y90" i="2" s="1"/>
  <c r="W90" i="2"/>
  <c r="J29" i="2"/>
  <c r="I29" i="2"/>
  <c r="W91" i="2" l="1"/>
  <c r="X91" i="2" s="1"/>
  <c r="Y91" i="2" s="1"/>
  <c r="T93" i="2"/>
  <c r="U93" i="2" s="1"/>
  <c r="V93" i="2" s="1"/>
  <c r="R93" i="2"/>
  <c r="S93" i="2" s="1"/>
  <c r="Q93" i="2"/>
  <c r="Z91" i="2"/>
  <c r="AA91" i="2" s="1"/>
  <c r="AB91" i="2" s="1"/>
  <c r="AC92" i="2"/>
  <c r="AD92" i="2" s="1"/>
  <c r="AE92" i="2" s="1"/>
  <c r="D30" i="2"/>
  <c r="N29" i="2"/>
  <c r="Z92" i="2" l="1"/>
  <c r="AA92" i="2"/>
  <c r="AB92" i="2" s="1"/>
  <c r="T94" i="2"/>
  <c r="U94" i="2"/>
  <c r="V94" i="2" s="1"/>
  <c r="AC93" i="2"/>
  <c r="AD93" i="2" s="1"/>
  <c r="AE93" i="2" s="1"/>
  <c r="Q94" i="2"/>
  <c r="R94" i="2" s="1"/>
  <c r="S94" i="2" s="1"/>
  <c r="W92" i="2"/>
  <c r="X92" i="2" s="1"/>
  <c r="Y92" i="2" s="1"/>
  <c r="F30" i="2"/>
  <c r="K30" i="2" s="1"/>
  <c r="B30" i="2"/>
  <c r="C30" i="2" s="1"/>
  <c r="W93" i="2" l="1"/>
  <c r="X93" i="2" s="1"/>
  <c r="Y93" i="2" s="1"/>
  <c r="AD94" i="2"/>
  <c r="AE94" i="2" s="1"/>
  <c r="AC94" i="2"/>
  <c r="R95" i="2"/>
  <c r="S95" i="2" s="1"/>
  <c r="Q95" i="2"/>
  <c r="U95" i="2"/>
  <c r="V95" i="2" s="1"/>
  <c r="T95" i="2"/>
  <c r="AA93" i="2"/>
  <c r="AB93" i="2" s="1"/>
  <c r="Z93" i="2"/>
  <c r="G30" i="2"/>
  <c r="E30" i="2" s="1"/>
  <c r="Z94" i="2" l="1"/>
  <c r="AA94" i="2" s="1"/>
  <c r="AB94" i="2" s="1"/>
  <c r="AC95" i="2"/>
  <c r="AD95" i="2"/>
  <c r="AE95" i="2" s="1"/>
  <c r="T96" i="2"/>
  <c r="U96" i="2" s="1"/>
  <c r="V96" i="2" s="1"/>
  <c r="Q96" i="2"/>
  <c r="R96" i="2" s="1"/>
  <c r="S96" i="2" s="1"/>
  <c r="W94" i="2"/>
  <c r="X94" i="2" s="1"/>
  <c r="Y94" i="2" s="1"/>
  <c r="H30" i="2"/>
  <c r="I30" i="2" s="1"/>
  <c r="Q97" i="2" l="1"/>
  <c r="R97" i="2" s="1"/>
  <c r="S97" i="2" s="1"/>
  <c r="W95" i="2"/>
  <c r="X95" i="2" s="1"/>
  <c r="Y95" i="2" s="1"/>
  <c r="AD96" i="2"/>
  <c r="AE96" i="2" s="1"/>
  <c r="AC96" i="2"/>
  <c r="T97" i="2"/>
  <c r="U97" i="2"/>
  <c r="V97" i="2" s="1"/>
  <c r="Z95" i="2"/>
  <c r="AA95" i="2"/>
  <c r="AB95" i="2" s="1"/>
  <c r="L30" i="2"/>
  <c r="J30" i="2"/>
  <c r="T98" i="2" l="1"/>
  <c r="U98" i="2" s="1"/>
  <c r="V98" i="2" s="1"/>
  <c r="W96" i="2"/>
  <c r="X96" i="2" s="1"/>
  <c r="Y96" i="2" s="1"/>
  <c r="AA96" i="2"/>
  <c r="AB96" i="2" s="1"/>
  <c r="Z96" i="2"/>
  <c r="AD97" i="2"/>
  <c r="AE97" i="2" s="1"/>
  <c r="AC97" i="2"/>
  <c r="R98" i="2"/>
  <c r="S98" i="2" s="1"/>
  <c r="Q98" i="2"/>
  <c r="M30" i="2"/>
  <c r="D31" i="2"/>
  <c r="N30" i="2"/>
  <c r="Q99" i="2" l="1"/>
  <c r="R99" i="2" s="1"/>
  <c r="S99" i="2" s="1"/>
  <c r="W97" i="2"/>
  <c r="X97" i="2"/>
  <c r="Y97" i="2" s="1"/>
  <c r="AC98" i="2"/>
  <c r="AD98" i="2" s="1"/>
  <c r="AE98" i="2" s="1"/>
  <c r="Z97" i="2"/>
  <c r="AA97" i="2"/>
  <c r="AB97" i="2" s="1"/>
  <c r="T99" i="2"/>
  <c r="U99" i="2"/>
  <c r="V99" i="2" s="1"/>
  <c r="G31" i="2"/>
  <c r="F31" i="2"/>
  <c r="K31" i="2" s="1"/>
  <c r="B31" i="2"/>
  <c r="C31" i="2" s="1"/>
  <c r="Z98" i="2" l="1"/>
  <c r="AA98" i="2" s="1"/>
  <c r="AB98" i="2" s="1"/>
  <c r="T100" i="2"/>
  <c r="U100" i="2" s="1"/>
  <c r="V100" i="2" s="1"/>
  <c r="X98" i="2"/>
  <c r="Y98" i="2" s="1"/>
  <c r="W98" i="2"/>
  <c r="AC99" i="2"/>
  <c r="AD99" i="2" s="1"/>
  <c r="AE99" i="2" s="1"/>
  <c r="R100" i="2"/>
  <c r="S100" i="2" s="1"/>
  <c r="Q100" i="2"/>
  <c r="E31" i="2"/>
  <c r="H31" i="2"/>
  <c r="J31" i="2" s="1"/>
  <c r="Q101" i="2" l="1"/>
  <c r="R101" i="2" s="1"/>
  <c r="S101" i="2" s="1"/>
  <c r="D32" i="2"/>
  <c r="N31" i="2"/>
  <c r="X99" i="2"/>
  <c r="Y99" i="2" s="1"/>
  <c r="W99" i="2"/>
  <c r="T101" i="2"/>
  <c r="U101" i="2"/>
  <c r="V101" i="2" s="1"/>
  <c r="AC100" i="2"/>
  <c r="AD100" i="2" s="1"/>
  <c r="AE100" i="2" s="1"/>
  <c r="Z99" i="2"/>
  <c r="AA99" i="2" s="1"/>
  <c r="AB99" i="2" s="1"/>
  <c r="I31" i="2"/>
  <c r="L31" i="2"/>
  <c r="Z100" i="2" l="1"/>
  <c r="AA100" i="2" s="1"/>
  <c r="AB100" i="2" s="1"/>
  <c r="T102" i="2"/>
  <c r="U102" i="2"/>
  <c r="V102" i="2" s="1"/>
  <c r="W100" i="2"/>
  <c r="X100" i="2" s="1"/>
  <c r="Y100" i="2" s="1"/>
  <c r="AC101" i="2"/>
  <c r="AD101" i="2"/>
  <c r="AE101" i="2" s="1"/>
  <c r="Q102" i="2"/>
  <c r="R102" i="2" s="1"/>
  <c r="S102" i="2" s="1"/>
  <c r="M31" i="2"/>
  <c r="G32" i="2"/>
  <c r="F32" i="2"/>
  <c r="K32" i="2" s="1"/>
  <c r="B32" i="2"/>
  <c r="C32" i="2" s="1"/>
  <c r="Q103" i="2" l="1"/>
  <c r="R103" i="2" s="1"/>
  <c r="S103" i="2" s="1"/>
  <c r="W101" i="2"/>
  <c r="X101" i="2" s="1"/>
  <c r="Y101" i="2" s="1"/>
  <c r="T103" i="2"/>
  <c r="U103" i="2"/>
  <c r="V103" i="2" s="1"/>
  <c r="AC102" i="2"/>
  <c r="AD102" i="2" s="1"/>
  <c r="AE102" i="2" s="1"/>
  <c r="AA101" i="2"/>
  <c r="AB101" i="2" s="1"/>
  <c r="Z101" i="2"/>
  <c r="H32" i="2"/>
  <c r="L32" i="2" s="1"/>
  <c r="E32" i="2"/>
  <c r="I32" i="2" s="1"/>
  <c r="Z102" i="2" l="1"/>
  <c r="AA102" i="2"/>
  <c r="AB102" i="2" s="1"/>
  <c r="M32" i="2"/>
  <c r="T104" i="2"/>
  <c r="U104" i="2"/>
  <c r="V104" i="2" s="1"/>
  <c r="X102" i="2"/>
  <c r="Y102" i="2" s="1"/>
  <c r="W102" i="2"/>
  <c r="AC103" i="2"/>
  <c r="AD103" i="2" s="1"/>
  <c r="AE103" i="2" s="1"/>
  <c r="Q104" i="2"/>
  <c r="R104" i="2" s="1"/>
  <c r="S104" i="2" s="1"/>
  <c r="J32" i="2"/>
  <c r="Q105" i="2" l="1"/>
  <c r="R105" i="2"/>
  <c r="S105" i="2" s="1"/>
  <c r="W103" i="2"/>
  <c r="X103" i="2"/>
  <c r="Y103" i="2" s="1"/>
  <c r="AC104" i="2"/>
  <c r="AD104" i="2" s="1"/>
  <c r="AE104" i="2" s="1"/>
  <c r="T105" i="2"/>
  <c r="U105" i="2" s="1"/>
  <c r="V105" i="2" s="1"/>
  <c r="AA103" i="2"/>
  <c r="AB103" i="2" s="1"/>
  <c r="Z103" i="2"/>
  <c r="D33" i="2"/>
  <c r="N32" i="2"/>
  <c r="Z104" i="2" l="1"/>
  <c r="AA104" i="2" s="1"/>
  <c r="AB104" i="2" s="1"/>
  <c r="AD105" i="2"/>
  <c r="AE105" i="2" s="1"/>
  <c r="AC105" i="2"/>
  <c r="U106" i="2"/>
  <c r="V106" i="2" s="1"/>
  <c r="T106" i="2"/>
  <c r="X104" i="2"/>
  <c r="Y104" i="2" s="1"/>
  <c r="W104" i="2"/>
  <c r="Q106" i="2"/>
  <c r="R106" i="2" s="1"/>
  <c r="S106" i="2" s="1"/>
  <c r="F33" i="2"/>
  <c r="K33" i="2" s="1"/>
  <c r="B33" i="2"/>
  <c r="C33" i="2" s="1"/>
  <c r="G33" i="2"/>
  <c r="Q107" i="2" l="1"/>
  <c r="R107" i="2"/>
  <c r="S107" i="2" s="1"/>
  <c r="W105" i="2"/>
  <c r="X105" i="2" s="1"/>
  <c r="Y105" i="2" s="1"/>
  <c r="AC106" i="2"/>
  <c r="AD106" i="2" s="1"/>
  <c r="AE106" i="2" s="1"/>
  <c r="T107" i="2"/>
  <c r="U107" i="2" s="1"/>
  <c r="V107" i="2" s="1"/>
  <c r="Z105" i="2"/>
  <c r="AA105" i="2"/>
  <c r="AB105" i="2" s="1"/>
  <c r="E33" i="2"/>
  <c r="H33" i="2"/>
  <c r="L33" i="2" s="1"/>
  <c r="M33" i="2" l="1"/>
  <c r="T108" i="2"/>
  <c r="U108" i="2" s="1"/>
  <c r="V108" i="2" s="1"/>
  <c r="AD107" i="2"/>
  <c r="AE107" i="2" s="1"/>
  <c r="AC107" i="2"/>
  <c r="AA106" i="2"/>
  <c r="AB106" i="2" s="1"/>
  <c r="Z106" i="2"/>
  <c r="X106" i="2"/>
  <c r="Y106" i="2" s="1"/>
  <c r="W106" i="2"/>
  <c r="Q108" i="2"/>
  <c r="R108" i="2" s="1"/>
  <c r="S108" i="2" s="1"/>
  <c r="J33" i="2"/>
  <c r="I33" i="2"/>
  <c r="W107" i="2" l="1"/>
  <c r="X107" i="2" s="1"/>
  <c r="Y107" i="2" s="1"/>
  <c r="R109" i="2"/>
  <c r="S109" i="2" s="1"/>
  <c r="Q109" i="2"/>
  <c r="AC108" i="2"/>
  <c r="AD108" i="2" s="1"/>
  <c r="AE108" i="2" s="1"/>
  <c r="Z107" i="2"/>
  <c r="AA107" i="2"/>
  <c r="AB107" i="2" s="1"/>
  <c r="T109" i="2"/>
  <c r="U109" i="2"/>
  <c r="V109" i="2" s="1"/>
  <c r="D34" i="2"/>
  <c r="N33" i="2"/>
  <c r="Z108" i="2" l="1"/>
  <c r="AA108" i="2" s="1"/>
  <c r="AB108" i="2" s="1"/>
  <c r="U110" i="2"/>
  <c r="V110" i="2" s="1"/>
  <c r="T110" i="2"/>
  <c r="R110" i="2"/>
  <c r="S110" i="2" s="1"/>
  <c r="Q110" i="2"/>
  <c r="AD109" i="2"/>
  <c r="AE109" i="2" s="1"/>
  <c r="AC109" i="2"/>
  <c r="X108" i="2"/>
  <c r="Y108" i="2" s="1"/>
  <c r="W108" i="2"/>
  <c r="G34" i="2"/>
  <c r="B34" i="2"/>
  <c r="C34" i="2" s="1"/>
  <c r="F34" i="2"/>
  <c r="K34" i="2" s="1"/>
  <c r="AC110" i="2" l="1"/>
  <c r="AD110" i="2" s="1"/>
  <c r="AE110" i="2" s="1"/>
  <c r="W109" i="2"/>
  <c r="X109" i="2" s="1"/>
  <c r="Y109" i="2" s="1"/>
  <c r="T111" i="2"/>
  <c r="U111" i="2" s="1"/>
  <c r="V111" i="2" s="1"/>
  <c r="R111" i="2"/>
  <c r="S111" i="2" s="1"/>
  <c r="Q111" i="2"/>
  <c r="Z109" i="2"/>
  <c r="AA109" i="2"/>
  <c r="AB109" i="2" s="1"/>
  <c r="H34" i="2"/>
  <c r="L34" i="2" s="1"/>
  <c r="J34" i="2"/>
  <c r="E34" i="2"/>
  <c r="I34" i="2" s="1"/>
  <c r="Z110" i="2" l="1"/>
  <c r="AA110" i="2" s="1"/>
  <c r="AB110" i="2" s="1"/>
  <c r="Q112" i="2"/>
  <c r="R112" i="2" s="1"/>
  <c r="S112" i="2" s="1"/>
  <c r="W110" i="2"/>
  <c r="X110" i="2" s="1"/>
  <c r="Y110" i="2" s="1"/>
  <c r="M34" i="2"/>
  <c r="U112" i="2"/>
  <c r="V112" i="2" s="1"/>
  <c r="T112" i="2"/>
  <c r="AC111" i="2"/>
  <c r="AD111" i="2" s="1"/>
  <c r="AE111" i="2" s="1"/>
  <c r="D35" i="2"/>
  <c r="N34" i="2"/>
  <c r="AC112" i="2" l="1"/>
  <c r="AD112" i="2" s="1"/>
  <c r="AE112" i="2" s="1"/>
  <c r="U113" i="2"/>
  <c r="V113" i="2" s="1"/>
  <c r="T113" i="2"/>
  <c r="Q113" i="2"/>
  <c r="R113" i="2" s="1"/>
  <c r="S113" i="2" s="1"/>
  <c r="W111" i="2"/>
  <c r="X111" i="2" s="1"/>
  <c r="Y111" i="2" s="1"/>
  <c r="AA111" i="2"/>
  <c r="AB111" i="2" s="1"/>
  <c r="Z111" i="2"/>
  <c r="B35" i="2"/>
  <c r="C35" i="2" s="1"/>
  <c r="F35" i="2"/>
  <c r="K35" i="2" s="1"/>
  <c r="W112" i="2" l="1"/>
  <c r="X112" i="2" s="1"/>
  <c r="Y112" i="2" s="1"/>
  <c r="Q114" i="2"/>
  <c r="R114" i="2"/>
  <c r="S114" i="2" s="1"/>
  <c r="T114" i="2"/>
  <c r="U114" i="2"/>
  <c r="V114" i="2" s="1"/>
  <c r="Z112" i="2"/>
  <c r="AA112" i="2"/>
  <c r="AB112" i="2" s="1"/>
  <c r="AD113" i="2"/>
  <c r="AE113" i="2" s="1"/>
  <c r="AC113" i="2"/>
  <c r="G35" i="2"/>
  <c r="Z113" i="2" l="1"/>
  <c r="AA113" i="2" s="1"/>
  <c r="AB113" i="2" s="1"/>
  <c r="Q115" i="2"/>
  <c r="R115" i="2" s="1"/>
  <c r="S115" i="2" s="1"/>
  <c r="AC114" i="2"/>
  <c r="AD114" i="2" s="1"/>
  <c r="AE114" i="2" s="1"/>
  <c r="U115" i="2"/>
  <c r="V115" i="2" s="1"/>
  <c r="T115" i="2"/>
  <c r="X113" i="2"/>
  <c r="Y113" i="2" s="1"/>
  <c r="W113" i="2"/>
  <c r="E35" i="2"/>
  <c r="H35" i="2"/>
  <c r="J35" i="2" s="1"/>
  <c r="W114" i="2" l="1"/>
  <c r="X114" i="2" s="1"/>
  <c r="Y114" i="2" s="1"/>
  <c r="T116" i="2"/>
  <c r="U116" i="2" s="1"/>
  <c r="V116" i="2" s="1"/>
  <c r="R116" i="2"/>
  <c r="S116" i="2" s="1"/>
  <c r="Q116" i="2"/>
  <c r="D36" i="2"/>
  <c r="N35" i="2"/>
  <c r="AC115" i="2"/>
  <c r="AD115" i="2" s="1"/>
  <c r="AE115" i="2" s="1"/>
  <c r="Z114" i="2"/>
  <c r="AA114" i="2" s="1"/>
  <c r="AB114" i="2" s="1"/>
  <c r="L35" i="2"/>
  <c r="I35" i="2"/>
  <c r="AA115" i="2" l="1"/>
  <c r="AB115" i="2" s="1"/>
  <c r="Z115" i="2"/>
  <c r="U117" i="2"/>
  <c r="V117" i="2" s="1"/>
  <c r="T117" i="2"/>
  <c r="AD116" i="2"/>
  <c r="AE116" i="2" s="1"/>
  <c r="AC116" i="2"/>
  <c r="R117" i="2"/>
  <c r="S117" i="2" s="1"/>
  <c r="Q117" i="2"/>
  <c r="X115" i="2"/>
  <c r="Y115" i="2" s="1"/>
  <c r="W115" i="2"/>
  <c r="B36" i="2"/>
  <c r="C36" i="2" s="1"/>
  <c r="G36" i="2"/>
  <c r="H36" i="2" s="1"/>
  <c r="F36" i="2"/>
  <c r="K36" i="2" s="1"/>
  <c r="M35" i="2"/>
  <c r="W116" i="2" l="1"/>
  <c r="X116" i="2" s="1"/>
  <c r="Y116" i="2" s="1"/>
  <c r="R118" i="2"/>
  <c r="S118" i="2" s="1"/>
  <c r="Q118" i="2"/>
  <c r="AD117" i="2"/>
  <c r="AE117" i="2" s="1"/>
  <c r="AC117" i="2"/>
  <c r="U118" i="2"/>
  <c r="V118" i="2" s="1"/>
  <c r="T118" i="2"/>
  <c r="Z116" i="2"/>
  <c r="AA116" i="2" s="1"/>
  <c r="AB116" i="2" s="1"/>
  <c r="J36" i="2"/>
  <c r="L36" i="2"/>
  <c r="E36" i="2"/>
  <c r="I36" i="2" s="1"/>
  <c r="T119" i="2" l="1"/>
  <c r="U119" i="2"/>
  <c r="V119" i="2" s="1"/>
  <c r="R119" i="2"/>
  <c r="S119" i="2" s="1"/>
  <c r="Q119" i="2"/>
  <c r="Z117" i="2"/>
  <c r="AA117" i="2"/>
  <c r="AB117" i="2" s="1"/>
  <c r="AD118" i="2"/>
  <c r="AE118" i="2" s="1"/>
  <c r="AC118" i="2"/>
  <c r="W117" i="2"/>
  <c r="X117" i="2" s="1"/>
  <c r="Y117" i="2" s="1"/>
  <c r="M36" i="2"/>
  <c r="D37" i="2"/>
  <c r="N36" i="2"/>
  <c r="AC119" i="2" l="1"/>
  <c r="AD119" i="2" s="1"/>
  <c r="AE119" i="2" s="1"/>
  <c r="R120" i="2"/>
  <c r="S120" i="2" s="1"/>
  <c r="Q120" i="2"/>
  <c r="W118" i="2"/>
  <c r="X118" i="2" s="1"/>
  <c r="Y118" i="2" s="1"/>
  <c r="Z118" i="2"/>
  <c r="AA118" i="2" s="1"/>
  <c r="AB118" i="2" s="1"/>
  <c r="T120" i="2"/>
  <c r="U120" i="2" s="1"/>
  <c r="V120" i="2" s="1"/>
  <c r="F37" i="2"/>
  <c r="K37" i="2" s="1"/>
  <c r="B37" i="2"/>
  <c r="C37" i="2" s="1"/>
  <c r="W119" i="2" l="1"/>
  <c r="X119" i="2" s="1"/>
  <c r="Y119" i="2" s="1"/>
  <c r="AA119" i="2"/>
  <c r="AB119" i="2" s="1"/>
  <c r="Z119" i="2"/>
  <c r="Q121" i="2"/>
  <c r="R121" i="2" s="1"/>
  <c r="S121" i="2" s="1"/>
  <c r="T121" i="2"/>
  <c r="U121" i="2" s="1"/>
  <c r="V121" i="2" s="1"/>
  <c r="AD120" i="2"/>
  <c r="AE120" i="2" s="1"/>
  <c r="AC120" i="2"/>
  <c r="G37" i="2"/>
  <c r="E37" i="2" s="1"/>
  <c r="T122" i="2" l="1"/>
  <c r="U122" i="2" s="1"/>
  <c r="V122" i="2" s="1"/>
  <c r="AD121" i="2"/>
  <c r="AE121" i="2" s="1"/>
  <c r="AC121" i="2"/>
  <c r="AA120" i="2"/>
  <c r="AB120" i="2" s="1"/>
  <c r="Z120" i="2"/>
  <c r="Q122" i="2"/>
  <c r="R122" i="2" s="1"/>
  <c r="S122" i="2" s="1"/>
  <c r="X120" i="2"/>
  <c r="Y120" i="2" s="1"/>
  <c r="W120" i="2"/>
  <c r="H37" i="2"/>
  <c r="I37" i="2" s="1"/>
  <c r="J37" i="2"/>
  <c r="Q123" i="2" l="1"/>
  <c r="R123" i="2" s="1"/>
  <c r="S123" i="2" s="1"/>
  <c r="AC122" i="2"/>
  <c r="AD122" i="2"/>
  <c r="AE122" i="2" s="1"/>
  <c r="W121" i="2"/>
  <c r="X121" i="2" s="1"/>
  <c r="Y121" i="2" s="1"/>
  <c r="Z121" i="2"/>
  <c r="AA121" i="2" s="1"/>
  <c r="AB121" i="2" s="1"/>
  <c r="U123" i="2"/>
  <c r="V123" i="2" s="1"/>
  <c r="T123" i="2"/>
  <c r="D38" i="2"/>
  <c r="N37" i="2"/>
  <c r="L37" i="2"/>
  <c r="Z122" i="2" l="1"/>
  <c r="AA122" i="2" s="1"/>
  <c r="AB122" i="2" s="1"/>
  <c r="T124" i="2"/>
  <c r="U124" i="2" s="1"/>
  <c r="V124" i="2" s="1"/>
  <c r="AC123" i="2"/>
  <c r="AD123" i="2" s="1"/>
  <c r="AE123" i="2" s="1"/>
  <c r="X122" i="2"/>
  <c r="Y122" i="2" s="1"/>
  <c r="W122" i="2"/>
  <c r="Q124" i="2"/>
  <c r="R124" i="2"/>
  <c r="S124" i="2" s="1"/>
  <c r="G38" i="2"/>
  <c r="H38" i="2" s="1"/>
  <c r="J38" i="2" s="1"/>
  <c r="F38" i="2"/>
  <c r="K38" i="2" s="1"/>
  <c r="B38" i="2"/>
  <c r="C38" i="2" s="1"/>
  <c r="M37" i="2"/>
  <c r="W123" i="2" l="1"/>
  <c r="X123" i="2" s="1"/>
  <c r="Y123" i="2" s="1"/>
  <c r="Q125" i="2"/>
  <c r="R125" i="2" s="1"/>
  <c r="S125" i="2" s="1"/>
  <c r="U125" i="2"/>
  <c r="V125" i="2" s="1"/>
  <c r="T125" i="2"/>
  <c r="D39" i="2"/>
  <c r="N38" i="2"/>
  <c r="AD124" i="2"/>
  <c r="AE124" i="2" s="1"/>
  <c r="AC124" i="2"/>
  <c r="AA123" i="2"/>
  <c r="AB123" i="2" s="1"/>
  <c r="Z123" i="2"/>
  <c r="E38" i="2"/>
  <c r="I38" i="2" s="1"/>
  <c r="L38" i="2"/>
  <c r="AC125" i="2" l="1"/>
  <c r="AD125" i="2" s="1"/>
  <c r="AE125" i="2" s="1"/>
  <c r="Q126" i="2"/>
  <c r="R126" i="2"/>
  <c r="S126" i="2" s="1"/>
  <c r="Z124" i="2"/>
  <c r="AA124" i="2"/>
  <c r="AB124" i="2" s="1"/>
  <c r="U126" i="2"/>
  <c r="V126" i="2" s="1"/>
  <c r="T126" i="2"/>
  <c r="W124" i="2"/>
  <c r="X124" i="2" s="1"/>
  <c r="Y124" i="2" s="1"/>
  <c r="M38" i="2"/>
  <c r="G39" i="2"/>
  <c r="H39" i="2" s="1"/>
  <c r="F39" i="2"/>
  <c r="K39" i="2" s="1"/>
  <c r="B39" i="2"/>
  <c r="C39" i="2" s="1"/>
  <c r="Z125" i="2" l="1"/>
  <c r="AA125" i="2" s="1"/>
  <c r="AB125" i="2" s="1"/>
  <c r="W125" i="2"/>
  <c r="X125" i="2" s="1"/>
  <c r="Y125" i="2" s="1"/>
  <c r="R127" i="2"/>
  <c r="S127" i="2" s="1"/>
  <c r="Q127" i="2"/>
  <c r="T127" i="2"/>
  <c r="U127" i="2"/>
  <c r="V127" i="2" s="1"/>
  <c r="AC126" i="2"/>
  <c r="AD126" i="2" s="1"/>
  <c r="AE126" i="2" s="1"/>
  <c r="J39" i="2"/>
  <c r="L39" i="2"/>
  <c r="E39" i="2"/>
  <c r="I39" i="2" s="1"/>
  <c r="T128" i="2" l="1"/>
  <c r="U128" i="2" s="1"/>
  <c r="V128" i="2" s="1"/>
  <c r="H9" i="3"/>
  <c r="W126" i="2"/>
  <c r="X126" i="2" s="1"/>
  <c r="Y126" i="2" s="1"/>
  <c r="AC127" i="2"/>
  <c r="AD127" i="2"/>
  <c r="AE127" i="2" s="1"/>
  <c r="R128" i="2"/>
  <c r="S128" i="2" s="1"/>
  <c r="Q128" i="2"/>
  <c r="H8" i="3"/>
  <c r="Z126" i="2"/>
  <c r="AA126" i="2"/>
  <c r="AB126" i="2" s="1"/>
  <c r="M39" i="2"/>
  <c r="D40" i="2"/>
  <c r="N39" i="2"/>
  <c r="Q129" i="2" l="1"/>
  <c r="R129" i="2" s="1"/>
  <c r="S129" i="2" s="1"/>
  <c r="W127" i="2"/>
  <c r="X127" i="2" s="1"/>
  <c r="Y127" i="2" s="1"/>
  <c r="AA127" i="2"/>
  <c r="AB127" i="2" s="1"/>
  <c r="Z127" i="2"/>
  <c r="AD128" i="2"/>
  <c r="AE128" i="2" s="1"/>
  <c r="AC128" i="2"/>
  <c r="H12" i="3"/>
  <c r="T129" i="2"/>
  <c r="U129" i="2"/>
  <c r="V129" i="2" s="1"/>
  <c r="G40" i="2"/>
  <c r="B40" i="2"/>
  <c r="C40" i="2" s="1"/>
  <c r="F40" i="2"/>
  <c r="K40" i="2" s="1"/>
  <c r="T130" i="2" l="1"/>
  <c r="U130" i="2" s="1"/>
  <c r="V130" i="2" s="1"/>
  <c r="AC129" i="2"/>
  <c r="AD129" i="2" s="1"/>
  <c r="AE129" i="2" s="1"/>
  <c r="W128" i="2"/>
  <c r="X128" i="2" s="1"/>
  <c r="Y128" i="2" s="1"/>
  <c r="H10" i="3"/>
  <c r="Z128" i="2"/>
  <c r="AA128" i="2"/>
  <c r="AB128" i="2" s="1"/>
  <c r="H11" i="3"/>
  <c r="Q130" i="2"/>
  <c r="R130" i="2" s="1"/>
  <c r="S130" i="2" s="1"/>
  <c r="H40" i="2"/>
  <c r="J40" i="2" s="1"/>
  <c r="E40" i="2"/>
  <c r="Z129" i="2" l="1"/>
  <c r="AA129" i="2"/>
  <c r="AB129" i="2" s="1"/>
  <c r="D41" i="2"/>
  <c r="N40" i="2"/>
  <c r="AC130" i="2"/>
  <c r="AD130" i="2"/>
  <c r="AE130" i="2" s="1"/>
  <c r="Q131" i="2"/>
  <c r="R131" i="2"/>
  <c r="S131" i="2" s="1"/>
  <c r="X129" i="2"/>
  <c r="Y129" i="2" s="1"/>
  <c r="W129" i="2"/>
  <c r="U131" i="2"/>
  <c r="V131" i="2" s="1"/>
  <c r="T131" i="2"/>
  <c r="L40" i="2"/>
  <c r="I40" i="2"/>
  <c r="T132" i="2" l="1"/>
  <c r="U132" i="2" s="1"/>
  <c r="V132" i="2" s="1"/>
  <c r="Q132" i="2"/>
  <c r="R132" i="2"/>
  <c r="S132" i="2" s="1"/>
  <c r="W130" i="2"/>
  <c r="X130" i="2" s="1"/>
  <c r="Y130" i="2" s="1"/>
  <c r="AC131" i="2"/>
  <c r="AD131" i="2" s="1"/>
  <c r="AE131" i="2" s="1"/>
  <c r="Z130" i="2"/>
  <c r="AA130" i="2"/>
  <c r="AB130" i="2" s="1"/>
  <c r="M40" i="2"/>
  <c r="B41" i="2"/>
  <c r="C41" i="2" s="1"/>
  <c r="F41" i="2"/>
  <c r="K41" i="2" s="1"/>
  <c r="AC132" i="2" l="1"/>
  <c r="AD132" i="2"/>
  <c r="AE132" i="2" s="1"/>
  <c r="Z131" i="2"/>
  <c r="AA131" i="2" s="1"/>
  <c r="AB131" i="2" s="1"/>
  <c r="Q133" i="2"/>
  <c r="R133" i="2" s="1"/>
  <c r="S133" i="2" s="1"/>
  <c r="W131" i="2"/>
  <c r="X131" i="2"/>
  <c r="Y131" i="2" s="1"/>
  <c r="T133" i="2"/>
  <c r="U133" i="2" s="1"/>
  <c r="V133" i="2" s="1"/>
  <c r="G41" i="2"/>
  <c r="W132" i="2" l="1"/>
  <c r="X132" i="2" s="1"/>
  <c r="Y132" i="2" s="1"/>
  <c r="Q134" i="2"/>
  <c r="R134" i="2" s="1"/>
  <c r="S134" i="2" s="1"/>
  <c r="T134" i="2"/>
  <c r="U134" i="2"/>
  <c r="V134" i="2" s="1"/>
  <c r="AA132" i="2"/>
  <c r="AB132" i="2" s="1"/>
  <c r="Z132" i="2"/>
  <c r="AD133" i="2"/>
  <c r="AE133" i="2" s="1"/>
  <c r="AC133" i="2"/>
  <c r="H41" i="2"/>
  <c r="J41" i="2" s="1"/>
  <c r="E41" i="2"/>
  <c r="D42" i="2" l="1"/>
  <c r="N41" i="2"/>
  <c r="Z133" i="2"/>
  <c r="AA133" i="2" s="1"/>
  <c r="AB133" i="2" s="1"/>
  <c r="R135" i="2"/>
  <c r="S135" i="2" s="1"/>
  <c r="Q135" i="2"/>
  <c r="AD134" i="2"/>
  <c r="AE134" i="2" s="1"/>
  <c r="AC134" i="2"/>
  <c r="T135" i="2"/>
  <c r="U135" i="2" s="1"/>
  <c r="V135" i="2" s="1"/>
  <c r="X133" i="2"/>
  <c r="Y133" i="2" s="1"/>
  <c r="W133" i="2"/>
  <c r="L41" i="2"/>
  <c r="I41" i="2"/>
  <c r="AC135" i="2" l="1"/>
  <c r="AD135" i="2" s="1"/>
  <c r="AE135" i="2" s="1"/>
  <c r="W134" i="2"/>
  <c r="X134" i="2"/>
  <c r="Y134" i="2" s="1"/>
  <c r="Q136" i="2"/>
  <c r="R136" i="2"/>
  <c r="S136" i="2" s="1"/>
  <c r="U136" i="2"/>
  <c r="V136" i="2" s="1"/>
  <c r="T136" i="2"/>
  <c r="Z134" i="2"/>
  <c r="AA134" i="2"/>
  <c r="AB134" i="2" s="1"/>
  <c r="M41" i="2"/>
  <c r="F42" i="2"/>
  <c r="K42" i="2" s="1"/>
  <c r="B42" i="2"/>
  <c r="C42" i="2" s="1"/>
  <c r="T137" i="2" l="1"/>
  <c r="U137" i="2" s="1"/>
  <c r="V137" i="2" s="1"/>
  <c r="Z135" i="2"/>
  <c r="AA135" i="2" s="1"/>
  <c r="AB135" i="2" s="1"/>
  <c r="X135" i="2"/>
  <c r="Y135" i="2" s="1"/>
  <c r="W135" i="2"/>
  <c r="R137" i="2"/>
  <c r="S137" i="2" s="1"/>
  <c r="Q137" i="2"/>
  <c r="AC136" i="2"/>
  <c r="AD136" i="2" s="1"/>
  <c r="AE136" i="2" s="1"/>
  <c r="G42" i="2"/>
  <c r="AC137" i="2" l="1"/>
  <c r="AD137" i="2"/>
  <c r="AE137" i="2" s="1"/>
  <c r="Z136" i="2"/>
  <c r="AA136" i="2" s="1"/>
  <c r="AB136" i="2" s="1"/>
  <c r="Q138" i="2"/>
  <c r="R138" i="2" s="1"/>
  <c r="S138" i="2" s="1"/>
  <c r="W136" i="2"/>
  <c r="X136" i="2" s="1"/>
  <c r="Y136" i="2" s="1"/>
  <c r="T138" i="2"/>
  <c r="U138" i="2" s="1"/>
  <c r="V138" i="2" s="1"/>
  <c r="E42" i="2"/>
  <c r="H42" i="2"/>
  <c r="J42" i="2" s="1"/>
  <c r="D43" i="2" l="1"/>
  <c r="N42" i="2"/>
  <c r="W137" i="2"/>
  <c r="X137" i="2" s="1"/>
  <c r="Y137" i="2" s="1"/>
  <c r="Q139" i="2"/>
  <c r="R139" i="2" s="1"/>
  <c r="S139" i="2" s="1"/>
  <c r="T139" i="2"/>
  <c r="U139" i="2" s="1"/>
  <c r="V139" i="2" s="1"/>
  <c r="Z137" i="2"/>
  <c r="AA137" i="2" s="1"/>
  <c r="AB137" i="2" s="1"/>
  <c r="AC138" i="2"/>
  <c r="AD138" i="2" s="1"/>
  <c r="AE138" i="2" s="1"/>
  <c r="L42" i="2"/>
  <c r="I42" i="2"/>
  <c r="AC139" i="2" l="1"/>
  <c r="AD139" i="2" s="1"/>
  <c r="AE139" i="2" s="1"/>
  <c r="AA138" i="2"/>
  <c r="AB138" i="2" s="1"/>
  <c r="Z138" i="2"/>
  <c r="Q140" i="2"/>
  <c r="R140" i="2" s="1"/>
  <c r="S140" i="2" s="1"/>
  <c r="T140" i="2"/>
  <c r="U140" i="2" s="1"/>
  <c r="V140" i="2" s="1"/>
  <c r="X138" i="2"/>
  <c r="Y138" i="2" s="1"/>
  <c r="W138" i="2"/>
  <c r="M42" i="2"/>
  <c r="B43" i="2"/>
  <c r="C43" i="2" s="1"/>
  <c r="F43" i="2"/>
  <c r="K43" i="2" s="1"/>
  <c r="Q141" i="2" l="1"/>
  <c r="R141" i="2"/>
  <c r="S141" i="2" s="1"/>
  <c r="U141" i="2"/>
  <c r="V141" i="2" s="1"/>
  <c r="T141" i="2"/>
  <c r="Z139" i="2"/>
  <c r="AA139" i="2"/>
  <c r="AB139" i="2" s="1"/>
  <c r="W139" i="2"/>
  <c r="X139" i="2"/>
  <c r="Y139" i="2" s="1"/>
  <c r="AC140" i="2"/>
  <c r="AD140" i="2" s="1"/>
  <c r="AE140" i="2" s="1"/>
  <c r="G43" i="2"/>
  <c r="D49" i="3"/>
  <c r="AD141" i="2" l="1"/>
  <c r="AE141" i="2" s="1"/>
  <c r="AC141" i="2"/>
  <c r="Z140" i="2"/>
  <c r="AA140" i="2"/>
  <c r="AB140" i="2" s="1"/>
  <c r="X140" i="2"/>
  <c r="Y140" i="2" s="1"/>
  <c r="W140" i="2"/>
  <c r="T142" i="2"/>
  <c r="U142" i="2" s="1"/>
  <c r="V142" i="2" s="1"/>
  <c r="R142" i="2"/>
  <c r="S142" i="2" s="1"/>
  <c r="Q142" i="2"/>
  <c r="H43" i="2"/>
  <c r="J43" i="2" s="1"/>
  <c r="E43" i="2"/>
  <c r="I43" i="2" s="1"/>
  <c r="D44" i="2" l="1"/>
  <c r="C49" i="3"/>
  <c r="N43" i="2"/>
  <c r="R143" i="2"/>
  <c r="S143" i="2" s="1"/>
  <c r="Q143" i="2"/>
  <c r="U143" i="2"/>
  <c r="V143" i="2" s="1"/>
  <c r="T143" i="2"/>
  <c r="W141" i="2"/>
  <c r="X141" i="2" s="1"/>
  <c r="Y141" i="2" s="1"/>
  <c r="Z141" i="2"/>
  <c r="AA141" i="2" s="1"/>
  <c r="AB141" i="2" s="1"/>
  <c r="AC142" i="2"/>
  <c r="AE142" i="2"/>
  <c r="AD142" i="2"/>
  <c r="L43" i="2"/>
  <c r="W142" i="2" l="1"/>
  <c r="X142" i="2"/>
  <c r="Y142" i="2" s="1"/>
  <c r="Z142" i="2"/>
  <c r="AA142" i="2"/>
  <c r="AB142" i="2" s="1"/>
  <c r="T144" i="2"/>
  <c r="U144" i="2" s="1"/>
  <c r="V144" i="2" s="1"/>
  <c r="Q144" i="2"/>
  <c r="R144" i="2"/>
  <c r="S144" i="2" s="1"/>
  <c r="AE143" i="2"/>
  <c r="AD143" i="2"/>
  <c r="AC143" i="2"/>
  <c r="E49" i="3"/>
  <c r="F49" i="3" s="1"/>
  <c r="M43" i="2"/>
  <c r="F44" i="2"/>
  <c r="K44" i="2" s="1"/>
  <c r="B44" i="2"/>
  <c r="C44" i="2" s="1"/>
  <c r="T145" i="2" l="1"/>
  <c r="U145" i="2" s="1"/>
  <c r="V145" i="2" s="1"/>
  <c r="Q145" i="2"/>
  <c r="R145" i="2" s="1"/>
  <c r="S145" i="2" s="1"/>
  <c r="Z143" i="2"/>
  <c r="AA143" i="2" s="1"/>
  <c r="AB143" i="2" s="1"/>
  <c r="W143" i="2"/>
  <c r="X143" i="2" s="1"/>
  <c r="Y143" i="2" s="1"/>
  <c r="AE144" i="2"/>
  <c r="AD144" i="2"/>
  <c r="AC144" i="2"/>
  <c r="G44" i="2"/>
  <c r="E44" i="2" s="1"/>
  <c r="W144" i="2" l="1"/>
  <c r="X144" i="2"/>
  <c r="Y144" i="2" s="1"/>
  <c r="Q146" i="2"/>
  <c r="R146" i="2"/>
  <c r="S146" i="2" s="1"/>
  <c r="Z144" i="2"/>
  <c r="AA144" i="2"/>
  <c r="AB144" i="2" s="1"/>
  <c r="T146" i="2"/>
  <c r="U146" i="2"/>
  <c r="V146" i="2" s="1"/>
  <c r="H44" i="2"/>
  <c r="I44" i="2" s="1"/>
  <c r="AE145" i="2"/>
  <c r="AD145" i="2"/>
  <c r="AC145" i="2"/>
  <c r="Z145" i="2" l="1"/>
  <c r="AA145" i="2" s="1"/>
  <c r="AB145" i="2" s="1"/>
  <c r="T147" i="2"/>
  <c r="U147" i="2" s="1"/>
  <c r="V147" i="2" s="1"/>
  <c r="R147" i="2"/>
  <c r="S147" i="2" s="1"/>
  <c r="Q147" i="2"/>
  <c r="W145" i="2"/>
  <c r="X145" i="2" s="1"/>
  <c r="Y145" i="2" s="1"/>
  <c r="J44" i="2"/>
  <c r="L44" i="2"/>
  <c r="AD146" i="2"/>
  <c r="AE146" i="2"/>
  <c r="AC146" i="2"/>
  <c r="W146" i="2" l="1"/>
  <c r="X146" i="2" s="1"/>
  <c r="Y146" i="2" s="1"/>
  <c r="U148" i="2"/>
  <c r="V148" i="2" s="1"/>
  <c r="T148" i="2"/>
  <c r="Q148" i="2"/>
  <c r="R148" i="2"/>
  <c r="S148" i="2" s="1"/>
  <c r="Z146" i="2"/>
  <c r="AA146" i="2" s="1"/>
  <c r="AB146" i="2" s="1"/>
  <c r="M44" i="2"/>
  <c r="D45" i="2"/>
  <c r="N44" i="2"/>
  <c r="AC147" i="2"/>
  <c r="AE147" i="2"/>
  <c r="AD147" i="2"/>
  <c r="T149" i="2" l="1"/>
  <c r="U149" i="2" s="1"/>
  <c r="V149" i="2" s="1"/>
  <c r="Z147" i="2"/>
  <c r="AA147" i="2" s="1"/>
  <c r="AB147" i="2" s="1"/>
  <c r="Q149" i="2"/>
  <c r="R149" i="2" s="1"/>
  <c r="S149" i="2" s="1"/>
  <c r="X147" i="2"/>
  <c r="Y147" i="2" s="1"/>
  <c r="W147" i="2"/>
  <c r="AE148" i="2"/>
  <c r="AD148" i="2"/>
  <c r="AC148" i="2"/>
  <c r="F45" i="2"/>
  <c r="K45" i="2" s="1"/>
  <c r="B45" i="2"/>
  <c r="C45" i="2" s="1"/>
  <c r="Q150" i="2" l="1"/>
  <c r="R150" i="2" s="1"/>
  <c r="S150" i="2" s="1"/>
  <c r="Z148" i="2"/>
  <c r="AA148" i="2" s="1"/>
  <c r="AB148" i="2" s="1"/>
  <c r="W148" i="2"/>
  <c r="X148" i="2" s="1"/>
  <c r="Y148" i="2" s="1"/>
  <c r="U150" i="2"/>
  <c r="V150" i="2" s="1"/>
  <c r="T150" i="2"/>
  <c r="AC149" i="2"/>
  <c r="AE149" i="2"/>
  <c r="AD149" i="2"/>
  <c r="G45" i="2"/>
  <c r="T151" i="2" l="1"/>
  <c r="U151" i="2" s="1"/>
  <c r="V151" i="2" s="1"/>
  <c r="Z149" i="2"/>
  <c r="AA149" i="2"/>
  <c r="AB149" i="2" s="1"/>
  <c r="W149" i="2"/>
  <c r="X149" i="2"/>
  <c r="Y149" i="2" s="1"/>
  <c r="Q151" i="2"/>
  <c r="R151" i="2"/>
  <c r="S151" i="2" s="1"/>
  <c r="H45" i="2"/>
  <c r="L45" i="2" s="1"/>
  <c r="E45" i="2"/>
  <c r="I45" i="2" s="1"/>
  <c r="AC150" i="2"/>
  <c r="AE150" i="2"/>
  <c r="AD150" i="2"/>
  <c r="Q152" i="2" l="1"/>
  <c r="R152" i="2" s="1"/>
  <c r="S152" i="2" s="1"/>
  <c r="M45" i="2"/>
  <c r="AA150" i="2"/>
  <c r="AB150" i="2" s="1"/>
  <c r="Z150" i="2"/>
  <c r="X150" i="2"/>
  <c r="Y150" i="2" s="1"/>
  <c r="W150" i="2"/>
  <c r="U152" i="2"/>
  <c r="V152" i="2" s="1"/>
  <c r="T152" i="2"/>
  <c r="AD151" i="2"/>
  <c r="AE151" i="2"/>
  <c r="AC151" i="2"/>
  <c r="J45" i="2"/>
  <c r="T153" i="2" l="1"/>
  <c r="U153" i="2" s="1"/>
  <c r="V153" i="2" s="1"/>
  <c r="Z151" i="2"/>
  <c r="AA151" i="2" s="1"/>
  <c r="AB151" i="2" s="1"/>
  <c r="X151" i="2"/>
  <c r="Y151" i="2" s="1"/>
  <c r="W151" i="2"/>
  <c r="Q153" i="2"/>
  <c r="R153" i="2"/>
  <c r="S153" i="2" s="1"/>
  <c r="D46" i="2"/>
  <c r="N45" i="2"/>
  <c r="AC152" i="2"/>
  <c r="AE152" i="2"/>
  <c r="AD152" i="2"/>
  <c r="T154" i="2" l="1"/>
  <c r="U154" i="2" s="1"/>
  <c r="V154" i="2" s="1"/>
  <c r="W152" i="2"/>
  <c r="X152" i="2" s="1"/>
  <c r="Y152" i="2" s="1"/>
  <c r="R154" i="2"/>
  <c r="S154" i="2" s="1"/>
  <c r="Q154" i="2"/>
  <c r="Z152" i="2"/>
  <c r="AA152" i="2"/>
  <c r="AB152" i="2" s="1"/>
  <c r="AE153" i="2"/>
  <c r="AD153" i="2"/>
  <c r="AC153" i="2"/>
  <c r="G46" i="2"/>
  <c r="F46" i="2"/>
  <c r="K46" i="2" s="1"/>
  <c r="B46" i="2"/>
  <c r="C46" i="2" s="1"/>
  <c r="W153" i="2" l="1"/>
  <c r="X153" i="2" s="1"/>
  <c r="Y153" i="2" s="1"/>
  <c r="Z153" i="2"/>
  <c r="AA153" i="2"/>
  <c r="AB153" i="2" s="1"/>
  <c r="Q155" i="2"/>
  <c r="R155" i="2" s="1"/>
  <c r="S155" i="2" s="1"/>
  <c r="U155" i="2"/>
  <c r="V155" i="2" s="1"/>
  <c r="T155" i="2"/>
  <c r="AE154" i="2"/>
  <c r="AD154" i="2"/>
  <c r="AC154" i="2"/>
  <c r="E46" i="2"/>
  <c r="I46" i="2" s="1"/>
  <c r="H46" i="2"/>
  <c r="J46" i="2" s="1"/>
  <c r="Q156" i="2" l="1"/>
  <c r="R156" i="2"/>
  <c r="S156" i="2" s="1"/>
  <c r="Z154" i="2"/>
  <c r="AA154" i="2"/>
  <c r="AB154" i="2" s="1"/>
  <c r="D47" i="2"/>
  <c r="N46" i="2"/>
  <c r="U156" i="2"/>
  <c r="V156" i="2" s="1"/>
  <c r="T156" i="2"/>
  <c r="W154" i="2"/>
  <c r="X154" i="2"/>
  <c r="Y154" i="2" s="1"/>
  <c r="L46" i="2"/>
  <c r="AE155" i="2"/>
  <c r="AD155" i="2"/>
  <c r="AC155" i="2"/>
  <c r="Z155" i="2" l="1"/>
  <c r="AA155" i="2" s="1"/>
  <c r="AB155" i="2" s="1"/>
  <c r="W155" i="2"/>
  <c r="X155" i="2" s="1"/>
  <c r="Y155" i="2" s="1"/>
  <c r="T157" i="2"/>
  <c r="U157" i="2"/>
  <c r="V157" i="2" s="1"/>
  <c r="Q157" i="2"/>
  <c r="R157" i="2" s="1"/>
  <c r="S157" i="2" s="1"/>
  <c r="AD156" i="2"/>
  <c r="AE156" i="2"/>
  <c r="AC156" i="2"/>
  <c r="M46" i="2"/>
  <c r="F47" i="2"/>
  <c r="K47" i="2" s="1"/>
  <c r="B47" i="2"/>
  <c r="C47" i="2" s="1"/>
  <c r="U158" i="2" l="1"/>
  <c r="V158" i="2" s="1"/>
  <c r="T158" i="2"/>
  <c r="W156" i="2"/>
  <c r="X156" i="2"/>
  <c r="Y156" i="2" s="1"/>
  <c r="R158" i="2"/>
  <c r="S158" i="2" s="1"/>
  <c r="Q158" i="2"/>
  <c r="AA156" i="2"/>
  <c r="AB156" i="2" s="1"/>
  <c r="Z156" i="2"/>
  <c r="AC157" i="2"/>
  <c r="AE157" i="2"/>
  <c r="AD157" i="2"/>
  <c r="G47" i="2"/>
  <c r="Z157" i="2" l="1"/>
  <c r="AA157" i="2" s="1"/>
  <c r="AB157" i="2" s="1"/>
  <c r="X157" i="2"/>
  <c r="Y157" i="2" s="1"/>
  <c r="W157" i="2"/>
  <c r="R159" i="2"/>
  <c r="S159" i="2" s="1"/>
  <c r="Q159" i="2"/>
  <c r="U159" i="2"/>
  <c r="V159" i="2" s="1"/>
  <c r="T159" i="2"/>
  <c r="H47" i="2"/>
  <c r="E47" i="2"/>
  <c r="L47" i="2"/>
  <c r="J47" i="2"/>
  <c r="AE158" i="2"/>
  <c r="AD158" i="2"/>
  <c r="AC158" i="2"/>
  <c r="Q160" i="2" l="1"/>
  <c r="R160" i="2" s="1"/>
  <c r="S160" i="2" s="1"/>
  <c r="W158" i="2"/>
  <c r="X158" i="2" s="1"/>
  <c r="Y158" i="2" s="1"/>
  <c r="T160" i="2"/>
  <c r="U160" i="2" s="1"/>
  <c r="V160" i="2" s="1"/>
  <c r="Z158" i="2"/>
  <c r="AA158" i="2" s="1"/>
  <c r="AB158" i="2" s="1"/>
  <c r="AE159" i="2"/>
  <c r="AD159" i="2"/>
  <c r="AC159" i="2"/>
  <c r="M47" i="2"/>
  <c r="D48" i="2"/>
  <c r="N47" i="2"/>
  <c r="I47" i="2"/>
  <c r="T161" i="2" l="1"/>
  <c r="U161" i="2"/>
  <c r="V161" i="2" s="1"/>
  <c r="W159" i="2"/>
  <c r="X159" i="2"/>
  <c r="Y159" i="2" s="1"/>
  <c r="Z159" i="2"/>
  <c r="AA159" i="2"/>
  <c r="AB159" i="2" s="1"/>
  <c r="Q161" i="2"/>
  <c r="R161" i="2" s="1"/>
  <c r="S161" i="2" s="1"/>
  <c r="AC160" i="2"/>
  <c r="AE160" i="2"/>
  <c r="AD160" i="2"/>
  <c r="B48" i="2"/>
  <c r="C48" i="2" s="1"/>
  <c r="F48" i="2"/>
  <c r="K48" i="2" s="1"/>
  <c r="Q162" i="2" l="1"/>
  <c r="R162" i="2" s="1"/>
  <c r="S162" i="2" s="1"/>
  <c r="X160" i="2"/>
  <c r="Y160" i="2" s="1"/>
  <c r="W160" i="2"/>
  <c r="Z160" i="2"/>
  <c r="AA160" i="2" s="1"/>
  <c r="AB160" i="2" s="1"/>
  <c r="T162" i="2"/>
  <c r="U162" i="2" s="1"/>
  <c r="V162" i="2" s="1"/>
  <c r="AD161" i="2"/>
  <c r="AE161" i="2"/>
  <c r="AC161" i="2"/>
  <c r="G48" i="2"/>
  <c r="Z161" i="2" l="1"/>
  <c r="AA161" i="2" s="1"/>
  <c r="AB161" i="2" s="1"/>
  <c r="T163" i="2"/>
  <c r="U163" i="2" s="1"/>
  <c r="V163" i="2" s="1"/>
  <c r="X161" i="2"/>
  <c r="Y161" i="2" s="1"/>
  <c r="W161" i="2"/>
  <c r="R163" i="2"/>
  <c r="S163" i="2" s="1"/>
  <c r="Q163" i="2"/>
  <c r="AC162" i="2"/>
  <c r="AE162" i="2"/>
  <c r="AD162" i="2"/>
  <c r="H48" i="2"/>
  <c r="L48" i="2" s="1"/>
  <c r="E48" i="2"/>
  <c r="M48" i="2" l="1"/>
  <c r="U164" i="2"/>
  <c r="V164" i="2" s="1"/>
  <c r="T164" i="2"/>
  <c r="R164" i="2"/>
  <c r="S164" i="2" s="1"/>
  <c r="Q164" i="2"/>
  <c r="X162" i="2"/>
  <c r="Y162" i="2" s="1"/>
  <c r="W162" i="2"/>
  <c r="AA162" i="2"/>
  <c r="AB162" i="2" s="1"/>
  <c r="Z162" i="2"/>
  <c r="J48" i="2"/>
  <c r="AE163" i="2"/>
  <c r="AD163" i="2"/>
  <c r="AC163" i="2"/>
  <c r="I48" i="2"/>
  <c r="Z163" i="2" l="1"/>
  <c r="AA163" i="2" s="1"/>
  <c r="AB163" i="2" s="1"/>
  <c r="W163" i="2"/>
  <c r="X163" i="2"/>
  <c r="Y163" i="2" s="1"/>
  <c r="R165" i="2"/>
  <c r="S165" i="2" s="1"/>
  <c r="Q165" i="2"/>
  <c r="T165" i="2"/>
  <c r="U165" i="2" s="1"/>
  <c r="V165" i="2" s="1"/>
  <c r="AE164" i="2"/>
  <c r="AD164" i="2"/>
  <c r="AC164" i="2"/>
  <c r="D49" i="2"/>
  <c r="N48" i="2"/>
  <c r="Q166" i="2" l="1"/>
  <c r="R166" i="2"/>
  <c r="S166" i="2"/>
  <c r="T166" i="2"/>
  <c r="U166" i="2"/>
  <c r="V166" i="2" s="1"/>
  <c r="W164" i="2"/>
  <c r="X164" i="2" s="1"/>
  <c r="Y164" i="2" s="1"/>
  <c r="Z164" i="2"/>
  <c r="AA164" i="2" s="1"/>
  <c r="AB164" i="2" s="1"/>
  <c r="B49" i="2"/>
  <c r="C49" i="2" s="1"/>
  <c r="F49" i="2"/>
  <c r="K49" i="2" s="1"/>
  <c r="AC165" i="2"/>
  <c r="AE165" i="2"/>
  <c r="AD165" i="2"/>
  <c r="AA165" i="2" l="1"/>
  <c r="AB165" i="2" s="1"/>
  <c r="Z165" i="2"/>
  <c r="W165" i="2"/>
  <c r="X165" i="2" s="1"/>
  <c r="Y165" i="2" s="1"/>
  <c r="T167" i="2"/>
  <c r="U167" i="2" s="1"/>
  <c r="V167" i="2" s="1"/>
  <c r="AD166" i="2"/>
  <c r="AE166" i="2"/>
  <c r="AC166" i="2"/>
  <c r="G49" i="2"/>
  <c r="Q167" i="2"/>
  <c r="R167" i="2" s="1"/>
  <c r="S167" i="2" s="1"/>
  <c r="E49" i="2"/>
  <c r="T168" i="2" l="1"/>
  <c r="U168" i="2" s="1"/>
  <c r="V168" i="2" s="1"/>
  <c r="R168" i="2"/>
  <c r="S168" i="2" s="1"/>
  <c r="Q168" i="2"/>
  <c r="W166" i="2"/>
  <c r="X166" i="2" s="1"/>
  <c r="Y166" i="2" s="1"/>
  <c r="Z166" i="2"/>
  <c r="AA166" i="2" s="1"/>
  <c r="AB166" i="2" s="1"/>
  <c r="H49" i="2"/>
  <c r="I49" i="2" s="1"/>
  <c r="J49" i="2"/>
  <c r="AC167" i="2"/>
  <c r="AD167" i="2"/>
  <c r="AE167" i="2"/>
  <c r="U169" i="2" l="1"/>
  <c r="V169" i="2" s="1"/>
  <c r="T169" i="2"/>
  <c r="Z167" i="2"/>
  <c r="AA167" i="2" s="1"/>
  <c r="AB167" i="2" s="1"/>
  <c r="X167" i="2"/>
  <c r="Y167" i="2" s="1"/>
  <c r="W167" i="2"/>
  <c r="Q169" i="2"/>
  <c r="R169" i="2" s="1"/>
  <c r="S169" i="2" s="1"/>
  <c r="L49" i="2"/>
  <c r="D50" i="2"/>
  <c r="N49" i="2"/>
  <c r="AE168" i="2"/>
  <c r="AD168" i="2"/>
  <c r="AC168" i="2"/>
  <c r="R170" i="2" l="1"/>
  <c r="S170" i="2" s="1"/>
  <c r="Q170" i="2"/>
  <c r="W168" i="2"/>
  <c r="X168" i="2" s="1"/>
  <c r="Y168" i="2" s="1"/>
  <c r="AA168" i="2"/>
  <c r="AB168" i="2" s="1"/>
  <c r="Z168" i="2"/>
  <c r="T170" i="2"/>
  <c r="U170" i="2" s="1"/>
  <c r="V170" i="2" s="1"/>
  <c r="M49" i="2"/>
  <c r="G50" i="2"/>
  <c r="E50" i="2" s="1"/>
  <c r="F50" i="2"/>
  <c r="K50" i="2" s="1"/>
  <c r="B50" i="2"/>
  <c r="C50" i="2" s="1"/>
  <c r="AE169" i="2"/>
  <c r="AD169" i="2"/>
  <c r="AC169" i="2"/>
  <c r="Q171" i="2" l="1"/>
  <c r="R171" i="2"/>
  <c r="S171" i="2" s="1"/>
  <c r="Z169" i="2"/>
  <c r="AA169" i="2"/>
  <c r="AB169" i="2" s="1"/>
  <c r="U171" i="2"/>
  <c r="V171" i="2" s="1"/>
  <c r="T171" i="2"/>
  <c r="W169" i="2"/>
  <c r="X169" i="2"/>
  <c r="Y169" i="2" s="1"/>
  <c r="H50" i="2"/>
  <c r="I50" i="2" s="1"/>
  <c r="L50" i="2"/>
  <c r="AE170" i="2"/>
  <c r="AD170" i="2"/>
  <c r="AC170" i="2"/>
  <c r="J50" i="2"/>
  <c r="T172" i="2" l="1"/>
  <c r="U172" i="2"/>
  <c r="V172" i="2" s="1"/>
  <c r="W170" i="2"/>
  <c r="X170" i="2" s="1"/>
  <c r="Y170" i="2" s="1"/>
  <c r="Z170" i="2"/>
  <c r="AA170" i="2" s="1"/>
  <c r="AB170" i="2" s="1"/>
  <c r="Q172" i="2"/>
  <c r="R172" i="2" s="1"/>
  <c r="S172" i="2" s="1"/>
  <c r="M50" i="2"/>
  <c r="D51" i="2"/>
  <c r="N50" i="2"/>
  <c r="AD171" i="2"/>
  <c r="AE171" i="2"/>
  <c r="AC171" i="2"/>
  <c r="R173" i="2" l="1"/>
  <c r="S173" i="2" s="1"/>
  <c r="Q173" i="2"/>
  <c r="Z171" i="2"/>
  <c r="AA171" i="2" s="1"/>
  <c r="AB171" i="2" s="1"/>
  <c r="W171" i="2"/>
  <c r="X171" i="2"/>
  <c r="Y171" i="2" s="1"/>
  <c r="T173" i="2"/>
  <c r="U173" i="2" s="1"/>
  <c r="V173" i="2" s="1"/>
  <c r="B51" i="2"/>
  <c r="C51" i="2" s="1"/>
  <c r="F51" i="2"/>
  <c r="K51" i="2" s="1"/>
  <c r="AC172" i="2"/>
  <c r="AE172" i="2"/>
  <c r="AD172" i="2"/>
  <c r="AA172" i="2" l="1"/>
  <c r="AB172" i="2" s="1"/>
  <c r="Z172" i="2"/>
  <c r="T174" i="2"/>
  <c r="U174" i="2" s="1"/>
  <c r="V174" i="2" s="1"/>
  <c r="W172" i="2"/>
  <c r="X172" i="2"/>
  <c r="Y172" i="2" s="1"/>
  <c r="R174" i="2"/>
  <c r="S174" i="2" s="1"/>
  <c r="Q174" i="2"/>
  <c r="G51" i="2"/>
  <c r="AE173" i="2"/>
  <c r="AD173" i="2"/>
  <c r="AC173" i="2"/>
  <c r="T175" i="2" l="1"/>
  <c r="U175" i="2" s="1"/>
  <c r="V175" i="2" s="1"/>
  <c r="Q175" i="2"/>
  <c r="R175" i="2" s="1"/>
  <c r="S175" i="2" s="1"/>
  <c r="W173" i="2"/>
  <c r="X173" i="2" s="1"/>
  <c r="Y173" i="2" s="1"/>
  <c r="Z173" i="2"/>
  <c r="AA173" i="2"/>
  <c r="AB173" i="2" s="1"/>
  <c r="H51" i="2"/>
  <c r="L51" i="2" s="1"/>
  <c r="E51" i="2"/>
  <c r="AE174" i="2"/>
  <c r="AD174" i="2"/>
  <c r="AC174" i="2"/>
  <c r="M51" i="2" l="1"/>
  <c r="W174" i="2"/>
  <c r="X174" i="2"/>
  <c r="Y174" i="2" s="1"/>
  <c r="Q176" i="2"/>
  <c r="R176" i="2"/>
  <c r="S176" i="2" s="1"/>
  <c r="Z174" i="2"/>
  <c r="AA174" i="2"/>
  <c r="AB174" i="2" s="1"/>
  <c r="U176" i="2"/>
  <c r="V176" i="2" s="1"/>
  <c r="T176" i="2"/>
  <c r="I51" i="2"/>
  <c r="AE175" i="2"/>
  <c r="AD175" i="2"/>
  <c r="AC175" i="2"/>
  <c r="J51" i="2"/>
  <c r="T177" i="2" l="1"/>
  <c r="U177" i="2"/>
  <c r="V177" i="2" s="1"/>
  <c r="Q177" i="2"/>
  <c r="R177" i="2" s="1"/>
  <c r="S177" i="2" s="1"/>
  <c r="Z175" i="2"/>
  <c r="AA175" i="2" s="1"/>
  <c r="AB175" i="2" s="1"/>
  <c r="W175" i="2"/>
  <c r="X175" i="2" s="1"/>
  <c r="Y175" i="2" s="1"/>
  <c r="D52" i="2"/>
  <c r="N51" i="2"/>
  <c r="AD176" i="2"/>
  <c r="AC176" i="2"/>
  <c r="AE176" i="2"/>
  <c r="AA176" i="2" l="1"/>
  <c r="AB176" i="2" s="1"/>
  <c r="Z176" i="2"/>
  <c r="T178" i="2"/>
  <c r="U178" i="2" s="1"/>
  <c r="V178" i="2" s="1"/>
  <c r="W176" i="2"/>
  <c r="X176" i="2" s="1"/>
  <c r="Y176" i="2" s="1"/>
  <c r="R178" i="2"/>
  <c r="S178" i="2" s="1"/>
  <c r="Q178" i="2"/>
  <c r="G52" i="2"/>
  <c r="F52" i="2"/>
  <c r="K52" i="2" s="1"/>
  <c r="B52" i="2"/>
  <c r="C52" i="2" s="1"/>
  <c r="AC177" i="2"/>
  <c r="AE177" i="2"/>
  <c r="AD177" i="2"/>
  <c r="Q179" i="2" l="1"/>
  <c r="R179" i="2" s="1"/>
  <c r="S179" i="2" s="1"/>
  <c r="T179" i="2"/>
  <c r="U179" i="2" s="1"/>
  <c r="V179" i="2" s="1"/>
  <c r="W177" i="2"/>
  <c r="X177" i="2"/>
  <c r="Y177" i="2" s="1"/>
  <c r="AA177" i="2"/>
  <c r="AB177" i="2" s="1"/>
  <c r="Z177" i="2"/>
  <c r="E52" i="2"/>
  <c r="H52" i="2"/>
  <c r="J52" i="2" s="1"/>
  <c r="AE178" i="2"/>
  <c r="AD178" i="2"/>
  <c r="AC178" i="2"/>
  <c r="W178" i="2" l="1"/>
  <c r="X178" i="2" s="1"/>
  <c r="Y178" i="2" s="1"/>
  <c r="D53" i="2"/>
  <c r="N52" i="2"/>
  <c r="U180" i="2"/>
  <c r="V180" i="2" s="1"/>
  <c r="T180" i="2"/>
  <c r="Z178" i="2"/>
  <c r="AA178" i="2" s="1"/>
  <c r="AB178" i="2" s="1"/>
  <c r="Q180" i="2"/>
  <c r="R180" i="2" s="1"/>
  <c r="S180" i="2" s="1"/>
  <c r="L52" i="2"/>
  <c r="I52" i="2"/>
  <c r="AE179" i="2"/>
  <c r="AD179" i="2"/>
  <c r="AC179" i="2"/>
  <c r="Z179" i="2" l="1"/>
  <c r="AA179" i="2"/>
  <c r="AB179" i="2" s="1"/>
  <c r="T181" i="2"/>
  <c r="U181" i="2" s="1"/>
  <c r="V181" i="2" s="1"/>
  <c r="Q181" i="2"/>
  <c r="R181" i="2"/>
  <c r="S181" i="2" s="1"/>
  <c r="W179" i="2"/>
  <c r="X179" i="2" s="1"/>
  <c r="Y179" i="2" s="1"/>
  <c r="B53" i="2"/>
  <c r="C53" i="2" s="1"/>
  <c r="G53" i="2"/>
  <c r="E53" i="2" s="1"/>
  <c r="F53" i="2"/>
  <c r="K53" i="2" s="1"/>
  <c r="AE180" i="2"/>
  <c r="AD180" i="2"/>
  <c r="AC180" i="2"/>
  <c r="M52" i="2"/>
  <c r="X180" i="2" l="1"/>
  <c r="Y180" i="2" s="1"/>
  <c r="W180" i="2"/>
  <c r="T182" i="2"/>
  <c r="U182" i="2" s="1"/>
  <c r="V182" i="2" s="1"/>
  <c r="R182" i="2"/>
  <c r="S182" i="2" s="1"/>
  <c r="Q182" i="2"/>
  <c r="Z180" i="2"/>
  <c r="AA180" i="2" s="1"/>
  <c r="AB180" i="2" s="1"/>
  <c r="H53" i="2"/>
  <c r="I53" i="2" s="1"/>
  <c r="L53" i="2"/>
  <c r="AD181" i="2"/>
  <c r="AE181" i="2"/>
  <c r="AC181" i="2"/>
  <c r="J53" i="2"/>
  <c r="AA181" i="2" l="1"/>
  <c r="Z181" i="2"/>
  <c r="AB181" i="2"/>
  <c r="Q183" i="2"/>
  <c r="R183" i="2" s="1"/>
  <c r="S183" i="2" s="1"/>
  <c r="T183" i="2"/>
  <c r="U183" i="2" s="1"/>
  <c r="V183" i="2" s="1"/>
  <c r="X181" i="2"/>
  <c r="Y181" i="2" s="1"/>
  <c r="W181" i="2"/>
  <c r="AC182" i="2"/>
  <c r="AE182" i="2"/>
  <c r="AD182" i="2"/>
  <c r="M53" i="2"/>
  <c r="D54" i="2"/>
  <c r="N53" i="2"/>
  <c r="W182" i="2" l="1"/>
  <c r="X182" i="2" s="1"/>
  <c r="Y182" i="2" s="1"/>
  <c r="T184" i="2"/>
  <c r="U184" i="2" s="1"/>
  <c r="V184" i="2" s="1"/>
  <c r="Q184" i="2"/>
  <c r="R184" i="2" s="1"/>
  <c r="S184" i="2" s="1"/>
  <c r="F54" i="2"/>
  <c r="K54" i="2" s="1"/>
  <c r="B54" i="2"/>
  <c r="C54" i="2" s="1"/>
  <c r="AE183" i="2"/>
  <c r="AD183" i="2"/>
  <c r="AC183" i="2"/>
  <c r="AB182" i="2"/>
  <c r="AA182" i="2"/>
  <c r="Z182" i="2"/>
  <c r="Q185" i="2" l="1"/>
  <c r="R185" i="2"/>
  <c r="S185" i="2" s="1"/>
  <c r="U185" i="2"/>
  <c r="V185" i="2" s="1"/>
  <c r="T185" i="2"/>
  <c r="W183" i="2"/>
  <c r="X183" i="2" s="1"/>
  <c r="Y183" i="2" s="1"/>
  <c r="AE184" i="2"/>
  <c r="AD184" i="2"/>
  <c r="AC184" i="2"/>
  <c r="G54" i="2"/>
  <c r="AB183" i="2"/>
  <c r="AA183" i="2"/>
  <c r="Z183" i="2"/>
  <c r="U186" i="2" l="1"/>
  <c r="V186" i="2" s="1"/>
  <c r="T186" i="2"/>
  <c r="X184" i="2"/>
  <c r="Y184" i="2" s="1"/>
  <c r="W184" i="2"/>
  <c r="Q186" i="2"/>
  <c r="R186" i="2" s="1"/>
  <c r="S186" i="2" s="1"/>
  <c r="AA184" i="2"/>
  <c r="Z184" i="2"/>
  <c r="AB184" i="2"/>
  <c r="H54" i="2"/>
  <c r="L54" i="2" s="1"/>
  <c r="AC185" i="2"/>
  <c r="AD185" i="2"/>
  <c r="AE185" i="2"/>
  <c r="E54" i="2"/>
  <c r="I54" i="2" s="1"/>
  <c r="M54" i="2" l="1"/>
  <c r="X185" i="2"/>
  <c r="Y185" i="2" s="1"/>
  <c r="W185" i="2"/>
  <c r="Q187" i="2"/>
  <c r="R187" i="2" s="1"/>
  <c r="S187" i="2" s="1"/>
  <c r="U187" i="2"/>
  <c r="V187" i="2" s="1"/>
  <c r="T187" i="2"/>
  <c r="Z185" i="2"/>
  <c r="AA185" i="2"/>
  <c r="AB185" i="2"/>
  <c r="AC186" i="2"/>
  <c r="AE186" i="2"/>
  <c r="AD186" i="2"/>
  <c r="J54" i="2"/>
  <c r="Q188" i="2" l="1"/>
  <c r="R188" i="2" s="1"/>
  <c r="S188" i="2" s="1"/>
  <c r="T188" i="2"/>
  <c r="U188" i="2"/>
  <c r="V188" i="2" s="1"/>
  <c r="W186" i="2"/>
  <c r="X186" i="2"/>
  <c r="Y186" i="2" s="1"/>
  <c r="D55" i="2"/>
  <c r="N54" i="2"/>
  <c r="AB186" i="2"/>
  <c r="Z186" i="2"/>
  <c r="AA186" i="2"/>
  <c r="AE187" i="2"/>
  <c r="AC187" i="2"/>
  <c r="AD187" i="2"/>
  <c r="W187" i="2" l="1"/>
  <c r="X187" i="2"/>
  <c r="Y187" i="2" s="1"/>
  <c r="U189" i="2"/>
  <c r="V189" i="2" s="1"/>
  <c r="T189" i="2"/>
  <c r="R189" i="2"/>
  <c r="S189" i="2" s="1"/>
  <c r="Q189" i="2"/>
  <c r="AB187" i="2"/>
  <c r="AA187" i="2"/>
  <c r="Z187" i="2"/>
  <c r="AD188" i="2"/>
  <c r="AE188" i="2"/>
  <c r="AC188" i="2"/>
  <c r="G55" i="2"/>
  <c r="F55" i="2"/>
  <c r="K55" i="2" s="1"/>
  <c r="B55" i="2"/>
  <c r="C55" i="2" s="1"/>
  <c r="U190" i="2" l="1"/>
  <c r="V190" i="2" s="1"/>
  <c r="T190" i="2"/>
  <c r="Q190" i="2"/>
  <c r="R190" i="2"/>
  <c r="S190" i="2" s="1"/>
  <c r="W188" i="2"/>
  <c r="X188" i="2" s="1"/>
  <c r="Y188" i="2" s="1"/>
  <c r="AB188" i="2"/>
  <c r="AA188" i="2"/>
  <c r="Z188" i="2"/>
  <c r="E55" i="2"/>
  <c r="H55" i="2"/>
  <c r="J55" i="2" s="1"/>
  <c r="AE189" i="2"/>
  <c r="AD189" i="2"/>
  <c r="AC189" i="2"/>
  <c r="D56" i="2" l="1"/>
  <c r="N55" i="2"/>
  <c r="Q191" i="2"/>
  <c r="R191" i="2" s="1"/>
  <c r="S191" i="2" s="1"/>
  <c r="X189" i="2"/>
  <c r="Y189" i="2" s="1"/>
  <c r="W189" i="2"/>
  <c r="T191" i="2"/>
  <c r="U191" i="2"/>
  <c r="V191" i="2" s="1"/>
  <c r="AC190" i="2"/>
  <c r="AE190" i="2"/>
  <c r="AD190" i="2"/>
  <c r="L55" i="2"/>
  <c r="I55" i="2"/>
  <c r="AB189" i="2"/>
  <c r="AA189" i="2"/>
  <c r="Z189" i="2"/>
  <c r="T192" i="2" l="1"/>
  <c r="U192" i="2" s="1"/>
  <c r="V192" i="2" s="1"/>
  <c r="W190" i="2"/>
  <c r="X190" i="2" s="1"/>
  <c r="Y190" i="2" s="1"/>
  <c r="Q192" i="2"/>
  <c r="R192" i="2" s="1"/>
  <c r="S192" i="2" s="1"/>
  <c r="M55" i="2"/>
  <c r="AC191" i="2"/>
  <c r="AE191" i="2"/>
  <c r="AD191" i="2"/>
  <c r="AB190" i="2"/>
  <c r="AA190" i="2"/>
  <c r="Z190" i="2"/>
  <c r="F56" i="2"/>
  <c r="K56" i="2" s="1"/>
  <c r="B56" i="2"/>
  <c r="C56" i="2" s="1"/>
  <c r="R193" i="2" l="1"/>
  <c r="S193" i="2" s="1"/>
  <c r="Q193" i="2"/>
  <c r="X191" i="2"/>
  <c r="Y191" i="2" s="1"/>
  <c r="W191" i="2"/>
  <c r="T193" i="2"/>
  <c r="U193" i="2"/>
  <c r="V193" i="2" s="1"/>
  <c r="AB191" i="2"/>
  <c r="Z191" i="2"/>
  <c r="AA191" i="2"/>
  <c r="AE192" i="2"/>
  <c r="AD192" i="2"/>
  <c r="AC192" i="2"/>
  <c r="G56" i="2"/>
  <c r="X192" i="2" l="1"/>
  <c r="Y192" i="2" s="1"/>
  <c r="W192" i="2"/>
  <c r="T194" i="2"/>
  <c r="U194" i="2"/>
  <c r="V194" i="2" s="1"/>
  <c r="Q194" i="2"/>
  <c r="R194" i="2"/>
  <c r="S194" i="2" s="1"/>
  <c r="E56" i="2"/>
  <c r="H56" i="2"/>
  <c r="J56" i="2" s="1"/>
  <c r="L56" i="2"/>
  <c r="AD193" i="2"/>
  <c r="AE193" i="2"/>
  <c r="AC193" i="2"/>
  <c r="AB192" i="2"/>
  <c r="AA192" i="2"/>
  <c r="Z192" i="2"/>
  <c r="D57" i="2" l="1"/>
  <c r="N56" i="2"/>
  <c r="Q195" i="2"/>
  <c r="R195" i="2"/>
  <c r="S195" i="2" s="1"/>
  <c r="T195" i="2"/>
  <c r="U195" i="2" s="1"/>
  <c r="V195" i="2" s="1"/>
  <c r="X193" i="2"/>
  <c r="Y193" i="2" s="1"/>
  <c r="W193" i="2"/>
  <c r="M56" i="2"/>
  <c r="I56" i="2"/>
  <c r="AA193" i="2"/>
  <c r="Z193" i="2"/>
  <c r="AB193" i="2"/>
  <c r="AE194" i="2"/>
  <c r="AD194" i="2"/>
  <c r="AC194" i="2"/>
  <c r="T196" i="2" l="1"/>
  <c r="U196" i="2"/>
  <c r="V196" i="2" s="1"/>
  <c r="W194" i="2"/>
  <c r="X194" i="2" s="1"/>
  <c r="Y194" i="2" s="1"/>
  <c r="R196" i="2"/>
  <c r="S196" i="2" s="1"/>
  <c r="Q196" i="2"/>
  <c r="AE195" i="2"/>
  <c r="AD195" i="2"/>
  <c r="AC195" i="2"/>
  <c r="AB194" i="2"/>
  <c r="AA194" i="2"/>
  <c r="Z194" i="2"/>
  <c r="G57" i="2"/>
  <c r="F57" i="2"/>
  <c r="K57" i="2" s="1"/>
  <c r="B57" i="2"/>
  <c r="C57" i="2" s="1"/>
  <c r="X195" i="2" l="1"/>
  <c r="Y195" i="2" s="1"/>
  <c r="W195" i="2"/>
  <c r="Q197" i="2"/>
  <c r="R197" i="2" s="1"/>
  <c r="S197" i="2" s="1"/>
  <c r="T197" i="2"/>
  <c r="U197" i="2" s="1"/>
  <c r="V197" i="2" s="1"/>
  <c r="AC196" i="2"/>
  <c r="AE196" i="2"/>
  <c r="AD196" i="2"/>
  <c r="E57" i="2"/>
  <c r="H57" i="2"/>
  <c r="J57" i="2" s="1"/>
  <c r="AB195" i="2"/>
  <c r="Z195" i="2"/>
  <c r="AA195" i="2"/>
  <c r="D58" i="2" l="1"/>
  <c r="N57" i="2"/>
  <c r="R198" i="2"/>
  <c r="S198" i="2" s="1"/>
  <c r="Q198" i="2"/>
  <c r="T198" i="2"/>
  <c r="U198" i="2"/>
  <c r="V198" i="2" s="1"/>
  <c r="W196" i="2"/>
  <c r="X196" i="2" s="1"/>
  <c r="Y196" i="2" s="1"/>
  <c r="L57" i="2"/>
  <c r="AB196" i="2"/>
  <c r="Z196" i="2"/>
  <c r="AA196" i="2"/>
  <c r="AE197" i="2"/>
  <c r="AC197" i="2"/>
  <c r="AD197" i="2"/>
  <c r="I57" i="2"/>
  <c r="T199" i="2" l="1"/>
  <c r="U199" i="2" s="1"/>
  <c r="V199" i="2" s="1"/>
  <c r="W197" i="2"/>
  <c r="X197" i="2" s="1"/>
  <c r="Y197" i="2" s="1"/>
  <c r="Q199" i="2"/>
  <c r="R199" i="2" s="1"/>
  <c r="S199" i="2" s="1"/>
  <c r="AD198" i="2"/>
  <c r="AE198" i="2"/>
  <c r="AC198" i="2"/>
  <c r="AB197" i="2"/>
  <c r="AA197" i="2"/>
  <c r="Z197" i="2"/>
  <c r="M57" i="2"/>
  <c r="B58" i="2"/>
  <c r="C58" i="2" s="1"/>
  <c r="F58" i="2"/>
  <c r="K58" i="2" s="1"/>
  <c r="Q200" i="2" l="1"/>
  <c r="R200" i="2"/>
  <c r="S200" i="2" s="1"/>
  <c r="W198" i="2"/>
  <c r="X198" i="2"/>
  <c r="Y198" i="2" s="1"/>
  <c r="T200" i="2"/>
  <c r="U200" i="2" s="1"/>
  <c r="V200" i="2" s="1"/>
  <c r="AE199" i="2"/>
  <c r="AD199" i="2"/>
  <c r="AC199" i="2"/>
  <c r="AB198" i="2"/>
  <c r="AA198" i="2"/>
  <c r="Z198" i="2"/>
  <c r="G58" i="2"/>
  <c r="X199" i="2" l="1"/>
  <c r="Y199" i="2" s="1"/>
  <c r="W199" i="2"/>
  <c r="T201" i="2"/>
  <c r="U201" i="2" s="1"/>
  <c r="V201" i="2" s="1"/>
  <c r="Q201" i="2"/>
  <c r="R201" i="2" s="1"/>
  <c r="S201" i="2" s="1"/>
  <c r="AB199" i="2"/>
  <c r="Z199" i="2"/>
  <c r="AA199" i="2"/>
  <c r="H58" i="2"/>
  <c r="L58" i="2" s="1"/>
  <c r="E58" i="2"/>
  <c r="I58" i="2" s="1"/>
  <c r="AE200" i="2"/>
  <c r="AD200" i="2"/>
  <c r="AC200" i="2"/>
  <c r="T202" i="2" l="1"/>
  <c r="U202" i="2" s="1"/>
  <c r="V202" i="2" s="1"/>
  <c r="Q202" i="2"/>
  <c r="R202" i="2" s="1"/>
  <c r="S202" i="2" s="1"/>
  <c r="M58" i="2"/>
  <c r="W200" i="2"/>
  <c r="X200" i="2" s="1"/>
  <c r="Y200" i="2" s="1"/>
  <c r="AB200" i="2"/>
  <c r="AA200" i="2"/>
  <c r="Z200" i="2"/>
  <c r="J58" i="2"/>
  <c r="AC201" i="2"/>
  <c r="AE201" i="2"/>
  <c r="AD201" i="2"/>
  <c r="W201" i="2" l="1"/>
  <c r="X201" i="2" s="1"/>
  <c r="Y201" i="2" s="1"/>
  <c r="Q203" i="2"/>
  <c r="R203" i="2" s="1"/>
  <c r="S203" i="2" s="1"/>
  <c r="T203" i="2"/>
  <c r="U203" i="2"/>
  <c r="V203" i="2" s="1"/>
  <c r="AC202" i="2"/>
  <c r="AE202" i="2"/>
  <c r="AD202" i="2"/>
  <c r="D59" i="2"/>
  <c r="N58" i="2"/>
  <c r="AB201" i="2"/>
  <c r="Z201" i="2"/>
  <c r="AA201" i="2"/>
  <c r="T204" i="2" l="1"/>
  <c r="U204" i="2" s="1"/>
  <c r="V204" i="2" s="1"/>
  <c r="Q204" i="2"/>
  <c r="R204" i="2" s="1"/>
  <c r="S204" i="2" s="1"/>
  <c r="X202" i="2"/>
  <c r="Y202" i="2" s="1"/>
  <c r="W202" i="2"/>
  <c r="AB202" i="2"/>
  <c r="AA202" i="2"/>
  <c r="Z202" i="2"/>
  <c r="AD203" i="2"/>
  <c r="AC203" i="2"/>
  <c r="AE203" i="2"/>
  <c r="G59" i="2"/>
  <c r="E59" i="2" s="1"/>
  <c r="F59" i="2"/>
  <c r="K59" i="2" s="1"/>
  <c r="B59" i="2"/>
  <c r="C59" i="2" s="1"/>
  <c r="W203" i="2" l="1"/>
  <c r="X203" i="2" s="1"/>
  <c r="Y203" i="2" s="1"/>
  <c r="Q205" i="2"/>
  <c r="R205" i="2"/>
  <c r="S205" i="2" s="1"/>
  <c r="T205" i="2"/>
  <c r="U205" i="2" s="1"/>
  <c r="V205" i="2" s="1"/>
  <c r="AB203" i="2"/>
  <c r="AA203" i="2"/>
  <c r="Z203" i="2"/>
  <c r="AE204" i="2"/>
  <c r="AD204" i="2"/>
  <c r="AC204" i="2"/>
  <c r="H59" i="2"/>
  <c r="I59" i="2" s="1"/>
  <c r="T206" i="2" l="1"/>
  <c r="U206" i="2"/>
  <c r="V206" i="2" s="1"/>
  <c r="Q206" i="2"/>
  <c r="R206" i="2"/>
  <c r="S206" i="2" s="1"/>
  <c r="X204" i="2"/>
  <c r="Y204" i="2" s="1"/>
  <c r="W204" i="2"/>
  <c r="AE205" i="2"/>
  <c r="AD205" i="2"/>
  <c r="AC205" i="2"/>
  <c r="AB204" i="2"/>
  <c r="Z204" i="2"/>
  <c r="AA204" i="2"/>
  <c r="J59" i="2"/>
  <c r="L59" i="2"/>
  <c r="W205" i="2" l="1"/>
  <c r="X205" i="2" s="1"/>
  <c r="Y205" i="2" s="1"/>
  <c r="R207" i="2"/>
  <c r="S207" i="2" s="1"/>
  <c r="Q207" i="2"/>
  <c r="T207" i="2"/>
  <c r="U207" i="2" s="1"/>
  <c r="V207" i="2" s="1"/>
  <c r="D60" i="2"/>
  <c r="N59" i="2"/>
  <c r="AA205" i="2"/>
  <c r="Z205" i="2"/>
  <c r="AB205" i="2"/>
  <c r="AC206" i="2"/>
  <c r="AE206" i="2"/>
  <c r="AD206" i="2"/>
  <c r="M59" i="2"/>
  <c r="T208" i="2" l="1"/>
  <c r="U208" i="2"/>
  <c r="V208" i="2" s="1"/>
  <c r="R208" i="2"/>
  <c r="S208" i="2" s="1"/>
  <c r="Q208" i="2"/>
  <c r="W206" i="2"/>
  <c r="X206" i="2" s="1"/>
  <c r="Y206" i="2" s="1"/>
  <c r="AB206" i="2"/>
  <c r="Z206" i="2"/>
  <c r="AA206" i="2"/>
  <c r="AD207" i="2"/>
  <c r="AE207" i="2"/>
  <c r="AC207" i="2"/>
  <c r="G60" i="2"/>
  <c r="F60" i="2"/>
  <c r="K60" i="2" s="1"/>
  <c r="E60" i="2"/>
  <c r="B60" i="2"/>
  <c r="C60" i="2" s="1"/>
  <c r="Q209" i="2" l="1"/>
  <c r="R209" i="2" s="1"/>
  <c r="S209" i="2" s="1"/>
  <c r="X207" i="2"/>
  <c r="Y207" i="2" s="1"/>
  <c r="W207" i="2"/>
  <c r="T209" i="2"/>
  <c r="U209" i="2"/>
  <c r="V209" i="2" s="1"/>
  <c r="H60" i="2"/>
  <c r="I60" i="2" s="1"/>
  <c r="AB207" i="2"/>
  <c r="AA207" i="2"/>
  <c r="Z207" i="2"/>
  <c r="L60" i="2"/>
  <c r="AD208" i="2"/>
  <c r="AC208" i="2"/>
  <c r="AE208" i="2"/>
  <c r="T210" i="2" l="1"/>
  <c r="U210" i="2" s="1"/>
  <c r="V210" i="2" s="1"/>
  <c r="W208" i="2"/>
  <c r="X208" i="2" s="1"/>
  <c r="Y208" i="2" s="1"/>
  <c r="Q210" i="2"/>
  <c r="R210" i="2"/>
  <c r="S210" i="2" s="1"/>
  <c r="M60" i="2"/>
  <c r="AE209" i="2"/>
  <c r="AD209" i="2"/>
  <c r="AC209" i="2"/>
  <c r="AB208" i="2"/>
  <c r="AA208" i="2"/>
  <c r="Z208" i="2"/>
  <c r="J60" i="2"/>
  <c r="Q211" i="2" l="1"/>
  <c r="R211" i="2" s="1"/>
  <c r="S211" i="2" s="1"/>
  <c r="W209" i="2"/>
  <c r="X209" i="2" s="1"/>
  <c r="Y209" i="2" s="1"/>
  <c r="T211" i="2"/>
  <c r="U211" i="2"/>
  <c r="V211" i="2" s="1"/>
  <c r="AC210" i="2"/>
  <c r="AE210" i="2"/>
  <c r="AD210" i="2"/>
  <c r="D61" i="2"/>
  <c r="N60" i="2"/>
  <c r="AB209" i="2"/>
  <c r="AA209" i="2"/>
  <c r="Z209" i="2"/>
  <c r="T212" i="2" l="1"/>
  <c r="U212" i="2" s="1"/>
  <c r="V212" i="2" s="1"/>
  <c r="X210" i="2"/>
  <c r="W210" i="2"/>
  <c r="Y210" i="2"/>
  <c r="Q212" i="2"/>
  <c r="R212" i="2" s="1"/>
  <c r="S212" i="2" s="1"/>
  <c r="B61" i="2"/>
  <c r="C61" i="2" s="1"/>
  <c r="G61" i="2"/>
  <c r="F61" i="2"/>
  <c r="K61" i="2" s="1"/>
  <c r="AC211" i="2"/>
  <c r="AE211" i="2"/>
  <c r="AD211" i="2"/>
  <c r="AB210" i="2"/>
  <c r="AA210" i="2"/>
  <c r="Z210" i="2"/>
  <c r="Q213" i="2" l="1"/>
  <c r="R213" i="2" s="1"/>
  <c r="S213" i="2" s="1"/>
  <c r="T213" i="2"/>
  <c r="U213" i="2"/>
  <c r="V213" i="2" s="1"/>
  <c r="X211" i="2"/>
  <c r="W211" i="2"/>
  <c r="Y211" i="2"/>
  <c r="AD212" i="2"/>
  <c r="AC212" i="2"/>
  <c r="AE212" i="2"/>
  <c r="E61" i="2"/>
  <c r="H61" i="2"/>
  <c r="L61" i="2" s="1"/>
  <c r="J61" i="2"/>
  <c r="AB211" i="2"/>
  <c r="Z211" i="2"/>
  <c r="AA211" i="2"/>
  <c r="M61" i="2" l="1"/>
  <c r="T214" i="2"/>
  <c r="U214" i="2"/>
  <c r="V214" i="2" s="1"/>
  <c r="R214" i="2"/>
  <c r="S214" i="2" s="1"/>
  <c r="Q214" i="2"/>
  <c r="I61" i="2"/>
  <c r="AB212" i="2"/>
  <c r="AA212" i="2"/>
  <c r="Z212" i="2"/>
  <c r="Y212" i="2"/>
  <c r="X212" i="2"/>
  <c r="W212" i="2"/>
  <c r="D62" i="2"/>
  <c r="N61" i="2"/>
  <c r="AD213" i="2"/>
  <c r="AE213" i="2"/>
  <c r="AC213" i="2"/>
  <c r="Q215" i="2" l="1"/>
  <c r="R215" i="2"/>
  <c r="S215" i="2" s="1"/>
  <c r="T215" i="2"/>
  <c r="U215" i="2" s="1"/>
  <c r="V215" i="2" s="1"/>
  <c r="X213" i="2"/>
  <c r="W213" i="2"/>
  <c r="Y213" i="2"/>
  <c r="AE214" i="2"/>
  <c r="AD214" i="2"/>
  <c r="AC214" i="2"/>
  <c r="F62" i="2"/>
  <c r="K62" i="2" s="1"/>
  <c r="B62" i="2"/>
  <c r="C62" i="2" s="1"/>
  <c r="AB213" i="2"/>
  <c r="Z213" i="2"/>
  <c r="AA213" i="2"/>
  <c r="T216" i="2" l="1"/>
  <c r="U216" i="2" s="1"/>
  <c r="V216" i="2" s="1"/>
  <c r="R216" i="2"/>
  <c r="S216" i="2" s="1"/>
  <c r="Q216" i="2"/>
  <c r="Y214" i="2"/>
  <c r="X214" i="2"/>
  <c r="W214" i="2"/>
  <c r="G62" i="2"/>
  <c r="AE215" i="2"/>
  <c r="AD215" i="2"/>
  <c r="AC215" i="2"/>
  <c r="AB214" i="2"/>
  <c r="Z214" i="2"/>
  <c r="AA214" i="2"/>
  <c r="E62" i="2"/>
  <c r="Q217" i="2" l="1"/>
  <c r="R217" i="2" s="1"/>
  <c r="S217" i="2" s="1"/>
  <c r="U217" i="2"/>
  <c r="V217" i="2" s="1"/>
  <c r="T217" i="2"/>
  <c r="AB215" i="2"/>
  <c r="AA215" i="2"/>
  <c r="Z215" i="2"/>
  <c r="AC216" i="2"/>
  <c r="AD216" i="2"/>
  <c r="AE216" i="2"/>
  <c r="X215" i="2"/>
  <c r="W215" i="2"/>
  <c r="Y215" i="2"/>
  <c r="H62" i="2"/>
  <c r="I62" i="2" s="1"/>
  <c r="T218" i="2" l="1"/>
  <c r="U218" i="2"/>
  <c r="V218" i="2" s="1"/>
  <c r="Q218" i="2"/>
  <c r="R218" i="2" s="1"/>
  <c r="S218" i="2" s="1"/>
  <c r="J62" i="2"/>
  <c r="AE217" i="2"/>
  <c r="AD217" i="2"/>
  <c r="AC217" i="2"/>
  <c r="X216" i="2"/>
  <c r="W216" i="2"/>
  <c r="Y216" i="2"/>
  <c r="L62" i="2"/>
  <c r="AB216" i="2"/>
  <c r="Z216" i="2"/>
  <c r="AA216" i="2"/>
  <c r="Q219" i="2" l="1"/>
  <c r="R219" i="2" s="1"/>
  <c r="S219" i="2" s="1"/>
  <c r="T219" i="2"/>
  <c r="U219" i="2" s="1"/>
  <c r="V219" i="2" s="1"/>
  <c r="AB217" i="2"/>
  <c r="AA217" i="2"/>
  <c r="Z217" i="2"/>
  <c r="M62" i="2"/>
  <c r="Y217" i="2"/>
  <c r="X217" i="2"/>
  <c r="W217" i="2"/>
  <c r="AD218" i="2"/>
  <c r="AE218" i="2"/>
  <c r="AC218" i="2"/>
  <c r="D63" i="2"/>
  <c r="N62" i="2"/>
  <c r="T220" i="2" l="1"/>
  <c r="U220" i="2" s="1"/>
  <c r="V220" i="2" s="1"/>
  <c r="Q220" i="2"/>
  <c r="R220" i="2"/>
  <c r="S220" i="2" s="1"/>
  <c r="X218" i="2"/>
  <c r="W218" i="2"/>
  <c r="Y218" i="2"/>
  <c r="B63" i="2"/>
  <c r="C63" i="2" s="1"/>
  <c r="F63" i="2"/>
  <c r="K63" i="2" s="1"/>
  <c r="AB218" i="2"/>
  <c r="AA218" i="2"/>
  <c r="Z218" i="2"/>
  <c r="AE219" i="2"/>
  <c r="AD219" i="2"/>
  <c r="AC219" i="2"/>
  <c r="Q221" i="2" l="1"/>
  <c r="R221" i="2"/>
  <c r="S221" i="2" s="1"/>
  <c r="T221" i="2"/>
  <c r="U221" i="2" s="1"/>
  <c r="V221" i="2" s="1"/>
  <c r="AB219" i="2"/>
  <c r="AA219" i="2"/>
  <c r="Z219" i="2"/>
  <c r="Y219" i="2"/>
  <c r="X219" i="2"/>
  <c r="W219" i="2"/>
  <c r="AE220" i="2"/>
  <c r="AC220" i="2"/>
  <c r="AD220" i="2"/>
  <c r="G63" i="2"/>
  <c r="E63" i="2" s="1"/>
  <c r="T222" i="2" l="1"/>
  <c r="U222" i="2" s="1"/>
  <c r="V222" i="2" s="1"/>
  <c r="Q222" i="2"/>
  <c r="R222" i="2" s="1"/>
  <c r="S222" i="2" s="1"/>
  <c r="H63" i="2"/>
  <c r="I63" i="2" s="1"/>
  <c r="AB220" i="2"/>
  <c r="Z220" i="2"/>
  <c r="AA220" i="2"/>
  <c r="AC221" i="2"/>
  <c r="AD221" i="2"/>
  <c r="AE221" i="2"/>
  <c r="X220" i="2"/>
  <c r="W220" i="2"/>
  <c r="Y220" i="2"/>
  <c r="Q223" i="2" l="1"/>
  <c r="R223" i="2" s="1"/>
  <c r="S223" i="2" s="1"/>
  <c r="T223" i="2"/>
  <c r="U223" i="2"/>
  <c r="V223" i="2" s="1"/>
  <c r="X221" i="2"/>
  <c r="Y221" i="2"/>
  <c r="W221" i="2"/>
  <c r="AB221" i="2"/>
  <c r="Z221" i="2"/>
  <c r="AA221" i="2"/>
  <c r="J63" i="2"/>
  <c r="L63" i="2"/>
  <c r="AE222" i="2"/>
  <c r="AD222" i="2"/>
  <c r="AC222" i="2"/>
  <c r="T224" i="2" l="1"/>
  <c r="U224" i="2"/>
  <c r="V224" i="2" s="1"/>
  <c r="Q224" i="2"/>
  <c r="R224" i="2" s="1"/>
  <c r="S224" i="2" s="1"/>
  <c r="D64" i="2"/>
  <c r="N63" i="2"/>
  <c r="AD223" i="2"/>
  <c r="AE223" i="2"/>
  <c r="AC223" i="2"/>
  <c r="Y222" i="2"/>
  <c r="X222" i="2"/>
  <c r="W222" i="2"/>
  <c r="M63" i="2"/>
  <c r="AB222" i="2"/>
  <c r="AA222" i="2"/>
  <c r="Z222" i="2"/>
  <c r="Q225" i="2" l="1"/>
  <c r="R225" i="2"/>
  <c r="S225" i="2" s="1"/>
  <c r="T225" i="2"/>
  <c r="U225" i="2" s="1"/>
  <c r="V225" i="2" s="1"/>
  <c r="AB223" i="2"/>
  <c r="AA223" i="2"/>
  <c r="Z223" i="2"/>
  <c r="AE224" i="2"/>
  <c r="AD224" i="2"/>
  <c r="AC224" i="2"/>
  <c r="F64" i="2"/>
  <c r="K64" i="2" s="1"/>
  <c r="B64" i="2"/>
  <c r="C64" i="2" s="1"/>
  <c r="Y223" i="2"/>
  <c r="X223" i="2"/>
  <c r="W223" i="2"/>
  <c r="T226" i="2" l="1"/>
  <c r="U226" i="2"/>
  <c r="V226" i="2" s="1"/>
  <c r="R226" i="2"/>
  <c r="S226" i="2" s="1"/>
  <c r="Q226" i="2"/>
  <c r="G64" i="2"/>
  <c r="Y224" i="2"/>
  <c r="X224" i="2"/>
  <c r="W224" i="2"/>
  <c r="AE225" i="2"/>
  <c r="AD225" i="2"/>
  <c r="AC225" i="2"/>
  <c r="AB224" i="2"/>
  <c r="AA224" i="2"/>
  <c r="Z224" i="2"/>
  <c r="Q227" i="2" l="1"/>
  <c r="R227" i="2" s="1"/>
  <c r="S227" i="2" s="1"/>
  <c r="T227" i="2"/>
  <c r="U227" i="2" s="1"/>
  <c r="V227" i="2" s="1"/>
  <c r="AC226" i="2"/>
  <c r="AE226" i="2"/>
  <c r="AD226" i="2"/>
  <c r="X225" i="2"/>
  <c r="W225" i="2"/>
  <c r="Y225" i="2"/>
  <c r="AB225" i="2"/>
  <c r="AA225" i="2"/>
  <c r="Z225" i="2"/>
  <c r="H64" i="2"/>
  <c r="L64" i="2" s="1"/>
  <c r="E64" i="2"/>
  <c r="I64" i="2" s="1"/>
  <c r="T228" i="2" l="1"/>
  <c r="U228" i="2" s="1"/>
  <c r="V228" i="2" s="1"/>
  <c r="M64" i="2"/>
  <c r="Q228" i="2"/>
  <c r="R228" i="2"/>
  <c r="S228" i="2" s="1"/>
  <c r="X226" i="2"/>
  <c r="Y226" i="2"/>
  <c r="W226" i="2"/>
  <c r="AC227" i="2"/>
  <c r="AE227" i="2"/>
  <c r="AD227" i="2"/>
  <c r="J64" i="2"/>
  <c r="AB226" i="2"/>
  <c r="Z226" i="2"/>
  <c r="AA226" i="2"/>
  <c r="Q229" i="2" l="1"/>
  <c r="R229" i="2" s="1"/>
  <c r="S229" i="2" s="1"/>
  <c r="T229" i="2"/>
  <c r="U229" i="2" s="1"/>
  <c r="V229" i="2" s="1"/>
  <c r="D65" i="2"/>
  <c r="N64" i="2"/>
  <c r="AB227" i="2"/>
  <c r="AA227" i="2"/>
  <c r="Z227" i="2"/>
  <c r="AE228" i="2"/>
  <c r="AC228" i="2"/>
  <c r="AD228" i="2"/>
  <c r="Y227" i="2"/>
  <c r="X227" i="2"/>
  <c r="W227" i="2"/>
  <c r="T230" i="2" l="1"/>
  <c r="U230" i="2" s="1"/>
  <c r="V230" i="2" s="1"/>
  <c r="Q230" i="2"/>
  <c r="R230" i="2"/>
  <c r="S230" i="2" s="1"/>
  <c r="X228" i="2"/>
  <c r="Y228" i="2"/>
  <c r="W228" i="2"/>
  <c r="AC229" i="2"/>
  <c r="AE229" i="2"/>
  <c r="AD229" i="2"/>
  <c r="G65" i="2"/>
  <c r="H65" i="2" s="1"/>
  <c r="F65" i="2"/>
  <c r="K65" i="2" s="1"/>
  <c r="B65" i="2"/>
  <c r="C65" i="2" s="1"/>
  <c r="AB228" i="2"/>
  <c r="AA228" i="2"/>
  <c r="Z228" i="2"/>
  <c r="R231" i="2" l="1"/>
  <c r="S231" i="2" s="1"/>
  <c r="Q231" i="2"/>
  <c r="T231" i="2"/>
  <c r="U231" i="2" s="1"/>
  <c r="V231" i="2" s="1"/>
  <c r="J65" i="2"/>
  <c r="E65" i="2"/>
  <c r="I65" i="2" s="1"/>
  <c r="AC230" i="2"/>
  <c r="AD230" i="2"/>
  <c r="AE230" i="2"/>
  <c r="L65" i="2"/>
  <c r="X229" i="2"/>
  <c r="Y229" i="2"/>
  <c r="W229" i="2"/>
  <c r="AA229" i="2"/>
  <c r="Z229" i="2"/>
  <c r="AB229" i="2"/>
  <c r="T232" i="2" l="1"/>
  <c r="U232" i="2" s="1"/>
  <c r="V232" i="2" s="1"/>
  <c r="R232" i="2"/>
  <c r="S232" i="2" s="1"/>
  <c r="Q232" i="2"/>
  <c r="AE231" i="2"/>
  <c r="AC231" i="2"/>
  <c r="AD231" i="2"/>
  <c r="Y230" i="2"/>
  <c r="X230" i="2"/>
  <c r="W230" i="2"/>
  <c r="AB230" i="2"/>
  <c r="AA230" i="2"/>
  <c r="Z230" i="2"/>
  <c r="M65" i="2"/>
  <c r="D66" i="2"/>
  <c r="N65" i="2"/>
  <c r="Q233" i="2" l="1"/>
  <c r="R233" i="2"/>
  <c r="S233" i="2" s="1"/>
  <c r="T233" i="2"/>
  <c r="U233" i="2" s="1"/>
  <c r="V233" i="2" s="1"/>
  <c r="G66" i="2"/>
  <c r="H66" i="2" s="1"/>
  <c r="F66" i="2"/>
  <c r="K66" i="2" s="1"/>
  <c r="E66" i="2"/>
  <c r="I66" i="2" s="1"/>
  <c r="B66" i="2"/>
  <c r="C66" i="2" s="1"/>
  <c r="AA231" i="2"/>
  <c r="Z231" i="2"/>
  <c r="AB231" i="2"/>
  <c r="Y231" i="2"/>
  <c r="X231" i="2"/>
  <c r="W231" i="2"/>
  <c r="AE232" i="2"/>
  <c r="AD232" i="2"/>
  <c r="AC232" i="2"/>
  <c r="U234" i="2" l="1"/>
  <c r="T234" i="2"/>
  <c r="V234" i="2"/>
  <c r="R234" i="2"/>
  <c r="S234" i="2" s="1"/>
  <c r="Q234" i="2"/>
  <c r="AB232" i="2"/>
  <c r="AA232" i="2"/>
  <c r="Z232" i="2"/>
  <c r="Y232" i="2"/>
  <c r="X232" i="2"/>
  <c r="W232" i="2"/>
  <c r="L66" i="2"/>
  <c r="J66" i="2"/>
  <c r="AE233" i="2"/>
  <c r="AD233" i="2"/>
  <c r="AC233" i="2"/>
  <c r="R235" i="2" l="1"/>
  <c r="S235" i="2" s="1"/>
  <c r="Q235" i="2"/>
  <c r="AC234" i="2"/>
  <c r="AD234" i="2"/>
  <c r="AE234" i="2"/>
  <c r="Y233" i="2"/>
  <c r="X233" i="2"/>
  <c r="W233" i="2"/>
  <c r="T235" i="2"/>
  <c r="U235" i="2" s="1"/>
  <c r="V235" i="2" s="1"/>
  <c r="M66" i="2"/>
  <c r="D67" i="2"/>
  <c r="N66" i="2"/>
  <c r="AB233" i="2"/>
  <c r="AA233" i="2"/>
  <c r="Z233" i="2"/>
  <c r="T236" i="2" l="1"/>
  <c r="U236" i="2" s="1"/>
  <c r="V236" i="2" s="1"/>
  <c r="Q236" i="2"/>
  <c r="R236" i="2" s="1"/>
  <c r="S236" i="2" s="1"/>
  <c r="AE235" i="2"/>
  <c r="AD235" i="2"/>
  <c r="AC235" i="2"/>
  <c r="AB234" i="2"/>
  <c r="AA234" i="2"/>
  <c r="Z234" i="2"/>
  <c r="G67" i="2"/>
  <c r="F67" i="2"/>
  <c r="K67" i="2" s="1"/>
  <c r="B67" i="2"/>
  <c r="C67" i="2" s="1"/>
  <c r="W234" i="2"/>
  <c r="Y234" i="2"/>
  <c r="X234" i="2"/>
  <c r="R237" i="2" l="1"/>
  <c r="S237" i="2" s="1"/>
  <c r="Q237" i="2"/>
  <c r="U237" i="2"/>
  <c r="V237" i="2" s="1"/>
  <c r="T237" i="2"/>
  <c r="E67" i="2"/>
  <c r="H67" i="2"/>
  <c r="L67" i="2" s="1"/>
  <c r="AB235" i="2"/>
  <c r="AA235" i="2"/>
  <c r="Z235" i="2"/>
  <c r="D50" i="3"/>
  <c r="J67" i="2"/>
  <c r="AD236" i="2"/>
  <c r="AE236" i="2"/>
  <c r="AC236" i="2"/>
  <c r="Y235" i="2"/>
  <c r="W235" i="2"/>
  <c r="X235" i="2"/>
  <c r="E50" i="3" l="1"/>
  <c r="F50" i="3" s="1"/>
  <c r="M67" i="2"/>
  <c r="U238" i="2"/>
  <c r="V238" i="2" s="1"/>
  <c r="T238" i="2"/>
  <c r="Q238" i="2"/>
  <c r="R238" i="2"/>
  <c r="S238" i="2" s="1"/>
  <c r="D68" i="2"/>
  <c r="C50" i="3"/>
  <c r="N67" i="2"/>
  <c r="AB236" i="2"/>
  <c r="AA236" i="2"/>
  <c r="Z236" i="2"/>
  <c r="Y236" i="2"/>
  <c r="X236" i="2"/>
  <c r="W236" i="2"/>
  <c r="I67" i="2"/>
  <c r="AD237" i="2"/>
  <c r="AE237" i="2"/>
  <c r="AC237" i="2"/>
  <c r="R239" i="2" l="1"/>
  <c r="S239" i="2" s="1"/>
  <c r="Q239" i="2"/>
  <c r="U239" i="2"/>
  <c r="V239" i="2" s="1"/>
  <c r="T239" i="2"/>
  <c r="Y237" i="2"/>
  <c r="X237" i="2"/>
  <c r="W237" i="2"/>
  <c r="AB237" i="2"/>
  <c r="AA237" i="2"/>
  <c r="Z237" i="2"/>
  <c r="B68" i="2"/>
  <c r="C68" i="2" s="1"/>
  <c r="G68" i="2"/>
  <c r="F68" i="2"/>
  <c r="K68" i="2" s="1"/>
  <c r="AE238" i="2"/>
  <c r="AD238" i="2"/>
  <c r="AC238" i="2"/>
  <c r="T240" i="2" l="1"/>
  <c r="U240" i="2" s="1"/>
  <c r="V240" i="2" s="1"/>
  <c r="Q240" i="2"/>
  <c r="R240" i="2" s="1"/>
  <c r="S240" i="2" s="1"/>
  <c r="Y238" i="2"/>
  <c r="W238" i="2"/>
  <c r="X238" i="2"/>
  <c r="H68" i="2"/>
  <c r="J68" i="2" s="1"/>
  <c r="E68" i="2"/>
  <c r="I68" i="2" s="1"/>
  <c r="AB238" i="2"/>
  <c r="AA238" i="2"/>
  <c r="Z238" i="2"/>
  <c r="AC239" i="2"/>
  <c r="AE239" i="2"/>
  <c r="AD239" i="2"/>
  <c r="D69" i="2" l="1"/>
  <c r="N68" i="2"/>
  <c r="Q241" i="2"/>
  <c r="R241" i="2" s="1"/>
  <c r="S241" i="2" s="1"/>
  <c r="T241" i="2"/>
  <c r="U241" i="2"/>
  <c r="V241" i="2" s="1"/>
  <c r="AB239" i="2"/>
  <c r="AA239" i="2"/>
  <c r="Z239" i="2"/>
  <c r="L68" i="2"/>
  <c r="AD240" i="2"/>
  <c r="AC240" i="2"/>
  <c r="AE240" i="2"/>
  <c r="Y239" i="2"/>
  <c r="X239" i="2"/>
  <c r="W239" i="2"/>
  <c r="T242" i="2" l="1"/>
  <c r="U242" i="2" s="1"/>
  <c r="V242" i="2" s="1"/>
  <c r="Q242" i="2"/>
  <c r="R242" i="2" s="1"/>
  <c r="S242" i="2" s="1"/>
  <c r="M68" i="2"/>
  <c r="Y240" i="2"/>
  <c r="X240" i="2"/>
  <c r="W240" i="2"/>
  <c r="AE241" i="2"/>
  <c r="AD241" i="2"/>
  <c r="AC241" i="2"/>
  <c r="Z240" i="2"/>
  <c r="AA240" i="2"/>
  <c r="AB240" i="2"/>
  <c r="F69" i="2"/>
  <c r="K69" i="2" s="1"/>
  <c r="B69" i="2"/>
  <c r="C69" i="2" s="1"/>
  <c r="Q243" i="2" l="1"/>
  <c r="R243" i="2"/>
  <c r="S243" i="2" s="1"/>
  <c r="U243" i="2"/>
  <c r="V243" i="2" s="1"/>
  <c r="T243" i="2"/>
  <c r="AB241" i="2"/>
  <c r="AA241" i="2"/>
  <c r="Z241" i="2"/>
  <c r="AC242" i="2"/>
  <c r="AD242" i="2"/>
  <c r="AE242" i="2"/>
  <c r="Y241" i="2"/>
  <c r="W241" i="2"/>
  <c r="X241" i="2"/>
  <c r="G69" i="2"/>
  <c r="T244" i="2" l="1"/>
  <c r="U244" i="2" s="1"/>
  <c r="V244" i="2" s="1"/>
  <c r="R244" i="2"/>
  <c r="S244" i="2" s="1"/>
  <c r="Q244" i="2"/>
  <c r="H69" i="2"/>
  <c r="L69" i="2"/>
  <c r="J69" i="2"/>
  <c r="AD243" i="2"/>
  <c r="AE243" i="2"/>
  <c r="AC243" i="2"/>
  <c r="E69" i="2"/>
  <c r="I69" i="2" s="1"/>
  <c r="Y242" i="2"/>
  <c r="X242" i="2"/>
  <c r="W242" i="2"/>
  <c r="AB242" i="2"/>
  <c r="AA242" i="2"/>
  <c r="Z242" i="2"/>
  <c r="R245" i="2" l="1"/>
  <c r="S245" i="2" s="1"/>
  <c r="Q245" i="2"/>
  <c r="T245" i="2"/>
  <c r="U245" i="2" s="1"/>
  <c r="V245" i="2" s="1"/>
  <c r="Y243" i="2"/>
  <c r="X243" i="2"/>
  <c r="W243" i="2"/>
  <c r="D70" i="2"/>
  <c r="N69" i="2"/>
  <c r="AB243" i="2"/>
  <c r="AA243" i="2"/>
  <c r="Z243" i="2"/>
  <c r="AC244" i="2"/>
  <c r="AE244" i="2"/>
  <c r="AD244" i="2"/>
  <c r="M69" i="2"/>
  <c r="T246" i="2" l="1"/>
  <c r="U246" i="2"/>
  <c r="V246" i="2" s="1"/>
  <c r="Q246" i="2"/>
  <c r="R246" i="2" s="1"/>
  <c r="S246" i="2" s="1"/>
  <c r="AE245" i="2"/>
  <c r="AD245" i="2"/>
  <c r="AC245" i="2"/>
  <c r="AB244" i="2"/>
  <c r="AA244" i="2"/>
  <c r="Z244" i="2"/>
  <c r="G70" i="2"/>
  <c r="F70" i="2"/>
  <c r="K70" i="2" s="1"/>
  <c r="B70" i="2"/>
  <c r="C70" i="2" s="1"/>
  <c r="Y244" i="2"/>
  <c r="W244" i="2"/>
  <c r="X244" i="2"/>
  <c r="Q247" i="2" l="1"/>
  <c r="R247" i="2"/>
  <c r="S247" i="2" s="1"/>
  <c r="T247" i="2"/>
  <c r="U247" i="2"/>
  <c r="V247" i="2" s="1"/>
  <c r="AA245" i="2"/>
  <c r="Z245" i="2"/>
  <c r="AB245" i="2"/>
  <c r="H70" i="2"/>
  <c r="L70" i="2" s="1"/>
  <c r="X245" i="2"/>
  <c r="W245" i="2"/>
  <c r="Y245" i="2"/>
  <c r="E70" i="2"/>
  <c r="I70" i="2" s="1"/>
  <c r="AE246" i="2"/>
  <c r="AD246" i="2"/>
  <c r="AC246" i="2"/>
  <c r="J70" i="2"/>
  <c r="M70" i="2" l="1"/>
  <c r="V248" i="2"/>
  <c r="U248" i="2"/>
  <c r="T248" i="2"/>
  <c r="Q248" i="2"/>
  <c r="R248" i="2"/>
  <c r="S248" i="2" s="1"/>
  <c r="AD247" i="2"/>
  <c r="AC247" i="2"/>
  <c r="AE247" i="2"/>
  <c r="W246" i="2"/>
  <c r="X246" i="2"/>
  <c r="Y246" i="2"/>
  <c r="D71" i="2"/>
  <c r="N70" i="2"/>
  <c r="AB246" i="2"/>
  <c r="AA246" i="2"/>
  <c r="Z246" i="2"/>
  <c r="Q249" i="2" l="1"/>
  <c r="R249" i="2" s="1"/>
  <c r="S249" i="2" s="1"/>
  <c r="B71" i="2"/>
  <c r="C71" i="2" s="1"/>
  <c r="G71" i="2"/>
  <c r="F71" i="2"/>
  <c r="K71" i="2" s="1"/>
  <c r="E71" i="2"/>
  <c r="Y247" i="2"/>
  <c r="X247" i="2"/>
  <c r="W247" i="2"/>
  <c r="AE248" i="2"/>
  <c r="AD248" i="2"/>
  <c r="AC248" i="2"/>
  <c r="AB247" i="2"/>
  <c r="AA247" i="2"/>
  <c r="Z247" i="2"/>
  <c r="V249" i="2"/>
  <c r="U249" i="2"/>
  <c r="T249" i="2"/>
  <c r="Q250" i="2" l="1"/>
  <c r="R250" i="2" s="1"/>
  <c r="S250" i="2" s="1"/>
  <c r="AC249" i="2"/>
  <c r="AE249" i="2"/>
  <c r="AD249" i="2"/>
  <c r="AA248" i="2"/>
  <c r="Z248" i="2"/>
  <c r="AB248" i="2"/>
  <c r="Y248" i="2"/>
  <c r="X248" i="2"/>
  <c r="W248" i="2"/>
  <c r="H71" i="2"/>
  <c r="I71" i="2" s="1"/>
  <c r="U250" i="2"/>
  <c r="T250" i="2"/>
  <c r="V250" i="2"/>
  <c r="Q251" i="2" l="1"/>
  <c r="R251" i="2" s="1"/>
  <c r="S251" i="2" s="1"/>
  <c r="W249" i="2"/>
  <c r="Y249" i="2"/>
  <c r="X249" i="2"/>
  <c r="J71" i="2"/>
  <c r="V251" i="2"/>
  <c r="T251" i="2"/>
  <c r="U251" i="2"/>
  <c r="AB249" i="2"/>
  <c r="AA249" i="2"/>
  <c r="Z249" i="2"/>
  <c r="L71" i="2"/>
  <c r="AE250" i="2"/>
  <c r="AD250" i="2"/>
  <c r="AC250" i="2"/>
  <c r="Q252" i="2" l="1"/>
  <c r="R252" i="2" s="1"/>
  <c r="S252" i="2" s="1"/>
  <c r="M71" i="2"/>
  <c r="X250" i="2"/>
  <c r="W250" i="2"/>
  <c r="Y250" i="2"/>
  <c r="AE251" i="2"/>
  <c r="AC251" i="2"/>
  <c r="AD251" i="2"/>
  <c r="T252" i="2"/>
  <c r="V252" i="2"/>
  <c r="U252" i="2"/>
  <c r="AB250" i="2"/>
  <c r="AA250" i="2"/>
  <c r="Z250" i="2"/>
  <c r="D72" i="2"/>
  <c r="N71" i="2"/>
  <c r="Q253" i="2" l="1"/>
  <c r="R253" i="2"/>
  <c r="S253" i="2" s="1"/>
  <c r="G72" i="2"/>
  <c r="H72" i="2" s="1"/>
  <c r="F72" i="2"/>
  <c r="K72" i="2" s="1"/>
  <c r="B72" i="2"/>
  <c r="C72" i="2" s="1"/>
  <c r="AA251" i="2"/>
  <c r="AB251" i="2"/>
  <c r="Z251" i="2"/>
  <c r="AE252" i="2"/>
  <c r="AD252" i="2"/>
  <c r="AC252" i="2"/>
  <c r="V253" i="2"/>
  <c r="U253" i="2"/>
  <c r="T253" i="2"/>
  <c r="W251" i="2"/>
  <c r="X251" i="2"/>
  <c r="Y251" i="2"/>
  <c r="Q254" i="2" l="1"/>
  <c r="R254" i="2" s="1"/>
  <c r="S254" i="2" s="1"/>
  <c r="AB252" i="2"/>
  <c r="Z252" i="2"/>
  <c r="AA252" i="2"/>
  <c r="U254" i="2"/>
  <c r="T254" i="2"/>
  <c r="V254" i="2"/>
  <c r="AE253" i="2"/>
  <c r="AD253" i="2"/>
  <c r="AC253" i="2"/>
  <c r="L72" i="2"/>
  <c r="J72" i="2"/>
  <c r="Y252" i="2"/>
  <c r="X252" i="2"/>
  <c r="W252" i="2"/>
  <c r="E72" i="2"/>
  <c r="I72" i="2" s="1"/>
  <c r="Q255" i="2" l="1"/>
  <c r="R255" i="2"/>
  <c r="S255" i="2" s="1"/>
  <c r="D73" i="2"/>
  <c r="N72" i="2"/>
  <c r="U255" i="2"/>
  <c r="T255" i="2"/>
  <c r="V255" i="2"/>
  <c r="X253" i="2"/>
  <c r="Y253" i="2"/>
  <c r="W253" i="2"/>
  <c r="AA253" i="2"/>
  <c r="AB253" i="2"/>
  <c r="Z253" i="2"/>
  <c r="AC254" i="2"/>
  <c r="AE254" i="2"/>
  <c r="AD254" i="2"/>
  <c r="M72" i="2"/>
  <c r="Q256" i="2" l="1"/>
  <c r="R256" i="2" s="1"/>
  <c r="S256" i="2" s="1"/>
  <c r="AE255" i="2"/>
  <c r="AD255" i="2"/>
  <c r="AC255" i="2"/>
  <c r="V256" i="2"/>
  <c r="U256" i="2"/>
  <c r="T256" i="2"/>
  <c r="X254" i="2"/>
  <c r="W254" i="2"/>
  <c r="Y254" i="2"/>
  <c r="AB254" i="2"/>
  <c r="AA254" i="2"/>
  <c r="Z254" i="2"/>
  <c r="B73" i="2"/>
  <c r="C73" i="2" s="1"/>
  <c r="F73" i="2"/>
  <c r="K73" i="2" s="1"/>
  <c r="Q257" i="2" l="1"/>
  <c r="R257" i="2" s="1"/>
  <c r="S257" i="2" s="1"/>
  <c r="AE256" i="2"/>
  <c r="AD256" i="2"/>
  <c r="AC256" i="2"/>
  <c r="W255" i="2"/>
  <c r="X255" i="2"/>
  <c r="Y255" i="2"/>
  <c r="AB255" i="2"/>
  <c r="AA255" i="2"/>
  <c r="Z255" i="2"/>
  <c r="V257" i="2"/>
  <c r="U257" i="2"/>
  <c r="T257" i="2"/>
  <c r="G73" i="2"/>
  <c r="Q258" i="2" l="1"/>
  <c r="R258" i="2"/>
  <c r="S258" i="2" s="1"/>
  <c r="W256" i="2"/>
  <c r="Y256" i="2"/>
  <c r="X256" i="2"/>
  <c r="AD257" i="2"/>
  <c r="AC257" i="2"/>
  <c r="AE257" i="2"/>
  <c r="H73" i="2"/>
  <c r="L73" i="2" s="1"/>
  <c r="E73" i="2"/>
  <c r="V258" i="2"/>
  <c r="U258" i="2"/>
  <c r="T258" i="2"/>
  <c r="AA256" i="2"/>
  <c r="Z256" i="2"/>
  <c r="AB256" i="2"/>
  <c r="M73" i="2" l="1"/>
  <c r="R259" i="2"/>
  <c r="S259" i="2" s="1"/>
  <c r="Q259" i="2"/>
  <c r="J73" i="2"/>
  <c r="Z257" i="2"/>
  <c r="AB257" i="2"/>
  <c r="AA257" i="2"/>
  <c r="I73" i="2"/>
  <c r="Y257" i="2"/>
  <c r="X257" i="2"/>
  <c r="W257" i="2"/>
  <c r="V259" i="2"/>
  <c r="U259" i="2"/>
  <c r="T259" i="2"/>
  <c r="AE258" i="2"/>
  <c r="AD258" i="2"/>
  <c r="AC258" i="2"/>
  <c r="Q260" i="2" l="1"/>
  <c r="R260" i="2" s="1"/>
  <c r="S260" i="2" s="1"/>
  <c r="U260" i="2"/>
  <c r="T260" i="2"/>
  <c r="V260" i="2"/>
  <c r="Y258" i="2"/>
  <c r="X258" i="2"/>
  <c r="W258" i="2"/>
  <c r="D74" i="2"/>
  <c r="N73" i="2"/>
  <c r="AC259" i="2"/>
  <c r="AE259" i="2"/>
  <c r="AD259" i="2"/>
  <c r="AA258" i="2"/>
  <c r="Z258" i="2"/>
  <c r="AB258" i="2"/>
  <c r="Q261" i="2" l="1"/>
  <c r="R261" i="2" s="1"/>
  <c r="S261" i="2" s="1"/>
  <c r="AB259" i="2"/>
  <c r="AA259" i="2"/>
  <c r="Z259" i="2"/>
  <c r="V261" i="2"/>
  <c r="T261" i="2"/>
  <c r="U261" i="2"/>
  <c r="Y259" i="2"/>
  <c r="X259" i="2"/>
  <c r="W259" i="2"/>
  <c r="AE260" i="2"/>
  <c r="AC260" i="2"/>
  <c r="AD260" i="2"/>
  <c r="G74" i="2"/>
  <c r="F74" i="2"/>
  <c r="K74" i="2" s="1"/>
  <c r="B74" i="2"/>
  <c r="C74" i="2" s="1"/>
  <c r="Q262" i="2" l="1"/>
  <c r="R262" i="2" s="1"/>
  <c r="S262" i="2" s="1"/>
  <c r="T262" i="2"/>
  <c r="V262" i="2"/>
  <c r="U262" i="2"/>
  <c r="X260" i="2"/>
  <c r="Y260" i="2"/>
  <c r="W260" i="2"/>
  <c r="AB260" i="2"/>
  <c r="AA260" i="2"/>
  <c r="Z260" i="2"/>
  <c r="E74" i="2"/>
  <c r="AE261" i="2"/>
  <c r="AD261" i="2"/>
  <c r="AC261" i="2"/>
  <c r="H74" i="2"/>
  <c r="L74" i="2" s="1"/>
  <c r="M74" i="2" l="1"/>
  <c r="Q263" i="2"/>
  <c r="R263" i="2"/>
  <c r="S263" i="2" s="1"/>
  <c r="AE262" i="2"/>
  <c r="AD262" i="2"/>
  <c r="AC262" i="2"/>
  <c r="AB261" i="2"/>
  <c r="Z261" i="2"/>
  <c r="AA261" i="2"/>
  <c r="J74" i="2"/>
  <c r="V263" i="2"/>
  <c r="U263" i="2"/>
  <c r="T263" i="2"/>
  <c r="I74" i="2"/>
  <c r="W261" i="2"/>
  <c r="X261" i="2"/>
  <c r="Y261" i="2"/>
  <c r="Q264" i="2" l="1"/>
  <c r="R264" i="2"/>
  <c r="S264" i="2" s="1"/>
  <c r="AD263" i="2"/>
  <c r="AE263" i="2"/>
  <c r="AC263" i="2"/>
  <c r="Y262" i="2"/>
  <c r="X262" i="2"/>
  <c r="W262" i="2"/>
  <c r="D75" i="2"/>
  <c r="N74" i="2"/>
  <c r="AB262" i="2"/>
  <c r="AA262" i="2"/>
  <c r="Z262" i="2"/>
  <c r="V264" i="2"/>
  <c r="U264" i="2"/>
  <c r="T264" i="2"/>
  <c r="Q265" i="2" l="1"/>
  <c r="R265" i="2" s="1"/>
  <c r="S265" i="2" s="1"/>
  <c r="U265" i="2"/>
  <c r="T265" i="2"/>
  <c r="V265" i="2"/>
  <c r="AA263" i="2"/>
  <c r="AB263" i="2"/>
  <c r="Z263" i="2"/>
  <c r="W263" i="2"/>
  <c r="X263" i="2"/>
  <c r="Y263" i="2"/>
  <c r="F75" i="2"/>
  <c r="K75" i="2" s="1"/>
  <c r="B75" i="2"/>
  <c r="C75" i="2" s="1"/>
  <c r="AC264" i="2"/>
  <c r="AE264" i="2"/>
  <c r="AD264" i="2"/>
  <c r="Q266" i="2" l="1"/>
  <c r="R266" i="2"/>
  <c r="S266" i="2" s="1"/>
  <c r="AE265" i="2"/>
  <c r="AD265" i="2"/>
  <c r="AC265" i="2"/>
  <c r="G75" i="2"/>
  <c r="E75" i="2" s="1"/>
  <c r="Y264" i="2"/>
  <c r="X264" i="2"/>
  <c r="W264" i="2"/>
  <c r="AB264" i="2"/>
  <c r="AA264" i="2"/>
  <c r="Z264" i="2"/>
  <c r="U266" i="2"/>
  <c r="V266" i="2"/>
  <c r="T266" i="2"/>
  <c r="Q267" i="2" l="1"/>
  <c r="R267" i="2" s="1"/>
  <c r="S267" i="2" s="1"/>
  <c r="V267" i="2"/>
  <c r="U267" i="2"/>
  <c r="T267" i="2"/>
  <c r="AB265" i="2"/>
  <c r="AA265" i="2"/>
  <c r="Z265" i="2"/>
  <c r="X265" i="2"/>
  <c r="W265" i="2"/>
  <c r="Y265" i="2"/>
  <c r="H75" i="2"/>
  <c r="I75" i="2" s="1"/>
  <c r="AE266" i="2"/>
  <c r="AD266" i="2"/>
  <c r="AC266" i="2"/>
  <c r="Q268" i="2" l="1"/>
  <c r="R268" i="2"/>
  <c r="S268" i="2" s="1"/>
  <c r="J75" i="2"/>
  <c r="AE267" i="2"/>
  <c r="AC267" i="2"/>
  <c r="AD267" i="2"/>
  <c r="L75" i="2"/>
  <c r="AB266" i="2"/>
  <c r="Z266" i="2"/>
  <c r="AA266" i="2"/>
  <c r="W266" i="2"/>
  <c r="Y266" i="2"/>
  <c r="X266" i="2"/>
  <c r="V268" i="2"/>
  <c r="U268" i="2"/>
  <c r="T268" i="2"/>
  <c r="Q269" i="2" l="1"/>
  <c r="R269" i="2" s="1"/>
  <c r="S269" i="2" s="1"/>
  <c r="M75" i="2"/>
  <c r="AD268" i="2"/>
  <c r="AE268" i="2"/>
  <c r="AC268" i="2"/>
  <c r="V269" i="2"/>
  <c r="T269" i="2"/>
  <c r="U269" i="2"/>
  <c r="Y267" i="2"/>
  <c r="X267" i="2"/>
  <c r="W267" i="2"/>
  <c r="D76" i="2"/>
  <c r="N75" i="2"/>
  <c r="AA267" i="2"/>
  <c r="AB267" i="2"/>
  <c r="Z267" i="2"/>
  <c r="Q270" i="2" l="1"/>
  <c r="R270" i="2" s="1"/>
  <c r="S270" i="2" s="1"/>
  <c r="G76" i="2"/>
  <c r="F76" i="2"/>
  <c r="K76" i="2" s="1"/>
  <c r="B76" i="2"/>
  <c r="C76" i="2" s="1"/>
  <c r="AA268" i="2"/>
  <c r="AB268" i="2"/>
  <c r="Z268" i="2"/>
  <c r="U270" i="2"/>
  <c r="T270" i="2"/>
  <c r="V270" i="2"/>
  <c r="AC269" i="2"/>
  <c r="AD269" i="2"/>
  <c r="AE269" i="2"/>
  <c r="W268" i="2"/>
  <c r="Y268" i="2"/>
  <c r="X268" i="2"/>
  <c r="Q271" i="2" l="1"/>
  <c r="R271" i="2"/>
  <c r="S271" i="2" s="1"/>
  <c r="AB269" i="2"/>
  <c r="AA269" i="2"/>
  <c r="Z269" i="2"/>
  <c r="E76" i="2"/>
  <c r="Y269" i="2"/>
  <c r="X269" i="2"/>
  <c r="W269" i="2"/>
  <c r="T271" i="2"/>
  <c r="V271" i="2"/>
  <c r="U271" i="2"/>
  <c r="H76" i="2"/>
  <c r="J76" i="2" s="1"/>
  <c r="AE270" i="2"/>
  <c r="AC270" i="2"/>
  <c r="AD270" i="2"/>
  <c r="D77" i="2" l="1"/>
  <c r="N76" i="2"/>
  <c r="Q272" i="2"/>
  <c r="R272" i="2" s="1"/>
  <c r="S272" i="2" s="1"/>
  <c r="AE271" i="2"/>
  <c r="AD271" i="2"/>
  <c r="AC271" i="2"/>
  <c r="L76" i="2"/>
  <c r="Y270" i="2"/>
  <c r="X270" i="2"/>
  <c r="W270" i="2"/>
  <c r="I76" i="2"/>
  <c r="AA270" i="2"/>
  <c r="Z270" i="2"/>
  <c r="AB270" i="2"/>
  <c r="V272" i="2"/>
  <c r="U272" i="2"/>
  <c r="T272" i="2"/>
  <c r="Q273" i="2" l="1"/>
  <c r="R273" i="2"/>
  <c r="S273" i="2" s="1"/>
  <c r="AB271" i="2"/>
  <c r="Z271" i="2"/>
  <c r="AA271" i="2"/>
  <c r="W271" i="2"/>
  <c r="Y271" i="2"/>
  <c r="X271" i="2"/>
  <c r="V273" i="2"/>
  <c r="U273" i="2"/>
  <c r="T273" i="2"/>
  <c r="M76" i="2"/>
  <c r="AE272" i="2"/>
  <c r="AD272" i="2"/>
  <c r="AC272" i="2"/>
  <c r="F77" i="2"/>
  <c r="K77" i="2" s="1"/>
  <c r="B77" i="2"/>
  <c r="C77" i="2" s="1"/>
  <c r="Q274" i="2" l="1"/>
  <c r="R274" i="2"/>
  <c r="S274" i="2" s="1"/>
  <c r="AB272" i="2"/>
  <c r="AA272" i="2"/>
  <c r="Z272" i="2"/>
  <c r="U274" i="2"/>
  <c r="V274" i="2"/>
  <c r="T274" i="2"/>
  <c r="AE273" i="2"/>
  <c r="AD273" i="2"/>
  <c r="AC273" i="2"/>
  <c r="Y272" i="2"/>
  <c r="X272" i="2"/>
  <c r="W272" i="2"/>
  <c r="G77" i="2"/>
  <c r="Q275" i="2" l="1"/>
  <c r="R275" i="2" s="1"/>
  <c r="S275" i="2" s="1"/>
  <c r="H77" i="2"/>
  <c r="L77" i="2"/>
  <c r="J77" i="2"/>
  <c r="E77" i="2"/>
  <c r="I77" i="2" s="1"/>
  <c r="Y273" i="2"/>
  <c r="W273" i="2"/>
  <c r="X273" i="2"/>
  <c r="AE274" i="2"/>
  <c r="AD274" i="2"/>
  <c r="AC274" i="2"/>
  <c r="U275" i="2"/>
  <c r="V275" i="2"/>
  <c r="T275" i="2"/>
  <c r="AA273" i="2"/>
  <c r="AB273" i="2"/>
  <c r="Z273" i="2"/>
  <c r="R276" i="2" l="1"/>
  <c r="S276" i="2" s="1"/>
  <c r="Q276" i="2"/>
  <c r="U276" i="2"/>
  <c r="V276" i="2"/>
  <c r="T276" i="2"/>
  <c r="M77" i="2"/>
  <c r="AC275" i="2"/>
  <c r="AE275" i="2"/>
  <c r="AD275" i="2"/>
  <c r="X274" i="2"/>
  <c r="W274" i="2"/>
  <c r="Y274" i="2"/>
  <c r="AB274" i="2"/>
  <c r="AA274" i="2"/>
  <c r="Z274" i="2"/>
  <c r="D78" i="2"/>
  <c r="N77" i="2"/>
  <c r="Q277" i="2" l="1"/>
  <c r="R277" i="2" s="1"/>
  <c r="S277" i="2" s="1"/>
  <c r="B78" i="2"/>
  <c r="C78" i="2" s="1"/>
  <c r="G78" i="2"/>
  <c r="F78" i="2"/>
  <c r="K78" i="2" s="1"/>
  <c r="Y275" i="2"/>
  <c r="X275" i="2"/>
  <c r="W275" i="2"/>
  <c r="AE276" i="2"/>
  <c r="AD276" i="2"/>
  <c r="AC276" i="2"/>
  <c r="Z275" i="2"/>
  <c r="AB275" i="2"/>
  <c r="AA275" i="2"/>
  <c r="T277" i="2"/>
  <c r="V277" i="2"/>
  <c r="U277" i="2"/>
  <c r="Q278" i="2" l="1"/>
  <c r="R278" i="2" s="1"/>
  <c r="S278" i="2" s="1"/>
  <c r="AB276" i="2"/>
  <c r="AA276" i="2"/>
  <c r="Z276" i="2"/>
  <c r="AD277" i="2"/>
  <c r="AC277" i="2"/>
  <c r="AE277" i="2"/>
  <c r="Y276" i="2"/>
  <c r="X276" i="2"/>
  <c r="W276" i="2"/>
  <c r="H78" i="2"/>
  <c r="L78" i="2" s="1"/>
  <c r="E78" i="2"/>
  <c r="V278" i="2"/>
  <c r="U278" i="2"/>
  <c r="T278" i="2"/>
  <c r="M78" i="2" l="1"/>
  <c r="Q279" i="2"/>
  <c r="R279" i="2"/>
  <c r="S279" i="2" s="1"/>
  <c r="J78" i="2"/>
  <c r="Y277" i="2"/>
  <c r="X277" i="2"/>
  <c r="W277" i="2"/>
  <c r="I78" i="2"/>
  <c r="U279" i="2"/>
  <c r="T279" i="2"/>
  <c r="V279" i="2"/>
  <c r="AE278" i="2"/>
  <c r="AC278" i="2"/>
  <c r="AD278" i="2"/>
  <c r="AA277" i="2"/>
  <c r="Z277" i="2"/>
  <c r="AB277" i="2"/>
  <c r="Q280" i="2" l="1"/>
  <c r="R280" i="2" s="1"/>
  <c r="S280" i="2" s="1"/>
  <c r="Y278" i="2"/>
  <c r="X278" i="2"/>
  <c r="W278" i="2"/>
  <c r="AB278" i="2"/>
  <c r="Z278" i="2"/>
  <c r="AA278" i="2"/>
  <c r="U280" i="2"/>
  <c r="T280" i="2"/>
  <c r="V280" i="2"/>
  <c r="D79" i="2"/>
  <c r="N78" i="2"/>
  <c r="AE279" i="2"/>
  <c r="AC279" i="2"/>
  <c r="AD279" i="2"/>
  <c r="Q281" i="2" l="1"/>
  <c r="R281" i="2" s="1"/>
  <c r="S281" i="2" s="1"/>
  <c r="F79" i="2"/>
  <c r="K79" i="2" s="1"/>
  <c r="B79" i="2"/>
  <c r="C79" i="2" s="1"/>
  <c r="U281" i="2"/>
  <c r="T281" i="2"/>
  <c r="V281" i="2"/>
  <c r="AC280" i="2"/>
  <c r="AE280" i="2"/>
  <c r="AD280" i="2"/>
  <c r="AB279" i="2"/>
  <c r="AA279" i="2"/>
  <c r="Z279" i="2"/>
  <c r="X279" i="2"/>
  <c r="W279" i="2"/>
  <c r="Y279" i="2"/>
  <c r="Q282" i="2" l="1"/>
  <c r="R282" i="2" s="1"/>
  <c r="S282" i="2" s="1"/>
  <c r="Z280" i="2"/>
  <c r="AB280" i="2"/>
  <c r="AA280" i="2"/>
  <c r="AC281" i="2"/>
  <c r="AE281" i="2"/>
  <c r="AD281" i="2"/>
  <c r="Y280" i="2"/>
  <c r="X280" i="2"/>
  <c r="W280" i="2"/>
  <c r="T282" i="2"/>
  <c r="V282" i="2"/>
  <c r="U282" i="2"/>
  <c r="G79" i="2"/>
  <c r="Q283" i="2" l="1"/>
  <c r="R283" i="2" s="1"/>
  <c r="S283" i="2" s="1"/>
  <c r="H79" i="2"/>
  <c r="L79" i="2" s="1"/>
  <c r="V283" i="2"/>
  <c r="U283" i="2"/>
  <c r="T283" i="2"/>
  <c r="Y281" i="2"/>
  <c r="W281" i="2"/>
  <c r="X281" i="2"/>
  <c r="AD282" i="2"/>
  <c r="AE282" i="2"/>
  <c r="AC282" i="2"/>
  <c r="E79" i="2"/>
  <c r="I79" i="2" s="1"/>
  <c r="AB281" i="2"/>
  <c r="AA281" i="2"/>
  <c r="Z281" i="2"/>
  <c r="M79" i="2" l="1"/>
  <c r="Q284" i="2"/>
  <c r="R284" i="2"/>
  <c r="S284" i="2" s="1"/>
  <c r="AB282" i="2"/>
  <c r="AA282" i="2"/>
  <c r="Z282" i="2"/>
  <c r="AE283" i="2"/>
  <c r="AD283" i="2"/>
  <c r="AC283" i="2"/>
  <c r="V284" i="2"/>
  <c r="T284" i="2"/>
  <c r="U284" i="2"/>
  <c r="Y282" i="2"/>
  <c r="X282" i="2"/>
  <c r="W282" i="2"/>
  <c r="J79" i="2"/>
  <c r="Q285" i="2" l="1"/>
  <c r="R285" i="2" s="1"/>
  <c r="S285" i="2" s="1"/>
  <c r="Y283" i="2"/>
  <c r="W283" i="2"/>
  <c r="X283" i="2"/>
  <c r="D80" i="2"/>
  <c r="N79" i="2"/>
  <c r="U285" i="2"/>
  <c r="V285" i="2"/>
  <c r="T285" i="2"/>
  <c r="AE284" i="2"/>
  <c r="AD284" i="2"/>
  <c r="AC284" i="2"/>
  <c r="AA283" i="2"/>
  <c r="AB283" i="2"/>
  <c r="Z283" i="2"/>
  <c r="Q286" i="2" l="1"/>
  <c r="R286" i="2" s="1"/>
  <c r="S286" i="2" s="1"/>
  <c r="AE285" i="2"/>
  <c r="AC285" i="2"/>
  <c r="AD285" i="2"/>
  <c r="U286" i="2"/>
  <c r="V286" i="2"/>
  <c r="T286" i="2"/>
  <c r="AB284" i="2"/>
  <c r="AA284" i="2"/>
  <c r="Z284" i="2"/>
  <c r="G80" i="2"/>
  <c r="H80" i="2" s="1"/>
  <c r="F80" i="2"/>
  <c r="K80" i="2" s="1"/>
  <c r="B80" i="2"/>
  <c r="C80" i="2" s="1"/>
  <c r="X284" i="2"/>
  <c r="W284" i="2"/>
  <c r="Y284" i="2"/>
  <c r="Q287" i="2" l="1"/>
  <c r="R287" i="2" s="1"/>
  <c r="S287" i="2" s="1"/>
  <c r="E80" i="2"/>
  <c r="I80" i="2" s="1"/>
  <c r="T287" i="2"/>
  <c r="V287" i="2"/>
  <c r="U287" i="2"/>
  <c r="L80" i="2"/>
  <c r="Z285" i="2"/>
  <c r="AB285" i="2"/>
  <c r="AA285" i="2"/>
  <c r="Y285" i="2"/>
  <c r="X285" i="2"/>
  <c r="W285" i="2"/>
  <c r="AE286" i="2"/>
  <c r="AD286" i="2"/>
  <c r="AC286" i="2"/>
  <c r="J80" i="2"/>
  <c r="Q288" i="2" l="1"/>
  <c r="R288" i="2"/>
  <c r="S288" i="2" s="1"/>
  <c r="W286" i="2"/>
  <c r="Y286" i="2"/>
  <c r="X286" i="2"/>
  <c r="AB286" i="2"/>
  <c r="AA286" i="2"/>
  <c r="Z286" i="2"/>
  <c r="D81" i="2"/>
  <c r="N80" i="2"/>
  <c r="AD287" i="2"/>
  <c r="AE287" i="2"/>
  <c r="AC287" i="2"/>
  <c r="M80" i="2"/>
  <c r="V288" i="2"/>
  <c r="U288" i="2"/>
  <c r="T288" i="2"/>
  <c r="Q289" i="2" l="1"/>
  <c r="R289" i="2"/>
  <c r="S289" i="2" s="1"/>
  <c r="AE288" i="2"/>
  <c r="AD288" i="2"/>
  <c r="AC288" i="2"/>
  <c r="V289" i="2"/>
  <c r="U289" i="2"/>
  <c r="T289" i="2"/>
  <c r="B81" i="2"/>
  <c r="C81" i="2" s="1"/>
  <c r="F81" i="2"/>
  <c r="K81" i="2" s="1"/>
  <c r="AB287" i="2"/>
  <c r="AA287" i="2"/>
  <c r="Z287" i="2"/>
  <c r="Y287" i="2"/>
  <c r="X287" i="2"/>
  <c r="W287" i="2"/>
  <c r="Q290" i="2" l="1"/>
  <c r="R290" i="2" s="1"/>
  <c r="S290" i="2" s="1"/>
  <c r="AA288" i="2"/>
  <c r="AB288" i="2"/>
  <c r="Z288" i="2"/>
  <c r="V290" i="2"/>
  <c r="U290" i="2"/>
  <c r="T290" i="2"/>
  <c r="AC289" i="2"/>
  <c r="AE289" i="2"/>
  <c r="AD289" i="2"/>
  <c r="Y288" i="2"/>
  <c r="X288" i="2"/>
  <c r="W288" i="2"/>
  <c r="G81" i="2"/>
  <c r="E81" i="2" s="1"/>
  <c r="Q291" i="2" l="1"/>
  <c r="R291" i="2" s="1"/>
  <c r="S291" i="2" s="1"/>
  <c r="AE290" i="2"/>
  <c r="AC290" i="2"/>
  <c r="AD290" i="2"/>
  <c r="X289" i="2"/>
  <c r="W289" i="2"/>
  <c r="Y289" i="2"/>
  <c r="AB289" i="2"/>
  <c r="AA289" i="2"/>
  <c r="Z289" i="2"/>
  <c r="H81" i="2"/>
  <c r="I81" i="2" s="1"/>
  <c r="U291" i="2"/>
  <c r="V291" i="2"/>
  <c r="T291" i="2"/>
  <c r="Q292" i="2" l="1"/>
  <c r="R292" i="2" s="1"/>
  <c r="S292" i="2" s="1"/>
  <c r="J81" i="2"/>
  <c r="T292" i="2"/>
  <c r="V292" i="2"/>
  <c r="U292" i="2"/>
  <c r="AE291" i="2"/>
  <c r="AD291" i="2"/>
  <c r="AC291" i="2"/>
  <c r="L81" i="2"/>
  <c r="Y290" i="2"/>
  <c r="X290" i="2"/>
  <c r="W290" i="2"/>
  <c r="Z290" i="2"/>
  <c r="AA290" i="2"/>
  <c r="AB290" i="2"/>
  <c r="Q293" i="2" l="1"/>
  <c r="R293" i="2" s="1"/>
  <c r="S293" i="2" s="1"/>
  <c r="W291" i="2"/>
  <c r="Y291" i="2"/>
  <c r="X291" i="2"/>
  <c r="D82" i="2"/>
  <c r="N81" i="2"/>
  <c r="AB291" i="2"/>
  <c r="AA291" i="2"/>
  <c r="Z291" i="2"/>
  <c r="M81" i="2"/>
  <c r="AD292" i="2"/>
  <c r="AE292" i="2"/>
  <c r="AC292" i="2"/>
  <c r="V293" i="2"/>
  <c r="U293" i="2"/>
  <c r="T293" i="2"/>
  <c r="Q294" i="2" l="1"/>
  <c r="R294" i="2"/>
  <c r="S294" i="2" s="1"/>
  <c r="AE293" i="2"/>
  <c r="AD293" i="2"/>
  <c r="AC293" i="2"/>
  <c r="T294" i="2"/>
  <c r="V294" i="2"/>
  <c r="U294" i="2"/>
  <c r="AB292" i="2"/>
  <c r="AA292" i="2"/>
  <c r="Z292" i="2"/>
  <c r="Y292" i="2"/>
  <c r="X292" i="2"/>
  <c r="W292" i="2"/>
  <c r="G82" i="2"/>
  <c r="F82" i="2"/>
  <c r="K82" i="2" s="1"/>
  <c r="B82" i="2"/>
  <c r="C82" i="2" s="1"/>
  <c r="Q295" i="2" l="1"/>
  <c r="R295" i="2" s="1"/>
  <c r="S295" i="2" s="1"/>
  <c r="Y293" i="2"/>
  <c r="X293" i="2"/>
  <c r="W293" i="2"/>
  <c r="E82" i="2"/>
  <c r="AE294" i="2"/>
  <c r="AD294" i="2"/>
  <c r="AC294" i="2"/>
  <c r="AB293" i="2"/>
  <c r="AA293" i="2"/>
  <c r="Z293" i="2"/>
  <c r="V295" i="2"/>
  <c r="U295" i="2"/>
  <c r="T295" i="2"/>
  <c r="H82" i="2"/>
  <c r="J82" i="2" s="1"/>
  <c r="D83" i="2" l="1"/>
  <c r="N82" i="2"/>
  <c r="Q296" i="2"/>
  <c r="R296" i="2" s="1"/>
  <c r="S296" i="2" s="1"/>
  <c r="U296" i="2"/>
  <c r="V296" i="2"/>
  <c r="T296" i="2"/>
  <c r="X294" i="2"/>
  <c r="W294" i="2"/>
  <c r="Y294" i="2"/>
  <c r="AA294" i="2"/>
  <c r="Z294" i="2"/>
  <c r="AB294" i="2"/>
  <c r="L82" i="2"/>
  <c r="AE295" i="2"/>
  <c r="AC295" i="2"/>
  <c r="AD295" i="2"/>
  <c r="I82" i="2"/>
  <c r="Q297" i="2" l="1"/>
  <c r="R297" i="2" s="1"/>
  <c r="S297" i="2" s="1"/>
  <c r="M82" i="2"/>
  <c r="Y295" i="2"/>
  <c r="X295" i="2"/>
  <c r="W295" i="2"/>
  <c r="T297" i="2"/>
  <c r="V297" i="2"/>
  <c r="U297" i="2"/>
  <c r="AE296" i="2"/>
  <c r="AD296" i="2"/>
  <c r="AC296" i="2"/>
  <c r="Z295" i="2"/>
  <c r="AA295" i="2"/>
  <c r="AB295" i="2"/>
  <c r="F83" i="2"/>
  <c r="K83" i="2" s="1"/>
  <c r="B83" i="2"/>
  <c r="C83" i="2" s="1"/>
  <c r="Q298" i="2" l="1"/>
  <c r="R298" i="2" s="1"/>
  <c r="S298" i="2" s="1"/>
  <c r="AB296" i="2"/>
  <c r="AA296" i="2"/>
  <c r="Z296" i="2"/>
  <c r="V298" i="2"/>
  <c r="U298" i="2"/>
  <c r="T298" i="2"/>
  <c r="Y296" i="2"/>
  <c r="X296" i="2"/>
  <c r="W296" i="2"/>
  <c r="AD297" i="2"/>
  <c r="AE297" i="2"/>
  <c r="AC297" i="2"/>
  <c r="G83" i="2"/>
  <c r="E83" i="2" s="1"/>
  <c r="Q299" i="2" l="1"/>
  <c r="R299" i="2"/>
  <c r="S299" i="2" s="1"/>
  <c r="H83" i="2"/>
  <c r="I83" i="2" s="1"/>
  <c r="Y297" i="2"/>
  <c r="W297" i="2"/>
  <c r="X297" i="2"/>
  <c r="AE298" i="2"/>
  <c r="AD298" i="2"/>
  <c r="AC298" i="2"/>
  <c r="V299" i="2"/>
  <c r="U299" i="2"/>
  <c r="T299" i="2"/>
  <c r="AB297" i="2"/>
  <c r="AA297" i="2"/>
  <c r="Z297" i="2"/>
  <c r="Q300" i="2" l="1"/>
  <c r="R300" i="2" s="1"/>
  <c r="S300" i="2" s="1"/>
  <c r="AB298" i="2"/>
  <c r="AA298" i="2"/>
  <c r="Z298" i="2"/>
  <c r="T300" i="2"/>
  <c r="V300" i="2"/>
  <c r="U300" i="2"/>
  <c r="AD299" i="2"/>
  <c r="AE299" i="2"/>
  <c r="AC299" i="2"/>
  <c r="Y298" i="2"/>
  <c r="W298" i="2"/>
  <c r="X298" i="2"/>
  <c r="L83" i="2"/>
  <c r="J83" i="2"/>
  <c r="Q301" i="2" l="1"/>
  <c r="R301" i="2" s="1"/>
  <c r="S301" i="2" s="1"/>
  <c r="D84" i="2"/>
  <c r="N83" i="2"/>
  <c r="X299" i="2"/>
  <c r="W299" i="2"/>
  <c r="Y299" i="2"/>
  <c r="M83" i="2"/>
  <c r="AE300" i="2"/>
  <c r="AC300" i="2"/>
  <c r="AD300" i="2"/>
  <c r="U301" i="2"/>
  <c r="V301" i="2"/>
  <c r="T301" i="2"/>
  <c r="AB299" i="2"/>
  <c r="Z299" i="2"/>
  <c r="AA299" i="2"/>
  <c r="Q302" i="2" l="1"/>
  <c r="R302" i="2" s="1"/>
  <c r="S302" i="2" s="1"/>
  <c r="Z300" i="2"/>
  <c r="AB300" i="2"/>
  <c r="AA300" i="2"/>
  <c r="AD301" i="2"/>
  <c r="AC301" i="2"/>
  <c r="AE301" i="2"/>
  <c r="T302" i="2"/>
  <c r="V302" i="2"/>
  <c r="U302" i="2"/>
  <c r="F84" i="2"/>
  <c r="K84" i="2" s="1"/>
  <c r="B84" i="2"/>
  <c r="C84" i="2" s="1"/>
  <c r="Y300" i="2"/>
  <c r="X300" i="2"/>
  <c r="W300" i="2"/>
  <c r="Q303" i="2" l="1"/>
  <c r="R303" i="2" s="1"/>
  <c r="S303" i="2" s="1"/>
  <c r="AD302" i="2"/>
  <c r="AE302" i="2"/>
  <c r="AC302" i="2"/>
  <c r="G84" i="2"/>
  <c r="AB301" i="2"/>
  <c r="AA301" i="2"/>
  <c r="Z301" i="2"/>
  <c r="V303" i="2"/>
  <c r="U303" i="2"/>
  <c r="T303" i="2"/>
  <c r="Y301" i="2"/>
  <c r="X301" i="2"/>
  <c r="W301" i="2"/>
  <c r="Q304" i="2" l="1"/>
  <c r="R304" i="2"/>
  <c r="S304" i="2" s="1"/>
  <c r="H84" i="2"/>
  <c r="L84" i="2" s="1"/>
  <c r="Y302" i="2"/>
  <c r="X302" i="2"/>
  <c r="W302" i="2"/>
  <c r="V304" i="2"/>
  <c r="U304" i="2"/>
  <c r="T304" i="2"/>
  <c r="E84" i="2"/>
  <c r="I84" i="2" s="1"/>
  <c r="AB302" i="2"/>
  <c r="AA302" i="2"/>
  <c r="Z302" i="2"/>
  <c r="AE303" i="2"/>
  <c r="AD303" i="2"/>
  <c r="AC303" i="2"/>
  <c r="M84" i="2" l="1"/>
  <c r="Q305" i="2"/>
  <c r="R305" i="2" s="1"/>
  <c r="S305" i="2" s="1"/>
  <c r="AE304" i="2"/>
  <c r="AD304" i="2"/>
  <c r="AC304" i="2"/>
  <c r="J84" i="2"/>
  <c r="AB303" i="2"/>
  <c r="AA303" i="2"/>
  <c r="Z303" i="2"/>
  <c r="U305" i="2"/>
  <c r="T305" i="2"/>
  <c r="V305" i="2"/>
  <c r="Y303" i="2"/>
  <c r="X303" i="2"/>
  <c r="W303" i="2"/>
  <c r="Q306" i="2" l="1"/>
  <c r="R306" i="2" s="1"/>
  <c r="S306" i="2" s="1"/>
  <c r="U306" i="2"/>
  <c r="V306" i="2"/>
  <c r="T306" i="2"/>
  <c r="Z304" i="2"/>
  <c r="AB304" i="2"/>
  <c r="AA304" i="2"/>
  <c r="AE305" i="2"/>
  <c r="AC305" i="2"/>
  <c r="AD305" i="2"/>
  <c r="X304" i="2"/>
  <c r="W304" i="2"/>
  <c r="Y304" i="2"/>
  <c r="D85" i="2"/>
  <c r="N84" i="2"/>
  <c r="Q307" i="2" l="1"/>
  <c r="R307" i="2" s="1"/>
  <c r="S307" i="2" s="1"/>
  <c r="F85" i="2"/>
  <c r="K85" i="2" s="1"/>
  <c r="B85" i="2"/>
  <c r="C85" i="2" s="1"/>
  <c r="W305" i="2"/>
  <c r="Y305" i="2"/>
  <c r="X305" i="2"/>
  <c r="AE306" i="2"/>
  <c r="AD306" i="2"/>
  <c r="AC306" i="2"/>
  <c r="Z305" i="2"/>
  <c r="AA305" i="2"/>
  <c r="AB305" i="2"/>
  <c r="T307" i="2"/>
  <c r="V307" i="2"/>
  <c r="U307" i="2"/>
  <c r="Q308" i="2" l="1"/>
  <c r="R308" i="2" s="1"/>
  <c r="S308" i="2" s="1"/>
  <c r="Y306" i="2"/>
  <c r="X306" i="2"/>
  <c r="W306" i="2"/>
  <c r="G85" i="2"/>
  <c r="V308" i="2"/>
  <c r="U308" i="2"/>
  <c r="T308" i="2"/>
  <c r="AD307" i="2"/>
  <c r="AC307" i="2"/>
  <c r="AE307" i="2"/>
  <c r="E85" i="2"/>
  <c r="AB306" i="2"/>
  <c r="AA306" i="2"/>
  <c r="Z306" i="2"/>
  <c r="Q309" i="2" l="1"/>
  <c r="R309" i="2"/>
  <c r="S309" i="2" s="1"/>
  <c r="AA307" i="2"/>
  <c r="Z307" i="2"/>
  <c r="AB307" i="2"/>
  <c r="X307" i="2"/>
  <c r="W307" i="2"/>
  <c r="Y307" i="2"/>
  <c r="AE308" i="2"/>
  <c r="AD308" i="2"/>
  <c r="AC308" i="2"/>
  <c r="V309" i="2"/>
  <c r="U309" i="2"/>
  <c r="T309" i="2"/>
  <c r="H85" i="2"/>
  <c r="I85" i="2" s="1"/>
  <c r="Q310" i="2" l="1"/>
  <c r="R310" i="2" s="1"/>
  <c r="S310" i="2" s="1"/>
  <c r="L85" i="2"/>
  <c r="AB308" i="2"/>
  <c r="AA308" i="2"/>
  <c r="Z308" i="2"/>
  <c r="J85" i="2"/>
  <c r="V310" i="2"/>
  <c r="U310" i="2"/>
  <c r="T310" i="2"/>
  <c r="AE309" i="2"/>
  <c r="AD309" i="2"/>
  <c r="AC309" i="2"/>
  <c r="Y308" i="2"/>
  <c r="X308" i="2"/>
  <c r="W308" i="2"/>
  <c r="R311" i="2" l="1"/>
  <c r="S311" i="2"/>
  <c r="Q311" i="2"/>
  <c r="AE310" i="2"/>
  <c r="AC310" i="2"/>
  <c r="AD310" i="2"/>
  <c r="M85" i="2"/>
  <c r="U311" i="2"/>
  <c r="V311" i="2"/>
  <c r="T311" i="2"/>
  <c r="X309" i="2"/>
  <c r="W309" i="2"/>
  <c r="Y309" i="2"/>
  <c r="D86" i="2"/>
  <c r="N85" i="2"/>
  <c r="AB309" i="2"/>
  <c r="AA309" i="2"/>
  <c r="Z309" i="2"/>
  <c r="Y310" i="2" l="1"/>
  <c r="X310" i="2"/>
  <c r="W310" i="2"/>
  <c r="T312" i="2"/>
  <c r="U312" i="2"/>
  <c r="V312" i="2"/>
  <c r="AD311" i="2"/>
  <c r="AE311" i="2"/>
  <c r="AC311" i="2"/>
  <c r="Z310" i="2"/>
  <c r="AB310" i="2"/>
  <c r="AA310" i="2"/>
  <c r="F86" i="2"/>
  <c r="K86" i="2" s="1"/>
  <c r="B86" i="2"/>
  <c r="C86" i="2" s="1"/>
  <c r="G86" i="2"/>
  <c r="H86" i="2" s="1"/>
  <c r="S312" i="2"/>
  <c r="R312" i="2"/>
  <c r="Q312" i="2"/>
  <c r="L86" i="2" l="1"/>
  <c r="E86" i="2"/>
  <c r="I86" i="2" s="1"/>
  <c r="V313" i="2"/>
  <c r="T313" i="2"/>
  <c r="U313" i="2"/>
  <c r="J86" i="2"/>
  <c r="AB311" i="2"/>
  <c r="AA311" i="2"/>
  <c r="Z311" i="2"/>
  <c r="AD312" i="2"/>
  <c r="AE312" i="2"/>
  <c r="AC312" i="2"/>
  <c r="S313" i="2"/>
  <c r="R313" i="2"/>
  <c r="Q313" i="2"/>
  <c r="Y311" i="2"/>
  <c r="X311" i="2"/>
  <c r="W311" i="2"/>
  <c r="S314" i="2" l="1"/>
  <c r="Q314" i="2"/>
  <c r="R314" i="2"/>
  <c r="AA312" i="2"/>
  <c r="AB312" i="2"/>
  <c r="Z312" i="2"/>
  <c r="Y312" i="2"/>
  <c r="X312" i="2"/>
  <c r="W312" i="2"/>
  <c r="AE313" i="2"/>
  <c r="AD313" i="2"/>
  <c r="AC313" i="2"/>
  <c r="D87" i="2"/>
  <c r="N86" i="2"/>
  <c r="V314" i="2"/>
  <c r="U314" i="2"/>
  <c r="T314" i="2"/>
  <c r="M86" i="2"/>
  <c r="F87" i="2" l="1"/>
  <c r="K87" i="2" s="1"/>
  <c r="B87" i="2"/>
  <c r="C87" i="2" s="1"/>
  <c r="Y313" i="2"/>
  <c r="X313" i="2"/>
  <c r="W313" i="2"/>
  <c r="V315" i="2"/>
  <c r="U315" i="2"/>
  <c r="T315" i="2"/>
  <c r="AE314" i="2"/>
  <c r="AD314" i="2"/>
  <c r="AC314" i="2"/>
  <c r="AB313" i="2"/>
  <c r="AA313" i="2"/>
  <c r="Z313" i="2"/>
  <c r="R315" i="2"/>
  <c r="S315" i="2"/>
  <c r="Q315" i="2"/>
  <c r="AB314" i="2" l="1"/>
  <c r="AA314" i="2"/>
  <c r="Z314" i="2"/>
  <c r="X314" i="2"/>
  <c r="W314" i="2"/>
  <c r="Y314" i="2"/>
  <c r="U316" i="2"/>
  <c r="V316" i="2"/>
  <c r="T316" i="2"/>
  <c r="AE315" i="2"/>
  <c r="AC315" i="2"/>
  <c r="AD315" i="2"/>
  <c r="R316" i="2"/>
  <c r="S316" i="2"/>
  <c r="Q316" i="2"/>
  <c r="G87" i="2"/>
  <c r="H87" i="2" l="1"/>
  <c r="L87" i="2" s="1"/>
  <c r="J87" i="2"/>
  <c r="E87" i="2"/>
  <c r="I87" i="2" s="1"/>
  <c r="S317" i="2"/>
  <c r="R317" i="2"/>
  <c r="Q317" i="2"/>
  <c r="AE316" i="2"/>
  <c r="AD316" i="2"/>
  <c r="AC316" i="2"/>
  <c r="T317" i="2"/>
  <c r="U317" i="2"/>
  <c r="V317" i="2"/>
  <c r="Y315" i="2"/>
  <c r="X315" i="2"/>
  <c r="W315" i="2"/>
  <c r="Z315" i="2"/>
  <c r="AB315" i="2"/>
  <c r="AA315" i="2"/>
  <c r="M87" i="2" l="1"/>
  <c r="AB316" i="2"/>
  <c r="AA316" i="2"/>
  <c r="Z316" i="2"/>
  <c r="V318" i="2"/>
  <c r="T318" i="2"/>
  <c r="U318" i="2"/>
  <c r="Y316" i="2"/>
  <c r="X316" i="2"/>
  <c r="W316" i="2"/>
  <c r="AD317" i="2"/>
  <c r="AE317" i="2"/>
  <c r="AC317" i="2"/>
  <c r="S318" i="2"/>
  <c r="R318" i="2"/>
  <c r="Q318" i="2"/>
  <c r="D88" i="2"/>
  <c r="N87" i="2"/>
  <c r="AE318" i="2" l="1"/>
  <c r="AD318" i="2"/>
  <c r="AC318" i="2"/>
  <c r="X317" i="2"/>
  <c r="W317" i="2"/>
  <c r="Y317" i="2"/>
  <c r="F88" i="2"/>
  <c r="K88" i="2" s="1"/>
  <c r="B88" i="2"/>
  <c r="C88" i="2" s="1"/>
  <c r="G88" i="2"/>
  <c r="S319" i="2"/>
  <c r="Q319" i="2"/>
  <c r="R319" i="2"/>
  <c r="V319" i="2"/>
  <c r="U319" i="2"/>
  <c r="T319" i="2"/>
  <c r="Z317" i="2"/>
  <c r="AB317" i="2"/>
  <c r="AA317" i="2"/>
  <c r="V320" i="2" l="1"/>
  <c r="U320" i="2"/>
  <c r="T320" i="2"/>
  <c r="S320" i="2"/>
  <c r="R320" i="2"/>
  <c r="Q320" i="2"/>
  <c r="H88" i="2"/>
  <c r="J88" i="2" s="1"/>
  <c r="E88" i="2"/>
  <c r="I88" i="2" s="1"/>
  <c r="Y318" i="2"/>
  <c r="X318" i="2"/>
  <c r="W318" i="2"/>
  <c r="AB318" i="2"/>
  <c r="AA318" i="2"/>
  <c r="Z318" i="2"/>
  <c r="AD319" i="2"/>
  <c r="AC319" i="2"/>
  <c r="AE319" i="2"/>
  <c r="D89" i="2" l="1"/>
  <c r="N88" i="2"/>
  <c r="AA319" i="2"/>
  <c r="AB319" i="2"/>
  <c r="Z319" i="2"/>
  <c r="X319" i="2"/>
  <c r="W319" i="2"/>
  <c r="Y319" i="2"/>
  <c r="AE320" i="2"/>
  <c r="AC320" i="2"/>
  <c r="AD320" i="2"/>
  <c r="L88" i="2"/>
  <c r="R321" i="2"/>
  <c r="S321" i="2"/>
  <c r="Q321" i="2"/>
  <c r="U321" i="2"/>
  <c r="V321" i="2"/>
  <c r="T321" i="2"/>
  <c r="T322" i="2" l="1"/>
  <c r="V322" i="2"/>
  <c r="U322" i="2"/>
  <c r="AE321" i="2"/>
  <c r="AD321" i="2"/>
  <c r="AC321" i="2"/>
  <c r="S322" i="2"/>
  <c r="R322" i="2"/>
  <c r="Q322" i="2"/>
  <c r="X320" i="2"/>
  <c r="W320" i="2"/>
  <c r="Y320" i="2"/>
  <c r="Z320" i="2"/>
  <c r="AA320" i="2"/>
  <c r="AB320" i="2"/>
  <c r="M88" i="2"/>
  <c r="G89" i="2"/>
  <c r="B89" i="2"/>
  <c r="C89" i="2" s="1"/>
  <c r="F89" i="2"/>
  <c r="K89" i="2" s="1"/>
  <c r="AB321" i="2" l="1"/>
  <c r="AA321" i="2"/>
  <c r="Z321" i="2"/>
  <c r="H89" i="2"/>
  <c r="L89" i="2" s="1"/>
  <c r="Y321" i="2"/>
  <c r="X321" i="2"/>
  <c r="W321" i="2"/>
  <c r="S323" i="2"/>
  <c r="Q323" i="2"/>
  <c r="R323" i="2"/>
  <c r="J89" i="2"/>
  <c r="V323" i="2"/>
  <c r="T323" i="2"/>
  <c r="U323" i="2"/>
  <c r="AD322" i="2"/>
  <c r="AE322" i="2"/>
  <c r="AC322" i="2"/>
  <c r="E89" i="2"/>
  <c r="I89" i="2" s="1"/>
  <c r="M89" i="2" l="1"/>
  <c r="AE323" i="2"/>
  <c r="AD323" i="2"/>
  <c r="AC323" i="2"/>
  <c r="D90" i="2"/>
  <c r="N89" i="2"/>
  <c r="S324" i="2"/>
  <c r="Q324" i="2"/>
  <c r="R324" i="2"/>
  <c r="Y322" i="2"/>
  <c r="X322" i="2"/>
  <c r="W322" i="2"/>
  <c r="V324" i="2"/>
  <c r="U324" i="2"/>
  <c r="T324" i="2"/>
  <c r="AB322" i="2"/>
  <c r="AA322" i="2"/>
  <c r="Z322" i="2"/>
  <c r="AB323" i="2" l="1"/>
  <c r="AA323" i="2"/>
  <c r="Z323" i="2"/>
  <c r="T325" i="2"/>
  <c r="U325" i="2"/>
  <c r="V325" i="2"/>
  <c r="Y323" i="2"/>
  <c r="W323" i="2"/>
  <c r="X323" i="2"/>
  <c r="S325" i="2"/>
  <c r="R325" i="2"/>
  <c r="Q325" i="2"/>
  <c r="B90" i="2"/>
  <c r="C90" i="2" s="1"/>
  <c r="F90" i="2"/>
  <c r="K90" i="2" s="1"/>
  <c r="G90" i="2"/>
  <c r="AD324" i="2"/>
  <c r="AC324" i="2"/>
  <c r="AE324" i="2"/>
  <c r="E90" i="2" l="1"/>
  <c r="H90" i="2"/>
  <c r="J90" i="2" s="1"/>
  <c r="X324" i="2"/>
  <c r="W324" i="2"/>
  <c r="Y324" i="2"/>
  <c r="L90" i="2"/>
  <c r="U326" i="2"/>
  <c r="V326" i="2"/>
  <c r="T326" i="2"/>
  <c r="AE325" i="2"/>
  <c r="AC325" i="2"/>
  <c r="AD325" i="2"/>
  <c r="R326" i="2"/>
  <c r="S326" i="2"/>
  <c r="Q326" i="2"/>
  <c r="AB324" i="2"/>
  <c r="AA324" i="2"/>
  <c r="Z324" i="2"/>
  <c r="D91" i="2" l="1"/>
  <c r="N90" i="2"/>
  <c r="Z325" i="2"/>
  <c r="AA325" i="2"/>
  <c r="AB325" i="2"/>
  <c r="T327" i="2"/>
  <c r="V327" i="2"/>
  <c r="U327" i="2"/>
  <c r="Y325" i="2"/>
  <c r="X325" i="2"/>
  <c r="W325" i="2"/>
  <c r="S327" i="2"/>
  <c r="R327" i="2"/>
  <c r="Q327" i="2"/>
  <c r="AE326" i="2"/>
  <c r="AD326" i="2"/>
  <c r="AC326" i="2"/>
  <c r="M90" i="2"/>
  <c r="I90" i="2"/>
  <c r="AD327" i="2" l="1"/>
  <c r="AC327" i="2"/>
  <c r="AE327" i="2"/>
  <c r="AB326" i="2"/>
  <c r="AA326" i="2"/>
  <c r="Z326" i="2"/>
  <c r="R328" i="2"/>
  <c r="Q328" i="2"/>
  <c r="S328" i="2"/>
  <c r="Y326" i="2"/>
  <c r="X326" i="2"/>
  <c r="W326" i="2"/>
  <c r="V328" i="2"/>
  <c r="U328" i="2"/>
  <c r="T328" i="2"/>
  <c r="F91" i="2"/>
  <c r="K91" i="2" s="1"/>
  <c r="B91" i="2"/>
  <c r="C91" i="2" s="1"/>
  <c r="S329" i="2" l="1"/>
  <c r="Q329" i="2"/>
  <c r="R329" i="2"/>
  <c r="V329" i="2"/>
  <c r="U329" i="2"/>
  <c r="T329" i="2"/>
  <c r="Y327" i="2"/>
  <c r="X327" i="2"/>
  <c r="W327" i="2"/>
  <c r="AB327" i="2"/>
  <c r="AA327" i="2"/>
  <c r="Z327" i="2"/>
  <c r="G91" i="2"/>
  <c r="AE328" i="2"/>
  <c r="AD328" i="2"/>
  <c r="AC328" i="2"/>
  <c r="H91" i="2" l="1"/>
  <c r="L91" i="2" s="1"/>
  <c r="Y328" i="2"/>
  <c r="X328" i="2"/>
  <c r="W328" i="2"/>
  <c r="R330" i="2"/>
  <c r="Q330" i="2"/>
  <c r="S330" i="2"/>
  <c r="AE329" i="2"/>
  <c r="AD329" i="2"/>
  <c r="AC329" i="2"/>
  <c r="AB328" i="2"/>
  <c r="AA328" i="2"/>
  <c r="Z328" i="2"/>
  <c r="V330" i="2"/>
  <c r="T330" i="2"/>
  <c r="U330" i="2"/>
  <c r="E91" i="2"/>
  <c r="I91" i="2" s="1"/>
  <c r="M91" i="2" l="1"/>
  <c r="Z329" i="2"/>
  <c r="AB329" i="2"/>
  <c r="AA329" i="2"/>
  <c r="U331" i="2"/>
  <c r="T331" i="2"/>
  <c r="V331" i="2"/>
  <c r="AE330" i="2"/>
  <c r="AC330" i="2"/>
  <c r="AD330" i="2"/>
  <c r="X329" i="2"/>
  <c r="W329" i="2"/>
  <c r="Y329" i="2"/>
  <c r="R331" i="2"/>
  <c r="S331" i="2"/>
  <c r="Q331" i="2"/>
  <c r="J91" i="2"/>
  <c r="S332" i="2" l="1"/>
  <c r="R332" i="2"/>
  <c r="Q332" i="2"/>
  <c r="D92" i="2"/>
  <c r="N91" i="2"/>
  <c r="W330" i="2"/>
  <c r="Y330" i="2"/>
  <c r="X330" i="2"/>
  <c r="AD331" i="2"/>
  <c r="AE331" i="2"/>
  <c r="AC331" i="2"/>
  <c r="T332" i="2"/>
  <c r="V332" i="2"/>
  <c r="U332" i="2"/>
  <c r="Z330" i="2"/>
  <c r="AA330" i="2"/>
  <c r="AB330" i="2"/>
  <c r="AB331" i="2" l="1"/>
  <c r="AA331" i="2"/>
  <c r="Z331" i="2"/>
  <c r="V333" i="2"/>
  <c r="U333" i="2"/>
  <c r="T333" i="2"/>
  <c r="Y331" i="2"/>
  <c r="X331" i="2"/>
  <c r="W331" i="2"/>
  <c r="AD332" i="2"/>
  <c r="AC332" i="2"/>
  <c r="AE332" i="2"/>
  <c r="B92" i="2"/>
  <c r="C92" i="2" s="1"/>
  <c r="F92" i="2"/>
  <c r="K92" i="2" s="1"/>
  <c r="S333" i="2"/>
  <c r="R333" i="2"/>
  <c r="Q333" i="2"/>
  <c r="X332" i="2" l="1"/>
  <c r="W332" i="2"/>
  <c r="Y332" i="2"/>
  <c r="R334" i="2"/>
  <c r="S334" i="2"/>
  <c r="Q334" i="2"/>
  <c r="AE333" i="2"/>
  <c r="AD333" i="2"/>
  <c r="AC333" i="2"/>
  <c r="V334" i="2"/>
  <c r="U334" i="2"/>
  <c r="T334" i="2"/>
  <c r="G92" i="2"/>
  <c r="AB332" i="2"/>
  <c r="Z332" i="2"/>
  <c r="AA332" i="2"/>
  <c r="H92" i="2" l="1"/>
  <c r="L92" i="2" s="1"/>
  <c r="T335" i="2"/>
  <c r="V335" i="2"/>
  <c r="U335" i="2"/>
  <c r="AB333" i="2"/>
  <c r="AA333" i="2"/>
  <c r="Z333" i="2"/>
  <c r="AE334" i="2"/>
  <c r="AD334" i="2"/>
  <c r="AC334" i="2"/>
  <c r="S335" i="2"/>
  <c r="R335" i="2"/>
  <c r="Q335" i="2"/>
  <c r="Y333" i="2"/>
  <c r="X333" i="2"/>
  <c r="W333" i="2"/>
  <c r="E92" i="2"/>
  <c r="I92" i="2" s="1"/>
  <c r="M92" i="2" l="1"/>
  <c r="Y334" i="2"/>
  <c r="X334" i="2"/>
  <c r="W334" i="2"/>
  <c r="R336" i="2"/>
  <c r="Q336" i="2"/>
  <c r="S336" i="2"/>
  <c r="U336" i="2"/>
  <c r="V336" i="2"/>
  <c r="T336" i="2"/>
  <c r="AC335" i="2"/>
  <c r="AE335" i="2"/>
  <c r="AD335" i="2"/>
  <c r="AA334" i="2"/>
  <c r="AB334" i="2"/>
  <c r="Z334" i="2"/>
  <c r="J92" i="2"/>
  <c r="Z335" i="2" l="1"/>
  <c r="AA335" i="2"/>
  <c r="AB335" i="2"/>
  <c r="D93" i="2"/>
  <c r="N92" i="2"/>
  <c r="AE336" i="2"/>
  <c r="AD336" i="2"/>
  <c r="AC336" i="2"/>
  <c r="V337" i="2"/>
  <c r="U337" i="2"/>
  <c r="T337" i="2"/>
  <c r="S337" i="2"/>
  <c r="R337" i="2"/>
  <c r="Q337" i="2"/>
  <c r="Y335" i="2"/>
  <c r="X335" i="2"/>
  <c r="W335" i="2"/>
  <c r="Y336" i="2" l="1"/>
  <c r="X336" i="2"/>
  <c r="W336" i="2"/>
  <c r="S338" i="2"/>
  <c r="Q338" i="2"/>
  <c r="R338" i="2"/>
  <c r="V338" i="2"/>
  <c r="U338" i="2"/>
  <c r="T338" i="2"/>
  <c r="AD337" i="2"/>
  <c r="AC337" i="2"/>
  <c r="AE337" i="2"/>
  <c r="F93" i="2"/>
  <c r="K93" i="2" s="1"/>
  <c r="G93" i="2"/>
  <c r="E93" i="2" s="1"/>
  <c r="B93" i="2"/>
  <c r="C93" i="2" s="1"/>
  <c r="AB336" i="2"/>
  <c r="AA336" i="2"/>
  <c r="Z336" i="2"/>
  <c r="AE338" i="2" l="1"/>
  <c r="AD338" i="2"/>
  <c r="AC338" i="2"/>
  <c r="V339" i="2"/>
  <c r="T339" i="2"/>
  <c r="U339" i="2"/>
  <c r="H93" i="2"/>
  <c r="I93" i="2" s="1"/>
  <c r="Q339" i="2"/>
  <c r="S339" i="2"/>
  <c r="R339" i="2"/>
  <c r="AB337" i="2"/>
  <c r="AA337" i="2"/>
  <c r="Z337" i="2"/>
  <c r="W337" i="2"/>
  <c r="Y337" i="2"/>
  <c r="X337" i="2"/>
  <c r="S340" i="2" l="1"/>
  <c r="Q340" i="2"/>
  <c r="R340" i="2"/>
  <c r="Y338" i="2"/>
  <c r="X338" i="2"/>
  <c r="W338" i="2"/>
  <c r="AB338" i="2"/>
  <c r="AA338" i="2"/>
  <c r="Z338" i="2"/>
  <c r="J93" i="2"/>
  <c r="L93" i="2"/>
  <c r="V340" i="2"/>
  <c r="U340" i="2"/>
  <c r="T340" i="2"/>
  <c r="AD339" i="2"/>
  <c r="AE339" i="2"/>
  <c r="AC339" i="2"/>
  <c r="U341" i="2" l="1"/>
  <c r="V341" i="2"/>
  <c r="T341" i="2"/>
  <c r="AC340" i="2"/>
  <c r="AE340" i="2"/>
  <c r="AD340" i="2"/>
  <c r="D94" i="2"/>
  <c r="N93" i="2"/>
  <c r="M93" i="2"/>
  <c r="AA339" i="2"/>
  <c r="Z339" i="2"/>
  <c r="AB339" i="2"/>
  <c r="Y339" i="2"/>
  <c r="X339" i="2"/>
  <c r="W339" i="2"/>
  <c r="R341" i="2"/>
  <c r="S341" i="2"/>
  <c r="Q341" i="2"/>
  <c r="X340" i="2" l="1"/>
  <c r="Y340" i="2"/>
  <c r="W340" i="2"/>
  <c r="S342" i="2"/>
  <c r="R342" i="2"/>
  <c r="Q342" i="2"/>
  <c r="AA340" i="2"/>
  <c r="AB340" i="2"/>
  <c r="Z340" i="2"/>
  <c r="B94" i="2"/>
  <c r="C94" i="2" s="1"/>
  <c r="F94" i="2"/>
  <c r="K94" i="2" s="1"/>
  <c r="AE341" i="2"/>
  <c r="AC341" i="2"/>
  <c r="AD341" i="2"/>
  <c r="V342" i="2"/>
  <c r="U342" i="2"/>
  <c r="T342" i="2"/>
  <c r="G94" i="2" l="1"/>
  <c r="AB341" i="2"/>
  <c r="AA341" i="2"/>
  <c r="Z341" i="2"/>
  <c r="AE342" i="2"/>
  <c r="AD342" i="2"/>
  <c r="AC342" i="2"/>
  <c r="R343" i="2"/>
  <c r="Q343" i="2"/>
  <c r="S343" i="2"/>
  <c r="V343" i="2"/>
  <c r="U343" i="2"/>
  <c r="T343" i="2"/>
  <c r="Y341" i="2"/>
  <c r="X341" i="2"/>
  <c r="W341" i="2"/>
  <c r="U344" i="2" l="1"/>
  <c r="T344" i="2"/>
  <c r="V344" i="2"/>
  <c r="AC343" i="2"/>
  <c r="AE343" i="2"/>
  <c r="AD343" i="2"/>
  <c r="AB342" i="2"/>
  <c r="AA342" i="2"/>
  <c r="Z342" i="2"/>
  <c r="W342" i="2"/>
  <c r="X342" i="2"/>
  <c r="Y342" i="2"/>
  <c r="S344" i="2"/>
  <c r="Q344" i="2"/>
  <c r="R344" i="2"/>
  <c r="H94" i="2"/>
  <c r="L94" i="2" s="1"/>
  <c r="E94" i="2"/>
  <c r="I94" i="2" s="1"/>
  <c r="M94" i="2" l="1"/>
  <c r="J94" i="2"/>
  <c r="S345" i="2"/>
  <c r="R345" i="2"/>
  <c r="Q345" i="2"/>
  <c r="Y343" i="2"/>
  <c r="X343" i="2"/>
  <c r="W343" i="2"/>
  <c r="AB343" i="2"/>
  <c r="AA343" i="2"/>
  <c r="Z343" i="2"/>
  <c r="AE344" i="2"/>
  <c r="AD344" i="2"/>
  <c r="AC344" i="2"/>
  <c r="U345" i="2"/>
  <c r="V345" i="2"/>
  <c r="T345" i="2"/>
  <c r="AA344" i="2" l="1"/>
  <c r="AB344" i="2"/>
  <c r="Z344" i="2"/>
  <c r="X344" i="2"/>
  <c r="Y344" i="2"/>
  <c r="W344" i="2"/>
  <c r="U346" i="2"/>
  <c r="T346" i="2"/>
  <c r="V346" i="2"/>
  <c r="AE345" i="2"/>
  <c r="AC345" i="2"/>
  <c r="AD345" i="2"/>
  <c r="Q346" i="2"/>
  <c r="R346" i="2"/>
  <c r="S346" i="2"/>
  <c r="D95" i="2"/>
  <c r="N94" i="2"/>
  <c r="F95" i="2" l="1"/>
  <c r="K95" i="2" s="1"/>
  <c r="B95" i="2"/>
  <c r="C95" i="2" s="1"/>
  <c r="AE346" i="2"/>
  <c r="AD346" i="2"/>
  <c r="AC346" i="2"/>
  <c r="S347" i="2"/>
  <c r="R347" i="2"/>
  <c r="Q347" i="2"/>
  <c r="V347" i="2"/>
  <c r="U347" i="2"/>
  <c r="T347" i="2"/>
  <c r="X345" i="2"/>
  <c r="Y345" i="2"/>
  <c r="W345" i="2"/>
  <c r="AB345" i="2"/>
  <c r="AA345" i="2"/>
  <c r="Z345" i="2"/>
  <c r="AE347" i="2" l="1"/>
  <c r="AD347" i="2"/>
  <c r="AC347" i="2"/>
  <c r="V348" i="2"/>
  <c r="U348" i="2"/>
  <c r="T348" i="2"/>
  <c r="S348" i="2"/>
  <c r="R348" i="2"/>
  <c r="Q348" i="2"/>
  <c r="X346" i="2"/>
  <c r="W346" i="2"/>
  <c r="Y346" i="2"/>
  <c r="G95" i="2"/>
  <c r="E95" i="2" s="1"/>
  <c r="AB346" i="2"/>
  <c r="AA346" i="2"/>
  <c r="Z346" i="2"/>
  <c r="W347" i="2" l="1"/>
  <c r="Y347" i="2"/>
  <c r="X347" i="2"/>
  <c r="AA347" i="2"/>
  <c r="Z347" i="2"/>
  <c r="AB347" i="2"/>
  <c r="H95" i="2"/>
  <c r="I95" i="2" s="1"/>
  <c r="S349" i="2"/>
  <c r="Q349" i="2"/>
  <c r="R349" i="2"/>
  <c r="T349" i="2"/>
  <c r="V349" i="2"/>
  <c r="U349" i="2"/>
  <c r="AD348" i="2"/>
  <c r="AC348" i="2"/>
  <c r="AE348" i="2"/>
  <c r="AE349" i="2" l="1"/>
  <c r="AD349" i="2"/>
  <c r="AC349" i="2"/>
  <c r="U350" i="2"/>
  <c r="T350" i="2"/>
  <c r="V350" i="2"/>
  <c r="S350" i="2"/>
  <c r="R350" i="2"/>
  <c r="Q350" i="2"/>
  <c r="J95" i="2"/>
  <c r="AB348" i="2"/>
  <c r="AA348" i="2"/>
  <c r="Z348" i="2"/>
  <c r="L95" i="2"/>
  <c r="Y348" i="2"/>
  <c r="W348" i="2"/>
  <c r="X348" i="2"/>
  <c r="M95" i="2" l="1"/>
  <c r="AA349" i="2"/>
  <c r="AB349" i="2"/>
  <c r="Z349" i="2"/>
  <c r="S351" i="2"/>
  <c r="R351" i="2"/>
  <c r="Q351" i="2"/>
  <c r="X349" i="2"/>
  <c r="Y349" i="2"/>
  <c r="W349" i="2"/>
  <c r="D96" i="2"/>
  <c r="N95" i="2"/>
  <c r="U351" i="2"/>
  <c r="V351" i="2"/>
  <c r="T351" i="2"/>
  <c r="AE350" i="2"/>
  <c r="AC350" i="2"/>
  <c r="AD350" i="2"/>
  <c r="U352" i="2" l="1"/>
  <c r="V352" i="2"/>
  <c r="T352" i="2"/>
  <c r="Y350" i="2"/>
  <c r="X350" i="2"/>
  <c r="W350" i="2"/>
  <c r="S352" i="2"/>
  <c r="R352" i="2"/>
  <c r="Q352" i="2"/>
  <c r="AE351" i="2"/>
  <c r="AD351" i="2"/>
  <c r="AC351" i="2"/>
  <c r="F96" i="2"/>
  <c r="K96" i="2" s="1"/>
  <c r="B96" i="2"/>
  <c r="C96" i="2" s="1"/>
  <c r="G96" i="2"/>
  <c r="AB350" i="2"/>
  <c r="AA350" i="2"/>
  <c r="Z350" i="2"/>
  <c r="H96" i="2" l="1"/>
  <c r="L96" i="2" s="1"/>
  <c r="E96" i="2"/>
  <c r="I96" i="2" s="1"/>
  <c r="AE352" i="2"/>
  <c r="AC352" i="2"/>
  <c r="AD352" i="2"/>
  <c r="Q353" i="2"/>
  <c r="S353" i="2"/>
  <c r="R353" i="2"/>
  <c r="X351" i="2"/>
  <c r="W351" i="2"/>
  <c r="Y351" i="2"/>
  <c r="AB351" i="2"/>
  <c r="Z351" i="2"/>
  <c r="AA351" i="2"/>
  <c r="V353" i="2"/>
  <c r="U353" i="2"/>
  <c r="T353" i="2"/>
  <c r="J96" i="2"/>
  <c r="M96" i="2" l="1"/>
  <c r="D97" i="2"/>
  <c r="N96" i="2"/>
  <c r="Z352" i="2"/>
  <c r="AB352" i="2"/>
  <c r="AA352" i="2"/>
  <c r="T354" i="2"/>
  <c r="V354" i="2"/>
  <c r="U354" i="2"/>
  <c r="W352" i="2"/>
  <c r="Y352" i="2"/>
  <c r="X352" i="2"/>
  <c r="S354" i="2"/>
  <c r="Q354" i="2"/>
  <c r="R354" i="2"/>
  <c r="AE353" i="2"/>
  <c r="AC353" i="2"/>
  <c r="AD353" i="2"/>
  <c r="Y353" i="2" l="1"/>
  <c r="W353" i="2"/>
  <c r="X353" i="2"/>
  <c r="V355" i="2"/>
  <c r="U355" i="2"/>
  <c r="T355" i="2"/>
  <c r="AE354" i="2"/>
  <c r="AD354" i="2"/>
  <c r="AC354" i="2"/>
  <c r="S355" i="2"/>
  <c r="Q355" i="2"/>
  <c r="R355" i="2"/>
  <c r="AB353" i="2"/>
  <c r="AA353" i="2"/>
  <c r="Z353" i="2"/>
  <c r="F97" i="2"/>
  <c r="K97" i="2" s="1"/>
  <c r="B97" i="2"/>
  <c r="C97" i="2" s="1"/>
  <c r="S356" i="2" l="1"/>
  <c r="Q356" i="2"/>
  <c r="R356" i="2"/>
  <c r="U356" i="2"/>
  <c r="V356" i="2"/>
  <c r="T356" i="2"/>
  <c r="AA354" i="2"/>
  <c r="AB354" i="2"/>
  <c r="Z354" i="2"/>
  <c r="AE355" i="2"/>
  <c r="AC355" i="2"/>
  <c r="AD355" i="2"/>
  <c r="G97" i="2"/>
  <c r="W354" i="2"/>
  <c r="X354" i="2"/>
  <c r="Y354" i="2"/>
  <c r="AE356" i="2" l="1"/>
  <c r="AD356" i="2"/>
  <c r="AC356" i="2"/>
  <c r="Y355" i="2"/>
  <c r="W355" i="2"/>
  <c r="X355" i="2"/>
  <c r="H97" i="2"/>
  <c r="J97" i="2" s="1"/>
  <c r="AB355" i="2"/>
  <c r="AA355" i="2"/>
  <c r="Z355" i="2"/>
  <c r="T357" i="2"/>
  <c r="V357" i="2"/>
  <c r="U357" i="2"/>
  <c r="S357" i="2"/>
  <c r="R357" i="2"/>
  <c r="Q357" i="2"/>
  <c r="E97" i="2"/>
  <c r="I97" i="2" s="1"/>
  <c r="D98" i="2" l="1"/>
  <c r="N97" i="2"/>
  <c r="U358" i="2"/>
  <c r="T358" i="2"/>
  <c r="V358" i="2"/>
  <c r="L97" i="2"/>
  <c r="R358" i="2"/>
  <c r="S358" i="2"/>
  <c r="Q358" i="2"/>
  <c r="AA356" i="2"/>
  <c r="AB356" i="2"/>
  <c r="Z356" i="2"/>
  <c r="X356" i="2"/>
  <c r="W356" i="2"/>
  <c r="Y356" i="2"/>
  <c r="AE357" i="2"/>
  <c r="AD357" i="2"/>
  <c r="AC357" i="2"/>
  <c r="AE358" i="2" l="1"/>
  <c r="AD358" i="2"/>
  <c r="AC358" i="2"/>
  <c r="W357" i="2"/>
  <c r="X357" i="2"/>
  <c r="Y357" i="2"/>
  <c r="M97" i="2"/>
  <c r="AB357" i="2"/>
  <c r="AA357" i="2"/>
  <c r="Z357" i="2"/>
  <c r="S359" i="2"/>
  <c r="Q359" i="2"/>
  <c r="R359" i="2"/>
  <c r="T359" i="2"/>
  <c r="U359" i="2"/>
  <c r="V359" i="2"/>
  <c r="F98" i="2"/>
  <c r="K98" i="2" s="1"/>
  <c r="B98" i="2"/>
  <c r="C98" i="2" s="1"/>
  <c r="AB358" i="2" l="1"/>
  <c r="AA358" i="2"/>
  <c r="Z358" i="2"/>
  <c r="Y358" i="2"/>
  <c r="X358" i="2"/>
  <c r="W358" i="2"/>
  <c r="V360" i="2"/>
  <c r="T360" i="2"/>
  <c r="U360" i="2"/>
  <c r="S360" i="2"/>
  <c r="Q360" i="2"/>
  <c r="R360" i="2"/>
  <c r="G98" i="2"/>
  <c r="E98" i="2" s="1"/>
  <c r="AD359" i="2"/>
  <c r="AC359" i="2"/>
  <c r="AE359" i="2"/>
  <c r="AE360" i="2" l="1"/>
  <c r="AC360" i="2"/>
  <c r="AD360" i="2"/>
  <c r="H98" i="2"/>
  <c r="I98" i="2" s="1"/>
  <c r="S361" i="2"/>
  <c r="Q361" i="2"/>
  <c r="R361" i="2"/>
  <c r="U361" i="2"/>
  <c r="V361" i="2"/>
  <c r="T361" i="2"/>
  <c r="W359" i="2"/>
  <c r="Y359" i="2"/>
  <c r="X359" i="2"/>
  <c r="AA359" i="2"/>
  <c r="AB359" i="2"/>
  <c r="Z359" i="2"/>
  <c r="Y360" i="2" l="1"/>
  <c r="X360" i="2"/>
  <c r="W360" i="2"/>
  <c r="S362" i="2"/>
  <c r="Q362" i="2"/>
  <c r="R362" i="2"/>
  <c r="AA360" i="2"/>
  <c r="Z360" i="2"/>
  <c r="AB360" i="2"/>
  <c r="V362" i="2"/>
  <c r="U362" i="2"/>
  <c r="T362" i="2"/>
  <c r="J98" i="2"/>
  <c r="L98" i="2"/>
  <c r="AE361" i="2"/>
  <c r="AC361" i="2"/>
  <c r="AD361" i="2"/>
  <c r="AD362" i="2" l="1"/>
  <c r="AC362" i="2"/>
  <c r="AE362" i="2"/>
  <c r="D99" i="2"/>
  <c r="N98" i="2"/>
  <c r="V363" i="2"/>
  <c r="U363" i="2"/>
  <c r="T363" i="2"/>
  <c r="M98" i="2"/>
  <c r="AA361" i="2"/>
  <c r="AB361" i="2"/>
  <c r="Z361" i="2"/>
  <c r="S363" i="2"/>
  <c r="R363" i="2"/>
  <c r="Q363" i="2"/>
  <c r="X361" i="2"/>
  <c r="W361" i="2"/>
  <c r="Y361" i="2"/>
  <c r="Z362" i="2" l="1"/>
  <c r="AB362" i="2"/>
  <c r="AA362" i="2"/>
  <c r="S364" i="2"/>
  <c r="Q364" i="2"/>
  <c r="R364" i="2"/>
  <c r="T364" i="2"/>
  <c r="V364" i="2"/>
  <c r="U364" i="2"/>
  <c r="W362" i="2"/>
  <c r="Y362" i="2"/>
  <c r="X362" i="2"/>
  <c r="G99" i="2"/>
  <c r="B99" i="2"/>
  <c r="C99" i="2" s="1"/>
  <c r="F99" i="2"/>
  <c r="K99" i="2" s="1"/>
  <c r="AE363" i="2"/>
  <c r="AD363" i="2"/>
  <c r="AC363" i="2"/>
  <c r="Y363" i="2" l="1"/>
  <c r="W363" i="2"/>
  <c r="X363" i="2"/>
  <c r="E99" i="2"/>
  <c r="H99" i="2"/>
  <c r="L99" i="2" s="1"/>
  <c r="V365" i="2"/>
  <c r="T365" i="2"/>
  <c r="U365" i="2"/>
  <c r="AC364" i="2"/>
  <c r="AE364" i="2"/>
  <c r="AD364" i="2"/>
  <c r="AB363" i="2"/>
  <c r="AA363" i="2"/>
  <c r="Z363" i="2"/>
  <c r="S365" i="2"/>
  <c r="R365" i="2"/>
  <c r="Q365" i="2"/>
  <c r="M99" i="2" l="1"/>
  <c r="AE365" i="2"/>
  <c r="AC365" i="2"/>
  <c r="AD365" i="2"/>
  <c r="U366" i="2"/>
  <c r="V366" i="2"/>
  <c r="T366" i="2"/>
  <c r="S366" i="2"/>
  <c r="Q366" i="2"/>
  <c r="R366" i="2"/>
  <c r="I99" i="2"/>
  <c r="AA364" i="2"/>
  <c r="Z364" i="2"/>
  <c r="AB364" i="2"/>
  <c r="J99" i="2"/>
  <c r="Y364" i="2"/>
  <c r="X364" i="2"/>
  <c r="W364" i="2"/>
  <c r="D100" i="2" l="1"/>
  <c r="N99" i="2"/>
  <c r="Y365" i="2"/>
  <c r="X365" i="2"/>
  <c r="W365" i="2"/>
  <c r="AB365" i="2"/>
  <c r="AA365" i="2"/>
  <c r="Z365" i="2"/>
  <c r="S367" i="2"/>
  <c r="R367" i="2"/>
  <c r="Q367" i="2"/>
  <c r="V367" i="2"/>
  <c r="U367" i="2"/>
  <c r="T367" i="2"/>
  <c r="AE366" i="2"/>
  <c r="AD366" i="2"/>
  <c r="AC366" i="2"/>
  <c r="Q368" i="2" l="1"/>
  <c r="S368" i="2"/>
  <c r="R368" i="2"/>
  <c r="AB366" i="2"/>
  <c r="AA366" i="2"/>
  <c r="Z366" i="2"/>
  <c r="X366" i="2"/>
  <c r="W366" i="2"/>
  <c r="Y366" i="2"/>
  <c r="AD367" i="2"/>
  <c r="AE367" i="2"/>
  <c r="AC367" i="2"/>
  <c r="U368" i="2"/>
  <c r="T368" i="2"/>
  <c r="V368" i="2"/>
  <c r="H100" i="2"/>
  <c r="J100" i="2" s="1"/>
  <c r="G100" i="2"/>
  <c r="E100" i="2" s="1"/>
  <c r="I100" i="2" s="1"/>
  <c r="B100" i="2"/>
  <c r="C100" i="2" s="1"/>
  <c r="F100" i="2"/>
  <c r="K100" i="2" s="1"/>
  <c r="D101" i="2" l="1"/>
  <c r="N100" i="2"/>
  <c r="AE368" i="2"/>
  <c r="AD368" i="2"/>
  <c r="AC368" i="2"/>
  <c r="W367" i="2"/>
  <c r="Y367" i="2"/>
  <c r="X367" i="2"/>
  <c r="T369" i="2"/>
  <c r="V369" i="2"/>
  <c r="U369" i="2"/>
  <c r="AA367" i="2"/>
  <c r="AB367" i="2"/>
  <c r="Z367" i="2"/>
  <c r="S369" i="2"/>
  <c r="Q369" i="2"/>
  <c r="R369" i="2"/>
  <c r="L100" i="2"/>
  <c r="M100" i="2" l="1"/>
  <c r="S370" i="2"/>
  <c r="R370" i="2"/>
  <c r="Q370" i="2"/>
  <c r="AB368" i="2"/>
  <c r="AA368" i="2"/>
  <c r="Z368" i="2"/>
  <c r="V370" i="2"/>
  <c r="U370" i="2"/>
  <c r="T370" i="2"/>
  <c r="AE369" i="2"/>
  <c r="AD369" i="2"/>
  <c r="AC369" i="2"/>
  <c r="Y368" i="2"/>
  <c r="X368" i="2"/>
  <c r="W368" i="2"/>
  <c r="F101" i="2"/>
  <c r="K101" i="2" s="1"/>
  <c r="B101" i="2"/>
  <c r="C101" i="2" s="1"/>
  <c r="U371" i="2" l="1"/>
  <c r="V371" i="2"/>
  <c r="T371" i="2"/>
  <c r="AE370" i="2"/>
  <c r="AC370" i="2"/>
  <c r="AD370" i="2"/>
  <c r="AA369" i="2"/>
  <c r="Z369" i="2"/>
  <c r="AB369" i="2"/>
  <c r="R371" i="2"/>
  <c r="Q371" i="2"/>
  <c r="S371" i="2"/>
  <c r="G101" i="2"/>
  <c r="Y369" i="2"/>
  <c r="X369" i="2"/>
  <c r="W369" i="2"/>
  <c r="H101" i="2" l="1"/>
  <c r="L101" i="2" s="1"/>
  <c r="E101" i="2"/>
  <c r="I101" i="2" s="1"/>
  <c r="Y370" i="2"/>
  <c r="X370" i="2"/>
  <c r="W370" i="2"/>
  <c r="S372" i="2"/>
  <c r="R372" i="2"/>
  <c r="Q372" i="2"/>
  <c r="AB370" i="2"/>
  <c r="AA370" i="2"/>
  <c r="Z370" i="2"/>
  <c r="AE371" i="2"/>
  <c r="AD371" i="2"/>
  <c r="AC371" i="2"/>
  <c r="V372" i="2"/>
  <c r="U372" i="2"/>
  <c r="T372" i="2"/>
  <c r="M101" i="2" l="1"/>
  <c r="V373" i="2"/>
  <c r="U373" i="2"/>
  <c r="T373" i="2"/>
  <c r="AB371" i="2"/>
  <c r="AA371" i="2"/>
  <c r="Z371" i="2"/>
  <c r="S373" i="2"/>
  <c r="R373" i="2"/>
  <c r="Q373" i="2"/>
  <c r="X371" i="2"/>
  <c r="W371" i="2"/>
  <c r="Y371" i="2"/>
  <c r="AE372" i="2"/>
  <c r="AD372" i="2"/>
  <c r="AC372" i="2"/>
  <c r="J101" i="2"/>
  <c r="D102" i="2" l="1"/>
  <c r="N101" i="2"/>
  <c r="AE373" i="2"/>
  <c r="AC373" i="2"/>
  <c r="AD373" i="2"/>
  <c r="W372" i="2"/>
  <c r="Y372" i="2"/>
  <c r="X372" i="2"/>
  <c r="S374" i="2"/>
  <c r="Q374" i="2"/>
  <c r="R374" i="2"/>
  <c r="AB372" i="2"/>
  <c r="Z372" i="2"/>
  <c r="AA372" i="2"/>
  <c r="T374" i="2"/>
  <c r="U374" i="2"/>
  <c r="V374" i="2"/>
  <c r="AB373" i="2" l="1"/>
  <c r="AA373" i="2"/>
  <c r="Z373" i="2"/>
  <c r="U375" i="2"/>
  <c r="T375" i="2"/>
  <c r="V375" i="2"/>
  <c r="S375" i="2"/>
  <c r="R375" i="2"/>
  <c r="Q375" i="2"/>
  <c r="Y373" i="2"/>
  <c r="W373" i="2"/>
  <c r="X373" i="2"/>
  <c r="AE374" i="2"/>
  <c r="AD374" i="2"/>
  <c r="AC374" i="2"/>
  <c r="H102" i="2"/>
  <c r="J102" i="2" s="1"/>
  <c r="G102" i="2"/>
  <c r="E102" i="2" s="1"/>
  <c r="I102" i="2" s="1"/>
  <c r="F102" i="2"/>
  <c r="K102" i="2" s="1"/>
  <c r="B102" i="2"/>
  <c r="C102" i="2" s="1"/>
  <c r="D103" i="2" l="1"/>
  <c r="N102" i="2"/>
  <c r="Y374" i="2"/>
  <c r="X374" i="2"/>
  <c r="W374" i="2"/>
  <c r="S376" i="2"/>
  <c r="R376" i="2"/>
  <c r="Q376" i="2"/>
  <c r="U376" i="2"/>
  <c r="V376" i="2"/>
  <c r="T376" i="2"/>
  <c r="AE375" i="2"/>
  <c r="AC375" i="2"/>
  <c r="AD375" i="2"/>
  <c r="L102" i="2"/>
  <c r="AA374" i="2"/>
  <c r="Z374" i="2"/>
  <c r="AB374" i="2"/>
  <c r="AB375" i="2" l="1"/>
  <c r="AA375" i="2"/>
  <c r="Z375" i="2"/>
  <c r="AE376" i="2"/>
  <c r="AD376" i="2"/>
  <c r="AC376" i="2"/>
  <c r="M102" i="2"/>
  <c r="V377" i="2"/>
  <c r="U377" i="2"/>
  <c r="T377" i="2"/>
  <c r="S377" i="2"/>
  <c r="Q377" i="2"/>
  <c r="R377" i="2"/>
  <c r="W375" i="2"/>
  <c r="Y375" i="2"/>
  <c r="X375" i="2"/>
  <c r="F103" i="2"/>
  <c r="K103" i="2" s="1"/>
  <c r="B103" i="2"/>
  <c r="C103" i="2" s="1"/>
  <c r="X376" i="2" l="1"/>
  <c r="W376" i="2"/>
  <c r="Y376" i="2"/>
  <c r="R378" i="2"/>
  <c r="Q378" i="2"/>
  <c r="S378" i="2"/>
  <c r="T378" i="2"/>
  <c r="V378" i="2"/>
  <c r="U378" i="2"/>
  <c r="AC377" i="2"/>
  <c r="AE377" i="2"/>
  <c r="AD377" i="2"/>
  <c r="G103" i="2"/>
  <c r="AB376" i="2"/>
  <c r="AA376" i="2"/>
  <c r="Z376" i="2"/>
  <c r="H103" i="2" l="1"/>
  <c r="L103" i="2"/>
  <c r="J103" i="2"/>
  <c r="AB377" i="2"/>
  <c r="AA377" i="2"/>
  <c r="Z377" i="2"/>
  <c r="AC378" i="2"/>
  <c r="AD378" i="2"/>
  <c r="AE378" i="2"/>
  <c r="E103" i="2"/>
  <c r="I103" i="2" s="1"/>
  <c r="U379" i="2"/>
  <c r="V379" i="2"/>
  <c r="T379" i="2"/>
  <c r="S379" i="2"/>
  <c r="Q379" i="2"/>
  <c r="R379" i="2"/>
  <c r="W377" i="2"/>
  <c r="Y377" i="2"/>
  <c r="X377" i="2"/>
  <c r="Y378" i="2" l="1"/>
  <c r="W378" i="2"/>
  <c r="X378" i="2"/>
  <c r="AD379" i="2"/>
  <c r="AC379" i="2"/>
  <c r="AE379" i="2"/>
  <c r="M103" i="2"/>
  <c r="S380" i="2"/>
  <c r="R380" i="2"/>
  <c r="Q380" i="2"/>
  <c r="V380" i="2"/>
  <c r="U380" i="2"/>
  <c r="T380" i="2"/>
  <c r="AB378" i="2"/>
  <c r="Z378" i="2"/>
  <c r="AA378" i="2"/>
  <c r="D104" i="2"/>
  <c r="N103" i="2"/>
  <c r="B104" i="2" l="1"/>
  <c r="C104" i="2" s="1"/>
  <c r="F104" i="2"/>
  <c r="K104" i="2" s="1"/>
  <c r="V381" i="2"/>
  <c r="U381" i="2"/>
  <c r="T381" i="2"/>
  <c r="S381" i="2"/>
  <c r="R381" i="2"/>
  <c r="Q381" i="2"/>
  <c r="AB379" i="2"/>
  <c r="AA379" i="2"/>
  <c r="Z379" i="2"/>
  <c r="AE380" i="2"/>
  <c r="AD380" i="2"/>
  <c r="AC380" i="2"/>
  <c r="W379" i="2"/>
  <c r="Y379" i="2"/>
  <c r="X379" i="2"/>
  <c r="AD381" i="2" l="1"/>
  <c r="AC381" i="2"/>
  <c r="AE381" i="2"/>
  <c r="Q382" i="2"/>
  <c r="S382" i="2"/>
  <c r="R382" i="2"/>
  <c r="V382" i="2"/>
  <c r="T382" i="2"/>
  <c r="U382" i="2"/>
  <c r="W380" i="2"/>
  <c r="Y380" i="2"/>
  <c r="X380" i="2"/>
  <c r="Z380" i="2"/>
  <c r="AB380" i="2"/>
  <c r="AA380" i="2"/>
  <c r="G104" i="2"/>
  <c r="AA381" i="2" l="1"/>
  <c r="AB381" i="2"/>
  <c r="Z381" i="2"/>
  <c r="H104" i="2"/>
  <c r="L104" i="2" s="1"/>
  <c r="J104" i="2"/>
  <c r="Y381" i="2"/>
  <c r="X381" i="2"/>
  <c r="W381" i="2"/>
  <c r="V383" i="2"/>
  <c r="U383" i="2"/>
  <c r="T383" i="2"/>
  <c r="E104" i="2"/>
  <c r="I104" i="2" s="1"/>
  <c r="S383" i="2"/>
  <c r="R383" i="2"/>
  <c r="Q383" i="2"/>
  <c r="AD382" i="2"/>
  <c r="AC382" i="2"/>
  <c r="AE382" i="2"/>
  <c r="M104" i="2" l="1"/>
  <c r="S384" i="2"/>
  <c r="R384" i="2"/>
  <c r="Q384" i="2"/>
  <c r="D105" i="2"/>
  <c r="N104" i="2"/>
  <c r="AC383" i="2"/>
  <c r="AE383" i="2"/>
  <c r="AD383" i="2"/>
  <c r="U384" i="2"/>
  <c r="V384" i="2"/>
  <c r="T384" i="2"/>
  <c r="W382" i="2"/>
  <c r="Y382" i="2"/>
  <c r="X382" i="2"/>
  <c r="AB382" i="2"/>
  <c r="AA382" i="2"/>
  <c r="Z382" i="2"/>
  <c r="AB383" i="2" l="1"/>
  <c r="Z383" i="2"/>
  <c r="AA383" i="2"/>
  <c r="V385" i="2"/>
  <c r="T385" i="2"/>
  <c r="U385" i="2"/>
  <c r="W383" i="2"/>
  <c r="X383" i="2"/>
  <c r="Y383" i="2"/>
  <c r="AE384" i="2"/>
  <c r="AD384" i="2"/>
  <c r="AC384" i="2"/>
  <c r="G105" i="2"/>
  <c r="H105" i="2" s="1"/>
  <c r="F105" i="2"/>
  <c r="K105" i="2" s="1"/>
  <c r="B105" i="2"/>
  <c r="C105" i="2" s="1"/>
  <c r="R385" i="2"/>
  <c r="Q385" i="2"/>
  <c r="S385" i="2"/>
  <c r="L105" i="2" l="1"/>
  <c r="AE385" i="2"/>
  <c r="AD385" i="2"/>
  <c r="AC385" i="2"/>
  <c r="E105" i="2"/>
  <c r="I105" i="2" s="1"/>
  <c r="J105" i="2"/>
  <c r="Y384" i="2"/>
  <c r="W384" i="2"/>
  <c r="X384" i="2"/>
  <c r="U386" i="2"/>
  <c r="V386" i="2"/>
  <c r="T386" i="2"/>
  <c r="R386" i="2"/>
  <c r="Q386" i="2"/>
  <c r="S386" i="2"/>
  <c r="AA384" i="2"/>
  <c r="AB384" i="2"/>
  <c r="Z384" i="2"/>
  <c r="Q387" i="2" l="1"/>
  <c r="R387" i="2"/>
  <c r="S387" i="2"/>
  <c r="U387" i="2"/>
  <c r="T387" i="2"/>
  <c r="V387" i="2"/>
  <c r="D106" i="2"/>
  <c r="N105" i="2"/>
  <c r="Z385" i="2"/>
  <c r="AB385" i="2"/>
  <c r="AA385" i="2"/>
  <c r="Y385" i="2"/>
  <c r="W385" i="2"/>
  <c r="X385" i="2"/>
  <c r="AE386" i="2"/>
  <c r="AD386" i="2"/>
  <c r="AC386" i="2"/>
  <c r="M105" i="2"/>
  <c r="AD387" i="2" l="1"/>
  <c r="AC387" i="2"/>
  <c r="AE387" i="2"/>
  <c r="F106" i="2"/>
  <c r="K106" i="2" s="1"/>
  <c r="B106" i="2"/>
  <c r="C106" i="2" s="1"/>
  <c r="G106" i="2"/>
  <c r="Y386" i="2"/>
  <c r="X386" i="2"/>
  <c r="W386" i="2"/>
  <c r="AB386" i="2"/>
  <c r="AA386" i="2"/>
  <c r="Z386" i="2"/>
  <c r="V388" i="2"/>
  <c r="U388" i="2"/>
  <c r="T388" i="2"/>
  <c r="S388" i="2"/>
  <c r="Q388" i="2"/>
  <c r="R388" i="2"/>
  <c r="AA387" i="2" l="1"/>
  <c r="AB387" i="2"/>
  <c r="Z387" i="2"/>
  <c r="U389" i="2"/>
  <c r="V389" i="2"/>
  <c r="T389" i="2"/>
  <c r="Y387" i="2"/>
  <c r="X387" i="2"/>
  <c r="W387" i="2"/>
  <c r="H106" i="2"/>
  <c r="J106" i="2" s="1"/>
  <c r="E106" i="2"/>
  <c r="AC388" i="2"/>
  <c r="AE388" i="2"/>
  <c r="AD388" i="2"/>
  <c r="S389" i="2"/>
  <c r="Q389" i="2"/>
  <c r="R389" i="2"/>
  <c r="D107" i="2" l="1"/>
  <c r="N106" i="2"/>
  <c r="AE389" i="2"/>
  <c r="AD389" i="2"/>
  <c r="AC389" i="2"/>
  <c r="S390" i="2"/>
  <c r="R390" i="2"/>
  <c r="Q390" i="2"/>
  <c r="I106" i="2"/>
  <c r="T390" i="2"/>
  <c r="V390" i="2"/>
  <c r="U390" i="2"/>
  <c r="L106" i="2"/>
  <c r="AA388" i="2"/>
  <c r="Z388" i="2"/>
  <c r="AB388" i="2"/>
  <c r="Y388" i="2"/>
  <c r="X388" i="2"/>
  <c r="W388" i="2"/>
  <c r="AB389" i="2" l="1"/>
  <c r="AA389" i="2"/>
  <c r="Z389" i="2"/>
  <c r="M106" i="2"/>
  <c r="R391" i="2"/>
  <c r="Q391" i="2"/>
  <c r="S391" i="2"/>
  <c r="X389" i="2"/>
  <c r="W389" i="2"/>
  <c r="Y389" i="2"/>
  <c r="U391" i="2"/>
  <c r="T391" i="2"/>
  <c r="V391" i="2"/>
  <c r="AD390" i="2"/>
  <c r="AE390" i="2"/>
  <c r="AC390" i="2"/>
  <c r="F107" i="2"/>
  <c r="K107" i="2" s="1"/>
  <c r="B107" i="2"/>
  <c r="C107" i="2" s="1"/>
  <c r="V392" i="2" l="1"/>
  <c r="U392" i="2"/>
  <c r="T392" i="2"/>
  <c r="AD391" i="2"/>
  <c r="AE391" i="2"/>
  <c r="AC391" i="2"/>
  <c r="Y390" i="2"/>
  <c r="W390" i="2"/>
  <c r="X390" i="2"/>
  <c r="Q392" i="2"/>
  <c r="S392" i="2"/>
  <c r="R392" i="2"/>
  <c r="G107" i="2"/>
  <c r="Z390" i="2"/>
  <c r="AA390" i="2"/>
  <c r="AB390" i="2"/>
  <c r="H107" i="2" l="1"/>
  <c r="J107" i="2" s="1"/>
  <c r="S393" i="2"/>
  <c r="R393" i="2"/>
  <c r="Q393" i="2"/>
  <c r="AB391" i="2"/>
  <c r="AA391" i="2"/>
  <c r="Z391" i="2"/>
  <c r="E107" i="2"/>
  <c r="I107" i="2" s="1"/>
  <c r="Y391" i="2"/>
  <c r="X391" i="2"/>
  <c r="W391" i="2"/>
  <c r="AD392" i="2"/>
  <c r="AC392" i="2"/>
  <c r="AE392" i="2"/>
  <c r="V393" i="2"/>
  <c r="U393" i="2"/>
  <c r="T393" i="2"/>
  <c r="D108" i="2" l="1"/>
  <c r="N107" i="2"/>
  <c r="AC393" i="2"/>
  <c r="AD393" i="2"/>
  <c r="AE393" i="2"/>
  <c r="Y392" i="2"/>
  <c r="X392" i="2"/>
  <c r="W392" i="2"/>
  <c r="U394" i="2"/>
  <c r="V394" i="2"/>
  <c r="T394" i="2"/>
  <c r="AA392" i="2"/>
  <c r="Z392" i="2"/>
  <c r="AB392" i="2"/>
  <c r="Q394" i="2"/>
  <c r="S394" i="2"/>
  <c r="R394" i="2"/>
  <c r="L107" i="2"/>
  <c r="Y393" i="2" l="1"/>
  <c r="W393" i="2"/>
  <c r="X393" i="2"/>
  <c r="M107" i="2"/>
  <c r="R395" i="2"/>
  <c r="S395" i="2"/>
  <c r="Q395" i="2"/>
  <c r="AB393" i="2"/>
  <c r="AA393" i="2"/>
  <c r="Z393" i="2"/>
  <c r="U395" i="2"/>
  <c r="T395" i="2"/>
  <c r="V395" i="2"/>
  <c r="AE394" i="2"/>
  <c r="AD394" i="2"/>
  <c r="AC394" i="2"/>
  <c r="F108" i="2"/>
  <c r="K108" i="2" s="1"/>
  <c r="B108" i="2"/>
  <c r="C108" i="2" s="1"/>
  <c r="T396" i="2" l="1"/>
  <c r="V396" i="2"/>
  <c r="U396" i="2"/>
  <c r="AE395" i="2"/>
  <c r="AD395" i="2"/>
  <c r="AC395" i="2"/>
  <c r="AB394" i="2"/>
  <c r="Z394" i="2"/>
  <c r="AA394" i="2"/>
  <c r="R396" i="2"/>
  <c r="Q396" i="2"/>
  <c r="S396" i="2"/>
  <c r="G108" i="2"/>
  <c r="Y394" i="2"/>
  <c r="X394" i="2"/>
  <c r="W394" i="2"/>
  <c r="H108" i="2" l="1"/>
  <c r="L108" i="2"/>
  <c r="J108" i="2"/>
  <c r="Z395" i="2"/>
  <c r="AB395" i="2"/>
  <c r="AA395" i="2"/>
  <c r="Y395" i="2"/>
  <c r="W395" i="2"/>
  <c r="X395" i="2"/>
  <c r="Q397" i="2"/>
  <c r="R397" i="2"/>
  <c r="S397" i="2"/>
  <c r="E108" i="2"/>
  <c r="I108" i="2" s="1"/>
  <c r="AE396" i="2"/>
  <c r="AD396" i="2"/>
  <c r="AC396" i="2"/>
  <c r="V397" i="2"/>
  <c r="U397" i="2"/>
  <c r="T397" i="2"/>
  <c r="V398" i="2" l="1"/>
  <c r="U398" i="2"/>
  <c r="T398" i="2"/>
  <c r="Y396" i="2"/>
  <c r="X396" i="2"/>
  <c r="W396" i="2"/>
  <c r="M108" i="2"/>
  <c r="AD397" i="2"/>
  <c r="AC397" i="2"/>
  <c r="AE397" i="2"/>
  <c r="S398" i="2"/>
  <c r="R398" i="2"/>
  <c r="Q398" i="2"/>
  <c r="AB396" i="2"/>
  <c r="AA396" i="2"/>
  <c r="Z396" i="2"/>
  <c r="D109" i="2"/>
  <c r="N108" i="2"/>
  <c r="AA397" i="2" l="1"/>
  <c r="AB397" i="2"/>
  <c r="Z397" i="2"/>
  <c r="S399" i="2"/>
  <c r="R399" i="2"/>
  <c r="Q399" i="2"/>
  <c r="B109" i="2"/>
  <c r="C109" i="2" s="1"/>
  <c r="F109" i="2"/>
  <c r="K109" i="2" s="1"/>
  <c r="AC398" i="2"/>
  <c r="AD398" i="2"/>
  <c r="AE398" i="2"/>
  <c r="X397" i="2"/>
  <c r="W397" i="2"/>
  <c r="Y397" i="2"/>
  <c r="U399" i="2"/>
  <c r="V399" i="2"/>
  <c r="T399" i="2"/>
  <c r="AE399" i="2" l="1"/>
  <c r="AD399" i="2"/>
  <c r="AC399" i="2"/>
  <c r="G109" i="2"/>
  <c r="R400" i="2"/>
  <c r="Q400" i="2"/>
  <c r="S400" i="2"/>
  <c r="V400" i="2"/>
  <c r="U400" i="2"/>
  <c r="T400" i="2"/>
  <c r="AB398" i="2"/>
  <c r="AA398" i="2"/>
  <c r="Z398" i="2"/>
  <c r="W398" i="2"/>
  <c r="Y398" i="2"/>
  <c r="X398" i="2"/>
  <c r="X399" i="2" l="1"/>
  <c r="W399" i="2"/>
  <c r="Y399" i="2"/>
  <c r="AA399" i="2"/>
  <c r="Z399" i="2"/>
  <c r="AB399" i="2"/>
  <c r="V401" i="2"/>
  <c r="U401" i="2"/>
  <c r="T401" i="2"/>
  <c r="R401" i="2"/>
  <c r="Q401" i="2"/>
  <c r="S401" i="2"/>
  <c r="H109" i="2"/>
  <c r="J109" i="2" s="1"/>
  <c r="E109" i="2"/>
  <c r="I109" i="2" s="1"/>
  <c r="AE400" i="2"/>
  <c r="AC400" i="2"/>
  <c r="AD400" i="2"/>
  <c r="D110" i="2" l="1"/>
  <c r="N109" i="2"/>
  <c r="L109" i="2"/>
  <c r="Q402" i="2"/>
  <c r="R402" i="2"/>
  <c r="S402" i="2"/>
  <c r="AE401" i="2"/>
  <c r="AD401" i="2"/>
  <c r="AC401" i="2"/>
  <c r="U402" i="2"/>
  <c r="V402" i="2"/>
  <c r="T402" i="2"/>
  <c r="Z400" i="2"/>
  <c r="AA400" i="2"/>
  <c r="AB400" i="2"/>
  <c r="Y400" i="2"/>
  <c r="W400" i="2"/>
  <c r="X400" i="2"/>
  <c r="AB401" i="2" l="1"/>
  <c r="AA401" i="2"/>
  <c r="Z401" i="2"/>
  <c r="S403" i="2"/>
  <c r="R403" i="2"/>
  <c r="Q403" i="2"/>
  <c r="Y401" i="2"/>
  <c r="W401" i="2"/>
  <c r="X401" i="2"/>
  <c r="V403" i="2"/>
  <c r="U403" i="2"/>
  <c r="T403" i="2"/>
  <c r="M109" i="2"/>
  <c r="AD402" i="2"/>
  <c r="AC402" i="2"/>
  <c r="AE402" i="2"/>
  <c r="F110" i="2"/>
  <c r="K110" i="2" s="1"/>
  <c r="B110" i="2"/>
  <c r="C110" i="2" s="1"/>
  <c r="U404" i="2" l="1"/>
  <c r="V404" i="2"/>
  <c r="T404" i="2"/>
  <c r="X402" i="2"/>
  <c r="Y402" i="2"/>
  <c r="W402" i="2"/>
  <c r="AC403" i="2"/>
  <c r="AD403" i="2"/>
  <c r="AE403" i="2"/>
  <c r="S404" i="2"/>
  <c r="R404" i="2"/>
  <c r="Q404" i="2"/>
  <c r="G110" i="2"/>
  <c r="E110" i="2" s="1"/>
  <c r="AA402" i="2"/>
  <c r="Z402" i="2"/>
  <c r="AB402" i="2"/>
  <c r="AA403" i="2" l="1"/>
  <c r="Z403" i="2"/>
  <c r="AB403" i="2"/>
  <c r="U405" i="2"/>
  <c r="T405" i="2"/>
  <c r="V405" i="2"/>
  <c r="H110" i="2"/>
  <c r="I110" i="2" s="1"/>
  <c r="R405" i="2"/>
  <c r="Q405" i="2"/>
  <c r="S405" i="2"/>
  <c r="AE404" i="2"/>
  <c r="AD404" i="2"/>
  <c r="AC404" i="2"/>
  <c r="W403" i="2"/>
  <c r="Y403" i="2"/>
  <c r="X403" i="2"/>
  <c r="R406" i="2" l="1"/>
  <c r="Q406" i="2"/>
  <c r="S406" i="2"/>
  <c r="L110" i="2"/>
  <c r="AE405" i="2"/>
  <c r="AD405" i="2"/>
  <c r="AC405" i="2"/>
  <c r="J110" i="2"/>
  <c r="Y404" i="2"/>
  <c r="X404" i="2"/>
  <c r="W404" i="2"/>
  <c r="V406" i="2"/>
  <c r="T406" i="2"/>
  <c r="U406" i="2"/>
  <c r="AB404" i="2"/>
  <c r="AA404" i="2"/>
  <c r="Z404" i="2"/>
  <c r="D111" i="2" l="1"/>
  <c r="N110" i="2"/>
  <c r="Z405" i="2"/>
  <c r="AB405" i="2"/>
  <c r="AA405" i="2"/>
  <c r="AD406" i="2"/>
  <c r="AE406" i="2"/>
  <c r="AC406" i="2"/>
  <c r="V407" i="2"/>
  <c r="U407" i="2"/>
  <c r="T407" i="2"/>
  <c r="Y405" i="2"/>
  <c r="W405" i="2"/>
  <c r="X405" i="2"/>
  <c r="M110" i="2"/>
  <c r="Q407" i="2"/>
  <c r="R407" i="2"/>
  <c r="S407" i="2"/>
  <c r="S408" i="2" l="1"/>
  <c r="Q408" i="2"/>
  <c r="R408" i="2"/>
  <c r="Y406" i="2"/>
  <c r="W406" i="2"/>
  <c r="X406" i="2"/>
  <c r="V408" i="2"/>
  <c r="U408" i="2"/>
  <c r="T408" i="2"/>
  <c r="AB406" i="2"/>
  <c r="AA406" i="2"/>
  <c r="Z406" i="2"/>
  <c r="AD407" i="2"/>
  <c r="AC407" i="2"/>
  <c r="AE407" i="2"/>
  <c r="G111" i="2"/>
  <c r="F111" i="2"/>
  <c r="K111" i="2" s="1"/>
  <c r="B111" i="2"/>
  <c r="C111" i="2" s="1"/>
  <c r="AC408" i="2" l="1"/>
  <c r="AD408" i="2"/>
  <c r="AE408" i="2"/>
  <c r="U409" i="2"/>
  <c r="T409" i="2"/>
  <c r="V409" i="2"/>
  <c r="X407" i="2"/>
  <c r="W407" i="2"/>
  <c r="Y407" i="2"/>
  <c r="H111" i="2"/>
  <c r="L111" i="2" s="1"/>
  <c r="AA407" i="2"/>
  <c r="Z407" i="2"/>
  <c r="AB407" i="2"/>
  <c r="E111" i="2"/>
  <c r="I111" i="2" s="1"/>
  <c r="S409" i="2"/>
  <c r="R409" i="2"/>
  <c r="Q409" i="2"/>
  <c r="M111" i="2" l="1"/>
  <c r="S410" i="2"/>
  <c r="R410" i="2"/>
  <c r="Q410" i="2"/>
  <c r="Y408" i="2"/>
  <c r="X408" i="2"/>
  <c r="W408" i="2"/>
  <c r="AB408" i="2"/>
  <c r="AA408" i="2"/>
  <c r="Z408" i="2"/>
  <c r="J111" i="2"/>
  <c r="V410" i="2"/>
  <c r="U410" i="2"/>
  <c r="T410" i="2"/>
  <c r="AE409" i="2"/>
  <c r="AD409" i="2"/>
  <c r="AC409" i="2"/>
  <c r="AE410" i="2" l="1"/>
  <c r="AD410" i="2"/>
  <c r="AC410" i="2"/>
  <c r="D112" i="2"/>
  <c r="N111" i="2"/>
  <c r="AA409" i="2"/>
  <c r="AB409" i="2"/>
  <c r="Z409" i="2"/>
  <c r="V411" i="2"/>
  <c r="U411" i="2"/>
  <c r="T411" i="2"/>
  <c r="W409" i="2"/>
  <c r="Y409" i="2"/>
  <c r="X409" i="2"/>
  <c r="R411" i="2"/>
  <c r="Q411" i="2"/>
  <c r="S411" i="2"/>
  <c r="Q412" i="2" l="1"/>
  <c r="S412" i="2"/>
  <c r="R412" i="2"/>
  <c r="T412" i="2"/>
  <c r="V412" i="2"/>
  <c r="U412" i="2"/>
  <c r="Y410" i="2"/>
  <c r="W410" i="2"/>
  <c r="X410" i="2"/>
  <c r="Z410" i="2"/>
  <c r="AA410" i="2"/>
  <c r="AB410" i="2"/>
  <c r="B112" i="2"/>
  <c r="C112" i="2" s="1"/>
  <c r="G112" i="2"/>
  <c r="F112" i="2"/>
  <c r="K112" i="2" s="1"/>
  <c r="AE411" i="2"/>
  <c r="AD411" i="2"/>
  <c r="AC411" i="2"/>
  <c r="V413" i="2" l="1"/>
  <c r="U413" i="2"/>
  <c r="T413" i="2"/>
  <c r="AD412" i="2"/>
  <c r="AC412" i="2"/>
  <c r="AE412" i="2"/>
  <c r="S413" i="2"/>
  <c r="R413" i="2"/>
  <c r="Q413" i="2"/>
  <c r="H112" i="2"/>
  <c r="L112" i="2" s="1"/>
  <c r="E112" i="2"/>
  <c r="AB411" i="2"/>
  <c r="AA411" i="2"/>
  <c r="Z411" i="2"/>
  <c r="Y411" i="2"/>
  <c r="X411" i="2"/>
  <c r="W411" i="2"/>
  <c r="M112" i="2" l="1"/>
  <c r="Y412" i="2"/>
  <c r="X412" i="2"/>
  <c r="W412" i="2"/>
  <c r="AA412" i="2"/>
  <c r="AB412" i="2"/>
  <c r="Z412" i="2"/>
  <c r="J112" i="2"/>
  <c r="S414" i="2"/>
  <c r="R414" i="2"/>
  <c r="Q414" i="2"/>
  <c r="I112" i="2"/>
  <c r="AC413" i="2"/>
  <c r="AE413" i="2"/>
  <c r="AD413" i="2"/>
  <c r="U414" i="2"/>
  <c r="T414" i="2"/>
  <c r="V414" i="2"/>
  <c r="U415" i="2" l="1"/>
  <c r="V415" i="2"/>
  <c r="T415" i="2"/>
  <c r="AE414" i="2"/>
  <c r="AD414" i="2"/>
  <c r="AC414" i="2"/>
  <c r="R415" i="2"/>
  <c r="S415" i="2"/>
  <c r="Q415" i="2"/>
  <c r="AB413" i="2"/>
  <c r="AA413" i="2"/>
  <c r="Z413" i="2"/>
  <c r="D113" i="2"/>
  <c r="N112" i="2"/>
  <c r="Y413" i="2"/>
  <c r="W413" i="2"/>
  <c r="X413" i="2"/>
  <c r="Y414" i="2" l="1"/>
  <c r="X414" i="2"/>
  <c r="W414" i="2"/>
  <c r="F113" i="2"/>
  <c r="K113" i="2" s="1"/>
  <c r="B113" i="2"/>
  <c r="C113" i="2" s="1"/>
  <c r="G113" i="2"/>
  <c r="AB414" i="2"/>
  <c r="AA414" i="2"/>
  <c r="Z414" i="2"/>
  <c r="R416" i="2"/>
  <c r="Q416" i="2"/>
  <c r="S416" i="2"/>
  <c r="AE415" i="2"/>
  <c r="AD415" i="2"/>
  <c r="AC415" i="2"/>
  <c r="V416" i="2"/>
  <c r="U416" i="2"/>
  <c r="T416" i="2"/>
  <c r="E113" i="2" l="1"/>
  <c r="H113" i="2"/>
  <c r="J113" i="2" s="1"/>
  <c r="V417" i="2"/>
  <c r="U417" i="2"/>
  <c r="T417" i="2"/>
  <c r="AE416" i="2"/>
  <c r="AC416" i="2"/>
  <c r="AD416" i="2"/>
  <c r="Q417" i="2"/>
  <c r="S417" i="2"/>
  <c r="R417" i="2"/>
  <c r="Z415" i="2"/>
  <c r="AA415" i="2"/>
  <c r="AB415" i="2"/>
  <c r="Y415" i="2"/>
  <c r="W415" i="2"/>
  <c r="X415" i="2"/>
  <c r="D114" i="2" l="1"/>
  <c r="N113" i="2"/>
  <c r="AB416" i="2"/>
  <c r="AA416" i="2"/>
  <c r="Z416" i="2"/>
  <c r="AD417" i="2"/>
  <c r="AC417" i="2"/>
  <c r="AE417" i="2"/>
  <c r="S418" i="2"/>
  <c r="R418" i="2"/>
  <c r="Q418" i="2"/>
  <c r="V418" i="2"/>
  <c r="U418" i="2"/>
  <c r="T418" i="2"/>
  <c r="Y416" i="2"/>
  <c r="X416" i="2"/>
  <c r="W416" i="2"/>
  <c r="L113" i="2"/>
  <c r="I113" i="2"/>
  <c r="Y417" i="2" l="1"/>
  <c r="X417" i="2"/>
  <c r="W417" i="2"/>
  <c r="U419" i="2"/>
  <c r="T419" i="2"/>
  <c r="V419" i="2"/>
  <c r="S419" i="2"/>
  <c r="R419" i="2"/>
  <c r="Q419" i="2"/>
  <c r="M113" i="2"/>
  <c r="AC418" i="2"/>
  <c r="AE418" i="2"/>
  <c r="AD418" i="2"/>
  <c r="AA417" i="2"/>
  <c r="AB417" i="2"/>
  <c r="Z417" i="2"/>
  <c r="F114" i="2"/>
  <c r="K114" i="2" s="1"/>
  <c r="B114" i="2"/>
  <c r="C114" i="2" s="1"/>
  <c r="AE419" i="2" l="1"/>
  <c r="AD419" i="2"/>
  <c r="AC419" i="2"/>
  <c r="G114" i="2"/>
  <c r="AB418" i="2"/>
  <c r="AA418" i="2"/>
  <c r="Z418" i="2"/>
  <c r="S420" i="2"/>
  <c r="Q420" i="2"/>
  <c r="R420" i="2"/>
  <c r="T420" i="2"/>
  <c r="U420" i="2"/>
  <c r="V420" i="2"/>
  <c r="E114" i="2"/>
  <c r="Y418" i="2"/>
  <c r="X418" i="2"/>
  <c r="W418" i="2"/>
  <c r="Y419" i="2" l="1"/>
  <c r="X419" i="2"/>
  <c r="W419" i="2"/>
  <c r="V421" i="2"/>
  <c r="U421" i="2"/>
  <c r="T421" i="2"/>
  <c r="R421" i="2"/>
  <c r="Q421" i="2"/>
  <c r="S421" i="2"/>
  <c r="AA419" i="2"/>
  <c r="Z419" i="2"/>
  <c r="AB419" i="2"/>
  <c r="H114" i="2"/>
  <c r="I114" i="2" s="1"/>
  <c r="AE420" i="2"/>
  <c r="AD420" i="2"/>
  <c r="AC420" i="2"/>
  <c r="L114" i="2" l="1"/>
  <c r="Z420" i="2"/>
  <c r="AB420" i="2"/>
  <c r="AA420" i="2"/>
  <c r="AE421" i="2"/>
  <c r="AD421" i="2"/>
  <c r="AC421" i="2"/>
  <c r="J114" i="2"/>
  <c r="Q422" i="2"/>
  <c r="R422" i="2"/>
  <c r="S422" i="2"/>
  <c r="U422" i="2"/>
  <c r="V422" i="2"/>
  <c r="T422" i="2"/>
  <c r="Y420" i="2"/>
  <c r="W420" i="2"/>
  <c r="X420" i="2"/>
  <c r="Y421" i="2" l="1"/>
  <c r="X421" i="2"/>
  <c r="W421" i="2"/>
  <c r="D115" i="2"/>
  <c r="N114" i="2"/>
  <c r="V423" i="2"/>
  <c r="U423" i="2"/>
  <c r="T423" i="2"/>
  <c r="S423" i="2"/>
  <c r="R423" i="2"/>
  <c r="Q423" i="2"/>
  <c r="AD422" i="2"/>
  <c r="AC422" i="2"/>
  <c r="AE422" i="2"/>
  <c r="AB421" i="2"/>
  <c r="AA421" i="2"/>
  <c r="Z421" i="2"/>
  <c r="M114" i="2"/>
  <c r="AA422" i="2" l="1"/>
  <c r="AB422" i="2"/>
  <c r="Z422" i="2"/>
  <c r="U424" i="2"/>
  <c r="T424" i="2"/>
  <c r="V424" i="2"/>
  <c r="AC423" i="2"/>
  <c r="AE423" i="2"/>
  <c r="AD423" i="2"/>
  <c r="S424" i="2"/>
  <c r="R424" i="2"/>
  <c r="Q424" i="2"/>
  <c r="B115" i="2"/>
  <c r="C115" i="2" s="1"/>
  <c r="F115" i="2"/>
  <c r="K115" i="2" s="1"/>
  <c r="Y422" i="2"/>
  <c r="X422" i="2"/>
  <c r="W422" i="2"/>
  <c r="G115" i="2" l="1"/>
  <c r="S425" i="2"/>
  <c r="Q425" i="2"/>
  <c r="R425" i="2"/>
  <c r="AE424" i="2"/>
  <c r="AC424" i="2"/>
  <c r="AD424" i="2"/>
  <c r="V425" i="2"/>
  <c r="U425" i="2"/>
  <c r="T425" i="2"/>
  <c r="Y423" i="2"/>
  <c r="X423" i="2"/>
  <c r="W423" i="2"/>
  <c r="AB423" i="2"/>
  <c r="AA423" i="2"/>
  <c r="Z423" i="2"/>
  <c r="E115" i="2"/>
  <c r="H115" i="2" l="1"/>
  <c r="I115" i="2" s="1"/>
  <c r="AA424" i="2"/>
  <c r="Z424" i="2"/>
  <c r="AB424" i="2"/>
  <c r="W424" i="2"/>
  <c r="X424" i="2"/>
  <c r="Y424" i="2"/>
  <c r="V426" i="2"/>
  <c r="U426" i="2"/>
  <c r="T426" i="2"/>
  <c r="AE425" i="2"/>
  <c r="AD425" i="2"/>
  <c r="AC425" i="2"/>
  <c r="R426" i="2"/>
  <c r="Q426" i="2"/>
  <c r="S426" i="2"/>
  <c r="Y425" i="2" l="1"/>
  <c r="W425" i="2"/>
  <c r="X425" i="2"/>
  <c r="J115" i="2"/>
  <c r="AE426" i="2"/>
  <c r="AD426" i="2"/>
  <c r="AC426" i="2"/>
  <c r="Z425" i="2"/>
  <c r="AB425" i="2"/>
  <c r="AA425" i="2"/>
  <c r="L115" i="2"/>
  <c r="Q427" i="2"/>
  <c r="R427" i="2"/>
  <c r="S427" i="2"/>
  <c r="U427" i="2"/>
  <c r="V427" i="2"/>
  <c r="T427" i="2"/>
  <c r="S428" i="2" l="1"/>
  <c r="Q428" i="2"/>
  <c r="R428" i="2"/>
  <c r="V428" i="2"/>
  <c r="U428" i="2"/>
  <c r="T428" i="2"/>
  <c r="AB426" i="2"/>
  <c r="AA426" i="2"/>
  <c r="Z426" i="2"/>
  <c r="AD427" i="2"/>
  <c r="AC427" i="2"/>
  <c r="AE427" i="2"/>
  <c r="M115" i="2"/>
  <c r="D116" i="2"/>
  <c r="N115" i="2"/>
  <c r="Y426" i="2"/>
  <c r="X426" i="2"/>
  <c r="W426" i="2"/>
  <c r="G116" i="2" l="1"/>
  <c r="F116" i="2"/>
  <c r="K116" i="2" s="1"/>
  <c r="B116" i="2"/>
  <c r="C116" i="2" s="1"/>
  <c r="AC428" i="2"/>
  <c r="AE428" i="2"/>
  <c r="AD428" i="2"/>
  <c r="X427" i="2"/>
  <c r="W427" i="2"/>
  <c r="Y427" i="2"/>
  <c r="U429" i="2"/>
  <c r="T429" i="2"/>
  <c r="V429" i="2"/>
  <c r="AA427" i="2"/>
  <c r="AB427" i="2"/>
  <c r="Z427" i="2"/>
  <c r="S429" i="2"/>
  <c r="R429" i="2"/>
  <c r="Q429" i="2"/>
  <c r="AE429" i="2" l="1"/>
  <c r="AC429" i="2"/>
  <c r="AD429" i="2"/>
  <c r="V430" i="2"/>
  <c r="U430" i="2"/>
  <c r="T430" i="2"/>
  <c r="AB428" i="2"/>
  <c r="AA428" i="2"/>
  <c r="Z428" i="2"/>
  <c r="Y428" i="2"/>
  <c r="X428" i="2"/>
  <c r="W428" i="2"/>
  <c r="S430" i="2"/>
  <c r="R430" i="2"/>
  <c r="Q430" i="2"/>
  <c r="E116" i="2"/>
  <c r="H116" i="2"/>
  <c r="J116" i="2" s="1"/>
  <c r="D117" i="2" l="1"/>
  <c r="N116" i="2"/>
  <c r="I116" i="2"/>
  <c r="L116" i="2"/>
  <c r="R431" i="2"/>
  <c r="Q431" i="2"/>
  <c r="S431" i="2"/>
  <c r="Y429" i="2"/>
  <c r="X429" i="2"/>
  <c r="W429" i="2"/>
  <c r="AB429" i="2"/>
  <c r="AA429" i="2"/>
  <c r="Z429" i="2"/>
  <c r="V431" i="2"/>
  <c r="U431" i="2"/>
  <c r="T431" i="2"/>
  <c r="AE430" i="2"/>
  <c r="AD430" i="2"/>
  <c r="AC430" i="2"/>
  <c r="AC431" i="2" l="1"/>
  <c r="AE431" i="2"/>
  <c r="AD431" i="2"/>
  <c r="V432" i="2"/>
  <c r="U432" i="2"/>
  <c r="T432" i="2"/>
  <c r="Z430" i="2"/>
  <c r="AB430" i="2"/>
  <c r="AA430" i="2"/>
  <c r="S432" i="2"/>
  <c r="Q432" i="2"/>
  <c r="R432" i="2"/>
  <c r="Y430" i="2"/>
  <c r="W430" i="2"/>
  <c r="X430" i="2"/>
  <c r="M116" i="2"/>
  <c r="B117" i="2"/>
  <c r="C117" i="2" s="1"/>
  <c r="E117" i="2"/>
  <c r="G117" i="2"/>
  <c r="F117" i="2"/>
  <c r="K117" i="2" s="1"/>
  <c r="Q433" i="2" l="1"/>
  <c r="S433" i="2"/>
  <c r="R433" i="2"/>
  <c r="H117" i="2"/>
  <c r="L117" i="2" s="1"/>
  <c r="U433" i="2"/>
  <c r="T433" i="2"/>
  <c r="V433" i="2"/>
  <c r="AA431" i="2"/>
  <c r="Z431" i="2"/>
  <c r="AB431" i="2"/>
  <c r="Y431" i="2"/>
  <c r="W431" i="2"/>
  <c r="X431" i="2"/>
  <c r="AE432" i="2"/>
  <c r="AC432" i="2"/>
  <c r="AD432" i="2"/>
  <c r="Y432" i="2" l="1"/>
  <c r="W432" i="2"/>
  <c r="X432" i="2"/>
  <c r="AE433" i="2"/>
  <c r="AC433" i="2"/>
  <c r="AD433" i="2"/>
  <c r="M117" i="2"/>
  <c r="S434" i="2"/>
  <c r="R434" i="2"/>
  <c r="Q434" i="2"/>
  <c r="AB432" i="2"/>
  <c r="AA432" i="2"/>
  <c r="Z432" i="2"/>
  <c r="U434" i="2"/>
  <c r="V434" i="2"/>
  <c r="T434" i="2"/>
  <c r="I117" i="2"/>
  <c r="J117" i="2"/>
  <c r="D118" i="2" l="1"/>
  <c r="N117" i="2"/>
  <c r="AA433" i="2"/>
  <c r="Z433" i="2"/>
  <c r="AB433" i="2"/>
  <c r="U435" i="2"/>
  <c r="V435" i="2"/>
  <c r="T435" i="2"/>
  <c r="S435" i="2"/>
  <c r="R435" i="2"/>
  <c r="Q435" i="2"/>
  <c r="AC434" i="2"/>
  <c r="AE434" i="2"/>
  <c r="AD434" i="2"/>
  <c r="Y433" i="2"/>
  <c r="W433" i="2"/>
  <c r="X433" i="2"/>
  <c r="AE435" i="2" l="1"/>
  <c r="AD435" i="2"/>
  <c r="AC435" i="2"/>
  <c r="Y434" i="2"/>
  <c r="X434" i="2"/>
  <c r="W434" i="2"/>
  <c r="V436" i="2"/>
  <c r="U436" i="2"/>
  <c r="T436" i="2"/>
  <c r="AA434" i="2"/>
  <c r="Z434" i="2"/>
  <c r="AB434" i="2"/>
  <c r="S436" i="2"/>
  <c r="Q436" i="2"/>
  <c r="R436" i="2"/>
  <c r="F118" i="2"/>
  <c r="K118" i="2" s="1"/>
  <c r="B118" i="2"/>
  <c r="C118" i="2" s="1"/>
  <c r="S437" i="2" l="1"/>
  <c r="Q437" i="2"/>
  <c r="R437" i="2"/>
  <c r="V437" i="2"/>
  <c r="U437" i="2"/>
  <c r="T437" i="2"/>
  <c r="AA435" i="2"/>
  <c r="AB435" i="2"/>
  <c r="Z435" i="2"/>
  <c r="Y435" i="2"/>
  <c r="X435" i="2"/>
  <c r="W435" i="2"/>
  <c r="G118" i="2"/>
  <c r="AE436" i="2"/>
  <c r="AD436" i="2"/>
  <c r="AC436" i="2"/>
  <c r="H118" i="2" l="1"/>
  <c r="L118" i="2" s="1"/>
  <c r="E118" i="2"/>
  <c r="I118" i="2" s="1"/>
  <c r="AE437" i="2"/>
  <c r="AC437" i="2"/>
  <c r="AD437" i="2"/>
  <c r="Y436" i="2"/>
  <c r="W436" i="2"/>
  <c r="X436" i="2"/>
  <c r="AB436" i="2"/>
  <c r="AA436" i="2"/>
  <c r="Z436" i="2"/>
  <c r="U438" i="2"/>
  <c r="T438" i="2"/>
  <c r="V438" i="2"/>
  <c r="Q438" i="2"/>
  <c r="S438" i="2"/>
  <c r="R438" i="2"/>
  <c r="M118" i="2" l="1"/>
  <c r="S439" i="2"/>
  <c r="R439" i="2"/>
  <c r="Q439" i="2"/>
  <c r="AB437" i="2"/>
  <c r="AA437" i="2"/>
  <c r="Z437" i="2"/>
  <c r="U439" i="2"/>
  <c r="V439" i="2"/>
  <c r="T439" i="2"/>
  <c r="Y437" i="2"/>
  <c r="W437" i="2"/>
  <c r="X437" i="2"/>
  <c r="AE438" i="2"/>
  <c r="AC438" i="2"/>
  <c r="AD438" i="2"/>
  <c r="J118" i="2"/>
  <c r="Y438" i="2" l="1"/>
  <c r="W438" i="2"/>
  <c r="X438" i="2"/>
  <c r="AA438" i="2"/>
  <c r="Z438" i="2"/>
  <c r="AB438" i="2"/>
  <c r="D119" i="2"/>
  <c r="N118" i="2"/>
  <c r="AC439" i="2"/>
  <c r="AE439" i="2"/>
  <c r="AD439" i="2"/>
  <c r="U440" i="2"/>
  <c r="V440" i="2"/>
  <c r="T440" i="2"/>
  <c r="S440" i="2"/>
  <c r="R440" i="2"/>
  <c r="Q440" i="2"/>
  <c r="S441" i="2" l="1"/>
  <c r="Q441" i="2"/>
  <c r="R441" i="2"/>
  <c r="AE440" i="2"/>
  <c r="AD440" i="2"/>
  <c r="AC440" i="2"/>
  <c r="V441" i="2"/>
  <c r="U441" i="2"/>
  <c r="T441" i="2"/>
  <c r="G119" i="2"/>
  <c r="H119" i="2" s="1"/>
  <c r="J119" i="2" s="1"/>
  <c r="F119" i="2"/>
  <c r="K119" i="2" s="1"/>
  <c r="B119" i="2"/>
  <c r="C119" i="2" s="1"/>
  <c r="AA439" i="2"/>
  <c r="Z439" i="2"/>
  <c r="AB439" i="2"/>
  <c r="Y439" i="2"/>
  <c r="X439" i="2"/>
  <c r="W439" i="2"/>
  <c r="D120" i="2" l="1"/>
  <c r="N119" i="2"/>
  <c r="E119" i="2"/>
  <c r="I119" i="2" s="1"/>
  <c r="L119" i="2"/>
  <c r="V442" i="2"/>
  <c r="U442" i="2"/>
  <c r="T442" i="2"/>
  <c r="AE441" i="2"/>
  <c r="AD441" i="2"/>
  <c r="AC441" i="2"/>
  <c r="Y440" i="2"/>
  <c r="X440" i="2"/>
  <c r="W440" i="2"/>
  <c r="AA440" i="2"/>
  <c r="AB440" i="2"/>
  <c r="Z440" i="2"/>
  <c r="S442" i="2"/>
  <c r="Q442" i="2"/>
  <c r="R442" i="2"/>
  <c r="AB441" i="2" l="1"/>
  <c r="AA441" i="2"/>
  <c r="Z441" i="2"/>
  <c r="Q443" i="2"/>
  <c r="S443" i="2"/>
  <c r="R443" i="2"/>
  <c r="AE442" i="2"/>
  <c r="AC442" i="2"/>
  <c r="AD442" i="2"/>
  <c r="Y441" i="2"/>
  <c r="W441" i="2"/>
  <c r="X441" i="2"/>
  <c r="U443" i="2"/>
  <c r="T443" i="2"/>
  <c r="V443" i="2"/>
  <c r="M119" i="2"/>
  <c r="F120" i="2"/>
  <c r="K120" i="2" s="1"/>
  <c r="B120" i="2"/>
  <c r="C120" i="2" s="1"/>
  <c r="Y442" i="2" l="1"/>
  <c r="W442" i="2"/>
  <c r="X442" i="2"/>
  <c r="U444" i="2"/>
  <c r="V444" i="2"/>
  <c r="T444" i="2"/>
  <c r="AE443" i="2"/>
  <c r="AC443" i="2"/>
  <c r="AD443" i="2"/>
  <c r="S444" i="2"/>
  <c r="R444" i="2"/>
  <c r="Q444" i="2"/>
  <c r="G120" i="2"/>
  <c r="AB442" i="2"/>
  <c r="AA442" i="2"/>
  <c r="Z442" i="2"/>
  <c r="H120" i="2" l="1"/>
  <c r="L120" i="2"/>
  <c r="J120" i="2"/>
  <c r="S445" i="2"/>
  <c r="R445" i="2"/>
  <c r="Q445" i="2"/>
  <c r="AA443" i="2"/>
  <c r="Z443" i="2"/>
  <c r="AB443" i="2"/>
  <c r="E120" i="2"/>
  <c r="I120" i="2" s="1"/>
  <c r="AC444" i="2"/>
  <c r="AE444" i="2"/>
  <c r="AD444" i="2"/>
  <c r="U445" i="2"/>
  <c r="V445" i="2"/>
  <c r="T445" i="2"/>
  <c r="Y443" i="2"/>
  <c r="W443" i="2"/>
  <c r="X443" i="2"/>
  <c r="AE445" i="2" l="1"/>
  <c r="AD445" i="2"/>
  <c r="AC445" i="2"/>
  <c r="AA444" i="2"/>
  <c r="Z444" i="2"/>
  <c r="AB444" i="2"/>
  <c r="S446" i="2"/>
  <c r="Q446" i="2"/>
  <c r="R446" i="2"/>
  <c r="Y444" i="2"/>
  <c r="X444" i="2"/>
  <c r="W444" i="2"/>
  <c r="V446" i="2"/>
  <c r="U446" i="2"/>
  <c r="T446" i="2"/>
  <c r="D121" i="2"/>
  <c r="N120" i="2"/>
  <c r="M120" i="2"/>
  <c r="AA445" i="2" l="1"/>
  <c r="Z445" i="2"/>
  <c r="AB445" i="2"/>
  <c r="G121" i="2"/>
  <c r="H121" i="2" s="1"/>
  <c r="F121" i="2"/>
  <c r="K121" i="2" s="1"/>
  <c r="B121" i="2"/>
  <c r="C121" i="2" s="1"/>
  <c r="V447" i="2"/>
  <c r="U447" i="2"/>
  <c r="T447" i="2"/>
  <c r="Y445" i="2"/>
  <c r="X445" i="2"/>
  <c r="W445" i="2"/>
  <c r="S447" i="2"/>
  <c r="Q447" i="2"/>
  <c r="R447" i="2"/>
  <c r="AE446" i="2"/>
  <c r="AD446" i="2"/>
  <c r="AC446" i="2"/>
  <c r="Q448" i="2" l="1"/>
  <c r="S448" i="2"/>
  <c r="R448" i="2"/>
  <c r="Y446" i="2"/>
  <c r="W446" i="2"/>
  <c r="X446" i="2"/>
  <c r="U448" i="2"/>
  <c r="T448" i="2"/>
  <c r="V448" i="2"/>
  <c r="E121" i="2"/>
  <c r="I121" i="2" s="1"/>
  <c r="AE447" i="2"/>
  <c r="AC447" i="2"/>
  <c r="AD447" i="2"/>
  <c r="L121" i="2"/>
  <c r="J121" i="2"/>
  <c r="AB446" i="2"/>
  <c r="AA446" i="2"/>
  <c r="Z446" i="2"/>
  <c r="D122" i="2" l="1"/>
  <c r="N121" i="2"/>
  <c r="AE448" i="2"/>
  <c r="AC448" i="2"/>
  <c r="AD448" i="2"/>
  <c r="AB447" i="2"/>
  <c r="AA447" i="2"/>
  <c r="Z447" i="2"/>
  <c r="M121" i="2"/>
  <c r="U449" i="2"/>
  <c r="V449" i="2"/>
  <c r="T449" i="2"/>
  <c r="Y447" i="2"/>
  <c r="W447" i="2"/>
  <c r="X447" i="2"/>
  <c r="S449" i="2"/>
  <c r="R449" i="2"/>
  <c r="Q449" i="2"/>
  <c r="Y448" i="2" l="1"/>
  <c r="W448" i="2"/>
  <c r="X448" i="2"/>
  <c r="U450" i="2"/>
  <c r="V450" i="2"/>
  <c r="T450" i="2"/>
  <c r="AA448" i="2"/>
  <c r="Z448" i="2"/>
  <c r="AB448" i="2"/>
  <c r="S450" i="2"/>
  <c r="R450" i="2"/>
  <c r="Q450" i="2"/>
  <c r="AC449" i="2"/>
  <c r="AE449" i="2"/>
  <c r="AD449" i="2"/>
  <c r="B122" i="2"/>
  <c r="C122" i="2" s="1"/>
  <c r="F122" i="2"/>
  <c r="K122" i="2" s="1"/>
  <c r="G122" i="2" l="1"/>
  <c r="AE450" i="2"/>
  <c r="AD450" i="2"/>
  <c r="AC450" i="2"/>
  <c r="S451" i="2"/>
  <c r="Q451" i="2"/>
  <c r="R451" i="2"/>
  <c r="AA449" i="2"/>
  <c r="Z449" i="2"/>
  <c r="AB449" i="2"/>
  <c r="V451" i="2"/>
  <c r="U451" i="2"/>
  <c r="T451" i="2"/>
  <c r="E122" i="2"/>
  <c r="Y449" i="2"/>
  <c r="X449" i="2"/>
  <c r="W449" i="2"/>
  <c r="Y450" i="2" l="1"/>
  <c r="X450" i="2"/>
  <c r="W450" i="2"/>
  <c r="AE451" i="2"/>
  <c r="AD451" i="2"/>
  <c r="AC451" i="2"/>
  <c r="V452" i="2"/>
  <c r="U452" i="2"/>
  <c r="T452" i="2"/>
  <c r="AA450" i="2"/>
  <c r="AB450" i="2"/>
  <c r="Z450" i="2"/>
  <c r="S452" i="2"/>
  <c r="Q452" i="2"/>
  <c r="R452" i="2"/>
  <c r="H122" i="2"/>
  <c r="L122" i="2" s="1"/>
  <c r="M122" i="2" l="1"/>
  <c r="AB451" i="2"/>
  <c r="AA451" i="2"/>
  <c r="Z451" i="2"/>
  <c r="U453" i="2"/>
  <c r="T453" i="2"/>
  <c r="V453" i="2"/>
  <c r="J122" i="2"/>
  <c r="Q453" i="2"/>
  <c r="S453" i="2"/>
  <c r="R453" i="2"/>
  <c r="I122" i="2"/>
  <c r="AE452" i="2"/>
  <c r="AC452" i="2"/>
  <c r="AD452" i="2"/>
  <c r="Y451" i="2"/>
  <c r="W451" i="2"/>
  <c r="X451" i="2"/>
  <c r="S454" i="2" l="1"/>
  <c r="R454" i="2"/>
  <c r="Q454" i="2"/>
  <c r="AE453" i="2"/>
  <c r="AC453" i="2"/>
  <c r="AD453" i="2"/>
  <c r="U454" i="2"/>
  <c r="V454" i="2"/>
  <c r="T454" i="2"/>
  <c r="Y452" i="2"/>
  <c r="W452" i="2"/>
  <c r="X452" i="2"/>
  <c r="D123" i="2"/>
  <c r="N122" i="2"/>
  <c r="AB452" i="2"/>
  <c r="AA452" i="2"/>
  <c r="Z452" i="2"/>
  <c r="AA453" i="2" l="1"/>
  <c r="Z453" i="2"/>
  <c r="AB453" i="2"/>
  <c r="F123" i="2"/>
  <c r="K123" i="2" s="1"/>
  <c r="B123" i="2"/>
  <c r="C123" i="2" s="1"/>
  <c r="Y453" i="2"/>
  <c r="W453" i="2"/>
  <c r="X453" i="2"/>
  <c r="U455" i="2"/>
  <c r="V455" i="2"/>
  <c r="T455" i="2"/>
  <c r="AC454" i="2"/>
  <c r="AE454" i="2"/>
  <c r="AD454" i="2"/>
  <c r="S455" i="2"/>
  <c r="R455" i="2"/>
  <c r="Q455" i="2"/>
  <c r="AE455" i="2" l="1"/>
  <c r="AD455" i="2"/>
  <c r="AC455" i="2"/>
  <c r="AA454" i="2"/>
  <c r="Z454" i="2"/>
  <c r="AB454" i="2"/>
  <c r="S456" i="2"/>
  <c r="Q456" i="2"/>
  <c r="R456" i="2"/>
  <c r="V456" i="2"/>
  <c r="U456" i="2"/>
  <c r="T456" i="2"/>
  <c r="Y454" i="2"/>
  <c r="X454" i="2"/>
  <c r="W454" i="2"/>
  <c r="G123" i="2"/>
  <c r="Y455" i="2" l="1"/>
  <c r="X455" i="2"/>
  <c r="W455" i="2"/>
  <c r="V457" i="2"/>
  <c r="U457" i="2"/>
  <c r="T457" i="2"/>
  <c r="H123" i="2"/>
  <c r="L123" i="2" s="1"/>
  <c r="S457" i="2"/>
  <c r="Q457" i="2"/>
  <c r="R457" i="2"/>
  <c r="AA455" i="2"/>
  <c r="AB455" i="2"/>
  <c r="Z455" i="2"/>
  <c r="E123" i="2"/>
  <c r="I123" i="2" s="1"/>
  <c r="AE456" i="2"/>
  <c r="AD456" i="2"/>
  <c r="AC456" i="2"/>
  <c r="M123" i="2" l="1"/>
  <c r="AB456" i="2"/>
  <c r="AA456" i="2"/>
  <c r="Z456" i="2"/>
  <c r="J123" i="2"/>
  <c r="AE457" i="2"/>
  <c r="AC457" i="2"/>
  <c r="AD457" i="2"/>
  <c r="Q458" i="2"/>
  <c r="S458" i="2"/>
  <c r="R458" i="2"/>
  <c r="U458" i="2"/>
  <c r="T458" i="2"/>
  <c r="V458" i="2"/>
  <c r="Y456" i="2"/>
  <c r="W456" i="2"/>
  <c r="X456" i="2"/>
  <c r="U459" i="2" l="1"/>
  <c r="V459" i="2"/>
  <c r="T459" i="2"/>
  <c r="S459" i="2"/>
  <c r="R459" i="2"/>
  <c r="Q459" i="2"/>
  <c r="AE458" i="2"/>
  <c r="AC458" i="2"/>
  <c r="AD458" i="2"/>
  <c r="Y457" i="2"/>
  <c r="W457" i="2"/>
  <c r="X457" i="2"/>
  <c r="D124" i="2"/>
  <c r="N123" i="2"/>
  <c r="AB457" i="2"/>
  <c r="AA457" i="2"/>
  <c r="Z457" i="2"/>
  <c r="F124" i="2" l="1"/>
  <c r="K124" i="2" s="1"/>
  <c r="B124" i="2"/>
  <c r="C124" i="2" s="1"/>
  <c r="AA458" i="2"/>
  <c r="Z458" i="2"/>
  <c r="AB458" i="2"/>
  <c r="Y458" i="2"/>
  <c r="W458" i="2"/>
  <c r="X458" i="2"/>
  <c r="AC459" i="2"/>
  <c r="AE459" i="2"/>
  <c r="AD459" i="2"/>
  <c r="S460" i="2"/>
  <c r="R460" i="2"/>
  <c r="Q460" i="2"/>
  <c r="U460" i="2"/>
  <c r="V460" i="2"/>
  <c r="T460" i="2"/>
  <c r="AE460" i="2" l="1"/>
  <c r="AD460" i="2"/>
  <c r="AC460" i="2"/>
  <c r="AA459" i="2"/>
  <c r="Z459" i="2"/>
  <c r="AB459" i="2"/>
  <c r="S461" i="2"/>
  <c r="Q461" i="2"/>
  <c r="R461" i="2"/>
  <c r="Y459" i="2"/>
  <c r="X459" i="2"/>
  <c r="W459" i="2"/>
  <c r="G124" i="2"/>
  <c r="E124" i="2" s="1"/>
  <c r="V461" i="2"/>
  <c r="U461" i="2"/>
  <c r="T461" i="2"/>
  <c r="V462" i="2" l="1"/>
  <c r="U462" i="2"/>
  <c r="T462" i="2"/>
  <c r="H124" i="2"/>
  <c r="I124" i="2" s="1"/>
  <c r="Y460" i="2"/>
  <c r="X460" i="2"/>
  <c r="W460" i="2"/>
  <c r="S462" i="2"/>
  <c r="Q462" i="2"/>
  <c r="R462" i="2"/>
  <c r="AA460" i="2"/>
  <c r="Z460" i="2"/>
  <c r="AB460" i="2"/>
  <c r="AE461" i="2"/>
  <c r="AD461" i="2"/>
  <c r="AC461" i="2"/>
  <c r="AE462" i="2" l="1"/>
  <c r="AC462" i="2"/>
  <c r="AD462" i="2"/>
  <c r="Q463" i="2"/>
  <c r="S463" i="2"/>
  <c r="R463" i="2"/>
  <c r="L124" i="2"/>
  <c r="AB461" i="2"/>
  <c r="AA461" i="2"/>
  <c r="Z461" i="2"/>
  <c r="U463" i="2"/>
  <c r="T463" i="2"/>
  <c r="V463" i="2"/>
  <c r="Y461" i="2"/>
  <c r="W461" i="2"/>
  <c r="X461" i="2"/>
  <c r="J124" i="2"/>
  <c r="U464" i="2" l="1"/>
  <c r="V464" i="2"/>
  <c r="T464" i="2"/>
  <c r="D125" i="2"/>
  <c r="N124" i="2"/>
  <c r="Y462" i="2"/>
  <c r="W462" i="2"/>
  <c r="X462" i="2"/>
  <c r="AB462" i="2"/>
  <c r="AA462" i="2"/>
  <c r="Z462" i="2"/>
  <c r="M124" i="2"/>
  <c r="S464" i="2"/>
  <c r="R464" i="2"/>
  <c r="Q464" i="2"/>
  <c r="AE463" i="2"/>
  <c r="AC463" i="2"/>
  <c r="AD463" i="2"/>
  <c r="S465" i="2" l="1"/>
  <c r="R465" i="2"/>
  <c r="Q465" i="2"/>
  <c r="Y463" i="2"/>
  <c r="W463" i="2"/>
  <c r="X463" i="2"/>
  <c r="AC464" i="2"/>
  <c r="AE464" i="2"/>
  <c r="AD464" i="2"/>
  <c r="AA463" i="2"/>
  <c r="Z463" i="2"/>
  <c r="AB463" i="2"/>
  <c r="G125" i="2"/>
  <c r="F125" i="2"/>
  <c r="K125" i="2" s="1"/>
  <c r="B125" i="2"/>
  <c r="C125" i="2" s="1"/>
  <c r="U465" i="2"/>
  <c r="V465" i="2"/>
  <c r="T465" i="2"/>
  <c r="E125" i="2" l="1"/>
  <c r="AA464" i="2"/>
  <c r="Z464" i="2"/>
  <c r="AB464" i="2"/>
  <c r="H125" i="2"/>
  <c r="L125" i="2" s="1"/>
  <c r="AE465" i="2"/>
  <c r="AD465" i="2"/>
  <c r="AC465" i="2"/>
  <c r="Y464" i="2"/>
  <c r="X464" i="2"/>
  <c r="W464" i="2"/>
  <c r="V466" i="2"/>
  <c r="U466" i="2"/>
  <c r="T466" i="2"/>
  <c r="S466" i="2"/>
  <c r="Q466" i="2"/>
  <c r="R466" i="2"/>
  <c r="M125" i="2" l="1"/>
  <c r="V467" i="2"/>
  <c r="U467" i="2"/>
  <c r="T467" i="2"/>
  <c r="S467" i="2"/>
  <c r="Q467" i="2"/>
  <c r="R467" i="2"/>
  <c r="Y465" i="2"/>
  <c r="X465" i="2"/>
  <c r="W465" i="2"/>
  <c r="AE466" i="2"/>
  <c r="AD466" i="2"/>
  <c r="AC466" i="2"/>
  <c r="AA465" i="2"/>
  <c r="AB465" i="2"/>
  <c r="Z465" i="2"/>
  <c r="I125" i="2"/>
  <c r="J125" i="2"/>
  <c r="D126" i="2" l="1"/>
  <c r="N125" i="2"/>
  <c r="AB466" i="2"/>
  <c r="AA466" i="2"/>
  <c r="Z466" i="2"/>
  <c r="AE467" i="2"/>
  <c r="AC467" i="2"/>
  <c r="AD467" i="2"/>
  <c r="Y466" i="2"/>
  <c r="W466" i="2"/>
  <c r="X466" i="2"/>
  <c r="Q468" i="2"/>
  <c r="S468" i="2"/>
  <c r="R468" i="2"/>
  <c r="U468" i="2"/>
  <c r="T468" i="2"/>
  <c r="V468" i="2"/>
  <c r="S469" i="2" l="1"/>
  <c r="R469" i="2"/>
  <c r="Q469" i="2"/>
  <c r="U469" i="2"/>
  <c r="V469" i="2"/>
  <c r="T469" i="2"/>
  <c r="AE468" i="2"/>
  <c r="AC468" i="2"/>
  <c r="AD468" i="2"/>
  <c r="Y467" i="2"/>
  <c r="W467" i="2"/>
  <c r="X467" i="2"/>
  <c r="AB467" i="2"/>
  <c r="AA467" i="2"/>
  <c r="Z467" i="2"/>
  <c r="B126" i="2"/>
  <c r="C126" i="2" s="1"/>
  <c r="F126" i="2"/>
  <c r="K126" i="2" s="1"/>
  <c r="AA468" i="2" l="1"/>
  <c r="Z468" i="2"/>
  <c r="AB468" i="2"/>
  <c r="Y468" i="2"/>
  <c r="W468" i="2"/>
  <c r="X468" i="2"/>
  <c r="AC469" i="2"/>
  <c r="AE469" i="2"/>
  <c r="AD469" i="2"/>
  <c r="U470" i="2"/>
  <c r="V470" i="2"/>
  <c r="T470" i="2"/>
  <c r="G126" i="2"/>
  <c r="S470" i="2"/>
  <c r="R470" i="2"/>
  <c r="Q470" i="2"/>
  <c r="H126" i="2" l="1"/>
  <c r="L126" i="2" s="1"/>
  <c r="J126" i="2"/>
  <c r="S471" i="2"/>
  <c r="Q471" i="2"/>
  <c r="R471" i="2"/>
  <c r="AE470" i="2"/>
  <c r="AD470" i="2"/>
  <c r="AC470" i="2"/>
  <c r="V471" i="2"/>
  <c r="U471" i="2"/>
  <c r="T471" i="2"/>
  <c r="Y469" i="2"/>
  <c r="X469" i="2"/>
  <c r="W469" i="2"/>
  <c r="E126" i="2"/>
  <c r="I126" i="2" s="1"/>
  <c r="AA469" i="2"/>
  <c r="Z469" i="2"/>
  <c r="AB469" i="2"/>
  <c r="M126" i="2" l="1"/>
  <c r="AA470" i="2"/>
  <c r="AB470" i="2"/>
  <c r="Z470" i="2"/>
  <c r="Y470" i="2"/>
  <c r="X470" i="2"/>
  <c r="W470" i="2"/>
  <c r="V472" i="2"/>
  <c r="U472" i="2"/>
  <c r="T472" i="2"/>
  <c r="AE471" i="2"/>
  <c r="AD471" i="2"/>
  <c r="AC471" i="2"/>
  <c r="S472" i="2"/>
  <c r="Q472" i="2"/>
  <c r="R472" i="2"/>
  <c r="D127" i="2"/>
  <c r="N126" i="2"/>
  <c r="Q473" i="2" l="1"/>
  <c r="S473" i="2"/>
  <c r="R473" i="2"/>
  <c r="U473" i="2"/>
  <c r="T473" i="2"/>
  <c r="V473" i="2"/>
  <c r="F127" i="2"/>
  <c r="K127" i="2" s="1"/>
  <c r="B127" i="2"/>
  <c r="C127" i="2" s="1"/>
  <c r="AE472" i="2"/>
  <c r="AC472" i="2"/>
  <c r="AD472" i="2"/>
  <c r="Y471" i="2"/>
  <c r="W471" i="2"/>
  <c r="X471" i="2"/>
  <c r="AB471" i="2"/>
  <c r="AA471" i="2"/>
  <c r="Z471" i="2"/>
  <c r="K20" i="1" l="1"/>
  <c r="D51" i="3"/>
  <c r="AE473" i="2"/>
  <c r="AC473" i="2"/>
  <c r="AD473" i="2"/>
  <c r="U474" i="2"/>
  <c r="T474" i="2"/>
  <c r="V474" i="2"/>
  <c r="Y472" i="2"/>
  <c r="W472" i="2"/>
  <c r="X472" i="2"/>
  <c r="G127" i="2"/>
  <c r="AB472" i="2"/>
  <c r="AA472" i="2"/>
  <c r="Z472" i="2"/>
  <c r="S474" i="2"/>
  <c r="R474" i="2"/>
  <c r="Q474" i="2"/>
  <c r="H127" i="2" l="1"/>
  <c r="L127" i="2" s="1"/>
  <c r="U475" i="2"/>
  <c r="V475" i="2"/>
  <c r="T475" i="2"/>
  <c r="S475" i="2"/>
  <c r="R475" i="2"/>
  <c r="Q475" i="2"/>
  <c r="AA473" i="2"/>
  <c r="Z473" i="2"/>
  <c r="AB473" i="2"/>
  <c r="Y473" i="2"/>
  <c r="W473" i="2"/>
  <c r="X473" i="2"/>
  <c r="E127" i="2"/>
  <c r="I127" i="2" s="1"/>
  <c r="AC474" i="2"/>
  <c r="AE474" i="2"/>
  <c r="AD474" i="2"/>
  <c r="E51" i="3" l="1"/>
  <c r="F51" i="3" s="1"/>
  <c r="M127" i="2"/>
  <c r="AA474" i="2"/>
  <c r="Z474" i="2"/>
  <c r="AB474" i="2"/>
  <c r="S476" i="2"/>
  <c r="Q476" i="2"/>
  <c r="R476" i="2"/>
  <c r="Y474" i="2"/>
  <c r="X474" i="2"/>
  <c r="W474" i="2"/>
  <c r="V476" i="2"/>
  <c r="U476" i="2"/>
  <c r="T476" i="2"/>
  <c r="J127" i="2"/>
  <c r="AE475" i="2"/>
  <c r="AD475" i="2"/>
  <c r="AC475" i="2"/>
  <c r="D128" i="2" l="1"/>
  <c r="H23" i="1"/>
  <c r="H20" i="1"/>
  <c r="C30" i="3" s="1"/>
  <c r="C51" i="3"/>
  <c r="N127" i="2"/>
  <c r="S477" i="2"/>
  <c r="Q477" i="2"/>
  <c r="R477" i="2"/>
  <c r="AE476" i="2"/>
  <c r="AD476" i="2"/>
  <c r="AC476" i="2"/>
  <c r="V477" i="2"/>
  <c r="U477" i="2"/>
  <c r="T477" i="2"/>
  <c r="Y475" i="2"/>
  <c r="X475" i="2"/>
  <c r="W475" i="2"/>
  <c r="AA475" i="2"/>
  <c r="AB475" i="2"/>
  <c r="Z475" i="2"/>
  <c r="U478" i="2" l="1"/>
  <c r="T478" i="2"/>
  <c r="V478" i="2"/>
  <c r="AE477" i="2"/>
  <c r="AC477" i="2"/>
  <c r="AD477" i="2"/>
  <c r="AB476" i="2"/>
  <c r="AA476" i="2"/>
  <c r="Z476" i="2"/>
  <c r="Y476" i="2"/>
  <c r="W476" i="2"/>
  <c r="X476" i="2"/>
  <c r="Q478" i="2"/>
  <c r="S478" i="2"/>
  <c r="R478" i="2"/>
  <c r="C39" i="3"/>
  <c r="D39" i="3" s="1"/>
  <c r="C38" i="3"/>
  <c r="D38" i="3" s="1"/>
  <c r="C42" i="3"/>
  <c r="D42" i="3" s="1"/>
  <c r="C37" i="3"/>
  <c r="D37" i="3" s="1"/>
  <c r="C41" i="3"/>
  <c r="D41" i="3" s="1"/>
  <c r="C36" i="3"/>
  <c r="D36" i="3" s="1"/>
  <c r="C40" i="3"/>
  <c r="D40" i="3" s="1"/>
  <c r="C35" i="3"/>
  <c r="D35" i="3" s="1"/>
  <c r="G128" i="2"/>
  <c r="H128" i="2" s="1"/>
  <c r="J128" i="2" s="1"/>
  <c r="F128" i="2"/>
  <c r="K128" i="2" s="1"/>
  <c r="E128" i="2"/>
  <c r="I128" i="2" s="1"/>
  <c r="B128" i="2"/>
  <c r="C128" i="2" s="1"/>
  <c r="D129" i="2" l="1"/>
  <c r="N128" i="2"/>
  <c r="E38" i="3"/>
  <c r="F35" i="3"/>
  <c r="E36" i="3"/>
  <c r="E37" i="3"/>
  <c r="F38" i="3"/>
  <c r="F40" i="3"/>
  <c r="F36" i="3"/>
  <c r="E42" i="3"/>
  <c r="AE478" i="2"/>
  <c r="AC478" i="2"/>
  <c r="AD478" i="2"/>
  <c r="E35" i="3"/>
  <c r="E39" i="3"/>
  <c r="E40" i="3"/>
  <c r="F39" i="3"/>
  <c r="S479" i="2"/>
  <c r="R479" i="2"/>
  <c r="Q479" i="2"/>
  <c r="AB477" i="2"/>
  <c r="AA477" i="2"/>
  <c r="Z477" i="2"/>
  <c r="F37" i="3"/>
  <c r="U479" i="2"/>
  <c r="V479" i="2"/>
  <c r="T479" i="2"/>
  <c r="E41" i="3"/>
  <c r="Y477" i="2"/>
  <c r="W477" i="2"/>
  <c r="X477" i="2"/>
  <c r="F41" i="3"/>
  <c r="L128" i="2"/>
  <c r="F42" i="3"/>
  <c r="U480" i="2" l="1"/>
  <c r="V480" i="2"/>
  <c r="T480" i="2"/>
  <c r="AC479" i="2"/>
  <c r="AE479" i="2"/>
  <c r="AD479" i="2"/>
  <c r="Y478" i="2"/>
  <c r="W478" i="2"/>
  <c r="X478" i="2"/>
  <c r="S480" i="2"/>
  <c r="R480" i="2"/>
  <c r="Q480" i="2"/>
  <c r="M128" i="2"/>
  <c r="AA478" i="2"/>
  <c r="Z478" i="2"/>
  <c r="AB478" i="2"/>
  <c r="F129" i="2"/>
  <c r="K129" i="2" s="1"/>
  <c r="B129" i="2"/>
  <c r="C129" i="2" s="1"/>
  <c r="AA479" i="2" l="1"/>
  <c r="Z479" i="2"/>
  <c r="AB479" i="2"/>
  <c r="Y479" i="2"/>
  <c r="X479" i="2"/>
  <c r="W479" i="2"/>
  <c r="AE480" i="2"/>
  <c r="AD480" i="2"/>
  <c r="AC480" i="2"/>
  <c r="G129" i="2"/>
  <c r="S481" i="2"/>
  <c r="Q481" i="2"/>
  <c r="R481" i="2"/>
  <c r="V481" i="2"/>
  <c r="U481" i="2"/>
  <c r="T481" i="2"/>
  <c r="V482" i="2" l="1"/>
  <c r="U482" i="2"/>
  <c r="T482" i="2"/>
  <c r="S482" i="2"/>
  <c r="Q482" i="2"/>
  <c r="R482" i="2"/>
  <c r="Y480" i="2"/>
  <c r="X480" i="2"/>
  <c r="W480" i="2"/>
  <c r="H129" i="2"/>
  <c r="J129" i="2" s="1"/>
  <c r="L129" i="2"/>
  <c r="AE481" i="2"/>
  <c r="AD481" i="2"/>
  <c r="AC481" i="2"/>
  <c r="AA480" i="2"/>
  <c r="AB480" i="2"/>
  <c r="Z480" i="2"/>
  <c r="E129" i="2"/>
  <c r="I129" i="2" s="1"/>
  <c r="D130" i="2" l="1"/>
  <c r="N129" i="2"/>
  <c r="AB481" i="2"/>
  <c r="AA481" i="2"/>
  <c r="Z481" i="2"/>
  <c r="AE482" i="2"/>
  <c r="AC482" i="2"/>
  <c r="AD482" i="2"/>
  <c r="M129" i="2"/>
  <c r="Y481" i="2"/>
  <c r="W481" i="2"/>
  <c r="X481" i="2"/>
  <c r="Q483" i="2"/>
  <c r="S483" i="2"/>
  <c r="R483" i="2"/>
  <c r="U483" i="2"/>
  <c r="T483" i="2"/>
  <c r="V483" i="2"/>
  <c r="Y482" i="2" l="1"/>
  <c r="W482" i="2"/>
  <c r="X482" i="2"/>
  <c r="AE483" i="2"/>
  <c r="AC483" i="2"/>
  <c r="AD483" i="2"/>
  <c r="AB482" i="2"/>
  <c r="AA482" i="2"/>
  <c r="Z482" i="2"/>
  <c r="U484" i="2"/>
  <c r="V484" i="2"/>
  <c r="T484" i="2"/>
  <c r="S484" i="2"/>
  <c r="R484" i="2"/>
  <c r="Q484" i="2"/>
  <c r="F130" i="2"/>
  <c r="K130" i="2" s="1"/>
  <c r="B130" i="2"/>
  <c r="C130" i="2" s="1"/>
  <c r="U485" i="2" l="1"/>
  <c r="V485" i="2"/>
  <c r="T485" i="2"/>
  <c r="AA483" i="2"/>
  <c r="Z483" i="2"/>
  <c r="AB483" i="2"/>
  <c r="AC484" i="2"/>
  <c r="AE484" i="2"/>
  <c r="AD484" i="2"/>
  <c r="G130" i="2"/>
  <c r="S485" i="2"/>
  <c r="R485" i="2"/>
  <c r="Q485" i="2"/>
  <c r="Y483" i="2"/>
  <c r="W483" i="2"/>
  <c r="X483" i="2"/>
  <c r="H130" i="2" l="1"/>
  <c r="L130" i="2" s="1"/>
  <c r="E130" i="2"/>
  <c r="I130" i="2" s="1"/>
  <c r="S486" i="2"/>
  <c r="Q486" i="2"/>
  <c r="R486" i="2"/>
  <c r="Y484" i="2"/>
  <c r="X484" i="2"/>
  <c r="W484" i="2"/>
  <c r="AE485" i="2"/>
  <c r="AD485" i="2"/>
  <c r="AC485" i="2"/>
  <c r="AA484" i="2"/>
  <c r="Z484" i="2"/>
  <c r="AB484" i="2"/>
  <c r="V486" i="2"/>
  <c r="U486" i="2"/>
  <c r="T486" i="2"/>
  <c r="M130" i="2" l="1"/>
  <c r="V487" i="2"/>
  <c r="D9" i="3" s="1"/>
  <c r="E9" i="3" s="1"/>
  <c r="U487" i="2"/>
  <c r="T487" i="2"/>
  <c r="F9" i="3" s="1"/>
  <c r="AA485" i="2"/>
  <c r="AB485" i="2"/>
  <c r="Z485" i="2"/>
  <c r="S487" i="2"/>
  <c r="D8" i="3" s="1"/>
  <c r="Q487" i="2"/>
  <c r="F8" i="3" s="1"/>
  <c r="R487" i="2"/>
  <c r="J130" i="2"/>
  <c r="AE486" i="2"/>
  <c r="AD486" i="2"/>
  <c r="AC486" i="2"/>
  <c r="Y485" i="2"/>
  <c r="X485" i="2"/>
  <c r="W485" i="2"/>
  <c r="Y486" i="2" l="1"/>
  <c r="W486" i="2"/>
  <c r="X486" i="2"/>
  <c r="D131" i="2"/>
  <c r="N130" i="2"/>
  <c r="AE487" i="2"/>
  <c r="D12" i="3" s="1"/>
  <c r="E12" i="3" s="1"/>
  <c r="AC487" i="2"/>
  <c r="F12" i="3" s="1"/>
  <c r="G12" i="3" s="1"/>
  <c r="AD487" i="2"/>
  <c r="G9" i="3"/>
  <c r="I9" i="3"/>
  <c r="E8" i="3"/>
  <c r="AB486" i="2"/>
  <c r="AA486" i="2"/>
  <c r="Z486" i="2"/>
  <c r="I12" i="3" l="1"/>
  <c r="AB487" i="2"/>
  <c r="D11" i="3" s="1"/>
  <c r="AA487" i="2"/>
  <c r="Z487" i="2"/>
  <c r="F11" i="3" s="1"/>
  <c r="G11" i="3" s="1"/>
  <c r="F131" i="2"/>
  <c r="K131" i="2" s="1"/>
  <c r="B131" i="2"/>
  <c r="C131" i="2" s="1"/>
  <c r="G131" i="2"/>
  <c r="Y487" i="2"/>
  <c r="D10" i="3" s="1"/>
  <c r="W487" i="2"/>
  <c r="F10" i="3" s="1"/>
  <c r="G10" i="3" s="1"/>
  <c r="X487" i="2"/>
  <c r="E10" i="3" l="1"/>
  <c r="I10" i="3"/>
  <c r="E131" i="2"/>
  <c r="H131" i="2"/>
  <c r="L131" i="2" s="1"/>
  <c r="E11" i="3"/>
  <c r="I11" i="3"/>
  <c r="M131" i="2" l="1"/>
  <c r="J131" i="2"/>
  <c r="I131" i="2"/>
  <c r="D132" i="2" l="1"/>
  <c r="N131" i="2"/>
  <c r="G132" i="2" l="1"/>
  <c r="J132" i="2" s="1"/>
  <c r="F132" i="2"/>
  <c r="K132" i="2" s="1"/>
  <c r="I132" i="2"/>
  <c r="H132" i="2"/>
  <c r="E132" i="2"/>
  <c r="B132" i="2"/>
  <c r="C132" i="2" s="1"/>
  <c r="D133" i="2" l="1"/>
  <c r="N132" i="2"/>
  <c r="L132" i="2"/>
  <c r="M132" i="2" l="1"/>
  <c r="G133" i="2"/>
  <c r="F133" i="2"/>
  <c r="K133" i="2" s="1"/>
  <c r="B133" i="2"/>
  <c r="C133" i="2" s="1"/>
  <c r="E133" i="2" l="1"/>
  <c r="H133" i="2"/>
  <c r="L133" i="2" s="1"/>
  <c r="M133" i="2" l="1"/>
  <c r="J133" i="2"/>
  <c r="I133" i="2"/>
  <c r="D134" i="2" l="1"/>
  <c r="N133" i="2"/>
  <c r="G134" i="2" l="1"/>
  <c r="F134" i="2"/>
  <c r="K134" i="2" s="1"/>
  <c r="B134" i="2"/>
  <c r="C134" i="2" s="1"/>
  <c r="E134" i="2" l="1"/>
  <c r="H134" i="2"/>
  <c r="L134" i="2" s="1"/>
  <c r="M134" i="2" l="1"/>
  <c r="J134" i="2"/>
  <c r="I134" i="2"/>
  <c r="D135" i="2" l="1"/>
  <c r="N134" i="2"/>
  <c r="B135" i="2" l="1"/>
  <c r="C135" i="2" s="1"/>
  <c r="G135" i="2"/>
  <c r="F135" i="2"/>
  <c r="K135" i="2" s="1"/>
  <c r="H135" i="2" l="1"/>
  <c r="J135" i="2" s="1"/>
  <c r="E135" i="2"/>
  <c r="D136" i="2" l="1"/>
  <c r="N135" i="2"/>
  <c r="I135" i="2"/>
  <c r="L135" i="2"/>
  <c r="M135" i="2" l="1"/>
  <c r="B136" i="2"/>
  <c r="C136" i="2" s="1"/>
  <c r="G136" i="2"/>
  <c r="F136" i="2"/>
  <c r="K136" i="2" s="1"/>
  <c r="E136" i="2" l="1"/>
  <c r="H136" i="2"/>
  <c r="L136" i="2" s="1"/>
  <c r="M136" i="2" l="1"/>
  <c r="I136" i="2"/>
  <c r="J136" i="2"/>
  <c r="D137" i="2" l="1"/>
  <c r="N136" i="2"/>
  <c r="F137" i="2" l="1"/>
  <c r="K137" i="2" s="1"/>
  <c r="B137" i="2"/>
  <c r="C137" i="2" s="1"/>
  <c r="G137" i="2" l="1"/>
  <c r="H137" i="2" l="1"/>
  <c r="L137" i="2" s="1"/>
  <c r="E137" i="2"/>
  <c r="M137" i="2" l="1"/>
  <c r="J137" i="2"/>
  <c r="I137" i="2"/>
  <c r="D138" i="2" l="1"/>
  <c r="N137" i="2"/>
  <c r="B138" i="2" l="1"/>
  <c r="C138" i="2" s="1"/>
  <c r="F138" i="2"/>
  <c r="K138" i="2" s="1"/>
  <c r="G138" i="2" l="1"/>
  <c r="H138" i="2" l="1"/>
  <c r="L138" i="2" s="1"/>
  <c r="E138" i="2"/>
  <c r="I138" i="2" s="1"/>
  <c r="M138" i="2" l="1"/>
  <c r="J138" i="2"/>
  <c r="D139" i="2" l="1"/>
  <c r="N138" i="2"/>
  <c r="F139" i="2" l="1"/>
  <c r="K139" i="2" s="1"/>
  <c r="B139" i="2"/>
  <c r="C139" i="2" s="1"/>
  <c r="G139" i="2" l="1"/>
  <c r="H139" i="2" l="1"/>
  <c r="L139" i="2" s="1"/>
  <c r="E139" i="2"/>
  <c r="M139" i="2" l="1"/>
  <c r="I139" i="2"/>
  <c r="J139" i="2"/>
  <c r="D140" i="2" l="1"/>
  <c r="N139" i="2"/>
  <c r="B140" i="2" l="1"/>
  <c r="C140" i="2" s="1"/>
  <c r="G140" i="2"/>
  <c r="F140" i="2"/>
  <c r="K140" i="2" s="1"/>
  <c r="E140" i="2" l="1"/>
  <c r="H140" i="2"/>
  <c r="L140" i="2" s="1"/>
  <c r="J140" i="2"/>
  <c r="M140" i="2" l="1"/>
  <c r="D141" i="2"/>
  <c r="N140" i="2"/>
  <c r="I140" i="2"/>
  <c r="F141" i="2" l="1"/>
  <c r="K141" i="2" s="1"/>
  <c r="B141" i="2"/>
  <c r="C141" i="2" s="1"/>
  <c r="G141" i="2" l="1"/>
  <c r="E141" i="2"/>
  <c r="H141" i="2" l="1"/>
  <c r="I141" i="2" s="1"/>
  <c r="J141" i="2"/>
  <c r="D142" i="2" l="1"/>
  <c r="N141" i="2"/>
  <c r="L141" i="2"/>
  <c r="M141" i="2" l="1"/>
  <c r="F142" i="2"/>
  <c r="K142" i="2" s="1"/>
  <c r="B142" i="2"/>
  <c r="C142" i="2" s="1"/>
  <c r="G142" i="2" l="1"/>
  <c r="H142" i="2" l="1"/>
  <c r="L142" i="2" s="1"/>
  <c r="E142" i="2"/>
  <c r="M142" i="2" l="1"/>
  <c r="I142" i="2"/>
  <c r="J142" i="2"/>
  <c r="D143" i="2" l="1"/>
  <c r="N142" i="2"/>
  <c r="G143" i="2" l="1"/>
  <c r="E143" i="2" s="1"/>
  <c r="F143" i="2"/>
  <c r="K143" i="2" s="1"/>
  <c r="B143" i="2"/>
  <c r="C143" i="2" s="1"/>
  <c r="H143" i="2" l="1"/>
  <c r="I143" i="2" s="1"/>
  <c r="L143" i="2" l="1"/>
  <c r="J143" i="2"/>
  <c r="D144" i="2" l="1"/>
  <c r="N143" i="2"/>
  <c r="M143" i="2"/>
  <c r="F144" i="2" l="1"/>
  <c r="K144" i="2" s="1"/>
  <c r="B144" i="2"/>
  <c r="C144" i="2" s="1"/>
  <c r="G144" i="2" l="1"/>
  <c r="H144" i="2" l="1"/>
  <c r="L144" i="2" s="1"/>
  <c r="E144" i="2"/>
  <c r="I144" i="2" s="1"/>
  <c r="M144" i="2" l="1"/>
  <c r="J144" i="2"/>
  <c r="D145" i="2" l="1"/>
  <c r="N144" i="2"/>
  <c r="B145" i="2" l="1"/>
  <c r="C145" i="2" s="1"/>
  <c r="F145" i="2"/>
  <c r="K145" i="2" s="1"/>
  <c r="G145" i="2"/>
  <c r="E145" i="2" l="1"/>
  <c r="H145" i="2"/>
  <c r="L145" i="2" s="1"/>
  <c r="M145" i="2" l="1"/>
  <c r="I145" i="2"/>
  <c r="J145" i="2"/>
  <c r="D146" i="2" l="1"/>
  <c r="N145" i="2"/>
  <c r="B146" i="2" l="1"/>
  <c r="C146" i="2" s="1"/>
  <c r="G146" i="2"/>
  <c r="F146" i="2"/>
  <c r="K146" i="2" s="1"/>
  <c r="E146" i="2" l="1"/>
  <c r="H146" i="2"/>
  <c r="L146" i="2" s="1"/>
  <c r="M146" i="2" l="1"/>
  <c r="I146" i="2"/>
  <c r="J146" i="2"/>
  <c r="D147" i="2" l="1"/>
  <c r="N146" i="2"/>
  <c r="F147" i="2" l="1"/>
  <c r="K147" i="2" s="1"/>
  <c r="B147" i="2"/>
  <c r="C147" i="2" s="1"/>
  <c r="G147" i="2" l="1"/>
  <c r="H147" i="2" l="1"/>
  <c r="L147" i="2" s="1"/>
  <c r="E147" i="2"/>
  <c r="I147" i="2" s="1"/>
  <c r="M147" i="2" l="1"/>
  <c r="J147" i="2"/>
  <c r="D148" i="2" l="1"/>
  <c r="N147" i="2"/>
  <c r="B148" i="2" l="1"/>
  <c r="C148" i="2" s="1"/>
  <c r="F148" i="2"/>
  <c r="K148" i="2" s="1"/>
  <c r="G148" i="2"/>
  <c r="E148" i="2" s="1"/>
  <c r="H148" i="2" l="1"/>
  <c r="I148" i="2" s="1"/>
  <c r="J148" i="2" l="1"/>
  <c r="L148" i="2"/>
  <c r="M148" i="2" l="1"/>
  <c r="D149" i="2"/>
  <c r="N148" i="2"/>
  <c r="B149" i="2" l="1"/>
  <c r="C149" i="2" s="1"/>
  <c r="F149" i="2"/>
  <c r="K149" i="2" s="1"/>
  <c r="G149" i="2" l="1"/>
  <c r="E149" i="2"/>
  <c r="H149" i="2" l="1"/>
  <c r="I149" i="2" s="1"/>
  <c r="J149" i="2" l="1"/>
  <c r="L149" i="2"/>
  <c r="M149" i="2" l="1"/>
  <c r="D150" i="2"/>
  <c r="N149" i="2"/>
  <c r="B150" i="2" l="1"/>
  <c r="C150" i="2" s="1"/>
  <c r="F150" i="2"/>
  <c r="K150" i="2" s="1"/>
  <c r="G150" i="2" l="1"/>
  <c r="H150" i="2" l="1"/>
  <c r="L150" i="2" s="1"/>
  <c r="E150" i="2"/>
  <c r="I150" i="2" s="1"/>
  <c r="M150" i="2" l="1"/>
  <c r="J150" i="2"/>
  <c r="D151" i="2" l="1"/>
  <c r="N150" i="2"/>
  <c r="B151" i="2" l="1"/>
  <c r="C151" i="2" s="1"/>
  <c r="F151" i="2"/>
  <c r="K151" i="2" s="1"/>
  <c r="G151" i="2" l="1"/>
  <c r="E151" i="2"/>
  <c r="H151" i="2" l="1"/>
  <c r="I151" i="2" s="1"/>
  <c r="J151" i="2"/>
  <c r="D152" i="2" l="1"/>
  <c r="N151" i="2"/>
  <c r="L151" i="2"/>
  <c r="M151" i="2" l="1"/>
  <c r="F152" i="2"/>
  <c r="K152" i="2" s="1"/>
  <c r="B152" i="2"/>
  <c r="C152" i="2" s="1"/>
  <c r="G152" i="2" l="1"/>
  <c r="E152" i="2" l="1"/>
  <c r="H152" i="2"/>
  <c r="L152" i="2" s="1"/>
  <c r="M152" i="2" l="1"/>
  <c r="J152" i="2"/>
  <c r="I152" i="2"/>
  <c r="D153" i="2" l="1"/>
  <c r="N152" i="2"/>
  <c r="F153" i="2" l="1"/>
  <c r="K153" i="2" s="1"/>
  <c r="B153" i="2"/>
  <c r="C153" i="2" s="1"/>
  <c r="G153" i="2" l="1"/>
  <c r="H153" i="2" l="1"/>
  <c r="L153" i="2" s="1"/>
  <c r="J153" i="2"/>
  <c r="E153" i="2"/>
  <c r="I153" i="2" s="1"/>
  <c r="M153" i="2" l="1"/>
  <c r="D154" i="2"/>
  <c r="N153" i="2"/>
  <c r="F154" i="2" l="1"/>
  <c r="K154" i="2" s="1"/>
  <c r="B154" i="2"/>
  <c r="C154" i="2" s="1"/>
  <c r="G154" i="2" l="1"/>
  <c r="H154" i="2" l="1"/>
  <c r="L154" i="2" s="1"/>
  <c r="E154" i="2"/>
  <c r="I154" i="2" s="1"/>
  <c r="M154" i="2" l="1"/>
  <c r="J154" i="2"/>
  <c r="D155" i="2" l="1"/>
  <c r="N154" i="2"/>
  <c r="B155" i="2" l="1"/>
  <c r="C155" i="2" s="1"/>
  <c r="G155" i="2"/>
  <c r="H155" i="2" s="1"/>
  <c r="F155" i="2"/>
  <c r="K155" i="2" s="1"/>
  <c r="E155" i="2" l="1"/>
  <c r="I155" i="2" s="1"/>
  <c r="L155" i="2"/>
  <c r="J155" i="2"/>
  <c r="D156" i="2" l="1"/>
  <c r="N155" i="2"/>
  <c r="M155" i="2"/>
  <c r="B156" i="2" l="1"/>
  <c r="C156" i="2" s="1"/>
  <c r="F156" i="2"/>
  <c r="K156" i="2" s="1"/>
  <c r="G156" i="2" l="1"/>
  <c r="E156" i="2"/>
  <c r="H156" i="2" l="1"/>
  <c r="I156" i="2" s="1"/>
  <c r="J156" i="2"/>
  <c r="D157" i="2" l="1"/>
  <c r="N156" i="2"/>
  <c r="L156" i="2"/>
  <c r="M156" i="2" l="1"/>
  <c r="F157" i="2"/>
  <c r="K157" i="2" s="1"/>
  <c r="B157" i="2"/>
  <c r="C157" i="2" s="1"/>
  <c r="G157" i="2" l="1"/>
  <c r="H157" i="2" l="1"/>
  <c r="L157" i="2" s="1"/>
  <c r="E157" i="2"/>
  <c r="I157" i="2" s="1"/>
  <c r="M157" i="2" l="1"/>
  <c r="J157" i="2"/>
  <c r="D158" i="2" l="1"/>
  <c r="N157" i="2"/>
  <c r="F158" i="2" l="1"/>
  <c r="K158" i="2" s="1"/>
  <c r="B158" i="2"/>
  <c r="C158" i="2" s="1"/>
  <c r="G158" i="2" l="1"/>
  <c r="H158" i="2" l="1"/>
  <c r="L158" i="2" s="1"/>
  <c r="J158" i="2"/>
  <c r="E158" i="2"/>
  <c r="I158" i="2" s="1"/>
  <c r="M158" i="2" l="1"/>
  <c r="D159" i="2"/>
  <c r="N158" i="2"/>
  <c r="F159" i="2" l="1"/>
  <c r="K159" i="2" s="1"/>
  <c r="B159" i="2"/>
  <c r="C159" i="2" s="1"/>
  <c r="G159" i="2" l="1"/>
  <c r="H159" i="2" l="1"/>
  <c r="L159" i="2" s="1"/>
  <c r="E159" i="2"/>
  <c r="I159" i="2" s="1"/>
  <c r="M159" i="2" l="1"/>
  <c r="J159" i="2"/>
  <c r="D160" i="2" l="1"/>
  <c r="N159" i="2"/>
  <c r="B160" i="2" l="1"/>
  <c r="C160" i="2" s="1"/>
  <c r="G160" i="2"/>
  <c r="F160" i="2"/>
  <c r="K160" i="2" s="1"/>
  <c r="E160" i="2" l="1"/>
  <c r="H160" i="2"/>
  <c r="L160" i="2" s="1"/>
  <c r="M160" i="2" l="1"/>
  <c r="I160" i="2"/>
  <c r="J160" i="2"/>
  <c r="D161" i="2" l="1"/>
  <c r="N160" i="2"/>
  <c r="G161" i="2" l="1"/>
  <c r="F161" i="2"/>
  <c r="K161" i="2" s="1"/>
  <c r="B161" i="2"/>
  <c r="C161" i="2" s="1"/>
  <c r="E161" i="2" l="1"/>
  <c r="H161" i="2"/>
  <c r="J161" i="2" s="1"/>
  <c r="D162" i="2" l="1"/>
  <c r="N161" i="2"/>
  <c r="I161" i="2"/>
  <c r="L161" i="2"/>
  <c r="M161" i="2" l="1"/>
  <c r="F162" i="2"/>
  <c r="K162" i="2" s="1"/>
  <c r="B162" i="2"/>
  <c r="C162" i="2" s="1"/>
  <c r="G162" i="2" l="1"/>
  <c r="H162" i="2" l="1"/>
  <c r="L162" i="2" s="1"/>
  <c r="E162" i="2"/>
  <c r="I162" i="2" s="1"/>
  <c r="M162" i="2" l="1"/>
  <c r="J162" i="2"/>
  <c r="D163" i="2" l="1"/>
  <c r="N162" i="2"/>
  <c r="F163" i="2" l="1"/>
  <c r="K163" i="2" s="1"/>
  <c r="B163" i="2"/>
  <c r="C163" i="2" s="1"/>
  <c r="G163" i="2" l="1"/>
  <c r="H163" i="2" l="1"/>
  <c r="L163" i="2" s="1"/>
  <c r="J163" i="2"/>
  <c r="E163" i="2"/>
  <c r="I163" i="2" s="1"/>
  <c r="M163" i="2" l="1"/>
  <c r="D164" i="2"/>
  <c r="N163" i="2"/>
  <c r="F164" i="2" l="1"/>
  <c r="K164" i="2" s="1"/>
  <c r="B164" i="2"/>
  <c r="C164" i="2" s="1"/>
  <c r="G164" i="2" l="1"/>
  <c r="H164" i="2" l="1"/>
  <c r="L164" i="2" s="1"/>
  <c r="E164" i="2"/>
  <c r="I164" i="2" s="1"/>
  <c r="M164" i="2" l="1"/>
  <c r="J164" i="2"/>
  <c r="D165" i="2" l="1"/>
  <c r="N164" i="2"/>
  <c r="B165" i="2" l="1"/>
  <c r="C165" i="2" s="1"/>
  <c r="G165" i="2"/>
  <c r="F165" i="2"/>
  <c r="K165" i="2" s="1"/>
  <c r="E165" i="2" l="1"/>
  <c r="H165" i="2"/>
  <c r="J165" i="2" s="1"/>
  <c r="D166" i="2" l="1"/>
  <c r="N165" i="2"/>
  <c r="L165" i="2"/>
  <c r="I165" i="2"/>
  <c r="M165" i="2" l="1"/>
  <c r="G166" i="2"/>
  <c r="F166" i="2"/>
  <c r="K166" i="2" s="1"/>
  <c r="B166" i="2"/>
  <c r="C166" i="2" s="1"/>
  <c r="E166" i="2" l="1"/>
  <c r="H166" i="2"/>
  <c r="L166" i="2" s="1"/>
  <c r="M166" i="2" l="1"/>
  <c r="I166" i="2"/>
  <c r="J166" i="2"/>
  <c r="D167" i="2" l="1"/>
  <c r="N166" i="2"/>
  <c r="F167" i="2" l="1"/>
  <c r="K167" i="2" s="1"/>
  <c r="B167" i="2"/>
  <c r="C167" i="2" s="1"/>
  <c r="G167" i="2" l="1"/>
  <c r="H167" i="2" l="1"/>
  <c r="L167" i="2" s="1"/>
  <c r="J167" i="2"/>
  <c r="E167" i="2"/>
  <c r="I167" i="2" s="1"/>
  <c r="M167" i="2" l="1"/>
  <c r="D168" i="2"/>
  <c r="N167" i="2"/>
  <c r="F168" i="2" l="1"/>
  <c r="K168" i="2" s="1"/>
  <c r="B168" i="2"/>
  <c r="C168" i="2" s="1"/>
  <c r="G168" i="2" l="1"/>
  <c r="H168" i="2" l="1"/>
  <c r="L168" i="2" s="1"/>
  <c r="E168" i="2"/>
  <c r="I168" i="2" s="1"/>
  <c r="M168" i="2" l="1"/>
  <c r="J168" i="2"/>
  <c r="D169" i="2" l="1"/>
  <c r="N168" i="2"/>
  <c r="F169" i="2" l="1"/>
  <c r="K169" i="2" s="1"/>
  <c r="B169" i="2"/>
  <c r="C169" i="2" s="1"/>
  <c r="G169" i="2" l="1"/>
  <c r="H169" i="2" l="1"/>
  <c r="L169" i="2" s="1"/>
  <c r="E169" i="2"/>
  <c r="I169" i="2" s="1"/>
  <c r="M169" i="2" l="1"/>
  <c r="J169" i="2"/>
  <c r="D170" i="2" l="1"/>
  <c r="N169" i="2"/>
  <c r="B170" i="2" l="1"/>
  <c r="C170" i="2" s="1"/>
  <c r="F170" i="2"/>
  <c r="K170" i="2" s="1"/>
  <c r="G170" i="2"/>
  <c r="H170" i="2" l="1"/>
  <c r="L170" i="2" s="1"/>
  <c r="E170" i="2"/>
  <c r="I170" i="2" s="1"/>
  <c r="J170" i="2"/>
  <c r="M170" i="2" l="1"/>
  <c r="D171" i="2"/>
  <c r="N170" i="2"/>
  <c r="B171" i="2" l="1"/>
  <c r="C171" i="2" s="1"/>
  <c r="F171" i="2"/>
  <c r="K171" i="2" s="1"/>
  <c r="G171" i="2" l="1"/>
  <c r="E171" i="2"/>
  <c r="H171" i="2" l="1"/>
  <c r="I171" i="2" s="1"/>
  <c r="J171" i="2"/>
  <c r="D172" i="2" l="1"/>
  <c r="N171" i="2"/>
  <c r="L171" i="2"/>
  <c r="M171" i="2" l="1"/>
  <c r="F172" i="2"/>
  <c r="K172" i="2" s="1"/>
  <c r="B172" i="2"/>
  <c r="C172" i="2" s="1"/>
  <c r="G172" i="2" l="1"/>
  <c r="H172" i="2" l="1"/>
  <c r="L172" i="2" s="1"/>
  <c r="E172" i="2"/>
  <c r="I172" i="2" s="1"/>
  <c r="M172" i="2" l="1"/>
  <c r="J172" i="2"/>
  <c r="D173" i="2" l="1"/>
  <c r="N172" i="2"/>
  <c r="F173" i="2" l="1"/>
  <c r="K173" i="2" s="1"/>
  <c r="B173" i="2"/>
  <c r="C173" i="2" s="1"/>
  <c r="G173" i="2" l="1"/>
  <c r="H173" i="2" l="1"/>
  <c r="L173" i="2" s="1"/>
  <c r="E173" i="2"/>
  <c r="I173" i="2" s="1"/>
  <c r="M173" i="2" l="1"/>
  <c r="J173" i="2"/>
  <c r="D174" i="2" l="1"/>
  <c r="N173" i="2"/>
  <c r="F174" i="2" l="1"/>
  <c r="K174" i="2" s="1"/>
  <c r="B174" i="2"/>
  <c r="C174" i="2" s="1"/>
  <c r="G174" i="2" l="1"/>
  <c r="E174" i="2" l="1"/>
  <c r="H174" i="2"/>
  <c r="L174" i="2" s="1"/>
  <c r="M174" i="2" l="1"/>
  <c r="I174" i="2"/>
  <c r="J174" i="2"/>
  <c r="D175" i="2" l="1"/>
  <c r="N174" i="2"/>
  <c r="B175" i="2" l="1"/>
  <c r="C175" i="2" s="1"/>
  <c r="F175" i="2"/>
  <c r="K175" i="2" s="1"/>
  <c r="G175" i="2" l="1"/>
  <c r="E175" i="2"/>
  <c r="H175" i="2" l="1"/>
  <c r="I175" i="2" s="1"/>
  <c r="J175" i="2" l="1"/>
  <c r="L175" i="2"/>
  <c r="M175" i="2" l="1"/>
  <c r="D176" i="2"/>
  <c r="N175" i="2"/>
  <c r="F176" i="2" l="1"/>
  <c r="K176" i="2" s="1"/>
  <c r="B176" i="2"/>
  <c r="C176" i="2" s="1"/>
  <c r="G176" i="2" l="1"/>
  <c r="E176" i="2" s="1"/>
  <c r="H176" i="2" l="1"/>
  <c r="I176" i="2" s="1"/>
  <c r="J176" i="2"/>
  <c r="D177" i="2" l="1"/>
  <c r="N176" i="2"/>
  <c r="L176" i="2"/>
  <c r="M176" i="2" l="1"/>
  <c r="F177" i="2"/>
  <c r="K177" i="2" s="1"/>
  <c r="B177" i="2"/>
  <c r="C177" i="2" s="1"/>
  <c r="G177" i="2" l="1"/>
  <c r="H177" i="2" l="1"/>
  <c r="L177" i="2" s="1"/>
  <c r="J177" i="2"/>
  <c r="E177" i="2"/>
  <c r="I177" i="2" s="1"/>
  <c r="M177" i="2" l="1"/>
  <c r="D178" i="2"/>
  <c r="N177" i="2"/>
  <c r="F178" i="2" l="1"/>
  <c r="K178" i="2" s="1"/>
  <c r="B178" i="2"/>
  <c r="C178" i="2" s="1"/>
  <c r="G178" i="2" l="1"/>
  <c r="H178" i="2" l="1"/>
  <c r="L178" i="2" s="1"/>
  <c r="J178" i="2"/>
  <c r="E178" i="2"/>
  <c r="I178" i="2" s="1"/>
  <c r="M178" i="2" l="1"/>
  <c r="D179" i="2"/>
  <c r="N178" i="2"/>
  <c r="F179" i="2" l="1"/>
  <c r="K179" i="2" s="1"/>
  <c r="B179" i="2"/>
  <c r="C179" i="2" s="1"/>
  <c r="G179" i="2" l="1"/>
  <c r="H179" i="2" l="1"/>
  <c r="L179" i="2" s="1"/>
  <c r="E179" i="2"/>
  <c r="I179" i="2" s="1"/>
  <c r="M179" i="2" l="1"/>
  <c r="J179" i="2"/>
  <c r="D180" i="2" l="1"/>
  <c r="N179" i="2"/>
  <c r="B180" i="2" l="1"/>
  <c r="C180" i="2" s="1"/>
  <c r="G180" i="2"/>
  <c r="E180" i="2" s="1"/>
  <c r="F180" i="2"/>
  <c r="K180" i="2" s="1"/>
  <c r="H180" i="2" l="1"/>
  <c r="I180" i="2" s="1"/>
  <c r="L180" i="2" l="1"/>
  <c r="J180" i="2"/>
  <c r="D181" i="2" l="1"/>
  <c r="N180" i="2"/>
  <c r="M180" i="2"/>
  <c r="G181" i="2" l="1"/>
  <c r="F181" i="2"/>
  <c r="K181" i="2" s="1"/>
  <c r="B181" i="2"/>
  <c r="C181" i="2" s="1"/>
  <c r="H181" i="2" l="1"/>
  <c r="L181" i="2" s="1"/>
  <c r="E181" i="2"/>
  <c r="I181" i="2" s="1"/>
  <c r="M181" i="2" l="1"/>
  <c r="J181" i="2"/>
  <c r="D182" i="2" l="1"/>
  <c r="N181" i="2"/>
  <c r="F182" i="2" l="1"/>
  <c r="K182" i="2" s="1"/>
  <c r="B182" i="2"/>
  <c r="C182" i="2" s="1"/>
  <c r="G182" i="2" l="1"/>
  <c r="H182" i="2" l="1"/>
  <c r="L182" i="2" s="1"/>
  <c r="J182" i="2"/>
  <c r="E182" i="2"/>
  <c r="I182" i="2" s="1"/>
  <c r="M182" i="2" l="1"/>
  <c r="D183" i="2"/>
  <c r="N182" i="2"/>
  <c r="B183" i="2" l="1"/>
  <c r="C183" i="2" s="1"/>
  <c r="F183" i="2"/>
  <c r="K183" i="2" s="1"/>
  <c r="G183" i="2" l="1"/>
  <c r="H183" i="2" l="1"/>
  <c r="L183" i="2" s="1"/>
  <c r="J183" i="2"/>
  <c r="E183" i="2"/>
  <c r="I183" i="2" s="1"/>
  <c r="M183" i="2" l="1"/>
  <c r="D184" i="2"/>
  <c r="N183" i="2"/>
  <c r="B184" i="2" l="1"/>
  <c r="C184" i="2" s="1"/>
  <c r="F184" i="2"/>
  <c r="K184" i="2" s="1"/>
  <c r="G184" i="2" l="1"/>
  <c r="H184" i="2" l="1"/>
  <c r="L184" i="2" s="1"/>
  <c r="E184" i="2"/>
  <c r="I184" i="2" s="1"/>
  <c r="M184" i="2" l="1"/>
  <c r="J184" i="2"/>
  <c r="D185" i="2" l="1"/>
  <c r="N184" i="2"/>
  <c r="B185" i="2" l="1"/>
  <c r="C185" i="2" s="1"/>
  <c r="G185" i="2"/>
  <c r="F185" i="2"/>
  <c r="K185" i="2" s="1"/>
  <c r="E185" i="2" l="1"/>
  <c r="H185" i="2"/>
  <c r="J185" i="2" s="1"/>
  <c r="D186" i="2" l="1"/>
  <c r="N185" i="2"/>
  <c r="L185" i="2"/>
  <c r="I185" i="2"/>
  <c r="M185" i="2" l="1"/>
  <c r="F186" i="2"/>
  <c r="K186" i="2" s="1"/>
  <c r="B186" i="2"/>
  <c r="C186" i="2" s="1"/>
  <c r="G186" i="2" l="1"/>
  <c r="H186" i="2" l="1"/>
  <c r="L186" i="2" s="1"/>
  <c r="J186" i="2"/>
  <c r="E186" i="2"/>
  <c r="I186" i="2" s="1"/>
  <c r="M186" i="2" l="1"/>
  <c r="D187" i="2"/>
  <c r="N186" i="2"/>
  <c r="F187" i="2" l="1"/>
  <c r="K187" i="2" s="1"/>
  <c r="G187" i="2"/>
  <c r="H187" i="2" s="1"/>
  <c r="J187" i="2" s="1"/>
  <c r="B187" i="2"/>
  <c r="C187" i="2" s="1"/>
  <c r="D188" i="2" l="1"/>
  <c r="C52" i="3"/>
  <c r="N187" i="2"/>
  <c r="L187" i="2"/>
  <c r="E187" i="2"/>
  <c r="I187" i="2" s="1"/>
  <c r="D52" i="3"/>
  <c r="E52" i="3" l="1"/>
  <c r="F52" i="3" s="1"/>
  <c r="M187" i="2"/>
  <c r="B188" i="2"/>
  <c r="C188" i="2" s="1"/>
  <c r="F188" i="2"/>
  <c r="K188" i="2" s="1"/>
  <c r="G188" i="2"/>
  <c r="E188" i="2" l="1"/>
  <c r="H188" i="2"/>
  <c r="L188" i="2" s="1"/>
  <c r="J188" i="2"/>
  <c r="M188" i="2" l="1"/>
  <c r="D189" i="2"/>
  <c r="N188" i="2"/>
  <c r="I188" i="2"/>
  <c r="B189" i="2" l="1"/>
  <c r="C189" i="2" s="1"/>
  <c r="F189" i="2"/>
  <c r="K189" i="2" s="1"/>
  <c r="G189" i="2" l="1"/>
  <c r="H189" i="2" l="1"/>
  <c r="L189" i="2" s="1"/>
  <c r="E189" i="2"/>
  <c r="I189" i="2" s="1"/>
  <c r="M189" i="2" l="1"/>
  <c r="J189" i="2"/>
  <c r="D190" i="2" l="1"/>
  <c r="N189" i="2"/>
  <c r="B190" i="2" l="1"/>
  <c r="C190" i="2" s="1"/>
  <c r="G190" i="2"/>
  <c r="F190" i="2"/>
  <c r="K190" i="2" s="1"/>
  <c r="E190" i="2" l="1"/>
  <c r="H190" i="2"/>
  <c r="J190" i="2" s="1"/>
  <c r="D191" i="2" l="1"/>
  <c r="N190" i="2"/>
  <c r="L190" i="2"/>
  <c r="I190" i="2"/>
  <c r="M190" i="2" l="1"/>
  <c r="F191" i="2"/>
  <c r="K191" i="2" s="1"/>
  <c r="B191" i="2"/>
  <c r="C191" i="2" s="1"/>
  <c r="G191" i="2" l="1"/>
  <c r="H191" i="2" l="1"/>
  <c r="L191" i="2" s="1"/>
  <c r="E191" i="2"/>
  <c r="I191" i="2" s="1"/>
  <c r="M191" i="2" l="1"/>
  <c r="J191" i="2"/>
  <c r="D192" i="2" l="1"/>
  <c r="N191" i="2"/>
  <c r="F192" i="2" l="1"/>
  <c r="K192" i="2" s="1"/>
  <c r="B192" i="2"/>
  <c r="C192" i="2" s="1"/>
  <c r="G192" i="2"/>
  <c r="H192" i="2" s="1"/>
  <c r="L192" i="2" l="1"/>
  <c r="J192" i="2"/>
  <c r="E192" i="2"/>
  <c r="I192" i="2" s="1"/>
  <c r="D193" i="2" l="1"/>
  <c r="N192" i="2"/>
  <c r="M192" i="2"/>
  <c r="F193" i="2" l="1"/>
  <c r="K193" i="2" s="1"/>
  <c r="B193" i="2"/>
  <c r="C193" i="2" s="1"/>
  <c r="G193" i="2" l="1"/>
  <c r="H193" i="2" l="1"/>
  <c r="L193" i="2" s="1"/>
  <c r="E193" i="2"/>
  <c r="I193" i="2" s="1"/>
  <c r="M193" i="2" l="1"/>
  <c r="J193" i="2"/>
  <c r="D194" i="2" l="1"/>
  <c r="N193" i="2"/>
  <c r="F194" i="2" l="1"/>
  <c r="K194" i="2" s="1"/>
  <c r="B194" i="2"/>
  <c r="C194" i="2" s="1"/>
  <c r="G194" i="2" l="1"/>
  <c r="H194" i="2" l="1"/>
  <c r="L194" i="2" s="1"/>
  <c r="E194" i="2"/>
  <c r="I194" i="2" s="1"/>
  <c r="M194" i="2" l="1"/>
  <c r="J194" i="2"/>
  <c r="D195" i="2" l="1"/>
  <c r="N194" i="2"/>
  <c r="B195" i="2" l="1"/>
  <c r="C195" i="2" s="1"/>
  <c r="G195" i="2"/>
  <c r="F195" i="2"/>
  <c r="K195" i="2" s="1"/>
  <c r="H195" i="2" l="1"/>
  <c r="L195" i="2" s="1"/>
  <c r="J195" i="2"/>
  <c r="E195" i="2"/>
  <c r="I195" i="2" s="1"/>
  <c r="M195" i="2" l="1"/>
  <c r="D196" i="2"/>
  <c r="N195" i="2"/>
  <c r="F196" i="2" l="1"/>
  <c r="K196" i="2" s="1"/>
  <c r="B196" i="2"/>
  <c r="C196" i="2" s="1"/>
  <c r="G196" i="2" l="1"/>
  <c r="H196" i="2" l="1"/>
  <c r="L196" i="2" s="1"/>
  <c r="E196" i="2"/>
  <c r="I196" i="2" s="1"/>
  <c r="M196" i="2" l="1"/>
  <c r="J196" i="2"/>
  <c r="D197" i="2" l="1"/>
  <c r="N196" i="2"/>
  <c r="F197" i="2" l="1"/>
  <c r="K197" i="2" s="1"/>
  <c r="B197" i="2"/>
  <c r="C197" i="2" s="1"/>
  <c r="G197" i="2"/>
  <c r="H197" i="2" l="1"/>
  <c r="J197" i="2" s="1"/>
  <c r="L197" i="2"/>
  <c r="E197" i="2"/>
  <c r="I197" i="2" s="1"/>
  <c r="D198" i="2" l="1"/>
  <c r="N197" i="2"/>
  <c r="M197" i="2"/>
  <c r="F198" i="2" l="1"/>
  <c r="K198" i="2" s="1"/>
  <c r="B198" i="2"/>
  <c r="C198" i="2" s="1"/>
  <c r="G198" i="2"/>
  <c r="E198" i="2" s="1"/>
  <c r="H198" i="2" l="1"/>
  <c r="I198" i="2" s="1"/>
  <c r="J198" i="2"/>
  <c r="D199" i="2" l="1"/>
  <c r="N198" i="2"/>
  <c r="L198" i="2"/>
  <c r="M198" i="2" l="1"/>
  <c r="F199" i="2"/>
  <c r="K199" i="2" s="1"/>
  <c r="B199" i="2"/>
  <c r="C199" i="2" s="1"/>
  <c r="G199" i="2" l="1"/>
  <c r="H199" i="2" l="1"/>
  <c r="L199" i="2" s="1"/>
  <c r="E199" i="2"/>
  <c r="M199" i="2" l="1"/>
  <c r="I199" i="2"/>
  <c r="J199" i="2"/>
  <c r="D200" i="2" l="1"/>
  <c r="N199" i="2"/>
  <c r="B200" i="2" l="1"/>
  <c r="C200" i="2" s="1"/>
  <c r="F200" i="2"/>
  <c r="K200" i="2" s="1"/>
  <c r="G200" i="2" l="1"/>
  <c r="E200" i="2"/>
  <c r="H200" i="2" l="1"/>
  <c r="I200" i="2" s="1"/>
  <c r="J200" i="2" l="1"/>
  <c r="L200" i="2"/>
  <c r="M200" i="2" l="1"/>
  <c r="D201" i="2"/>
  <c r="N200" i="2"/>
  <c r="F201" i="2" l="1"/>
  <c r="K201" i="2" s="1"/>
  <c r="B201" i="2"/>
  <c r="C201" i="2" s="1"/>
  <c r="G201" i="2" l="1"/>
  <c r="E201" i="2" l="1"/>
  <c r="H201" i="2"/>
  <c r="L201" i="2" s="1"/>
  <c r="M201" i="2" l="1"/>
  <c r="I201" i="2"/>
  <c r="J201" i="2"/>
  <c r="D202" i="2" l="1"/>
  <c r="N201" i="2"/>
  <c r="F202" i="2" l="1"/>
  <c r="K202" i="2" s="1"/>
  <c r="B202" i="2"/>
  <c r="C202" i="2" s="1"/>
  <c r="G202" i="2"/>
  <c r="H202" i="2" l="1"/>
  <c r="J202" i="2" s="1"/>
  <c r="E202" i="2"/>
  <c r="I202" i="2" s="1"/>
  <c r="D203" i="2" l="1"/>
  <c r="N202" i="2"/>
  <c r="L202" i="2"/>
  <c r="M202" i="2" l="1"/>
  <c r="F203" i="2"/>
  <c r="K203" i="2" s="1"/>
  <c r="B203" i="2"/>
  <c r="C203" i="2" s="1"/>
  <c r="G203" i="2" l="1"/>
  <c r="H203" i="2" l="1"/>
  <c r="L203" i="2" s="1"/>
  <c r="E203" i="2"/>
  <c r="I203" i="2" s="1"/>
  <c r="M203" i="2" l="1"/>
  <c r="J203" i="2"/>
  <c r="D204" i="2" l="1"/>
  <c r="N203" i="2"/>
  <c r="F204" i="2" l="1"/>
  <c r="K204" i="2" s="1"/>
  <c r="B204" i="2"/>
  <c r="C204" i="2" s="1"/>
  <c r="G204" i="2" l="1"/>
  <c r="H204" i="2" l="1"/>
  <c r="L204" i="2" s="1"/>
  <c r="E204" i="2"/>
  <c r="I204" i="2" s="1"/>
  <c r="M204" i="2" l="1"/>
  <c r="J204" i="2"/>
  <c r="D205" i="2" l="1"/>
  <c r="N204" i="2"/>
  <c r="B205" i="2" l="1"/>
  <c r="C205" i="2" s="1"/>
  <c r="G205" i="2"/>
  <c r="F205" i="2"/>
  <c r="K205" i="2" s="1"/>
  <c r="H205" i="2"/>
  <c r="E205" i="2" l="1"/>
  <c r="I205" i="2" s="1"/>
  <c r="L205" i="2"/>
  <c r="J205" i="2"/>
  <c r="D206" i="2" l="1"/>
  <c r="N205" i="2"/>
  <c r="M205" i="2"/>
  <c r="G206" i="2" l="1"/>
  <c r="H206" i="2" s="1"/>
  <c r="F206" i="2"/>
  <c r="K206" i="2" s="1"/>
  <c r="B206" i="2"/>
  <c r="C206" i="2" s="1"/>
  <c r="E206" i="2" l="1"/>
  <c r="I206" i="2" s="1"/>
  <c r="L206" i="2"/>
  <c r="J206" i="2"/>
  <c r="D207" i="2" l="1"/>
  <c r="N206" i="2"/>
  <c r="M206" i="2"/>
  <c r="F207" i="2" l="1"/>
  <c r="K207" i="2" s="1"/>
  <c r="B207" i="2"/>
  <c r="C207" i="2" s="1"/>
  <c r="G207" i="2"/>
  <c r="H207" i="2"/>
  <c r="L207" i="2" l="1"/>
  <c r="E207" i="2"/>
  <c r="I207" i="2" s="1"/>
  <c r="J207" i="2"/>
  <c r="D208" i="2" l="1"/>
  <c r="N207" i="2"/>
  <c r="M207" i="2"/>
  <c r="F208" i="2" l="1"/>
  <c r="K208" i="2" s="1"/>
  <c r="G208" i="2"/>
  <c r="B208" i="2"/>
  <c r="C208" i="2" s="1"/>
  <c r="E208" i="2" l="1"/>
  <c r="H208" i="2"/>
  <c r="L208" i="2" s="1"/>
  <c r="J208" i="2"/>
  <c r="M208" i="2" l="1"/>
  <c r="D209" i="2"/>
  <c r="N208" i="2"/>
  <c r="I208" i="2"/>
  <c r="F209" i="2" l="1"/>
  <c r="K209" i="2" s="1"/>
  <c r="B209" i="2"/>
  <c r="C209" i="2" s="1"/>
  <c r="G209" i="2" l="1"/>
  <c r="H209" i="2" l="1"/>
  <c r="L209" i="2" s="1"/>
  <c r="E209" i="2"/>
  <c r="I209" i="2" s="1"/>
  <c r="M209" i="2" l="1"/>
  <c r="J209" i="2"/>
  <c r="D210" i="2" l="1"/>
  <c r="N209" i="2"/>
  <c r="B210" i="2" l="1"/>
  <c r="C210" i="2" s="1"/>
  <c r="N210" i="2"/>
  <c r="J210" i="2"/>
  <c r="D211" i="2" s="1"/>
  <c r="M210" i="2"/>
  <c r="G210" i="2"/>
  <c r="H210" i="2" s="1"/>
  <c r="F210" i="2"/>
  <c r="K210" i="2" s="1"/>
  <c r="I210" i="2"/>
  <c r="E210" i="2"/>
  <c r="L210" i="2" l="1"/>
  <c r="N211" i="2"/>
  <c r="M211" i="2"/>
  <c r="J211" i="2"/>
  <c r="D212" i="2" s="1"/>
  <c r="G211" i="2"/>
  <c r="F211" i="2"/>
  <c r="K211" i="2" s="1"/>
  <c r="B211" i="2"/>
  <c r="C211" i="2" s="1"/>
  <c r="H211" i="2"/>
  <c r="E211" i="2"/>
  <c r="I211" i="2"/>
  <c r="F212" i="2" l="1"/>
  <c r="K212" i="2" s="1"/>
  <c r="E212" i="2"/>
  <c r="B212" i="2"/>
  <c r="C212" i="2" s="1"/>
  <c r="N212" i="2"/>
  <c r="I212" i="2"/>
  <c r="G212" i="2"/>
  <c r="H212" i="2" s="1"/>
  <c r="M212" i="2"/>
  <c r="J212" i="2"/>
  <c r="D213" i="2" s="1"/>
  <c r="L211" i="2"/>
  <c r="N213" i="2" l="1"/>
  <c r="J213" i="2"/>
  <c r="D214" i="2" s="1"/>
  <c r="F213" i="2"/>
  <c r="K213" i="2" s="1"/>
  <c r="M213" i="2"/>
  <c r="I213" i="2"/>
  <c r="G213" i="2"/>
  <c r="H213" i="2" s="1"/>
  <c r="E213" i="2"/>
  <c r="B213" i="2"/>
  <c r="C213" i="2" s="1"/>
  <c r="L212" i="2"/>
  <c r="L213" i="2" l="1"/>
  <c r="J214" i="2"/>
  <c r="D215" i="2" s="1"/>
  <c r="I214" i="2"/>
  <c r="G214" i="2"/>
  <c r="H214" i="2" s="1"/>
  <c r="F214" i="2"/>
  <c r="K214" i="2" s="1"/>
  <c r="B214" i="2"/>
  <c r="C214" i="2" s="1"/>
  <c r="M214" i="2"/>
  <c r="E214" i="2"/>
  <c r="N214" i="2"/>
  <c r="B215" i="2" l="1"/>
  <c r="C215" i="2" s="1"/>
  <c r="N215" i="2"/>
  <c r="J215" i="2"/>
  <c r="D216" i="2" s="1"/>
  <c r="M215" i="2"/>
  <c r="I215" i="2"/>
  <c r="G215" i="2"/>
  <c r="H215" i="2" s="1"/>
  <c r="F215" i="2"/>
  <c r="K215" i="2" s="1"/>
  <c r="E215" i="2"/>
  <c r="L214" i="2"/>
  <c r="L215" i="2" l="1"/>
  <c r="N216" i="2"/>
  <c r="M216" i="2"/>
  <c r="J216" i="2"/>
  <c r="D217" i="2" s="1"/>
  <c r="G216" i="2"/>
  <c r="F216" i="2"/>
  <c r="K216" i="2" s="1"/>
  <c r="B216" i="2"/>
  <c r="C216" i="2" s="1"/>
  <c r="E216" i="2"/>
  <c r="I216" i="2"/>
  <c r="H216" i="2"/>
  <c r="F217" i="2" l="1"/>
  <c r="K217" i="2" s="1"/>
  <c r="E217" i="2"/>
  <c r="B217" i="2"/>
  <c r="C217" i="2" s="1"/>
  <c r="N217" i="2"/>
  <c r="J217" i="2"/>
  <c r="D218" i="2" s="1"/>
  <c r="I217" i="2"/>
  <c r="G217" i="2"/>
  <c r="H217" i="2" s="1"/>
  <c r="M217" i="2"/>
  <c r="L216" i="2"/>
  <c r="L217" i="2" l="1"/>
  <c r="N218" i="2"/>
  <c r="J218" i="2"/>
  <c r="D219" i="2" s="1"/>
  <c r="F218" i="2"/>
  <c r="K218" i="2" s="1"/>
  <c r="M218" i="2"/>
  <c r="G218" i="2"/>
  <c r="H218" i="2" s="1"/>
  <c r="B218" i="2"/>
  <c r="C218" i="2" s="1"/>
  <c r="I218" i="2"/>
  <c r="E218" i="2"/>
  <c r="J219" i="2" l="1"/>
  <c r="D220" i="2" s="1"/>
  <c r="I219" i="2"/>
  <c r="G219" i="2"/>
  <c r="H219" i="2" s="1"/>
  <c r="F219" i="2"/>
  <c r="K219" i="2" s="1"/>
  <c r="B219" i="2"/>
  <c r="C219" i="2" s="1"/>
  <c r="M219" i="2"/>
  <c r="E219" i="2"/>
  <c r="N219" i="2"/>
  <c r="L218" i="2"/>
  <c r="B220" i="2" l="1"/>
  <c r="C220" i="2" s="1"/>
  <c r="N220" i="2"/>
  <c r="J220" i="2"/>
  <c r="D221" i="2" s="1"/>
  <c r="M220" i="2"/>
  <c r="I220" i="2"/>
  <c r="G220" i="2"/>
  <c r="H220" i="2" s="1"/>
  <c r="F220" i="2"/>
  <c r="K220" i="2" s="1"/>
  <c r="E220" i="2"/>
  <c r="L219" i="2"/>
  <c r="L220" i="2" l="1"/>
  <c r="N221" i="2"/>
  <c r="M221" i="2"/>
  <c r="J221" i="2"/>
  <c r="D222" i="2" s="1"/>
  <c r="G221" i="2"/>
  <c r="F221" i="2"/>
  <c r="K221" i="2" s="1"/>
  <c r="B221" i="2"/>
  <c r="C221" i="2" s="1"/>
  <c r="I221" i="2"/>
  <c r="H221" i="2"/>
  <c r="E221" i="2"/>
  <c r="F222" i="2" l="1"/>
  <c r="K222" i="2" s="1"/>
  <c r="E222" i="2"/>
  <c r="B222" i="2"/>
  <c r="C222" i="2" s="1"/>
  <c r="N222" i="2"/>
  <c r="M222" i="2"/>
  <c r="J222" i="2"/>
  <c r="D223" i="2" s="1"/>
  <c r="I222" i="2"/>
  <c r="G222" i="2"/>
  <c r="H222" i="2" s="1"/>
  <c r="L221" i="2"/>
  <c r="L222" i="2" l="1"/>
  <c r="N223" i="2"/>
  <c r="J223" i="2"/>
  <c r="D224" i="2" s="1"/>
  <c r="F223" i="2"/>
  <c r="K223" i="2" s="1"/>
  <c r="M223" i="2"/>
  <c r="G223" i="2"/>
  <c r="H223" i="2" s="1"/>
  <c r="E223" i="2"/>
  <c r="B223" i="2"/>
  <c r="C223" i="2" s="1"/>
  <c r="I223" i="2"/>
  <c r="J224" i="2" l="1"/>
  <c r="D225" i="2" s="1"/>
  <c r="I224" i="2"/>
  <c r="G224" i="2"/>
  <c r="H224" i="2" s="1"/>
  <c r="F224" i="2"/>
  <c r="K224" i="2" s="1"/>
  <c r="B224" i="2"/>
  <c r="C224" i="2" s="1"/>
  <c r="N224" i="2"/>
  <c r="M224" i="2"/>
  <c r="E224" i="2"/>
  <c r="L223" i="2"/>
  <c r="L224" i="2" l="1"/>
  <c r="B225" i="2"/>
  <c r="C225" i="2" s="1"/>
  <c r="N225" i="2"/>
  <c r="J225" i="2"/>
  <c r="D226" i="2" s="1"/>
  <c r="G225" i="2"/>
  <c r="F225" i="2"/>
  <c r="K225" i="2" s="1"/>
  <c r="E225" i="2"/>
  <c r="M225" i="2"/>
  <c r="I225" i="2"/>
  <c r="H225" i="2"/>
  <c r="N226" i="2" l="1"/>
  <c r="M226" i="2"/>
  <c r="J226" i="2"/>
  <c r="D227" i="2" s="1"/>
  <c r="G226" i="2"/>
  <c r="F226" i="2"/>
  <c r="K226" i="2" s="1"/>
  <c r="B226" i="2"/>
  <c r="C226" i="2" s="1"/>
  <c r="I226" i="2"/>
  <c r="H226" i="2"/>
  <c r="E226" i="2"/>
  <c r="L225" i="2"/>
  <c r="L226" i="2" s="1"/>
  <c r="F227" i="2" l="1"/>
  <c r="K227" i="2" s="1"/>
  <c r="E227" i="2"/>
  <c r="B227" i="2"/>
  <c r="C227" i="2" s="1"/>
  <c r="N227" i="2"/>
  <c r="G227" i="2"/>
  <c r="M227" i="2"/>
  <c r="J227" i="2"/>
  <c r="D228" i="2" s="1"/>
  <c r="I227" i="2"/>
  <c r="N228" i="2" l="1"/>
  <c r="J228" i="2"/>
  <c r="D229" i="2" s="1"/>
  <c r="F228" i="2"/>
  <c r="K228" i="2" s="1"/>
  <c r="M228" i="2"/>
  <c r="I228" i="2"/>
  <c r="G228" i="2"/>
  <c r="H228" i="2" s="1"/>
  <c r="E228" i="2"/>
  <c r="B228" i="2"/>
  <c r="C228" i="2" s="1"/>
  <c r="H227" i="2"/>
  <c r="L227" i="2" s="1"/>
  <c r="L228" i="2" s="1"/>
  <c r="G229" i="2" l="1"/>
  <c r="L229" i="2" s="1"/>
  <c r="J229" i="2"/>
  <c r="D230" i="2" s="1"/>
  <c r="I229" i="2"/>
  <c r="H229" i="2"/>
  <c r="E229" i="2"/>
  <c r="B229" i="2"/>
  <c r="C229" i="2" s="1"/>
  <c r="F229" i="2"/>
  <c r="K229" i="2" s="1"/>
  <c r="N229" i="2"/>
  <c r="M229" i="2"/>
  <c r="E230" i="2" l="1"/>
  <c r="B230" i="2"/>
  <c r="C230" i="2" s="1"/>
  <c r="M230" i="2"/>
  <c r="N230" i="2"/>
  <c r="J230" i="2"/>
  <c r="D231" i="2" s="1"/>
  <c r="I230" i="2"/>
  <c r="F230" i="2"/>
  <c r="K230" i="2" s="1"/>
  <c r="G230" i="2"/>
  <c r="H230" i="2" l="1"/>
  <c r="L230" i="2" s="1"/>
  <c r="J231" i="2"/>
  <c r="D232" i="2" s="1"/>
  <c r="F231" i="2"/>
  <c r="K231" i="2" s="1"/>
  <c r="M231" i="2"/>
  <c r="E231" i="2"/>
  <c r="N231" i="2"/>
  <c r="G231" i="2"/>
  <c r="H231" i="2" s="1"/>
  <c r="B231" i="2"/>
  <c r="C231" i="2" s="1"/>
  <c r="I231" i="2"/>
  <c r="L231" i="2" l="1"/>
  <c r="J232" i="2"/>
  <c r="D233" i="2" s="1"/>
  <c r="I232" i="2"/>
  <c r="E232" i="2"/>
  <c r="N232" i="2"/>
  <c r="M232" i="2"/>
  <c r="G232" i="2"/>
  <c r="H232" i="2" s="1"/>
  <c r="F232" i="2"/>
  <c r="K232" i="2" s="1"/>
  <c r="B232" i="2"/>
  <c r="C232" i="2" s="1"/>
  <c r="E233" i="2" l="1"/>
  <c r="B233" i="2"/>
  <c r="C233" i="2" s="1"/>
  <c r="M233" i="2"/>
  <c r="I233" i="2"/>
  <c r="G233" i="2"/>
  <c r="H233" i="2" s="1"/>
  <c r="F233" i="2"/>
  <c r="K233" i="2" s="1"/>
  <c r="N233" i="2"/>
  <c r="J233" i="2"/>
  <c r="D234" i="2" s="1"/>
  <c r="L232" i="2"/>
  <c r="G234" i="2" l="1"/>
  <c r="I234" i="2"/>
  <c r="F234" i="2"/>
  <c r="K234" i="2" s="1"/>
  <c r="N234" i="2"/>
  <c r="M234" i="2"/>
  <c r="J234" i="2"/>
  <c r="D235" i="2" s="1"/>
  <c r="H234" i="2"/>
  <c r="B234" i="2"/>
  <c r="C234" i="2" s="1"/>
  <c r="E234" i="2"/>
  <c r="L233" i="2"/>
  <c r="L234" i="2" s="1"/>
  <c r="J235" i="2" l="1"/>
  <c r="D236" i="2" s="1"/>
  <c r="I235" i="2"/>
  <c r="E235" i="2"/>
  <c r="B235" i="2"/>
  <c r="C235" i="2" s="1"/>
  <c r="M235" i="2"/>
  <c r="G235" i="2"/>
  <c r="F235" i="2"/>
  <c r="K235" i="2" s="1"/>
  <c r="N235" i="2"/>
  <c r="H235" i="2" l="1"/>
  <c r="L235" i="2" s="1"/>
  <c r="E236" i="2"/>
  <c r="B236" i="2"/>
  <c r="C236" i="2" s="1"/>
  <c r="N236" i="2"/>
  <c r="I236" i="2"/>
  <c r="M236" i="2"/>
  <c r="J236" i="2"/>
  <c r="D237" i="2" s="1"/>
  <c r="G236" i="2"/>
  <c r="H236" i="2" s="1"/>
  <c r="F236" i="2"/>
  <c r="K236" i="2" s="1"/>
  <c r="L236" i="2" l="1"/>
  <c r="I237" i="2"/>
  <c r="G237" i="2"/>
  <c r="J237" i="2"/>
  <c r="D238" i="2" s="1"/>
  <c r="H237" i="2"/>
  <c r="F237" i="2"/>
  <c r="K237" i="2" s="1"/>
  <c r="E237" i="2"/>
  <c r="N237" i="2"/>
  <c r="M237" i="2"/>
  <c r="B237" i="2"/>
  <c r="C237" i="2" s="1"/>
  <c r="J238" i="2" l="1"/>
  <c r="D239" i="2" s="1"/>
  <c r="I238" i="2"/>
  <c r="E238" i="2"/>
  <c r="B238" i="2"/>
  <c r="C238" i="2" s="1"/>
  <c r="G238" i="2"/>
  <c r="H238" i="2" s="1"/>
  <c r="N238" i="2"/>
  <c r="M238" i="2"/>
  <c r="F238" i="2"/>
  <c r="K238" i="2" s="1"/>
  <c r="L237" i="2"/>
  <c r="L238" i="2" l="1"/>
  <c r="G239" i="2"/>
  <c r="E239" i="2"/>
  <c r="B239" i="2"/>
  <c r="C239" i="2" s="1"/>
  <c r="N239" i="2"/>
  <c r="J239" i="2"/>
  <c r="D240" i="2" s="1"/>
  <c r="M239" i="2"/>
  <c r="I239" i="2"/>
  <c r="H239" i="2"/>
  <c r="F239" i="2"/>
  <c r="K239" i="2" s="1"/>
  <c r="K240" i="2" l="1"/>
  <c r="I240" i="2"/>
  <c r="G240" i="2"/>
  <c r="B240" i="2"/>
  <c r="C240" i="2" s="1"/>
  <c r="H240" i="2"/>
  <c r="F240" i="2"/>
  <c r="E240" i="2"/>
  <c r="M240" i="2"/>
  <c r="J240" i="2"/>
  <c r="D241" i="2" s="1"/>
  <c r="N240" i="2"/>
  <c r="L239" i="2"/>
  <c r="L240" i="2" s="1"/>
  <c r="M241" i="2" l="1"/>
  <c r="J241" i="2"/>
  <c r="D242" i="2" s="1"/>
  <c r="I241" i="2"/>
  <c r="E241" i="2"/>
  <c r="B241" i="2"/>
  <c r="C241" i="2" s="1"/>
  <c r="N241" i="2"/>
  <c r="G241" i="2"/>
  <c r="F241" i="2"/>
  <c r="K241" i="2" s="1"/>
  <c r="H241" i="2" l="1"/>
  <c r="L241" i="2" s="1"/>
  <c r="F242" i="2"/>
  <c r="K242" i="2" s="1"/>
  <c r="E242" i="2"/>
  <c r="B242" i="2"/>
  <c r="C242" i="2" s="1"/>
  <c r="N242" i="2"/>
  <c r="G242" i="2"/>
  <c r="H242" i="2" s="1"/>
  <c r="M242" i="2"/>
  <c r="J242" i="2"/>
  <c r="D243" i="2" s="1"/>
  <c r="I242" i="2"/>
  <c r="L242" i="2" l="1"/>
  <c r="I243" i="2"/>
  <c r="G243" i="2"/>
  <c r="N243" i="2"/>
  <c r="M243" i="2"/>
  <c r="J243" i="2"/>
  <c r="D244" i="2" s="1"/>
  <c r="H243" i="2"/>
  <c r="F243" i="2"/>
  <c r="K243" i="2" s="1"/>
  <c r="E243" i="2"/>
  <c r="B243" i="2"/>
  <c r="C243" i="2" s="1"/>
  <c r="G244" i="2" l="1"/>
  <c r="M244" i="2"/>
  <c r="J244" i="2"/>
  <c r="D245" i="2" s="1"/>
  <c r="I244" i="2"/>
  <c r="E244" i="2"/>
  <c r="B244" i="2"/>
  <c r="C244" i="2" s="1"/>
  <c r="F244" i="2"/>
  <c r="K244" i="2" s="1"/>
  <c r="N244" i="2"/>
  <c r="H244" i="2"/>
  <c r="L243" i="2"/>
  <c r="L244" i="2" s="1"/>
  <c r="I245" i="2" l="1"/>
  <c r="G245" i="2"/>
  <c r="F245" i="2"/>
  <c r="K245" i="2" s="1"/>
  <c r="E245" i="2"/>
  <c r="N245" i="2"/>
  <c r="M245" i="2"/>
  <c r="J245" i="2"/>
  <c r="D246" i="2" s="1"/>
  <c r="B245" i="2"/>
  <c r="C245" i="2" s="1"/>
  <c r="J246" i="2" l="1"/>
  <c r="D247" i="2" s="1"/>
  <c r="I246" i="2"/>
  <c r="E246" i="2"/>
  <c r="B246" i="2"/>
  <c r="C246" i="2" s="1"/>
  <c r="N246" i="2"/>
  <c r="M246" i="2"/>
  <c r="G246" i="2"/>
  <c r="H246" i="2" s="1"/>
  <c r="F246" i="2"/>
  <c r="K246" i="2" s="1"/>
  <c r="H245" i="2"/>
  <c r="L245" i="2" s="1"/>
  <c r="L246" i="2" s="1"/>
  <c r="B247" i="2" l="1"/>
  <c r="C247" i="2" s="1"/>
  <c r="M247" i="2"/>
  <c r="J247" i="2"/>
  <c r="I247" i="2"/>
  <c r="G247" i="2"/>
  <c r="F247" i="2"/>
  <c r="K247" i="2" s="1"/>
  <c r="N247" i="2"/>
  <c r="E247" i="2"/>
  <c r="D53" i="3" l="1"/>
  <c r="H247" i="2"/>
  <c r="L247" i="2" s="1"/>
  <c r="D248" i="2"/>
  <c r="C53" i="3"/>
  <c r="E53" i="3" l="1"/>
  <c r="F53" i="3" s="1"/>
  <c r="N248" i="2"/>
  <c r="M248" i="2"/>
  <c r="E248" i="2"/>
  <c r="I248" i="2"/>
  <c r="J248" i="2"/>
  <c r="D249" i="2" s="1"/>
  <c r="F248" i="2"/>
  <c r="K248" i="2" s="1"/>
  <c r="G248" i="2"/>
  <c r="L248" i="2" s="1"/>
  <c r="B248" i="2"/>
  <c r="C248" i="2" s="1"/>
  <c r="H248" i="2"/>
  <c r="G249" i="2" l="1"/>
  <c r="L249" i="2" s="1"/>
  <c r="F249" i="2"/>
  <c r="E249" i="2"/>
  <c r="M249" i="2"/>
  <c r="J249" i="2"/>
  <c r="D250" i="2" s="1"/>
  <c r="H249" i="2"/>
  <c r="N249" i="2"/>
  <c r="I249" i="2"/>
  <c r="B249" i="2"/>
  <c r="C249" i="2" s="1"/>
  <c r="K249" i="2"/>
  <c r="I250" i="2" l="1"/>
  <c r="N250" i="2"/>
  <c r="M250" i="2"/>
  <c r="J250" i="2"/>
  <c r="D251" i="2" s="1"/>
  <c r="F250" i="2"/>
  <c r="K250" i="2" s="1"/>
  <c r="G250" i="2"/>
  <c r="B250" i="2"/>
  <c r="C250" i="2" s="1"/>
  <c r="E250" i="2"/>
  <c r="H250" i="2" l="1"/>
  <c r="L250" i="2" s="1"/>
  <c r="J251" i="2"/>
  <c r="D252" i="2" s="1"/>
  <c r="I251" i="2"/>
  <c r="N251" i="2"/>
  <c r="M251" i="2"/>
  <c r="F251" i="2"/>
  <c r="K251" i="2" s="1"/>
  <c r="E251" i="2"/>
  <c r="G251" i="2"/>
  <c r="H251" i="2" s="1"/>
  <c r="B251" i="2"/>
  <c r="C251" i="2" s="1"/>
  <c r="L251" i="2" l="1"/>
  <c r="B252" i="2"/>
  <c r="C252" i="2" s="1"/>
  <c r="M252" i="2"/>
  <c r="J252" i="2"/>
  <c r="D253" i="2" s="1"/>
  <c r="I252" i="2"/>
  <c r="E252" i="2"/>
  <c r="G252" i="2"/>
  <c r="H252" i="2" s="1"/>
  <c r="F252" i="2"/>
  <c r="K252" i="2" s="1"/>
  <c r="N252" i="2"/>
  <c r="N253" i="2" l="1"/>
  <c r="M253" i="2"/>
  <c r="E253" i="2"/>
  <c r="I253" i="2"/>
  <c r="G253" i="2"/>
  <c r="H253" i="2" s="1"/>
  <c r="F253" i="2"/>
  <c r="K253" i="2" s="1"/>
  <c r="B253" i="2"/>
  <c r="C253" i="2" s="1"/>
  <c r="J253" i="2"/>
  <c r="D254" i="2" s="1"/>
  <c r="L252" i="2"/>
  <c r="G254" i="2" l="1"/>
  <c r="F254" i="2"/>
  <c r="K254" i="2" s="1"/>
  <c r="E254" i="2"/>
  <c r="H254" i="2"/>
  <c r="B254" i="2"/>
  <c r="C254" i="2" s="1"/>
  <c r="N254" i="2"/>
  <c r="J254" i="2"/>
  <c r="D255" i="2" s="1"/>
  <c r="I254" i="2"/>
  <c r="M254" i="2"/>
  <c r="L253" i="2"/>
  <c r="L254" i="2" s="1"/>
  <c r="I255" i="2" l="1"/>
  <c r="B255" i="2"/>
  <c r="C255" i="2" s="1"/>
  <c r="M255" i="2"/>
  <c r="J255" i="2"/>
  <c r="D256" i="2" s="1"/>
  <c r="G255" i="2"/>
  <c r="N255" i="2"/>
  <c r="F255" i="2"/>
  <c r="K255" i="2" s="1"/>
  <c r="E255" i="2"/>
  <c r="J256" i="2" l="1"/>
  <c r="D257" i="2" s="1"/>
  <c r="I256" i="2"/>
  <c r="N256" i="2"/>
  <c r="G256" i="2"/>
  <c r="F256" i="2"/>
  <c r="K256" i="2" s="1"/>
  <c r="E256" i="2"/>
  <c r="M256" i="2"/>
  <c r="H256" i="2"/>
  <c r="B256" i="2"/>
  <c r="C256" i="2" s="1"/>
  <c r="H255" i="2"/>
  <c r="L255" i="2" s="1"/>
  <c r="L256" i="2" s="1"/>
  <c r="B257" i="2" l="1"/>
  <c r="C257" i="2" s="1"/>
  <c r="M257" i="2"/>
  <c r="N257" i="2"/>
  <c r="J257" i="2"/>
  <c r="D258" i="2" s="1"/>
  <c r="E257" i="2"/>
  <c r="G257" i="2"/>
  <c r="F257" i="2"/>
  <c r="K257" i="2" s="1"/>
  <c r="I257" i="2"/>
  <c r="N258" i="2" l="1"/>
  <c r="M258" i="2"/>
  <c r="E258" i="2"/>
  <c r="J258" i="2"/>
  <c r="D259" i="2" s="1"/>
  <c r="I258" i="2"/>
  <c r="G258" i="2"/>
  <c r="F258" i="2"/>
  <c r="K258" i="2" s="1"/>
  <c r="H258" i="2"/>
  <c r="B258" i="2"/>
  <c r="C258" i="2" s="1"/>
  <c r="H257" i="2"/>
  <c r="L257" i="2" s="1"/>
  <c r="L258" i="2" s="1"/>
  <c r="G259" i="2" l="1"/>
  <c r="L259" i="2" s="1"/>
  <c r="F259" i="2"/>
  <c r="K259" i="2" s="1"/>
  <c r="E259" i="2"/>
  <c r="N259" i="2"/>
  <c r="M259" i="2"/>
  <c r="I259" i="2"/>
  <c r="H259" i="2"/>
  <c r="J259" i="2"/>
  <c r="D260" i="2" s="1"/>
  <c r="B259" i="2"/>
  <c r="C259" i="2" s="1"/>
  <c r="N260" i="2" l="1"/>
  <c r="I260" i="2"/>
  <c r="M260" i="2"/>
  <c r="J260" i="2"/>
  <c r="D261" i="2" s="1"/>
  <c r="F260" i="2"/>
  <c r="K260" i="2" s="1"/>
  <c r="E260" i="2"/>
  <c r="G260" i="2"/>
  <c r="B260" i="2"/>
  <c r="C260" i="2" s="1"/>
  <c r="H260" i="2" l="1"/>
  <c r="L260" i="2" s="1"/>
  <c r="L261" i="2" s="1"/>
  <c r="J261" i="2"/>
  <c r="D262" i="2" s="1"/>
  <c r="I261" i="2"/>
  <c r="F261" i="2"/>
  <c r="K261" i="2" s="1"/>
  <c r="N261" i="2"/>
  <c r="M261" i="2"/>
  <c r="G261" i="2"/>
  <c r="E261" i="2"/>
  <c r="B261" i="2"/>
  <c r="C261" i="2" s="1"/>
  <c r="H261" i="2"/>
  <c r="B262" i="2" l="1"/>
  <c r="C262" i="2" s="1"/>
  <c r="M262" i="2"/>
  <c r="N262" i="2"/>
  <c r="G262" i="2"/>
  <c r="E262" i="2"/>
  <c r="I262" i="2"/>
  <c r="F262" i="2"/>
  <c r="K262" i="2" s="1"/>
  <c r="J262" i="2"/>
  <c r="D263" i="2" s="1"/>
  <c r="N263" i="2" l="1"/>
  <c r="M263" i="2"/>
  <c r="J263" i="2"/>
  <c r="D264" i="2" s="1"/>
  <c r="E263" i="2"/>
  <c r="G263" i="2"/>
  <c r="H263" i="2" s="1"/>
  <c r="F263" i="2"/>
  <c r="K263" i="2" s="1"/>
  <c r="B263" i="2"/>
  <c r="C263" i="2" s="1"/>
  <c r="I263" i="2"/>
  <c r="H262" i="2"/>
  <c r="L262" i="2" s="1"/>
  <c r="L263" i="2" s="1"/>
  <c r="G264" i="2" l="1"/>
  <c r="L264" i="2" s="1"/>
  <c r="F264" i="2"/>
  <c r="K264" i="2" s="1"/>
  <c r="E264" i="2"/>
  <c r="B264" i="2"/>
  <c r="C264" i="2" s="1"/>
  <c r="N264" i="2"/>
  <c r="M264" i="2"/>
  <c r="I264" i="2"/>
  <c r="J264" i="2"/>
  <c r="D265" i="2" s="1"/>
  <c r="H264" i="2"/>
  <c r="N265" i="2" l="1"/>
  <c r="I265" i="2"/>
  <c r="M265" i="2"/>
  <c r="J265" i="2"/>
  <c r="D266" i="2" s="1"/>
  <c r="G265" i="2"/>
  <c r="F265" i="2"/>
  <c r="K265" i="2" s="1"/>
  <c r="E265" i="2"/>
  <c r="B265" i="2"/>
  <c r="C265" i="2" s="1"/>
  <c r="H265" i="2" l="1"/>
  <c r="L265" i="2" s="1"/>
  <c r="J266" i="2"/>
  <c r="D267" i="2" s="1"/>
  <c r="I266" i="2"/>
  <c r="G266" i="2"/>
  <c r="H266" i="2" s="1"/>
  <c r="F266" i="2"/>
  <c r="K266" i="2" s="1"/>
  <c r="B266" i="2"/>
  <c r="C266" i="2" s="1"/>
  <c r="N266" i="2"/>
  <c r="M266" i="2"/>
  <c r="E266" i="2"/>
  <c r="L266" i="2" l="1"/>
  <c r="B267" i="2"/>
  <c r="C267" i="2" s="1"/>
  <c r="M267" i="2"/>
  <c r="I267" i="2"/>
  <c r="G267" i="2"/>
  <c r="H267" i="2" s="1"/>
  <c r="F267" i="2"/>
  <c r="K267" i="2" s="1"/>
  <c r="E267" i="2"/>
  <c r="N267" i="2"/>
  <c r="J267" i="2"/>
  <c r="D268" i="2" s="1"/>
  <c r="N268" i="2" l="1"/>
  <c r="M268" i="2"/>
  <c r="J268" i="2"/>
  <c r="D269" i="2" s="1"/>
  <c r="E268" i="2"/>
  <c r="I268" i="2"/>
  <c r="G268" i="2"/>
  <c r="H268" i="2" s="1"/>
  <c r="F268" i="2"/>
  <c r="K268" i="2" s="1"/>
  <c r="B268" i="2"/>
  <c r="C268" i="2" s="1"/>
  <c r="L267" i="2"/>
  <c r="L268" i="2" l="1"/>
  <c r="G269" i="2"/>
  <c r="F269" i="2"/>
  <c r="K269" i="2" s="1"/>
  <c r="E269" i="2"/>
  <c r="B269" i="2"/>
  <c r="C269" i="2" s="1"/>
  <c r="N269" i="2"/>
  <c r="M269" i="2"/>
  <c r="J269" i="2"/>
  <c r="D270" i="2" s="1"/>
  <c r="I269" i="2"/>
  <c r="H269" i="2"/>
  <c r="N270" i="2" l="1"/>
  <c r="I270" i="2"/>
  <c r="J270" i="2"/>
  <c r="D271" i="2" s="1"/>
  <c r="G270" i="2"/>
  <c r="E270" i="2"/>
  <c r="M270" i="2"/>
  <c r="H270" i="2"/>
  <c r="F270" i="2"/>
  <c r="K270" i="2" s="1"/>
  <c r="B270" i="2"/>
  <c r="C270" i="2" s="1"/>
  <c r="L269" i="2"/>
  <c r="L270" i="2" s="1"/>
  <c r="J271" i="2" l="1"/>
  <c r="D272" i="2" s="1"/>
  <c r="I271" i="2"/>
  <c r="G271" i="2"/>
  <c r="F271" i="2"/>
  <c r="K271" i="2" s="1"/>
  <c r="M271" i="2"/>
  <c r="E271" i="2"/>
  <c r="B271" i="2"/>
  <c r="C271" i="2" s="1"/>
  <c r="N271" i="2"/>
  <c r="H271" i="2" l="1"/>
  <c r="L271" i="2" s="1"/>
  <c r="B272" i="2"/>
  <c r="C272" i="2" s="1"/>
  <c r="M272" i="2"/>
  <c r="E272" i="2"/>
  <c r="N272" i="2"/>
  <c r="I272" i="2"/>
  <c r="F272" i="2"/>
  <c r="K272" i="2" s="1"/>
  <c r="J272" i="2"/>
  <c r="D273" i="2" s="1"/>
  <c r="G272" i="2"/>
  <c r="H272" i="2" s="1"/>
  <c r="L272" i="2" l="1"/>
  <c r="N273" i="2"/>
  <c r="M273" i="2"/>
  <c r="J273" i="2"/>
  <c r="D274" i="2" s="1"/>
  <c r="E273" i="2"/>
  <c r="F273" i="2"/>
  <c r="K273" i="2" s="1"/>
  <c r="B273" i="2"/>
  <c r="C273" i="2" s="1"/>
  <c r="I273" i="2"/>
  <c r="G273" i="2"/>
  <c r="H273" i="2" s="1"/>
  <c r="B274" i="2" l="1"/>
  <c r="C274" i="2" s="1"/>
  <c r="I274" i="2"/>
  <c r="G274" i="2"/>
  <c r="H274" i="2" s="1"/>
  <c r="F274" i="2"/>
  <c r="K274" i="2" s="1"/>
  <c r="E274" i="2"/>
  <c r="N274" i="2"/>
  <c r="M274" i="2"/>
  <c r="J274" i="2"/>
  <c r="D275" i="2" s="1"/>
  <c r="L273" i="2"/>
  <c r="L274" i="2" l="1"/>
  <c r="N275" i="2"/>
  <c r="M275" i="2"/>
  <c r="G275" i="2"/>
  <c r="F275" i="2"/>
  <c r="K275" i="2" s="1"/>
  <c r="E275" i="2"/>
  <c r="B275" i="2"/>
  <c r="C275" i="2" s="1"/>
  <c r="J275" i="2"/>
  <c r="D276" i="2" s="1"/>
  <c r="I275" i="2"/>
  <c r="H275" i="2"/>
  <c r="F276" i="2" l="1"/>
  <c r="K276" i="2" s="1"/>
  <c r="E276" i="2"/>
  <c r="B276" i="2"/>
  <c r="C276" i="2" s="1"/>
  <c r="I276" i="2"/>
  <c r="G276" i="2"/>
  <c r="H276" i="2" s="1"/>
  <c r="J276" i="2"/>
  <c r="D277" i="2" s="1"/>
  <c r="N276" i="2"/>
  <c r="M276" i="2"/>
  <c r="L275" i="2"/>
  <c r="L276" i="2" l="1"/>
  <c r="M277" i="2"/>
  <c r="N277" i="2"/>
  <c r="G277" i="2"/>
  <c r="H277" i="2" s="1"/>
  <c r="F277" i="2"/>
  <c r="K277" i="2" s="1"/>
  <c r="B277" i="2"/>
  <c r="C277" i="2" s="1"/>
  <c r="J277" i="2"/>
  <c r="D278" i="2" s="1"/>
  <c r="I277" i="2"/>
  <c r="E277" i="2"/>
  <c r="J278" i="2" l="1"/>
  <c r="D279" i="2" s="1"/>
  <c r="I278" i="2"/>
  <c r="N278" i="2"/>
  <c r="G278" i="2"/>
  <c r="H278" i="2" s="1"/>
  <c r="F278" i="2"/>
  <c r="K278" i="2" s="1"/>
  <c r="E278" i="2"/>
  <c r="B278" i="2"/>
  <c r="C278" i="2" s="1"/>
  <c r="M278" i="2"/>
  <c r="L277" i="2"/>
  <c r="L278" i="2" l="1"/>
  <c r="B279" i="2"/>
  <c r="C279" i="2" s="1"/>
  <c r="N279" i="2"/>
  <c r="M279" i="2"/>
  <c r="J279" i="2"/>
  <c r="D280" i="2" s="1"/>
  <c r="G279" i="2"/>
  <c r="I279" i="2"/>
  <c r="H279" i="2"/>
  <c r="F279" i="2"/>
  <c r="K279" i="2" s="1"/>
  <c r="E279" i="2"/>
  <c r="N280" i="2" l="1"/>
  <c r="M280" i="2"/>
  <c r="G280" i="2"/>
  <c r="J280" i="2"/>
  <c r="D281" i="2" s="1"/>
  <c r="I280" i="2"/>
  <c r="H280" i="2"/>
  <c r="E280" i="2"/>
  <c r="F280" i="2"/>
  <c r="K280" i="2" s="1"/>
  <c r="B280" i="2"/>
  <c r="C280" i="2" s="1"/>
  <c r="L279" i="2"/>
  <c r="L280" i="2" s="1"/>
  <c r="F281" i="2" l="1"/>
  <c r="K281" i="2" s="1"/>
  <c r="E281" i="2"/>
  <c r="M281" i="2"/>
  <c r="J281" i="2"/>
  <c r="D282" i="2" s="1"/>
  <c r="I281" i="2"/>
  <c r="G281" i="2"/>
  <c r="N281" i="2"/>
  <c r="B281" i="2"/>
  <c r="C281" i="2" s="1"/>
  <c r="H281" i="2" l="1"/>
  <c r="L281" i="2" s="1"/>
  <c r="J282" i="2"/>
  <c r="D283" i="2" s="1"/>
  <c r="I282" i="2"/>
  <c r="G282" i="2"/>
  <c r="H282" i="2" s="1"/>
  <c r="F282" i="2"/>
  <c r="K282" i="2" s="1"/>
  <c r="E282" i="2"/>
  <c r="B282" i="2"/>
  <c r="C282" i="2" s="1"/>
  <c r="N282" i="2"/>
  <c r="M282" i="2"/>
  <c r="L282" i="2" l="1"/>
  <c r="J283" i="2"/>
  <c r="D284" i="2" s="1"/>
  <c r="I283" i="2"/>
  <c r="E283" i="2"/>
  <c r="G283" i="2"/>
  <c r="H283" i="2" s="1"/>
  <c r="F283" i="2"/>
  <c r="K283" i="2" s="1"/>
  <c r="B283" i="2"/>
  <c r="C283" i="2" s="1"/>
  <c r="N283" i="2"/>
  <c r="M283" i="2"/>
  <c r="B284" i="2" l="1"/>
  <c r="C284" i="2" s="1"/>
  <c r="G284" i="2"/>
  <c r="F284" i="2"/>
  <c r="K284" i="2" s="1"/>
  <c r="E284" i="2"/>
  <c r="M284" i="2"/>
  <c r="J284" i="2"/>
  <c r="D285" i="2" s="1"/>
  <c r="I284" i="2"/>
  <c r="H284" i="2"/>
  <c r="N284" i="2"/>
  <c r="L283" i="2"/>
  <c r="L284" i="2" s="1"/>
  <c r="N285" i="2" l="1"/>
  <c r="M285" i="2"/>
  <c r="I285" i="2"/>
  <c r="G285" i="2"/>
  <c r="L285" i="2" s="1"/>
  <c r="E285" i="2"/>
  <c r="B285" i="2"/>
  <c r="C285" i="2" s="1"/>
  <c r="H285" i="2"/>
  <c r="J285" i="2"/>
  <c r="D286" i="2" s="1"/>
  <c r="F285" i="2"/>
  <c r="K285" i="2" s="1"/>
  <c r="F286" i="2" l="1"/>
  <c r="K286" i="2" s="1"/>
  <c r="E286" i="2"/>
  <c r="B286" i="2"/>
  <c r="C286" i="2" s="1"/>
  <c r="I286" i="2"/>
  <c r="G286" i="2"/>
  <c r="N286" i="2"/>
  <c r="J286" i="2"/>
  <c r="D287" i="2" s="1"/>
  <c r="M286" i="2"/>
  <c r="M287" i="2" l="1"/>
  <c r="B287" i="2"/>
  <c r="C287" i="2" s="1"/>
  <c r="N287" i="2"/>
  <c r="I287" i="2"/>
  <c r="G287" i="2"/>
  <c r="H287" i="2" s="1"/>
  <c r="E287" i="2"/>
  <c r="J287" i="2"/>
  <c r="D288" i="2" s="1"/>
  <c r="F287" i="2"/>
  <c r="K287" i="2" s="1"/>
  <c r="H286" i="2"/>
  <c r="L286" i="2" s="1"/>
  <c r="L287" i="2" s="1"/>
  <c r="J288" i="2" l="1"/>
  <c r="D289" i="2" s="1"/>
  <c r="I288" i="2"/>
  <c r="E288" i="2"/>
  <c r="B288" i="2"/>
  <c r="C288" i="2" s="1"/>
  <c r="N288" i="2"/>
  <c r="M288" i="2"/>
  <c r="F288" i="2"/>
  <c r="K288" i="2" s="1"/>
  <c r="G288" i="2"/>
  <c r="H288" i="2" l="1"/>
  <c r="L288" i="2" s="1"/>
  <c r="B289" i="2"/>
  <c r="C289" i="2" s="1"/>
  <c r="M289" i="2"/>
  <c r="N289" i="2"/>
  <c r="J289" i="2"/>
  <c r="D290" i="2" s="1"/>
  <c r="I289" i="2"/>
  <c r="E289" i="2"/>
  <c r="G289" i="2"/>
  <c r="H289" i="2" s="1"/>
  <c r="F289" i="2"/>
  <c r="K289" i="2" s="1"/>
  <c r="L289" i="2" l="1"/>
  <c r="N290" i="2"/>
  <c r="M290" i="2"/>
  <c r="I290" i="2"/>
  <c r="G290" i="2"/>
  <c r="H290" i="2"/>
  <c r="J290" i="2"/>
  <c r="D291" i="2" s="1"/>
  <c r="F290" i="2"/>
  <c r="K290" i="2" s="1"/>
  <c r="E290" i="2"/>
  <c r="B290" i="2"/>
  <c r="C290" i="2" s="1"/>
  <c r="F291" i="2" l="1"/>
  <c r="K291" i="2" s="1"/>
  <c r="E291" i="2"/>
  <c r="N291" i="2"/>
  <c r="I291" i="2"/>
  <c r="G291" i="2"/>
  <c r="H291" i="2" s="1"/>
  <c r="M291" i="2"/>
  <c r="J291" i="2"/>
  <c r="D292" i="2" s="1"/>
  <c r="B291" i="2"/>
  <c r="C291" i="2" s="1"/>
  <c r="L290" i="2"/>
  <c r="L291" i="2" l="1"/>
  <c r="M292" i="2"/>
  <c r="N292" i="2"/>
  <c r="I292" i="2"/>
  <c r="J292" i="2"/>
  <c r="D293" i="2" s="1"/>
  <c r="G292" i="2"/>
  <c r="H292" i="2" s="1"/>
  <c r="E292" i="2"/>
  <c r="F292" i="2"/>
  <c r="K292" i="2" s="1"/>
  <c r="B292" i="2"/>
  <c r="C292" i="2" s="1"/>
  <c r="J293" i="2" l="1"/>
  <c r="D294" i="2" s="1"/>
  <c r="I293" i="2"/>
  <c r="F293" i="2"/>
  <c r="K293" i="2" s="1"/>
  <c r="E293" i="2"/>
  <c r="N293" i="2"/>
  <c r="B293" i="2"/>
  <c r="C293" i="2" s="1"/>
  <c r="M293" i="2"/>
  <c r="G293" i="2"/>
  <c r="H293" i="2"/>
  <c r="L292" i="2"/>
  <c r="L293" i="2" s="1"/>
  <c r="B294" i="2" l="1"/>
  <c r="C294" i="2" s="1"/>
  <c r="N294" i="2"/>
  <c r="M294" i="2"/>
  <c r="I294" i="2"/>
  <c r="G294" i="2"/>
  <c r="L294" i="2" s="1"/>
  <c r="F294" i="2"/>
  <c r="K294" i="2" s="1"/>
  <c r="J294" i="2"/>
  <c r="D295" i="2" s="1"/>
  <c r="H294" i="2"/>
  <c r="E294" i="2"/>
  <c r="N295" i="2" l="1"/>
  <c r="M295" i="2"/>
  <c r="J295" i="2"/>
  <c r="D296" i="2" s="1"/>
  <c r="I295" i="2"/>
  <c r="G295" i="2"/>
  <c r="L295" i="2" s="1"/>
  <c r="H295" i="2"/>
  <c r="F295" i="2"/>
  <c r="K295" i="2" s="1"/>
  <c r="E295" i="2"/>
  <c r="B295" i="2"/>
  <c r="C295" i="2" s="1"/>
  <c r="F296" i="2" l="1"/>
  <c r="K296" i="2" s="1"/>
  <c r="E296" i="2"/>
  <c r="B296" i="2"/>
  <c r="C296" i="2" s="1"/>
  <c r="N296" i="2"/>
  <c r="M296" i="2"/>
  <c r="G296" i="2"/>
  <c r="I296" i="2"/>
  <c r="J296" i="2"/>
  <c r="D297" i="2" s="1"/>
  <c r="H296" i="2" l="1"/>
  <c r="L296" i="2" s="1"/>
  <c r="N297" i="2"/>
  <c r="M297" i="2"/>
  <c r="B297" i="2"/>
  <c r="C297" i="2" s="1"/>
  <c r="J297" i="2"/>
  <c r="D298" i="2" s="1"/>
  <c r="I297" i="2"/>
  <c r="G297" i="2"/>
  <c r="H297" i="2" s="1"/>
  <c r="F297" i="2"/>
  <c r="K297" i="2" s="1"/>
  <c r="E297" i="2"/>
  <c r="L297" i="2" l="1"/>
  <c r="J298" i="2"/>
  <c r="D299" i="2" s="1"/>
  <c r="I298" i="2"/>
  <c r="G298" i="2"/>
  <c r="H298" i="2" s="1"/>
  <c r="F298" i="2"/>
  <c r="K298" i="2" s="1"/>
  <c r="E298" i="2"/>
  <c r="B298" i="2"/>
  <c r="C298" i="2" s="1"/>
  <c r="N298" i="2"/>
  <c r="M298" i="2"/>
  <c r="B299" i="2" l="1"/>
  <c r="C299" i="2" s="1"/>
  <c r="J299" i="2"/>
  <c r="D300" i="2" s="1"/>
  <c r="I299" i="2"/>
  <c r="G299" i="2"/>
  <c r="H299" i="2" s="1"/>
  <c r="F299" i="2"/>
  <c r="K299" i="2" s="1"/>
  <c r="E299" i="2"/>
  <c r="N299" i="2"/>
  <c r="M299" i="2"/>
  <c r="L298" i="2"/>
  <c r="L299" i="2" l="1"/>
  <c r="N300" i="2"/>
  <c r="M300" i="2"/>
  <c r="J300" i="2"/>
  <c r="D301" i="2" s="1"/>
  <c r="I300" i="2"/>
  <c r="G300" i="2"/>
  <c r="H300" i="2" s="1"/>
  <c r="F300" i="2"/>
  <c r="K300" i="2" s="1"/>
  <c r="E300" i="2"/>
  <c r="B300" i="2"/>
  <c r="C300" i="2" s="1"/>
  <c r="F301" i="2" l="1"/>
  <c r="K301" i="2" s="1"/>
  <c r="E301" i="2"/>
  <c r="B301" i="2"/>
  <c r="C301" i="2" s="1"/>
  <c r="N301" i="2"/>
  <c r="M301" i="2"/>
  <c r="G301" i="2"/>
  <c r="H301" i="2" s="1"/>
  <c r="J301" i="2"/>
  <c r="D302" i="2" s="1"/>
  <c r="I301" i="2"/>
  <c r="L300" i="2"/>
  <c r="L301" i="2" l="1"/>
  <c r="N302" i="2"/>
  <c r="M302" i="2"/>
  <c r="I302" i="2"/>
  <c r="J302" i="2"/>
  <c r="D303" i="2" s="1"/>
  <c r="F302" i="2"/>
  <c r="K302" i="2" s="1"/>
  <c r="G302" i="2"/>
  <c r="H302" i="2" s="1"/>
  <c r="E302" i="2"/>
  <c r="B302" i="2"/>
  <c r="C302" i="2" s="1"/>
  <c r="J303" i="2" l="1"/>
  <c r="D304" i="2" s="1"/>
  <c r="I303" i="2"/>
  <c r="G303" i="2"/>
  <c r="H303" i="2" s="1"/>
  <c r="F303" i="2"/>
  <c r="K303" i="2" s="1"/>
  <c r="E303" i="2"/>
  <c r="M303" i="2"/>
  <c r="B303" i="2"/>
  <c r="C303" i="2" s="1"/>
  <c r="N303" i="2"/>
  <c r="L302" i="2"/>
  <c r="L303" i="2" l="1"/>
  <c r="B304" i="2"/>
  <c r="C304" i="2" s="1"/>
  <c r="F304" i="2"/>
  <c r="K304" i="2" s="1"/>
  <c r="E304" i="2"/>
  <c r="M304" i="2"/>
  <c r="J304" i="2"/>
  <c r="D305" i="2" s="1"/>
  <c r="N304" i="2"/>
  <c r="I304" i="2"/>
  <c r="G304" i="2"/>
  <c r="H304" i="2" s="1"/>
  <c r="N305" i="2" l="1"/>
  <c r="M305" i="2"/>
  <c r="J305" i="2"/>
  <c r="D306" i="2" s="1"/>
  <c r="I305" i="2"/>
  <c r="G305" i="2"/>
  <c r="H305" i="2" s="1"/>
  <c r="F305" i="2"/>
  <c r="K305" i="2" s="1"/>
  <c r="E305" i="2"/>
  <c r="B305" i="2"/>
  <c r="C305" i="2" s="1"/>
  <c r="L304" i="2"/>
  <c r="L305" i="2" l="1"/>
  <c r="F306" i="2"/>
  <c r="K306" i="2" s="1"/>
  <c r="E306" i="2"/>
  <c r="B306" i="2"/>
  <c r="C306" i="2" s="1"/>
  <c r="N306" i="2"/>
  <c r="M306" i="2"/>
  <c r="J306" i="2"/>
  <c r="D307" i="2" s="1"/>
  <c r="I306" i="2"/>
  <c r="G306" i="2"/>
  <c r="H306" i="2" s="1"/>
  <c r="N307" i="2" l="1"/>
  <c r="M307" i="2"/>
  <c r="J307" i="2"/>
  <c r="I307" i="2"/>
  <c r="G307" i="2"/>
  <c r="H307" i="2" s="1"/>
  <c r="F307" i="2"/>
  <c r="K307" i="2" s="1"/>
  <c r="E307" i="2"/>
  <c r="B307" i="2"/>
  <c r="C307" i="2" s="1"/>
  <c r="L306" i="2"/>
  <c r="D54" i="3" l="1"/>
  <c r="L307" i="2"/>
  <c r="D308" i="2"/>
  <c r="C54" i="3"/>
  <c r="J308" i="2" l="1"/>
  <c r="D309" i="2" s="1"/>
  <c r="I308" i="2"/>
  <c r="G308" i="2"/>
  <c r="H308" i="2" s="1"/>
  <c r="L308" i="2" s="1"/>
  <c r="F308" i="2"/>
  <c r="K308" i="2" s="1"/>
  <c r="E308" i="2"/>
  <c r="N308" i="2"/>
  <c r="M308" i="2"/>
  <c r="B308" i="2"/>
  <c r="C308" i="2" s="1"/>
  <c r="E54" i="3"/>
  <c r="F54" i="3" s="1"/>
  <c r="B309" i="2" l="1"/>
  <c r="C309" i="2" s="1"/>
  <c r="M309" i="2"/>
  <c r="N309" i="2"/>
  <c r="J309" i="2"/>
  <c r="D310" i="2" s="1"/>
  <c r="G309" i="2"/>
  <c r="L309" i="2" s="1"/>
  <c r="F309" i="2"/>
  <c r="K309" i="2" s="1"/>
  <c r="I309" i="2"/>
  <c r="H309" i="2"/>
  <c r="E309" i="2"/>
  <c r="N310" i="2" l="1"/>
  <c r="M310" i="2"/>
  <c r="J310" i="2"/>
  <c r="D311" i="2" s="1"/>
  <c r="I310" i="2"/>
  <c r="G310" i="2"/>
  <c r="L310" i="2" s="1"/>
  <c r="B310" i="2"/>
  <c r="C310" i="2" s="1"/>
  <c r="H310" i="2"/>
  <c r="E310" i="2"/>
  <c r="F310" i="2"/>
  <c r="K310" i="2" s="1"/>
  <c r="F311" i="2" l="1"/>
  <c r="K311" i="2" s="1"/>
  <c r="E311" i="2"/>
  <c r="B311" i="2"/>
  <c r="C311" i="2" s="1"/>
  <c r="J311" i="2"/>
  <c r="D312" i="2" s="1"/>
  <c r="I311" i="2"/>
  <c r="G311" i="2"/>
  <c r="M311" i="2"/>
  <c r="N311" i="2"/>
  <c r="N312" i="2" l="1"/>
  <c r="M312" i="2"/>
  <c r="J312" i="2"/>
  <c r="D313" i="2" s="1"/>
  <c r="I312" i="2"/>
  <c r="G312" i="2"/>
  <c r="H312" i="2" s="1"/>
  <c r="F312" i="2"/>
  <c r="K312" i="2" s="1"/>
  <c r="E312" i="2"/>
  <c r="B312" i="2"/>
  <c r="C312" i="2" s="1"/>
  <c r="H311" i="2"/>
  <c r="L311" i="2" s="1"/>
  <c r="L312" i="2" s="1"/>
  <c r="J313" i="2" l="1"/>
  <c r="D314" i="2" s="1"/>
  <c r="I313" i="2"/>
  <c r="G313" i="2"/>
  <c r="F313" i="2"/>
  <c r="K313" i="2" s="1"/>
  <c r="E313" i="2"/>
  <c r="N313" i="2"/>
  <c r="M313" i="2"/>
  <c r="B313" i="2"/>
  <c r="C313" i="2" s="1"/>
  <c r="H313" i="2" l="1"/>
  <c r="L313" i="2" s="1"/>
  <c r="B314" i="2"/>
  <c r="C314" i="2" s="1"/>
  <c r="N314" i="2"/>
  <c r="M314" i="2"/>
  <c r="F314" i="2"/>
  <c r="K314" i="2" s="1"/>
  <c r="E314" i="2"/>
  <c r="I314" i="2"/>
  <c r="J314" i="2"/>
  <c r="D315" i="2" s="1"/>
  <c r="G314" i="2"/>
  <c r="H314" i="2" s="1"/>
  <c r="L314" i="2" l="1"/>
  <c r="N315" i="2"/>
  <c r="M315" i="2"/>
  <c r="J315" i="2"/>
  <c r="D316" i="2" s="1"/>
  <c r="I315" i="2"/>
  <c r="G315" i="2"/>
  <c r="F315" i="2"/>
  <c r="K315" i="2" s="1"/>
  <c r="E315" i="2"/>
  <c r="B315" i="2"/>
  <c r="C315" i="2" s="1"/>
  <c r="H315" i="2"/>
  <c r="F316" i="2" l="1"/>
  <c r="K316" i="2" s="1"/>
  <c r="E316" i="2"/>
  <c r="B316" i="2"/>
  <c r="C316" i="2" s="1"/>
  <c r="J316" i="2"/>
  <c r="D317" i="2" s="1"/>
  <c r="I316" i="2"/>
  <c r="G316" i="2"/>
  <c r="H316" i="2" s="1"/>
  <c r="M316" i="2"/>
  <c r="N316" i="2"/>
  <c r="L315" i="2"/>
  <c r="N317" i="2" l="1"/>
  <c r="M317" i="2"/>
  <c r="F317" i="2"/>
  <c r="K317" i="2" s="1"/>
  <c r="E317" i="2"/>
  <c r="B317" i="2"/>
  <c r="C317" i="2" s="1"/>
  <c r="J317" i="2"/>
  <c r="D318" i="2" s="1"/>
  <c r="I317" i="2"/>
  <c r="G317" i="2"/>
  <c r="H317" i="2" s="1"/>
  <c r="L316" i="2"/>
  <c r="J318" i="2" l="1"/>
  <c r="D319" i="2" s="1"/>
  <c r="I318" i="2"/>
  <c r="G318" i="2"/>
  <c r="H318" i="2" s="1"/>
  <c r="F318" i="2"/>
  <c r="K318" i="2" s="1"/>
  <c r="E318" i="2"/>
  <c r="N318" i="2"/>
  <c r="M318" i="2"/>
  <c r="B318" i="2"/>
  <c r="C318" i="2" s="1"/>
  <c r="L317" i="2"/>
  <c r="L318" i="2" l="1"/>
  <c r="B319" i="2"/>
  <c r="C319" i="2" s="1"/>
  <c r="N319" i="2"/>
  <c r="M319" i="2"/>
  <c r="J319" i="2"/>
  <c r="D320" i="2" s="1"/>
  <c r="I319" i="2"/>
  <c r="G319" i="2"/>
  <c r="H319" i="2" s="1"/>
  <c r="E319" i="2"/>
  <c r="F319" i="2"/>
  <c r="K319" i="2" s="1"/>
  <c r="N320" i="2" l="1"/>
  <c r="M320" i="2"/>
  <c r="J320" i="2"/>
  <c r="D321" i="2" s="1"/>
  <c r="I320" i="2"/>
  <c r="G320" i="2"/>
  <c r="E320" i="2"/>
  <c r="H320" i="2"/>
  <c r="F320" i="2"/>
  <c r="K320" i="2" s="1"/>
  <c r="B320" i="2"/>
  <c r="C320" i="2" s="1"/>
  <c r="L319" i="2"/>
  <c r="L320" i="2" s="1"/>
  <c r="F321" i="2" l="1"/>
  <c r="K321" i="2" s="1"/>
  <c r="E321" i="2"/>
  <c r="B321" i="2"/>
  <c r="C321" i="2" s="1"/>
  <c r="M321" i="2"/>
  <c r="I321" i="2"/>
  <c r="G321" i="2"/>
  <c r="J321" i="2"/>
  <c r="D322" i="2" s="1"/>
  <c r="N321" i="2"/>
  <c r="H321" i="2" l="1"/>
  <c r="L321" i="2" s="1"/>
  <c r="N322" i="2"/>
  <c r="M322" i="2"/>
  <c r="B322" i="2"/>
  <c r="C322" i="2" s="1"/>
  <c r="J322" i="2"/>
  <c r="D323" i="2" s="1"/>
  <c r="F322" i="2"/>
  <c r="K322" i="2" s="1"/>
  <c r="E322" i="2"/>
  <c r="I322" i="2"/>
  <c r="G322" i="2"/>
  <c r="H322" i="2" s="1"/>
  <c r="L322" i="2" l="1"/>
  <c r="J323" i="2"/>
  <c r="D324" i="2" s="1"/>
  <c r="I323" i="2"/>
  <c r="G323" i="2"/>
  <c r="H323" i="2" s="1"/>
  <c r="F323" i="2"/>
  <c r="K323" i="2" s="1"/>
  <c r="E323" i="2"/>
  <c r="B323" i="2"/>
  <c r="C323" i="2" s="1"/>
  <c r="N323" i="2"/>
  <c r="M323" i="2"/>
  <c r="B324" i="2" l="1"/>
  <c r="C324" i="2" s="1"/>
  <c r="J324" i="2"/>
  <c r="D325" i="2" s="1"/>
  <c r="I324" i="2"/>
  <c r="G324" i="2"/>
  <c r="H324" i="2" s="1"/>
  <c r="F324" i="2"/>
  <c r="K324" i="2" s="1"/>
  <c r="E324" i="2"/>
  <c r="M324" i="2"/>
  <c r="N324" i="2"/>
  <c r="L323" i="2"/>
  <c r="L324" i="2" l="1"/>
  <c r="N325" i="2"/>
  <c r="M325" i="2"/>
  <c r="J325" i="2"/>
  <c r="D326" i="2" s="1"/>
  <c r="I325" i="2"/>
  <c r="G325" i="2"/>
  <c r="H325" i="2"/>
  <c r="F325" i="2"/>
  <c r="K325" i="2" s="1"/>
  <c r="E325" i="2"/>
  <c r="B325" i="2"/>
  <c r="C325" i="2" s="1"/>
  <c r="F326" i="2" l="1"/>
  <c r="K326" i="2" s="1"/>
  <c r="E326" i="2"/>
  <c r="B326" i="2"/>
  <c r="C326" i="2" s="1"/>
  <c r="N326" i="2"/>
  <c r="M326" i="2"/>
  <c r="J326" i="2"/>
  <c r="D327" i="2" s="1"/>
  <c r="I326" i="2"/>
  <c r="G326" i="2"/>
  <c r="H326" i="2" s="1"/>
  <c r="L325" i="2"/>
  <c r="N327" i="2" l="1"/>
  <c r="M327" i="2"/>
  <c r="I327" i="2"/>
  <c r="E327" i="2"/>
  <c r="B327" i="2"/>
  <c r="C327" i="2" s="1"/>
  <c r="G327" i="2"/>
  <c r="H327" i="2" s="1"/>
  <c r="F327" i="2"/>
  <c r="K327" i="2" s="1"/>
  <c r="J327" i="2"/>
  <c r="D328" i="2" s="1"/>
  <c r="L326" i="2"/>
  <c r="J328" i="2" l="1"/>
  <c r="D329" i="2" s="1"/>
  <c r="I328" i="2"/>
  <c r="G328" i="2"/>
  <c r="H328" i="2" s="1"/>
  <c r="F328" i="2"/>
  <c r="K328" i="2" s="1"/>
  <c r="E328" i="2"/>
  <c r="N328" i="2"/>
  <c r="M328" i="2"/>
  <c r="B328" i="2"/>
  <c r="C328" i="2" s="1"/>
  <c r="L327" i="2"/>
  <c r="L328" i="2" l="1"/>
  <c r="B329" i="2"/>
  <c r="C329" i="2" s="1"/>
  <c r="F329" i="2"/>
  <c r="K329" i="2" s="1"/>
  <c r="E329" i="2"/>
  <c r="J329" i="2"/>
  <c r="D330" i="2" s="1"/>
  <c r="I329" i="2"/>
  <c r="G329" i="2"/>
  <c r="H329" i="2" s="1"/>
  <c r="M329" i="2"/>
  <c r="N329" i="2"/>
  <c r="N330" i="2" l="1"/>
  <c r="M330" i="2"/>
  <c r="J330" i="2"/>
  <c r="D331" i="2" s="1"/>
  <c r="I330" i="2"/>
  <c r="G330" i="2"/>
  <c r="H330" i="2"/>
  <c r="F330" i="2"/>
  <c r="K330" i="2" s="1"/>
  <c r="E330" i="2"/>
  <c r="B330" i="2"/>
  <c r="C330" i="2" s="1"/>
  <c r="L329" i="2"/>
  <c r="L330" i="2" s="1"/>
  <c r="F331" i="2" l="1"/>
  <c r="K331" i="2" s="1"/>
  <c r="E331" i="2"/>
  <c r="B331" i="2"/>
  <c r="C331" i="2" s="1"/>
  <c r="N331" i="2"/>
  <c r="M331" i="2"/>
  <c r="J331" i="2"/>
  <c r="D332" i="2" s="1"/>
  <c r="I331" i="2"/>
  <c r="G331" i="2"/>
  <c r="N332" i="2" l="1"/>
  <c r="M332" i="2"/>
  <c r="J332" i="2"/>
  <c r="D333" i="2" s="1"/>
  <c r="I332" i="2"/>
  <c r="G332" i="2"/>
  <c r="H332" i="2" s="1"/>
  <c r="F332" i="2"/>
  <c r="K332" i="2" s="1"/>
  <c r="E332" i="2"/>
  <c r="B332" i="2"/>
  <c r="C332" i="2" s="1"/>
  <c r="H331" i="2"/>
  <c r="L331" i="2" s="1"/>
  <c r="L332" i="2" s="1"/>
  <c r="J333" i="2" l="1"/>
  <c r="D334" i="2" s="1"/>
  <c r="I333" i="2"/>
  <c r="G333" i="2"/>
  <c r="F333" i="2"/>
  <c r="K333" i="2" s="1"/>
  <c r="E333" i="2"/>
  <c r="N333" i="2"/>
  <c r="M333" i="2"/>
  <c r="B333" i="2"/>
  <c r="C333" i="2" s="1"/>
  <c r="H333" i="2" l="1"/>
  <c r="L333" i="2" s="1"/>
  <c r="E334" i="2"/>
  <c r="B334" i="2"/>
  <c r="C334" i="2" s="1"/>
  <c r="M334" i="2"/>
  <c r="N334" i="2"/>
  <c r="J334" i="2"/>
  <c r="D335" i="2" s="1"/>
  <c r="I334" i="2"/>
  <c r="G334" i="2"/>
  <c r="H334" i="2" s="1"/>
  <c r="F334" i="2"/>
  <c r="K334" i="2" s="1"/>
  <c r="K335" i="2" l="1"/>
  <c r="L334" i="2"/>
  <c r="G335" i="2"/>
  <c r="N335" i="2"/>
  <c r="M335" i="2"/>
  <c r="J335" i="2"/>
  <c r="D336" i="2" s="1"/>
  <c r="F335" i="2"/>
  <c r="B335" i="2"/>
  <c r="C335" i="2" s="1"/>
  <c r="I335" i="2"/>
  <c r="H335" i="2"/>
  <c r="E335" i="2"/>
  <c r="I336" i="2" l="1"/>
  <c r="J336" i="2"/>
  <c r="D337" i="2" s="1"/>
  <c r="G336" i="2"/>
  <c r="H336" i="2" s="1"/>
  <c r="F336" i="2"/>
  <c r="N336" i="2"/>
  <c r="M336" i="2"/>
  <c r="E336" i="2"/>
  <c r="B336" i="2"/>
  <c r="C336" i="2" s="1"/>
  <c r="K336" i="2"/>
  <c r="L335" i="2"/>
  <c r="L336" i="2" l="1"/>
  <c r="F337" i="2"/>
  <c r="E337" i="2"/>
  <c r="B337" i="2"/>
  <c r="C337" i="2" s="1"/>
  <c r="N337" i="2"/>
  <c r="M337" i="2"/>
  <c r="J337" i="2"/>
  <c r="D338" i="2" s="1"/>
  <c r="G337" i="2"/>
  <c r="H337" i="2" s="1"/>
  <c r="I337" i="2"/>
  <c r="K337" i="2"/>
  <c r="M338" i="2" l="1"/>
  <c r="I338" i="2"/>
  <c r="G338" i="2"/>
  <c r="H338" i="2" s="1"/>
  <c r="F338" i="2"/>
  <c r="K338" i="2" s="1"/>
  <c r="E338" i="2"/>
  <c r="J338" i="2"/>
  <c r="D339" i="2" s="1"/>
  <c r="N338" i="2"/>
  <c r="B338" i="2"/>
  <c r="C338" i="2" s="1"/>
  <c r="L337" i="2"/>
  <c r="E339" i="2" l="1"/>
  <c r="N339" i="2"/>
  <c r="M339" i="2"/>
  <c r="I339" i="2"/>
  <c r="F339" i="2"/>
  <c r="K339" i="2" s="1"/>
  <c r="B339" i="2"/>
  <c r="C339" i="2" s="1"/>
  <c r="J339" i="2"/>
  <c r="D340" i="2" s="1"/>
  <c r="G339" i="2"/>
  <c r="H339" i="2" s="1"/>
  <c r="L338" i="2"/>
  <c r="L339" i="2" l="1"/>
  <c r="G340" i="2"/>
  <c r="J340" i="2"/>
  <c r="D341" i="2" s="1"/>
  <c r="I340" i="2"/>
  <c r="H340" i="2"/>
  <c r="F340" i="2"/>
  <c r="K340" i="2" s="1"/>
  <c r="E340" i="2"/>
  <c r="N340" i="2"/>
  <c r="M340" i="2"/>
  <c r="B340" i="2"/>
  <c r="C340" i="2" s="1"/>
  <c r="I341" i="2" l="1"/>
  <c r="E341" i="2"/>
  <c r="B341" i="2"/>
  <c r="C341" i="2" s="1"/>
  <c r="N341" i="2"/>
  <c r="M341" i="2"/>
  <c r="G341" i="2"/>
  <c r="J341" i="2"/>
  <c r="D342" i="2" s="1"/>
  <c r="H341" i="2"/>
  <c r="F341" i="2"/>
  <c r="K341" i="2" s="1"/>
  <c r="L340" i="2"/>
  <c r="L341" i="2" s="1"/>
  <c r="N342" i="2" l="1"/>
  <c r="J342" i="2"/>
  <c r="D343" i="2" s="1"/>
  <c r="G342" i="2"/>
  <c r="E342" i="2"/>
  <c r="M342" i="2"/>
  <c r="I342" i="2"/>
  <c r="F342" i="2"/>
  <c r="K342" i="2" s="1"/>
  <c r="B342" i="2"/>
  <c r="C342" i="2" s="1"/>
  <c r="M343" i="2" l="1"/>
  <c r="N343" i="2"/>
  <c r="J343" i="2"/>
  <c r="D344" i="2" s="1"/>
  <c r="E343" i="2"/>
  <c r="B343" i="2"/>
  <c r="C343" i="2" s="1"/>
  <c r="I343" i="2"/>
  <c r="G343" i="2"/>
  <c r="H343" i="2" s="1"/>
  <c r="F343" i="2"/>
  <c r="K343" i="2" s="1"/>
  <c r="H342" i="2"/>
  <c r="L342" i="2" s="1"/>
  <c r="L343" i="2" s="1"/>
  <c r="E344" i="2" l="1"/>
  <c r="J344" i="2"/>
  <c r="D345" i="2" s="1"/>
  <c r="I344" i="2"/>
  <c r="G344" i="2"/>
  <c r="F344" i="2"/>
  <c r="K344" i="2" s="1"/>
  <c r="B344" i="2"/>
  <c r="C344" i="2" s="1"/>
  <c r="N344" i="2"/>
  <c r="M344" i="2"/>
  <c r="H344" i="2" l="1"/>
  <c r="L344" i="2" s="1"/>
  <c r="L345" i="2" s="1"/>
  <c r="J345" i="2"/>
  <c r="D346" i="2" s="1"/>
  <c r="I345" i="2"/>
  <c r="G345" i="2"/>
  <c r="E345" i="2"/>
  <c r="B345" i="2"/>
  <c r="C345" i="2" s="1"/>
  <c r="N345" i="2"/>
  <c r="M345" i="2"/>
  <c r="H345" i="2"/>
  <c r="F345" i="2"/>
  <c r="K345" i="2" s="1"/>
  <c r="I346" i="2" l="1"/>
  <c r="B346" i="2"/>
  <c r="C346" i="2" s="1"/>
  <c r="F346" i="2"/>
  <c r="K346" i="2" s="1"/>
  <c r="E346" i="2"/>
  <c r="J346" i="2"/>
  <c r="D347" i="2" s="1"/>
  <c r="G346" i="2"/>
  <c r="M346" i="2"/>
  <c r="N346" i="2"/>
  <c r="N347" i="2" l="1"/>
  <c r="M347" i="2"/>
  <c r="I347" i="2"/>
  <c r="G347" i="2"/>
  <c r="H347" i="2" s="1"/>
  <c r="F347" i="2"/>
  <c r="K347" i="2" s="1"/>
  <c r="E347" i="2"/>
  <c r="B347" i="2"/>
  <c r="C347" i="2" s="1"/>
  <c r="J347" i="2"/>
  <c r="D348" i="2" s="1"/>
  <c r="H346" i="2"/>
  <c r="L346" i="2" s="1"/>
  <c r="L347" i="2" s="1"/>
  <c r="M348" i="2" l="1"/>
  <c r="F348" i="2"/>
  <c r="K348" i="2" s="1"/>
  <c r="E348" i="2"/>
  <c r="N348" i="2"/>
  <c r="J348" i="2"/>
  <c r="D349" i="2" s="1"/>
  <c r="I348" i="2"/>
  <c r="G348" i="2"/>
  <c r="B348" i="2"/>
  <c r="C348" i="2" s="1"/>
  <c r="H348" i="2" l="1"/>
  <c r="L348" i="2" s="1"/>
  <c r="L349" i="2" s="1"/>
  <c r="E349" i="2"/>
  <c r="N349" i="2"/>
  <c r="M349" i="2"/>
  <c r="J349" i="2"/>
  <c r="D350" i="2" s="1"/>
  <c r="G349" i="2"/>
  <c r="H349" i="2"/>
  <c r="B349" i="2"/>
  <c r="C349" i="2" s="1"/>
  <c r="I349" i="2"/>
  <c r="F349" i="2"/>
  <c r="K349" i="2" s="1"/>
  <c r="J350" i="2" l="1"/>
  <c r="D351" i="2" s="1"/>
  <c r="I350" i="2"/>
  <c r="G350" i="2"/>
  <c r="L350" i="2" s="1"/>
  <c r="N350" i="2"/>
  <c r="M350" i="2"/>
  <c r="F350" i="2"/>
  <c r="K350" i="2" s="1"/>
  <c r="H350" i="2"/>
  <c r="E350" i="2"/>
  <c r="B350" i="2"/>
  <c r="C350" i="2" s="1"/>
  <c r="I351" i="2" l="1"/>
  <c r="B351" i="2"/>
  <c r="C351" i="2" s="1"/>
  <c r="M351" i="2"/>
  <c r="J351" i="2"/>
  <c r="D352" i="2" s="1"/>
  <c r="G351" i="2"/>
  <c r="E351" i="2"/>
  <c r="N351" i="2"/>
  <c r="F351" i="2"/>
  <c r="K351" i="2" s="1"/>
  <c r="H351" i="2" l="1"/>
  <c r="L351" i="2" s="1"/>
  <c r="N352" i="2"/>
  <c r="M352" i="2"/>
  <c r="I352" i="2"/>
  <c r="G352" i="2"/>
  <c r="H352" i="2" s="1"/>
  <c r="F352" i="2"/>
  <c r="K352" i="2" s="1"/>
  <c r="E352" i="2"/>
  <c r="B352" i="2"/>
  <c r="C352" i="2" s="1"/>
  <c r="J352" i="2"/>
  <c r="D353" i="2" s="1"/>
  <c r="L352" i="2" l="1"/>
  <c r="M353" i="2"/>
  <c r="I353" i="2"/>
  <c r="F353" i="2"/>
  <c r="K353" i="2" s="1"/>
  <c r="E353" i="2"/>
  <c r="J353" i="2"/>
  <c r="D354" i="2" s="1"/>
  <c r="G353" i="2"/>
  <c r="H353" i="2" s="1"/>
  <c r="B353" i="2"/>
  <c r="C353" i="2" s="1"/>
  <c r="N353" i="2"/>
  <c r="E354" i="2" l="1"/>
  <c r="G354" i="2"/>
  <c r="H354" i="2" s="1"/>
  <c r="F354" i="2"/>
  <c r="K354" i="2" s="1"/>
  <c r="B354" i="2"/>
  <c r="C354" i="2" s="1"/>
  <c r="N354" i="2"/>
  <c r="M354" i="2"/>
  <c r="J354" i="2"/>
  <c r="D355" i="2" s="1"/>
  <c r="I354" i="2"/>
  <c r="L353" i="2"/>
  <c r="L354" i="2" l="1"/>
  <c r="M355" i="2"/>
  <c r="J355" i="2"/>
  <c r="D356" i="2" s="1"/>
  <c r="I355" i="2"/>
  <c r="G355" i="2"/>
  <c r="E355" i="2"/>
  <c r="B355" i="2"/>
  <c r="C355" i="2" s="1"/>
  <c r="N355" i="2"/>
  <c r="H355" i="2"/>
  <c r="F355" i="2"/>
  <c r="K355" i="2" s="1"/>
  <c r="I356" i="2" l="1"/>
  <c r="E356" i="2"/>
  <c r="B356" i="2"/>
  <c r="C356" i="2" s="1"/>
  <c r="F356" i="2"/>
  <c r="K356" i="2" s="1"/>
  <c r="N356" i="2"/>
  <c r="M356" i="2"/>
  <c r="J356" i="2"/>
  <c r="D357" i="2" s="1"/>
  <c r="G356" i="2"/>
  <c r="H356" i="2" s="1"/>
  <c r="L355" i="2"/>
  <c r="L356" i="2" l="1"/>
  <c r="N357" i="2"/>
  <c r="M357" i="2"/>
  <c r="B357" i="2"/>
  <c r="C357" i="2" s="1"/>
  <c r="J357" i="2"/>
  <c r="D358" i="2" s="1"/>
  <c r="E357" i="2"/>
  <c r="G357" i="2"/>
  <c r="I357" i="2"/>
  <c r="H357" i="2"/>
  <c r="F357" i="2"/>
  <c r="K357" i="2" s="1"/>
  <c r="M358" i="2" l="1"/>
  <c r="I358" i="2"/>
  <c r="F358" i="2"/>
  <c r="K358" i="2" s="1"/>
  <c r="E358" i="2"/>
  <c r="G358" i="2"/>
  <c r="H358" i="2" s="1"/>
  <c r="B358" i="2"/>
  <c r="C358" i="2" s="1"/>
  <c r="N358" i="2"/>
  <c r="J358" i="2"/>
  <c r="D359" i="2" s="1"/>
  <c r="L357" i="2"/>
  <c r="L358" i="2" l="1"/>
  <c r="E359" i="2"/>
  <c r="B359" i="2"/>
  <c r="C359" i="2" s="1"/>
  <c r="M359" i="2"/>
  <c r="N359" i="2"/>
  <c r="J359" i="2"/>
  <c r="D360" i="2" s="1"/>
  <c r="I359" i="2"/>
  <c r="G359" i="2"/>
  <c r="H359" i="2" s="1"/>
  <c r="F359" i="2"/>
  <c r="K359" i="2" s="1"/>
  <c r="M360" i="2" l="1"/>
  <c r="J360" i="2"/>
  <c r="D361" i="2" s="1"/>
  <c r="I360" i="2"/>
  <c r="G360" i="2"/>
  <c r="N360" i="2"/>
  <c r="B360" i="2"/>
  <c r="C360" i="2" s="1"/>
  <c r="E360" i="2"/>
  <c r="H360" i="2"/>
  <c r="F360" i="2"/>
  <c r="K360" i="2" s="1"/>
  <c r="L359" i="2"/>
  <c r="L360" i="2" s="1"/>
  <c r="I361" i="2" l="1"/>
  <c r="E361" i="2"/>
  <c r="B361" i="2"/>
  <c r="C361" i="2" s="1"/>
  <c r="J361" i="2"/>
  <c r="D362" i="2" s="1"/>
  <c r="G361" i="2"/>
  <c r="F361" i="2"/>
  <c r="K361" i="2" s="1"/>
  <c r="M361" i="2"/>
  <c r="N361" i="2"/>
  <c r="H361" i="2" l="1"/>
  <c r="L361" i="2" s="1"/>
  <c r="N362" i="2"/>
  <c r="M362" i="2"/>
  <c r="I362" i="2"/>
  <c r="J362" i="2"/>
  <c r="D363" i="2" s="1"/>
  <c r="E362" i="2"/>
  <c r="G362" i="2"/>
  <c r="H362" i="2" s="1"/>
  <c r="F362" i="2"/>
  <c r="K362" i="2" s="1"/>
  <c r="B362" i="2"/>
  <c r="C362" i="2" s="1"/>
  <c r="L362" i="2" l="1"/>
  <c r="M363" i="2"/>
  <c r="I363" i="2"/>
  <c r="F363" i="2"/>
  <c r="K363" i="2" s="1"/>
  <c r="E363" i="2"/>
  <c r="N363" i="2"/>
  <c r="J363" i="2"/>
  <c r="D364" i="2" s="1"/>
  <c r="B363" i="2"/>
  <c r="C363" i="2" s="1"/>
  <c r="G363" i="2"/>
  <c r="H363" i="2" s="1"/>
  <c r="E364" i="2" l="1"/>
  <c r="N364" i="2"/>
  <c r="I364" i="2"/>
  <c r="M364" i="2"/>
  <c r="J364" i="2"/>
  <c r="D365" i="2" s="1"/>
  <c r="G364" i="2"/>
  <c r="H364" i="2" s="1"/>
  <c r="F364" i="2"/>
  <c r="K364" i="2" s="1"/>
  <c r="B364" i="2"/>
  <c r="C364" i="2" s="1"/>
  <c r="L363" i="2"/>
  <c r="L364" i="2" l="1"/>
  <c r="N365" i="2"/>
  <c r="M365" i="2"/>
  <c r="J365" i="2"/>
  <c r="D366" i="2" s="1"/>
  <c r="I365" i="2"/>
  <c r="G365" i="2"/>
  <c r="H365" i="2"/>
  <c r="F365" i="2"/>
  <c r="K365" i="2" s="1"/>
  <c r="E365" i="2"/>
  <c r="B365" i="2"/>
  <c r="C365" i="2" s="1"/>
  <c r="I366" i="2" l="1"/>
  <c r="G366" i="2"/>
  <c r="H366" i="2" s="1"/>
  <c r="F366" i="2"/>
  <c r="K366" i="2" s="1"/>
  <c r="E366" i="2"/>
  <c r="B366" i="2"/>
  <c r="C366" i="2" s="1"/>
  <c r="N366" i="2"/>
  <c r="M366" i="2"/>
  <c r="J366" i="2"/>
  <c r="D367" i="2" s="1"/>
  <c r="L365" i="2"/>
  <c r="L366" i="2" l="1"/>
  <c r="N367" i="2"/>
  <c r="M367" i="2"/>
  <c r="G367" i="2"/>
  <c r="F367" i="2"/>
  <c r="K367" i="2" s="1"/>
  <c r="E367" i="2"/>
  <c r="B367" i="2"/>
  <c r="C367" i="2" s="1"/>
  <c r="J367" i="2"/>
  <c r="D368" i="2" s="1"/>
  <c r="I367" i="2"/>
  <c r="H367" i="2"/>
  <c r="M368" i="2" l="1"/>
  <c r="J368" i="2"/>
  <c r="D369" i="2" s="1"/>
  <c r="I368" i="2"/>
  <c r="F368" i="2"/>
  <c r="K368" i="2" s="1"/>
  <c r="E368" i="2"/>
  <c r="N368" i="2"/>
  <c r="G368" i="2"/>
  <c r="H368" i="2" s="1"/>
  <c r="B368" i="2"/>
  <c r="C368" i="2" s="1"/>
  <c r="L367" i="2"/>
  <c r="L368" i="2" l="1"/>
  <c r="E369" i="2"/>
  <c r="B369" i="2"/>
  <c r="C369" i="2" s="1"/>
  <c r="N369" i="2"/>
  <c r="M369" i="2"/>
  <c r="J369" i="2"/>
  <c r="D370" i="2" s="1"/>
  <c r="I369" i="2"/>
  <c r="G369" i="2"/>
  <c r="H369" i="2" s="1"/>
  <c r="F369" i="2"/>
  <c r="K369" i="2" s="1"/>
  <c r="N370" i="2" l="1"/>
  <c r="M370" i="2"/>
  <c r="J370" i="2"/>
  <c r="D371" i="2" s="1"/>
  <c r="I370" i="2"/>
  <c r="G370" i="2"/>
  <c r="E370" i="2"/>
  <c r="H370" i="2"/>
  <c r="F370" i="2"/>
  <c r="K370" i="2" s="1"/>
  <c r="B370" i="2"/>
  <c r="C370" i="2" s="1"/>
  <c r="L369" i="2"/>
  <c r="L370" i="2" s="1"/>
  <c r="I371" i="2" l="1"/>
  <c r="G371" i="2"/>
  <c r="F371" i="2"/>
  <c r="K371" i="2" s="1"/>
  <c r="E371" i="2"/>
  <c r="B371" i="2"/>
  <c r="C371" i="2" s="1"/>
  <c r="M371" i="2"/>
  <c r="N371" i="2"/>
  <c r="J371" i="2"/>
  <c r="D372" i="2" s="1"/>
  <c r="N372" i="2" l="1"/>
  <c r="M372" i="2"/>
  <c r="B372" i="2"/>
  <c r="C372" i="2" s="1"/>
  <c r="J372" i="2"/>
  <c r="D373" i="2" s="1"/>
  <c r="I372" i="2"/>
  <c r="G372" i="2"/>
  <c r="H372" i="2" s="1"/>
  <c r="F372" i="2"/>
  <c r="K372" i="2" s="1"/>
  <c r="E372" i="2"/>
  <c r="H371" i="2"/>
  <c r="L371" i="2" s="1"/>
  <c r="L372" i="2" s="1"/>
  <c r="M373" i="2" l="1"/>
  <c r="J373" i="2"/>
  <c r="D374" i="2" s="1"/>
  <c r="I373" i="2"/>
  <c r="F373" i="2"/>
  <c r="K373" i="2" s="1"/>
  <c r="E373" i="2"/>
  <c r="B373" i="2"/>
  <c r="C373" i="2" s="1"/>
  <c r="G373" i="2"/>
  <c r="N373" i="2"/>
  <c r="H373" i="2" l="1"/>
  <c r="L373" i="2" s="1"/>
  <c r="E374" i="2"/>
  <c r="B374" i="2"/>
  <c r="C374" i="2" s="1"/>
  <c r="J374" i="2"/>
  <c r="D375" i="2" s="1"/>
  <c r="I374" i="2"/>
  <c r="G374" i="2"/>
  <c r="H374" i="2" s="1"/>
  <c r="F374" i="2"/>
  <c r="K374" i="2" s="1"/>
  <c r="N374" i="2"/>
  <c r="M374" i="2"/>
  <c r="L374" i="2" l="1"/>
  <c r="N375" i="2"/>
  <c r="M375" i="2"/>
  <c r="J375" i="2"/>
  <c r="D376" i="2" s="1"/>
  <c r="I375" i="2"/>
  <c r="G375" i="2"/>
  <c r="H375" i="2"/>
  <c r="F375" i="2"/>
  <c r="K375" i="2" s="1"/>
  <c r="E375" i="2"/>
  <c r="B375" i="2"/>
  <c r="C375" i="2" s="1"/>
  <c r="I376" i="2" l="1"/>
  <c r="G376" i="2"/>
  <c r="H376" i="2" s="1"/>
  <c r="F376" i="2"/>
  <c r="K376" i="2" s="1"/>
  <c r="E376" i="2"/>
  <c r="B376" i="2"/>
  <c r="C376" i="2" s="1"/>
  <c r="N376" i="2"/>
  <c r="M376" i="2"/>
  <c r="J376" i="2"/>
  <c r="D377" i="2" s="1"/>
  <c r="L375" i="2"/>
  <c r="L376" i="2" l="1"/>
  <c r="N377" i="2"/>
  <c r="M377" i="2"/>
  <c r="I377" i="2"/>
  <c r="J377" i="2"/>
  <c r="D378" i="2" s="1"/>
  <c r="B377" i="2"/>
  <c r="C377" i="2" s="1"/>
  <c r="G377" i="2"/>
  <c r="F377" i="2"/>
  <c r="K377" i="2" s="1"/>
  <c r="E377" i="2"/>
  <c r="H377" i="2"/>
  <c r="G378" i="2" l="1"/>
  <c r="N378" i="2"/>
  <c r="M378" i="2"/>
  <c r="J378" i="2"/>
  <c r="D379" i="2" s="1"/>
  <c r="F378" i="2"/>
  <c r="K378" i="2" s="1"/>
  <c r="E378" i="2"/>
  <c r="I378" i="2"/>
  <c r="H378" i="2"/>
  <c r="B378" i="2"/>
  <c r="C378" i="2" s="1"/>
  <c r="L377" i="2"/>
  <c r="L378" i="2" s="1"/>
  <c r="G379" i="2" l="1"/>
  <c r="L379" i="2" s="1"/>
  <c r="F379" i="2"/>
  <c r="K379" i="2" s="1"/>
  <c r="E379" i="2"/>
  <c r="I379" i="2"/>
  <c r="H379" i="2"/>
  <c r="B379" i="2"/>
  <c r="C379" i="2" s="1"/>
  <c r="N379" i="2"/>
  <c r="J379" i="2"/>
  <c r="D380" i="2" s="1"/>
  <c r="M379" i="2"/>
  <c r="N380" i="2" l="1"/>
  <c r="M380" i="2"/>
  <c r="J380" i="2"/>
  <c r="D381" i="2" s="1"/>
  <c r="I380" i="2"/>
  <c r="G380" i="2"/>
  <c r="F380" i="2"/>
  <c r="K380" i="2" s="1"/>
  <c r="E380" i="2"/>
  <c r="B380" i="2"/>
  <c r="C380" i="2" s="1"/>
  <c r="H380" i="2" l="1"/>
  <c r="L380" i="2" s="1"/>
  <c r="L381" i="2" s="1"/>
  <c r="N381" i="2"/>
  <c r="M381" i="2"/>
  <c r="J381" i="2"/>
  <c r="D382" i="2" s="1"/>
  <c r="G381" i="2"/>
  <c r="F381" i="2"/>
  <c r="K381" i="2" s="1"/>
  <c r="H381" i="2"/>
  <c r="B381" i="2"/>
  <c r="C381" i="2" s="1"/>
  <c r="I381" i="2"/>
  <c r="E381" i="2"/>
  <c r="G382" i="2" l="1"/>
  <c r="L382" i="2" s="1"/>
  <c r="F382" i="2"/>
  <c r="K382" i="2" s="1"/>
  <c r="E382" i="2"/>
  <c r="N382" i="2"/>
  <c r="M382" i="2"/>
  <c r="J382" i="2"/>
  <c r="D383" i="2" s="1"/>
  <c r="I382" i="2"/>
  <c r="H382" i="2"/>
  <c r="B382" i="2"/>
  <c r="C382" i="2" s="1"/>
  <c r="G383" i="2" l="1"/>
  <c r="L383" i="2" s="1"/>
  <c r="N383" i="2"/>
  <c r="M383" i="2"/>
  <c r="B383" i="2"/>
  <c r="C383" i="2" s="1"/>
  <c r="I383" i="2"/>
  <c r="H383" i="2"/>
  <c r="E383" i="2"/>
  <c r="J383" i="2"/>
  <c r="D384" i="2" s="1"/>
  <c r="F383" i="2"/>
  <c r="K383" i="2" s="1"/>
  <c r="N384" i="2" l="1"/>
  <c r="M384" i="2"/>
  <c r="J384" i="2"/>
  <c r="D385" i="2" s="1"/>
  <c r="G384" i="2"/>
  <c r="L384" i="2" s="1"/>
  <c r="F384" i="2"/>
  <c r="K384" i="2" s="1"/>
  <c r="E384" i="2"/>
  <c r="B384" i="2"/>
  <c r="C384" i="2" s="1"/>
  <c r="I384" i="2"/>
  <c r="H384" i="2"/>
  <c r="I385" i="2" l="1"/>
  <c r="G385" i="2"/>
  <c r="F385" i="2"/>
  <c r="K385" i="2" s="1"/>
  <c r="E385" i="2"/>
  <c r="N385" i="2"/>
  <c r="M385" i="2"/>
  <c r="J385" i="2"/>
  <c r="D386" i="2" s="1"/>
  <c r="B385" i="2"/>
  <c r="C385" i="2" s="1"/>
  <c r="M386" i="2" l="1"/>
  <c r="F386" i="2"/>
  <c r="K386" i="2" s="1"/>
  <c r="E386" i="2"/>
  <c r="B386" i="2"/>
  <c r="C386" i="2" s="1"/>
  <c r="N386" i="2"/>
  <c r="J386" i="2"/>
  <c r="D387" i="2" s="1"/>
  <c r="I386" i="2"/>
  <c r="G386" i="2"/>
  <c r="H386" i="2" s="1"/>
  <c r="H385" i="2"/>
  <c r="L385" i="2" s="1"/>
  <c r="L386" i="2" s="1"/>
  <c r="G387" i="2" l="1"/>
  <c r="E387" i="2"/>
  <c r="B387" i="2"/>
  <c r="C387" i="2" s="1"/>
  <c r="J387" i="2"/>
  <c r="D388" i="2" s="1"/>
  <c r="I387" i="2"/>
  <c r="F387" i="2"/>
  <c r="K387" i="2" s="1"/>
  <c r="N387" i="2"/>
  <c r="M387" i="2"/>
  <c r="G388" i="2" l="1"/>
  <c r="N388" i="2"/>
  <c r="M388" i="2"/>
  <c r="J388" i="2"/>
  <c r="D389" i="2" s="1"/>
  <c r="I388" i="2"/>
  <c r="H388" i="2"/>
  <c r="F388" i="2"/>
  <c r="K388" i="2" s="1"/>
  <c r="B388" i="2"/>
  <c r="C388" i="2" s="1"/>
  <c r="E388" i="2"/>
  <c r="H387" i="2"/>
  <c r="L387" i="2" s="1"/>
  <c r="L388" i="2" s="1"/>
  <c r="I389" i="2" l="1"/>
  <c r="N389" i="2"/>
  <c r="M389" i="2"/>
  <c r="F389" i="2"/>
  <c r="K389" i="2" s="1"/>
  <c r="J389" i="2"/>
  <c r="D390" i="2" s="1"/>
  <c r="G389" i="2"/>
  <c r="E389" i="2"/>
  <c r="B389" i="2"/>
  <c r="C389" i="2" s="1"/>
  <c r="N390" i="2" l="1"/>
  <c r="J390" i="2"/>
  <c r="D391" i="2" s="1"/>
  <c r="I390" i="2"/>
  <c r="G390" i="2"/>
  <c r="B390" i="2"/>
  <c r="C390" i="2" s="1"/>
  <c r="F390" i="2"/>
  <c r="K390" i="2" s="1"/>
  <c r="E390" i="2"/>
  <c r="H390" i="2"/>
  <c r="M390" i="2"/>
  <c r="H389" i="2"/>
  <c r="L389" i="2" s="1"/>
  <c r="L390" i="2" s="1"/>
  <c r="M391" i="2" l="1"/>
  <c r="N391" i="2"/>
  <c r="J391" i="2"/>
  <c r="D392" i="2" s="1"/>
  <c r="G391" i="2"/>
  <c r="L391" i="2" s="1"/>
  <c r="F391" i="2"/>
  <c r="K391" i="2" s="1"/>
  <c r="I391" i="2"/>
  <c r="H391" i="2"/>
  <c r="E391" i="2"/>
  <c r="B391" i="2"/>
  <c r="C391" i="2" s="1"/>
  <c r="G392" i="2" l="1"/>
  <c r="E392" i="2"/>
  <c r="M392" i="2"/>
  <c r="J392" i="2"/>
  <c r="D393" i="2" s="1"/>
  <c r="I392" i="2"/>
  <c r="B392" i="2"/>
  <c r="C392" i="2" s="1"/>
  <c r="F392" i="2"/>
  <c r="K392" i="2" s="1"/>
  <c r="N392" i="2"/>
  <c r="G393" i="2" l="1"/>
  <c r="J393" i="2"/>
  <c r="D394" i="2" s="1"/>
  <c r="I393" i="2"/>
  <c r="H393" i="2"/>
  <c r="F393" i="2"/>
  <c r="K393" i="2" s="1"/>
  <c r="E393" i="2"/>
  <c r="B393" i="2"/>
  <c r="C393" i="2" s="1"/>
  <c r="N393" i="2"/>
  <c r="M393" i="2"/>
  <c r="H392" i="2"/>
  <c r="L392" i="2" s="1"/>
  <c r="L393" i="2" s="1"/>
  <c r="I394" i="2" l="1"/>
  <c r="F394" i="2"/>
  <c r="K394" i="2" s="1"/>
  <c r="E394" i="2"/>
  <c r="B394" i="2"/>
  <c r="C394" i="2" s="1"/>
  <c r="N394" i="2"/>
  <c r="M394" i="2"/>
  <c r="J394" i="2"/>
  <c r="D395" i="2" s="1"/>
  <c r="G394" i="2"/>
  <c r="E395" i="2" l="1"/>
  <c r="B395" i="2"/>
  <c r="C395" i="2" s="1"/>
  <c r="M395" i="2"/>
  <c r="I395" i="2"/>
  <c r="F395" i="2"/>
  <c r="K395" i="2" s="1"/>
  <c r="J395" i="2"/>
  <c r="D396" i="2" s="1"/>
  <c r="N395" i="2"/>
  <c r="G395" i="2"/>
  <c r="H395" i="2" s="1"/>
  <c r="H394" i="2"/>
  <c r="L394" i="2" s="1"/>
  <c r="L395" i="2" s="1"/>
  <c r="M396" i="2" l="1"/>
  <c r="B396" i="2"/>
  <c r="C396" i="2" s="1"/>
  <c r="N396" i="2"/>
  <c r="J396" i="2"/>
  <c r="D397" i="2" s="1"/>
  <c r="I396" i="2"/>
  <c r="F396" i="2"/>
  <c r="K396" i="2" s="1"/>
  <c r="G396" i="2"/>
  <c r="E396" i="2"/>
  <c r="G397" i="2" l="1"/>
  <c r="H397" i="2" s="1"/>
  <c r="E397" i="2"/>
  <c r="N397" i="2"/>
  <c r="M397" i="2"/>
  <c r="J397" i="2"/>
  <c r="D398" i="2" s="1"/>
  <c r="I397" i="2"/>
  <c r="F397" i="2"/>
  <c r="K397" i="2" s="1"/>
  <c r="B397" i="2"/>
  <c r="C397" i="2" s="1"/>
  <c r="H396" i="2"/>
  <c r="L396" i="2" s="1"/>
  <c r="L397" i="2" s="1"/>
  <c r="G398" i="2" l="1"/>
  <c r="L398" i="2" s="1"/>
  <c r="N398" i="2"/>
  <c r="J398" i="2"/>
  <c r="D399" i="2" s="1"/>
  <c r="H398" i="2"/>
  <c r="E398" i="2"/>
  <c r="F398" i="2"/>
  <c r="K398" i="2" s="1"/>
  <c r="M398" i="2"/>
  <c r="I398" i="2"/>
  <c r="B398" i="2"/>
  <c r="C398" i="2" s="1"/>
  <c r="I399" i="2" l="1"/>
  <c r="N399" i="2"/>
  <c r="M399" i="2"/>
  <c r="G399" i="2"/>
  <c r="L399" i="2" s="1"/>
  <c r="F399" i="2"/>
  <c r="K399" i="2" s="1"/>
  <c r="J399" i="2"/>
  <c r="D400" i="2" s="1"/>
  <c r="H399" i="2"/>
  <c r="E399" i="2"/>
  <c r="B399" i="2"/>
  <c r="C399" i="2" s="1"/>
  <c r="N400" i="2" l="1"/>
  <c r="M400" i="2"/>
  <c r="J400" i="2"/>
  <c r="D401" i="2" s="1"/>
  <c r="I400" i="2"/>
  <c r="F400" i="2"/>
  <c r="K400" i="2" s="1"/>
  <c r="E400" i="2"/>
  <c r="H400" i="2"/>
  <c r="G400" i="2"/>
  <c r="L400" i="2" s="1"/>
  <c r="B400" i="2"/>
  <c r="C400" i="2" s="1"/>
  <c r="M401" i="2" l="1"/>
  <c r="J401" i="2"/>
  <c r="D402" i="2" s="1"/>
  <c r="I401" i="2"/>
  <c r="G401" i="2"/>
  <c r="F401" i="2"/>
  <c r="K401" i="2" s="1"/>
  <c r="B401" i="2"/>
  <c r="C401" i="2" s="1"/>
  <c r="N401" i="2"/>
  <c r="E401" i="2"/>
  <c r="H401" i="2" l="1"/>
  <c r="L401" i="2" s="1"/>
  <c r="M402" i="2"/>
  <c r="G402" i="2"/>
  <c r="H402" i="2" s="1"/>
  <c r="E402" i="2"/>
  <c r="J402" i="2"/>
  <c r="D403" i="2" s="1"/>
  <c r="I402" i="2"/>
  <c r="F402" i="2"/>
  <c r="K402" i="2" s="1"/>
  <c r="N402" i="2"/>
  <c r="B402" i="2"/>
  <c r="C402" i="2" s="1"/>
  <c r="L402" i="2" l="1"/>
  <c r="G403" i="2"/>
  <c r="E403" i="2"/>
  <c r="J403" i="2"/>
  <c r="D404" i="2" s="1"/>
  <c r="I403" i="2"/>
  <c r="H403" i="2"/>
  <c r="B403" i="2"/>
  <c r="C403" i="2" s="1"/>
  <c r="N403" i="2"/>
  <c r="M403" i="2"/>
  <c r="F403" i="2"/>
  <c r="K403" i="2" s="1"/>
  <c r="I404" i="2" l="1"/>
  <c r="M404" i="2"/>
  <c r="J404" i="2"/>
  <c r="D405" i="2" s="1"/>
  <c r="G404" i="2"/>
  <c r="H404" i="2" s="1"/>
  <c r="F404" i="2"/>
  <c r="K404" i="2" s="1"/>
  <c r="B404" i="2"/>
  <c r="C404" i="2" s="1"/>
  <c r="N404" i="2"/>
  <c r="E404" i="2"/>
  <c r="L403" i="2"/>
  <c r="L404" i="2" l="1"/>
  <c r="I405" i="2"/>
  <c r="N405" i="2"/>
  <c r="M405" i="2"/>
  <c r="J405" i="2"/>
  <c r="D406" i="2" s="1"/>
  <c r="G405" i="2"/>
  <c r="H405" i="2" s="1"/>
  <c r="B405" i="2"/>
  <c r="C405" i="2" s="1"/>
  <c r="F405" i="2"/>
  <c r="K405" i="2" s="1"/>
  <c r="E405" i="2"/>
  <c r="M406" i="2" l="1"/>
  <c r="J406" i="2"/>
  <c r="D407" i="2" s="1"/>
  <c r="I406" i="2"/>
  <c r="E406" i="2"/>
  <c r="G406" i="2"/>
  <c r="H406" i="2" s="1"/>
  <c r="N406" i="2"/>
  <c r="F406" i="2"/>
  <c r="K406" i="2" s="1"/>
  <c r="B406" i="2"/>
  <c r="C406" i="2" s="1"/>
  <c r="L405" i="2"/>
  <c r="L406" i="2" l="1"/>
  <c r="M407" i="2"/>
  <c r="G407" i="2"/>
  <c r="H407" i="2" s="1"/>
  <c r="E407" i="2"/>
  <c r="N407" i="2"/>
  <c r="J407" i="2"/>
  <c r="D408" i="2" s="1"/>
  <c r="I407" i="2"/>
  <c r="B407" i="2"/>
  <c r="C407" i="2" s="1"/>
  <c r="F407" i="2"/>
  <c r="K407" i="2" s="1"/>
  <c r="G408" i="2" l="1"/>
  <c r="F408" i="2"/>
  <c r="K408" i="2" s="1"/>
  <c r="E408" i="2"/>
  <c r="N408" i="2"/>
  <c r="M408" i="2"/>
  <c r="H408" i="2"/>
  <c r="I408" i="2"/>
  <c r="B408" i="2"/>
  <c r="C408" i="2" s="1"/>
  <c r="J408" i="2"/>
  <c r="D409" i="2" s="1"/>
  <c r="L407" i="2"/>
  <c r="L408" i="2" s="1"/>
  <c r="I409" i="2" l="1"/>
  <c r="N409" i="2"/>
  <c r="M409" i="2"/>
  <c r="G409" i="2"/>
  <c r="F409" i="2"/>
  <c r="K409" i="2" s="1"/>
  <c r="J409" i="2"/>
  <c r="D410" i="2" s="1"/>
  <c r="H409" i="2"/>
  <c r="B409" i="2"/>
  <c r="C409" i="2" s="1"/>
  <c r="E409" i="2"/>
  <c r="L409" i="2"/>
  <c r="J410" i="2" l="1"/>
  <c r="D411" i="2" s="1"/>
  <c r="I410" i="2"/>
  <c r="M410" i="2"/>
  <c r="F410" i="2"/>
  <c r="K410" i="2" s="1"/>
  <c r="N410" i="2"/>
  <c r="G410" i="2"/>
  <c r="H410" i="2" s="1"/>
  <c r="L410" i="2" s="1"/>
  <c r="E410" i="2"/>
  <c r="B410" i="2"/>
  <c r="C410" i="2" s="1"/>
  <c r="B411" i="2" l="1"/>
  <c r="C411" i="2" s="1"/>
  <c r="M411" i="2"/>
  <c r="I411" i="2"/>
  <c r="E411" i="2"/>
  <c r="F411" i="2"/>
  <c r="K411" i="2" s="1"/>
  <c r="G411" i="2"/>
  <c r="N411" i="2"/>
  <c r="J411" i="2"/>
  <c r="D412" i="2" s="1"/>
  <c r="N412" i="2" l="1"/>
  <c r="M412" i="2"/>
  <c r="G412" i="2"/>
  <c r="H412" i="2" s="1"/>
  <c r="E412" i="2"/>
  <c r="J412" i="2"/>
  <c r="D413" i="2" s="1"/>
  <c r="I412" i="2"/>
  <c r="F412" i="2"/>
  <c r="K412" i="2" s="1"/>
  <c r="B412" i="2"/>
  <c r="C412" i="2" s="1"/>
  <c r="H411" i="2"/>
  <c r="L411" i="2" s="1"/>
  <c r="L412" i="2" s="1"/>
  <c r="G413" i="2" l="1"/>
  <c r="L413" i="2" s="1"/>
  <c r="F413" i="2"/>
  <c r="K413" i="2" s="1"/>
  <c r="E413" i="2"/>
  <c r="N413" i="2"/>
  <c r="M413" i="2"/>
  <c r="J413" i="2"/>
  <c r="D414" i="2" s="1"/>
  <c r="I413" i="2"/>
  <c r="H413" i="2"/>
  <c r="B413" i="2"/>
  <c r="C413" i="2" s="1"/>
  <c r="I414" i="2" l="1"/>
  <c r="B414" i="2"/>
  <c r="C414" i="2" s="1"/>
  <c r="J414" i="2"/>
  <c r="D415" i="2" s="1"/>
  <c r="G414" i="2"/>
  <c r="F414" i="2"/>
  <c r="K414" i="2" s="1"/>
  <c r="E414" i="2"/>
  <c r="M414" i="2"/>
  <c r="N414" i="2"/>
  <c r="H414" i="2" l="1"/>
  <c r="L414" i="2" s="1"/>
  <c r="J415" i="2"/>
  <c r="D416" i="2" s="1"/>
  <c r="I415" i="2"/>
  <c r="E415" i="2"/>
  <c r="B415" i="2"/>
  <c r="C415" i="2" s="1"/>
  <c r="M415" i="2"/>
  <c r="N415" i="2"/>
  <c r="F415" i="2"/>
  <c r="K415" i="2" s="1"/>
  <c r="G415" i="2"/>
  <c r="H415" i="2" s="1"/>
  <c r="L415" i="2" l="1"/>
  <c r="B416" i="2"/>
  <c r="C416" i="2" s="1"/>
  <c r="M416" i="2"/>
  <c r="I416" i="2"/>
  <c r="G416" i="2"/>
  <c r="H416" i="2" s="1"/>
  <c r="F416" i="2"/>
  <c r="K416" i="2" s="1"/>
  <c r="E416" i="2"/>
  <c r="J416" i="2"/>
  <c r="D417" i="2" s="1"/>
  <c r="N416" i="2"/>
  <c r="N417" i="2" l="1"/>
  <c r="M417" i="2"/>
  <c r="G417" i="2"/>
  <c r="H417" i="2" s="1"/>
  <c r="E417" i="2"/>
  <c r="J417" i="2"/>
  <c r="D418" i="2" s="1"/>
  <c r="I417" i="2"/>
  <c r="F417" i="2"/>
  <c r="K417" i="2" s="1"/>
  <c r="B417" i="2"/>
  <c r="C417" i="2" s="1"/>
  <c r="L416" i="2"/>
  <c r="L417" i="2" l="1"/>
  <c r="G418" i="2"/>
  <c r="F418" i="2"/>
  <c r="K418" i="2" s="1"/>
  <c r="E418" i="2"/>
  <c r="N418" i="2"/>
  <c r="M418" i="2"/>
  <c r="J418" i="2"/>
  <c r="D419" i="2" s="1"/>
  <c r="I418" i="2"/>
  <c r="B418" i="2"/>
  <c r="C418" i="2" s="1"/>
  <c r="H418" i="2"/>
  <c r="I419" i="2" l="1"/>
  <c r="M419" i="2"/>
  <c r="J419" i="2"/>
  <c r="D420" i="2" s="1"/>
  <c r="G419" i="2"/>
  <c r="N419" i="2"/>
  <c r="E419" i="2"/>
  <c r="H419" i="2"/>
  <c r="F419" i="2"/>
  <c r="K419" i="2" s="1"/>
  <c r="B419" i="2"/>
  <c r="C419" i="2" s="1"/>
  <c r="L418" i="2"/>
  <c r="L419" i="2" s="1"/>
  <c r="J420" i="2" l="1"/>
  <c r="D421" i="2" s="1"/>
  <c r="I420" i="2"/>
  <c r="G420" i="2"/>
  <c r="F420" i="2"/>
  <c r="K420" i="2" s="1"/>
  <c r="E420" i="2"/>
  <c r="B420" i="2"/>
  <c r="C420" i="2" s="1"/>
  <c r="N420" i="2"/>
  <c r="M420" i="2"/>
  <c r="H420" i="2" l="1"/>
  <c r="L420" i="2" s="1"/>
  <c r="L421" i="2" s="1"/>
  <c r="B421" i="2"/>
  <c r="C421" i="2" s="1"/>
  <c r="M421" i="2"/>
  <c r="E421" i="2"/>
  <c r="I421" i="2"/>
  <c r="G421" i="2"/>
  <c r="N421" i="2"/>
  <c r="H421" i="2"/>
  <c r="J421" i="2"/>
  <c r="D422" i="2" s="1"/>
  <c r="F421" i="2"/>
  <c r="K421" i="2" s="1"/>
  <c r="N422" i="2" l="1"/>
  <c r="M422" i="2"/>
  <c r="G422" i="2"/>
  <c r="E422" i="2"/>
  <c r="F422" i="2"/>
  <c r="K422" i="2" s="1"/>
  <c r="B422" i="2"/>
  <c r="C422" i="2" s="1"/>
  <c r="J422" i="2"/>
  <c r="D423" i="2" s="1"/>
  <c r="I422" i="2"/>
  <c r="G423" i="2" l="1"/>
  <c r="F423" i="2"/>
  <c r="K423" i="2" s="1"/>
  <c r="E423" i="2"/>
  <c r="M423" i="2"/>
  <c r="J423" i="2"/>
  <c r="D424" i="2" s="1"/>
  <c r="I423" i="2"/>
  <c r="H423" i="2"/>
  <c r="N423" i="2"/>
  <c r="B423" i="2"/>
  <c r="C423" i="2" s="1"/>
  <c r="H422" i="2"/>
  <c r="L422" i="2" s="1"/>
  <c r="L423" i="2" s="1"/>
  <c r="I424" i="2" l="1"/>
  <c r="N424" i="2"/>
  <c r="M424" i="2"/>
  <c r="J424" i="2"/>
  <c r="D425" i="2" s="1"/>
  <c r="F424" i="2"/>
  <c r="K424" i="2" s="1"/>
  <c r="E424" i="2"/>
  <c r="B424" i="2"/>
  <c r="C424" i="2" s="1"/>
  <c r="G424" i="2"/>
  <c r="H424" i="2" l="1"/>
  <c r="L424" i="2" s="1"/>
  <c r="J425" i="2"/>
  <c r="D426" i="2" s="1"/>
  <c r="I425" i="2"/>
  <c r="G425" i="2"/>
  <c r="H425" i="2" s="1"/>
  <c r="N425" i="2"/>
  <c r="M425" i="2"/>
  <c r="F425" i="2"/>
  <c r="K425" i="2" s="1"/>
  <c r="B425" i="2"/>
  <c r="C425" i="2" s="1"/>
  <c r="E425" i="2"/>
  <c r="L425" i="2" l="1"/>
  <c r="B426" i="2"/>
  <c r="C426" i="2" s="1"/>
  <c r="M426" i="2"/>
  <c r="N426" i="2"/>
  <c r="G426" i="2"/>
  <c r="F426" i="2"/>
  <c r="K426" i="2" s="1"/>
  <c r="E426" i="2"/>
  <c r="I426" i="2"/>
  <c r="J426" i="2"/>
  <c r="D427" i="2" s="1"/>
  <c r="H426" i="2"/>
  <c r="N427" i="2" l="1"/>
  <c r="M427" i="2"/>
  <c r="G427" i="2"/>
  <c r="H427" i="2" s="1"/>
  <c r="E427" i="2"/>
  <c r="F427" i="2"/>
  <c r="K427" i="2" s="1"/>
  <c r="J427" i="2"/>
  <c r="D428" i="2" s="1"/>
  <c r="I427" i="2"/>
  <c r="B427" i="2"/>
  <c r="C427" i="2" s="1"/>
  <c r="L426" i="2"/>
  <c r="G428" i="2" l="1"/>
  <c r="F428" i="2"/>
  <c r="K428" i="2" s="1"/>
  <c r="E428" i="2"/>
  <c r="I428" i="2"/>
  <c r="H428" i="2"/>
  <c r="B428" i="2"/>
  <c r="C428" i="2" s="1"/>
  <c r="J428" i="2"/>
  <c r="D429" i="2" s="1"/>
  <c r="M428" i="2"/>
  <c r="N428" i="2"/>
  <c r="L427" i="2"/>
  <c r="L428" i="2" s="1"/>
  <c r="I429" i="2" l="1"/>
  <c r="J429" i="2"/>
  <c r="D430" i="2" s="1"/>
  <c r="G429" i="2"/>
  <c r="F429" i="2"/>
  <c r="K429" i="2" s="1"/>
  <c r="E429" i="2"/>
  <c r="B429" i="2"/>
  <c r="C429" i="2" s="1"/>
  <c r="N429" i="2"/>
  <c r="M429" i="2"/>
  <c r="H429" i="2" l="1"/>
  <c r="L429" i="2" s="1"/>
  <c r="J430" i="2"/>
  <c r="D431" i="2" s="1"/>
  <c r="I430" i="2"/>
  <c r="G430" i="2"/>
  <c r="H430" i="2" s="1"/>
  <c r="N430" i="2"/>
  <c r="M430" i="2"/>
  <c r="E430" i="2"/>
  <c r="B430" i="2"/>
  <c r="C430" i="2" s="1"/>
  <c r="F430" i="2"/>
  <c r="K430" i="2" s="1"/>
  <c r="L430" i="2" l="1"/>
  <c r="B431" i="2"/>
  <c r="C431" i="2" s="1"/>
  <c r="M431" i="2"/>
  <c r="N431" i="2"/>
  <c r="J431" i="2"/>
  <c r="D432" i="2" s="1"/>
  <c r="I431" i="2"/>
  <c r="G431" i="2"/>
  <c r="H431" i="2" s="1"/>
  <c r="E431" i="2"/>
  <c r="F431" i="2"/>
  <c r="K431" i="2" s="1"/>
  <c r="M432" i="2" l="1"/>
  <c r="I432" i="2"/>
  <c r="G432" i="2"/>
  <c r="F432" i="2"/>
  <c r="K432" i="2" s="1"/>
  <c r="E432" i="2"/>
  <c r="J432" i="2"/>
  <c r="D433" i="2" s="1"/>
  <c r="H432" i="2"/>
  <c r="B432" i="2"/>
  <c r="C432" i="2" s="1"/>
  <c r="N432" i="2"/>
  <c r="L431" i="2"/>
  <c r="L432" i="2" s="1"/>
  <c r="M433" i="2" l="1"/>
  <c r="J433" i="2"/>
  <c r="D434" i="2" s="1"/>
  <c r="I433" i="2"/>
  <c r="G433" i="2"/>
  <c r="L433" i="2" s="1"/>
  <c r="E433" i="2"/>
  <c r="N433" i="2"/>
  <c r="B433" i="2"/>
  <c r="C433" i="2" s="1"/>
  <c r="H433" i="2"/>
  <c r="F433" i="2"/>
  <c r="K433" i="2" s="1"/>
  <c r="G434" i="2" l="1"/>
  <c r="L434" i="2" s="1"/>
  <c r="E434" i="2"/>
  <c r="B434" i="2"/>
  <c r="C434" i="2" s="1"/>
  <c r="M434" i="2"/>
  <c r="J434" i="2"/>
  <c r="D435" i="2" s="1"/>
  <c r="I434" i="2"/>
  <c r="H434" i="2"/>
  <c r="N434" i="2"/>
  <c r="F434" i="2"/>
  <c r="K434" i="2" s="1"/>
  <c r="N435" i="2" l="1"/>
  <c r="M435" i="2"/>
  <c r="I435" i="2"/>
  <c r="G435" i="2"/>
  <c r="E435" i="2"/>
  <c r="B435" i="2"/>
  <c r="C435" i="2" s="1"/>
  <c r="J435" i="2"/>
  <c r="D436" i="2" s="1"/>
  <c r="F435" i="2"/>
  <c r="K435" i="2" s="1"/>
  <c r="I436" i="2" l="1"/>
  <c r="G436" i="2"/>
  <c r="H436" i="2" s="1"/>
  <c r="F436" i="2"/>
  <c r="K436" i="2" s="1"/>
  <c r="E436" i="2"/>
  <c r="N436" i="2"/>
  <c r="M436" i="2"/>
  <c r="J436" i="2"/>
  <c r="D437" i="2" s="1"/>
  <c r="B436" i="2"/>
  <c r="C436" i="2" s="1"/>
  <c r="H435" i="2"/>
  <c r="L435" i="2" s="1"/>
  <c r="L436" i="2" s="1"/>
  <c r="M437" i="2" l="1"/>
  <c r="I437" i="2"/>
  <c r="G437" i="2"/>
  <c r="L437" i="2" s="1"/>
  <c r="F437" i="2"/>
  <c r="K437" i="2" s="1"/>
  <c r="E437" i="2"/>
  <c r="H437" i="2"/>
  <c r="J437" i="2"/>
  <c r="D438" i="2" s="1"/>
  <c r="N437" i="2"/>
  <c r="B437" i="2"/>
  <c r="C437" i="2" s="1"/>
  <c r="M438" i="2" l="1"/>
  <c r="J438" i="2"/>
  <c r="D439" i="2" s="1"/>
  <c r="I438" i="2"/>
  <c r="G438" i="2"/>
  <c r="L438" i="2" s="1"/>
  <c r="E438" i="2"/>
  <c r="H438" i="2"/>
  <c r="N438" i="2"/>
  <c r="B438" i="2"/>
  <c r="C438" i="2" s="1"/>
  <c r="F438" i="2"/>
  <c r="K438" i="2" s="1"/>
  <c r="G439" i="2" l="1"/>
  <c r="L439" i="2" s="1"/>
  <c r="E439" i="2"/>
  <c r="B439" i="2"/>
  <c r="C439" i="2" s="1"/>
  <c r="M439" i="2"/>
  <c r="J439" i="2"/>
  <c r="D440" i="2" s="1"/>
  <c r="I439" i="2"/>
  <c r="H439" i="2"/>
  <c r="N439" i="2"/>
  <c r="F439" i="2"/>
  <c r="K439" i="2" s="1"/>
  <c r="N440" i="2" l="1"/>
  <c r="M440" i="2"/>
  <c r="I440" i="2"/>
  <c r="G440" i="2"/>
  <c r="E440" i="2"/>
  <c r="B440" i="2"/>
  <c r="C440" i="2" s="1"/>
  <c r="J440" i="2"/>
  <c r="D441" i="2" s="1"/>
  <c r="F440" i="2"/>
  <c r="K440" i="2" s="1"/>
  <c r="I441" i="2" l="1"/>
  <c r="G441" i="2"/>
  <c r="H441" i="2" s="1"/>
  <c r="F441" i="2"/>
  <c r="K441" i="2" s="1"/>
  <c r="E441" i="2"/>
  <c r="N441" i="2"/>
  <c r="M441" i="2"/>
  <c r="J441" i="2"/>
  <c r="D442" i="2" s="1"/>
  <c r="B441" i="2"/>
  <c r="C441" i="2" s="1"/>
  <c r="H440" i="2"/>
  <c r="L440" i="2" s="1"/>
  <c r="L441" i="2" s="1"/>
  <c r="M442" i="2" l="1"/>
  <c r="I442" i="2"/>
  <c r="G442" i="2"/>
  <c r="L442" i="2" s="1"/>
  <c r="F442" i="2"/>
  <c r="K442" i="2" s="1"/>
  <c r="E442" i="2"/>
  <c r="N442" i="2"/>
  <c r="J442" i="2"/>
  <c r="D443" i="2" s="1"/>
  <c r="H442" i="2"/>
  <c r="B442" i="2"/>
  <c r="C442" i="2" s="1"/>
  <c r="M443" i="2" l="1"/>
  <c r="J443" i="2"/>
  <c r="D444" i="2" s="1"/>
  <c r="I443" i="2"/>
  <c r="G443" i="2"/>
  <c r="L443" i="2" s="1"/>
  <c r="E443" i="2"/>
  <c r="N443" i="2"/>
  <c r="F443" i="2"/>
  <c r="K443" i="2" s="1"/>
  <c r="H443" i="2"/>
  <c r="B443" i="2"/>
  <c r="C443" i="2" s="1"/>
  <c r="G444" i="2" l="1"/>
  <c r="L444" i="2" s="1"/>
  <c r="E444" i="2"/>
  <c r="B444" i="2"/>
  <c r="C444" i="2" s="1"/>
  <c r="M444" i="2"/>
  <c r="J444" i="2"/>
  <c r="D445" i="2" s="1"/>
  <c r="I444" i="2"/>
  <c r="H444" i="2"/>
  <c r="N444" i="2"/>
  <c r="F444" i="2"/>
  <c r="K444" i="2" s="1"/>
  <c r="N445" i="2" l="1"/>
  <c r="M445" i="2"/>
  <c r="I445" i="2"/>
  <c r="G445" i="2"/>
  <c r="E445" i="2"/>
  <c r="B445" i="2"/>
  <c r="C445" i="2" s="1"/>
  <c r="J445" i="2"/>
  <c r="D446" i="2" s="1"/>
  <c r="F445" i="2"/>
  <c r="K445" i="2" s="1"/>
  <c r="I446" i="2" l="1"/>
  <c r="G446" i="2"/>
  <c r="H446" i="2" s="1"/>
  <c r="F446" i="2"/>
  <c r="K446" i="2" s="1"/>
  <c r="E446" i="2"/>
  <c r="N446" i="2"/>
  <c r="M446" i="2"/>
  <c r="J446" i="2"/>
  <c r="D447" i="2" s="1"/>
  <c r="B446" i="2"/>
  <c r="C446" i="2" s="1"/>
  <c r="H445" i="2"/>
  <c r="L445" i="2" s="1"/>
  <c r="L446" i="2" s="1"/>
  <c r="M447" i="2" l="1"/>
  <c r="I447" i="2"/>
  <c r="G447" i="2"/>
  <c r="L447" i="2" s="1"/>
  <c r="F447" i="2"/>
  <c r="K447" i="2" s="1"/>
  <c r="E447" i="2"/>
  <c r="J447" i="2"/>
  <c r="D448" i="2" s="1"/>
  <c r="H447" i="2"/>
  <c r="N447" i="2"/>
  <c r="B447" i="2"/>
  <c r="C447" i="2" s="1"/>
  <c r="M448" i="2" l="1"/>
  <c r="J448" i="2"/>
  <c r="D449" i="2" s="1"/>
  <c r="I448" i="2"/>
  <c r="G448" i="2"/>
  <c r="L448" i="2" s="1"/>
  <c r="E448" i="2"/>
  <c r="H448" i="2"/>
  <c r="F448" i="2"/>
  <c r="K448" i="2" s="1"/>
  <c r="B448" i="2"/>
  <c r="C448" i="2" s="1"/>
  <c r="N448" i="2"/>
  <c r="G449" i="2" l="1"/>
  <c r="L449" i="2" s="1"/>
  <c r="E449" i="2"/>
  <c r="B449" i="2"/>
  <c r="C449" i="2" s="1"/>
  <c r="M449" i="2"/>
  <c r="J449" i="2"/>
  <c r="D450" i="2" s="1"/>
  <c r="I449" i="2"/>
  <c r="H449" i="2"/>
  <c r="N449" i="2"/>
  <c r="F449" i="2"/>
  <c r="K449" i="2" s="1"/>
  <c r="N450" i="2" l="1"/>
  <c r="M450" i="2"/>
  <c r="I450" i="2"/>
  <c r="G450" i="2"/>
  <c r="E450" i="2"/>
  <c r="B450" i="2"/>
  <c r="C450" i="2" s="1"/>
  <c r="F450" i="2"/>
  <c r="K450" i="2" s="1"/>
  <c r="J450" i="2"/>
  <c r="D451" i="2" s="1"/>
  <c r="I451" i="2" l="1"/>
  <c r="G451" i="2"/>
  <c r="H451" i="2" s="1"/>
  <c r="F451" i="2"/>
  <c r="K451" i="2" s="1"/>
  <c r="E451" i="2"/>
  <c r="N451" i="2"/>
  <c r="M451" i="2"/>
  <c r="B451" i="2"/>
  <c r="C451" i="2" s="1"/>
  <c r="J451" i="2"/>
  <c r="D452" i="2" s="1"/>
  <c r="H450" i="2"/>
  <c r="L450" i="2" s="1"/>
  <c r="L451" i="2" s="1"/>
  <c r="M452" i="2" l="1"/>
  <c r="I452" i="2"/>
  <c r="G452" i="2"/>
  <c r="L452" i="2" s="1"/>
  <c r="F452" i="2"/>
  <c r="K452" i="2" s="1"/>
  <c r="E452" i="2"/>
  <c r="J452" i="2"/>
  <c r="D453" i="2" s="1"/>
  <c r="B452" i="2"/>
  <c r="C452" i="2" s="1"/>
  <c r="N452" i="2"/>
  <c r="H452" i="2"/>
  <c r="M453" i="2" l="1"/>
  <c r="J453" i="2"/>
  <c r="D454" i="2" s="1"/>
  <c r="I453" i="2"/>
  <c r="G453" i="2"/>
  <c r="L453" i="2" s="1"/>
  <c r="E453" i="2"/>
  <c r="N453" i="2"/>
  <c r="B453" i="2"/>
  <c r="C453" i="2" s="1"/>
  <c r="F453" i="2"/>
  <c r="K453" i="2" s="1"/>
  <c r="H453" i="2"/>
  <c r="G454" i="2" l="1"/>
  <c r="L454" i="2" s="1"/>
  <c r="E454" i="2"/>
  <c r="B454" i="2"/>
  <c r="C454" i="2" s="1"/>
  <c r="M454" i="2"/>
  <c r="J454" i="2"/>
  <c r="D455" i="2" s="1"/>
  <c r="I454" i="2"/>
  <c r="H454" i="2"/>
  <c r="N454" i="2"/>
  <c r="F454" i="2"/>
  <c r="K454" i="2" s="1"/>
  <c r="N455" i="2" l="1"/>
  <c r="M455" i="2"/>
  <c r="I455" i="2"/>
  <c r="G455" i="2"/>
  <c r="E455" i="2"/>
  <c r="B455" i="2"/>
  <c r="C455" i="2" s="1"/>
  <c r="J455" i="2"/>
  <c r="D456" i="2" s="1"/>
  <c r="F455" i="2"/>
  <c r="K455" i="2" s="1"/>
  <c r="I456" i="2" l="1"/>
  <c r="G456" i="2"/>
  <c r="H456" i="2" s="1"/>
  <c r="F456" i="2"/>
  <c r="K456" i="2" s="1"/>
  <c r="E456" i="2"/>
  <c r="N456" i="2"/>
  <c r="M456" i="2"/>
  <c r="J456" i="2"/>
  <c r="D457" i="2" s="1"/>
  <c r="B456" i="2"/>
  <c r="C456" i="2" s="1"/>
  <c r="H455" i="2"/>
  <c r="L455" i="2" s="1"/>
  <c r="L456" i="2" s="1"/>
  <c r="M457" i="2" l="1"/>
  <c r="I457" i="2"/>
  <c r="G457" i="2"/>
  <c r="L457" i="2" s="1"/>
  <c r="F457" i="2"/>
  <c r="K457" i="2" s="1"/>
  <c r="E457" i="2"/>
  <c r="N457" i="2"/>
  <c r="J457" i="2"/>
  <c r="D458" i="2" s="1"/>
  <c r="H457" i="2"/>
  <c r="B457" i="2"/>
  <c r="C457" i="2" s="1"/>
  <c r="M458" i="2" l="1"/>
  <c r="J458" i="2"/>
  <c r="D459" i="2" s="1"/>
  <c r="I458" i="2"/>
  <c r="G458" i="2"/>
  <c r="L458" i="2" s="1"/>
  <c r="E458" i="2"/>
  <c r="H458" i="2"/>
  <c r="N458" i="2"/>
  <c r="F458" i="2"/>
  <c r="K458" i="2" s="1"/>
  <c r="B458" i="2"/>
  <c r="C458" i="2" s="1"/>
  <c r="G459" i="2" l="1"/>
  <c r="L459" i="2" s="1"/>
  <c r="E459" i="2"/>
  <c r="B459" i="2"/>
  <c r="C459" i="2" s="1"/>
  <c r="M459" i="2"/>
  <c r="J459" i="2"/>
  <c r="D460" i="2" s="1"/>
  <c r="I459" i="2"/>
  <c r="H459" i="2"/>
  <c r="N459" i="2"/>
  <c r="F459" i="2"/>
  <c r="K459" i="2" s="1"/>
  <c r="K460" i="2" l="1"/>
  <c r="N460" i="2"/>
  <c r="M460" i="2"/>
  <c r="I460" i="2"/>
  <c r="G460" i="2"/>
  <c r="H460" i="2" s="1"/>
  <c r="L460" i="2" s="1"/>
  <c r="E460" i="2"/>
  <c r="B460" i="2"/>
  <c r="C460" i="2" s="1"/>
  <c r="J460" i="2"/>
  <c r="D461" i="2" s="1"/>
  <c r="F460" i="2"/>
  <c r="I461" i="2" l="1"/>
  <c r="G461" i="2"/>
  <c r="F461" i="2"/>
  <c r="E461" i="2"/>
  <c r="N461" i="2"/>
  <c r="M461" i="2"/>
  <c r="B461" i="2"/>
  <c r="C461" i="2" s="1"/>
  <c r="J461" i="2"/>
  <c r="D462" i="2" s="1"/>
  <c r="K461" i="2"/>
  <c r="M462" i="2" l="1"/>
  <c r="I462" i="2"/>
  <c r="G462" i="2"/>
  <c r="F462" i="2"/>
  <c r="E462" i="2"/>
  <c r="N462" i="2"/>
  <c r="J462" i="2"/>
  <c r="D463" i="2" s="1"/>
  <c r="H462" i="2"/>
  <c r="B462" i="2"/>
  <c r="C462" i="2" s="1"/>
  <c r="K462" i="2"/>
  <c r="H461" i="2"/>
  <c r="L461" i="2" s="1"/>
  <c r="L462" i="2" s="1"/>
  <c r="M463" i="2" l="1"/>
  <c r="J463" i="2"/>
  <c r="D464" i="2" s="1"/>
  <c r="I463" i="2"/>
  <c r="G463" i="2"/>
  <c r="L463" i="2" s="1"/>
  <c r="E463" i="2"/>
  <c r="N463" i="2"/>
  <c r="B463" i="2"/>
  <c r="C463" i="2" s="1"/>
  <c r="H463" i="2"/>
  <c r="F463" i="2"/>
  <c r="K463" i="2" s="1"/>
  <c r="G464" i="2" l="1"/>
  <c r="L464" i="2" s="1"/>
  <c r="E464" i="2"/>
  <c r="B464" i="2"/>
  <c r="C464" i="2" s="1"/>
  <c r="M464" i="2"/>
  <c r="J464" i="2"/>
  <c r="D465" i="2" s="1"/>
  <c r="I464" i="2"/>
  <c r="H464" i="2"/>
  <c r="N464" i="2"/>
  <c r="F464" i="2"/>
  <c r="K464" i="2" s="1"/>
  <c r="N465" i="2" l="1"/>
  <c r="M465" i="2"/>
  <c r="I465" i="2"/>
  <c r="G465" i="2"/>
  <c r="E465" i="2"/>
  <c r="B465" i="2"/>
  <c r="C465" i="2" s="1"/>
  <c r="J465" i="2"/>
  <c r="D466" i="2" s="1"/>
  <c r="F465" i="2"/>
  <c r="K465" i="2" s="1"/>
  <c r="I466" i="2" l="1"/>
  <c r="G466" i="2"/>
  <c r="H466" i="2" s="1"/>
  <c r="F466" i="2"/>
  <c r="K466" i="2" s="1"/>
  <c r="E466" i="2"/>
  <c r="N466" i="2"/>
  <c r="M466" i="2"/>
  <c r="B466" i="2"/>
  <c r="C466" i="2" s="1"/>
  <c r="J466" i="2"/>
  <c r="D467" i="2" s="1"/>
  <c r="H465" i="2"/>
  <c r="L465" i="2" s="1"/>
  <c r="L466" i="2" s="1"/>
  <c r="M467" i="2" l="1"/>
  <c r="I467" i="2"/>
  <c r="G467" i="2"/>
  <c r="L467" i="2" s="1"/>
  <c r="F467" i="2"/>
  <c r="K467" i="2" s="1"/>
  <c r="E467" i="2"/>
  <c r="J467" i="2"/>
  <c r="D468" i="2" s="1"/>
  <c r="H467" i="2"/>
  <c r="N467" i="2"/>
  <c r="B467" i="2"/>
  <c r="C467" i="2" s="1"/>
  <c r="M468" i="2" l="1"/>
  <c r="J468" i="2"/>
  <c r="D469" i="2" s="1"/>
  <c r="I468" i="2"/>
  <c r="G468" i="2"/>
  <c r="L468" i="2" s="1"/>
  <c r="E468" i="2"/>
  <c r="H468" i="2"/>
  <c r="F468" i="2"/>
  <c r="K468" i="2" s="1"/>
  <c r="B468" i="2"/>
  <c r="C468" i="2" s="1"/>
  <c r="N468" i="2"/>
  <c r="G469" i="2" l="1"/>
  <c r="L469" i="2" s="1"/>
  <c r="E469" i="2"/>
  <c r="B469" i="2"/>
  <c r="C469" i="2" s="1"/>
  <c r="M469" i="2"/>
  <c r="J469" i="2"/>
  <c r="D470" i="2" s="1"/>
  <c r="I469" i="2"/>
  <c r="H469" i="2"/>
  <c r="F469" i="2"/>
  <c r="K469" i="2" s="1"/>
  <c r="N469" i="2"/>
  <c r="N470" i="2" l="1"/>
  <c r="M470" i="2"/>
  <c r="I470" i="2"/>
  <c r="G470" i="2"/>
  <c r="E470" i="2"/>
  <c r="B470" i="2"/>
  <c r="C470" i="2" s="1"/>
  <c r="F470" i="2"/>
  <c r="K470" i="2" s="1"/>
  <c r="J470" i="2"/>
  <c r="D471" i="2" s="1"/>
  <c r="I471" i="2" l="1"/>
  <c r="G471" i="2"/>
  <c r="H471" i="2" s="1"/>
  <c r="F471" i="2"/>
  <c r="K471" i="2" s="1"/>
  <c r="E471" i="2"/>
  <c r="N471" i="2"/>
  <c r="M471" i="2"/>
  <c r="B471" i="2"/>
  <c r="C471" i="2" s="1"/>
  <c r="J471" i="2"/>
  <c r="D472" i="2" s="1"/>
  <c r="H470" i="2"/>
  <c r="L470" i="2" s="1"/>
  <c r="L471" i="2" s="1"/>
  <c r="M472" i="2" l="1"/>
  <c r="I472" i="2"/>
  <c r="G472" i="2"/>
  <c r="L472" i="2" s="1"/>
  <c r="F472" i="2"/>
  <c r="K472" i="2" s="1"/>
  <c r="E472" i="2"/>
  <c r="H472" i="2"/>
  <c r="B472" i="2"/>
  <c r="C472" i="2" s="1"/>
  <c r="N472" i="2"/>
  <c r="J472" i="2"/>
  <c r="D473" i="2" s="1"/>
  <c r="M473" i="2" l="1"/>
  <c r="J473" i="2"/>
  <c r="D474" i="2" s="1"/>
  <c r="I473" i="2"/>
  <c r="G473" i="2"/>
  <c r="L473" i="2" s="1"/>
  <c r="E473" i="2"/>
  <c r="N473" i="2"/>
  <c r="B473" i="2"/>
  <c r="C473" i="2" s="1"/>
  <c r="H473" i="2"/>
  <c r="F473" i="2"/>
  <c r="K473" i="2" s="1"/>
  <c r="G474" i="2" l="1"/>
  <c r="L474" i="2" s="1"/>
  <c r="E474" i="2"/>
  <c r="B474" i="2"/>
  <c r="C474" i="2" s="1"/>
  <c r="M474" i="2"/>
  <c r="J474" i="2"/>
  <c r="D475" i="2" s="1"/>
  <c r="I474" i="2"/>
  <c r="H474" i="2"/>
  <c r="F474" i="2"/>
  <c r="K474" i="2" s="1"/>
  <c r="N474" i="2"/>
  <c r="N475" i="2" l="1"/>
  <c r="M475" i="2"/>
  <c r="I475" i="2"/>
  <c r="G475" i="2"/>
  <c r="E475" i="2"/>
  <c r="B475" i="2"/>
  <c r="C475" i="2" s="1"/>
  <c r="F475" i="2"/>
  <c r="K475" i="2" s="1"/>
  <c r="J475" i="2"/>
  <c r="D476" i="2" s="1"/>
  <c r="I476" i="2" l="1"/>
  <c r="G476" i="2"/>
  <c r="H476" i="2" s="1"/>
  <c r="F476" i="2"/>
  <c r="K476" i="2" s="1"/>
  <c r="E476" i="2"/>
  <c r="N476" i="2"/>
  <c r="M476" i="2"/>
  <c r="J476" i="2"/>
  <c r="D477" i="2" s="1"/>
  <c r="B476" i="2"/>
  <c r="C476" i="2" s="1"/>
  <c r="H475" i="2"/>
  <c r="L475" i="2" s="1"/>
  <c r="L476" i="2" s="1"/>
  <c r="M477" i="2" l="1"/>
  <c r="I477" i="2"/>
  <c r="G477" i="2"/>
  <c r="L477" i="2" s="1"/>
  <c r="F477" i="2"/>
  <c r="K477" i="2" s="1"/>
  <c r="E477" i="2"/>
  <c r="J477" i="2"/>
  <c r="D478" i="2" s="1"/>
  <c r="H477" i="2"/>
  <c r="N477" i="2"/>
  <c r="B477" i="2"/>
  <c r="C477" i="2" s="1"/>
  <c r="M478" i="2" l="1"/>
  <c r="J478" i="2"/>
  <c r="D479" i="2" s="1"/>
  <c r="I478" i="2"/>
  <c r="G478" i="2"/>
  <c r="L478" i="2" s="1"/>
  <c r="E478" i="2"/>
  <c r="H478" i="2"/>
  <c r="N478" i="2"/>
  <c r="F478" i="2"/>
  <c r="K478" i="2" s="1"/>
  <c r="B478" i="2"/>
  <c r="C478" i="2" s="1"/>
  <c r="G479" i="2" l="1"/>
  <c r="L479" i="2" s="1"/>
  <c r="E479" i="2"/>
  <c r="B479" i="2"/>
  <c r="C479" i="2" s="1"/>
  <c r="M479" i="2"/>
  <c r="J479" i="2"/>
  <c r="D480" i="2" s="1"/>
  <c r="I479" i="2"/>
  <c r="H479" i="2"/>
  <c r="N479" i="2"/>
  <c r="F479" i="2"/>
  <c r="K479" i="2" s="1"/>
  <c r="N480" i="2" l="1"/>
  <c r="M480" i="2"/>
  <c r="I480" i="2"/>
  <c r="G480" i="2"/>
  <c r="E480" i="2"/>
  <c r="B480" i="2"/>
  <c r="C480" i="2" s="1"/>
  <c r="J480" i="2"/>
  <c r="D481" i="2" s="1"/>
  <c r="F480" i="2"/>
  <c r="K480" i="2" s="1"/>
  <c r="I481" i="2" l="1"/>
  <c r="G481" i="2"/>
  <c r="H481" i="2" s="1"/>
  <c r="F481" i="2"/>
  <c r="K481" i="2" s="1"/>
  <c r="E481" i="2"/>
  <c r="N481" i="2"/>
  <c r="M481" i="2"/>
  <c r="J481" i="2"/>
  <c r="D482" i="2" s="1"/>
  <c r="B481" i="2"/>
  <c r="C481" i="2" s="1"/>
  <c r="H480" i="2"/>
  <c r="L480" i="2" s="1"/>
  <c r="L481" i="2" s="1"/>
  <c r="M482" i="2" l="1"/>
  <c r="I482" i="2"/>
  <c r="G482" i="2"/>
  <c r="L482" i="2" s="1"/>
  <c r="F482" i="2"/>
  <c r="K482" i="2" s="1"/>
  <c r="E482" i="2"/>
  <c r="N482" i="2"/>
  <c r="J482" i="2"/>
  <c r="D483" i="2" s="1"/>
  <c r="H482" i="2"/>
  <c r="B482" i="2"/>
  <c r="C482" i="2" s="1"/>
  <c r="M483" i="2" l="1"/>
  <c r="J483" i="2"/>
  <c r="D484" i="2" s="1"/>
  <c r="I483" i="2"/>
  <c r="G483" i="2"/>
  <c r="L483" i="2" s="1"/>
  <c r="E483" i="2"/>
  <c r="N483" i="2"/>
  <c r="H483" i="2"/>
  <c r="F483" i="2"/>
  <c r="K483" i="2" s="1"/>
  <c r="B483" i="2"/>
  <c r="C483" i="2" s="1"/>
  <c r="G484" i="2" l="1"/>
  <c r="L484" i="2" s="1"/>
  <c r="E484" i="2"/>
  <c r="B484" i="2"/>
  <c r="C484" i="2" s="1"/>
  <c r="M484" i="2"/>
  <c r="J484" i="2"/>
  <c r="D485" i="2" s="1"/>
  <c r="I484" i="2"/>
  <c r="H484" i="2"/>
  <c r="N484" i="2"/>
  <c r="F484" i="2"/>
  <c r="K484" i="2" s="1"/>
  <c r="N485" i="2" l="1"/>
  <c r="M485" i="2"/>
  <c r="I485" i="2"/>
  <c r="G485" i="2"/>
  <c r="E485" i="2"/>
  <c r="B485" i="2"/>
  <c r="C485" i="2" s="1"/>
  <c r="J485" i="2"/>
  <c r="D486" i="2" s="1"/>
  <c r="F485" i="2"/>
  <c r="K485" i="2" s="1"/>
  <c r="I486" i="2" l="1"/>
  <c r="G486" i="2"/>
  <c r="H486" i="2" s="1"/>
  <c r="F486" i="2"/>
  <c r="K486" i="2" s="1"/>
  <c r="E486" i="2"/>
  <c r="N486" i="2"/>
  <c r="M486" i="2"/>
  <c r="J486" i="2"/>
  <c r="D487" i="2" s="1"/>
  <c r="B486" i="2"/>
  <c r="C486" i="2" s="1"/>
  <c r="H485" i="2"/>
  <c r="L485" i="2" s="1"/>
  <c r="L486" i="2" s="1"/>
  <c r="M487" i="2" l="1"/>
  <c r="I487" i="2"/>
  <c r="G487" i="2"/>
  <c r="F5" i="2" s="1"/>
  <c r="F487" i="2"/>
  <c r="E487" i="2"/>
  <c r="J487" i="2"/>
  <c r="H28" i="1" s="1"/>
  <c r="H487" i="2"/>
  <c r="N487" i="2"/>
  <c r="B487" i="2"/>
  <c r="L5" i="2"/>
  <c r="C32" i="1"/>
  <c r="K11" i="1" l="1"/>
  <c r="H11" i="1"/>
  <c r="H29" i="1"/>
  <c r="C487" i="2"/>
  <c r="K17" i="1"/>
  <c r="G36" i="1"/>
  <c r="H5" i="2"/>
  <c r="H17" i="1"/>
  <c r="D5" i="2"/>
  <c r="H14" i="1"/>
  <c r="D36" i="1"/>
  <c r="K14" i="1"/>
  <c r="K23" i="1"/>
  <c r="J5" i="2"/>
  <c r="K487" i="2"/>
  <c r="L487" i="2"/>
  <c r="F38" i="1" l="1"/>
  <c r="D38" i="1"/>
  <c r="F42" i="1"/>
  <c r="C37" i="1"/>
  <c r="G37" i="1"/>
  <c r="G76" i="1" s="1"/>
  <c r="F36" i="1"/>
  <c r="E36" i="1"/>
  <c r="F37" i="1"/>
  <c r="H37" i="1" s="1"/>
  <c r="D37" i="1"/>
  <c r="G38" i="1"/>
  <c r="E37" i="1"/>
  <c r="C38" i="1"/>
  <c r="C36" i="1"/>
  <c r="G40" i="1"/>
  <c r="D40" i="1"/>
  <c r="F39" i="1"/>
  <c r="H39" i="1" s="1"/>
  <c r="C42" i="1"/>
  <c r="D41" i="1"/>
  <c r="D76" i="1" s="1"/>
  <c r="G41" i="1"/>
  <c r="D39" i="1"/>
  <c r="E41" i="1"/>
  <c r="E38" i="1"/>
  <c r="G39" i="1"/>
  <c r="E39" i="1"/>
  <c r="C40" i="1"/>
  <c r="F41" i="1"/>
  <c r="H41" i="1" s="1"/>
  <c r="E42" i="1"/>
  <c r="G42" i="1"/>
  <c r="F40" i="1"/>
  <c r="G45" i="1"/>
  <c r="E40" i="1"/>
  <c r="C39" i="1"/>
  <c r="D42" i="1"/>
  <c r="C41" i="1"/>
  <c r="D45" i="1"/>
  <c r="D43" i="1"/>
  <c r="E43" i="1"/>
  <c r="G44" i="1"/>
  <c r="F45" i="1"/>
  <c r="E44" i="1"/>
  <c r="C43" i="1"/>
  <c r="C44" i="1"/>
  <c r="G43" i="1"/>
  <c r="D44" i="1"/>
  <c r="F43" i="1"/>
  <c r="H43" i="1" s="1"/>
  <c r="F44" i="1"/>
  <c r="G50" i="1"/>
  <c r="E47" i="1"/>
  <c r="E46" i="1"/>
  <c r="D46" i="1"/>
  <c r="D49" i="1"/>
  <c r="E48" i="1"/>
  <c r="C48" i="1"/>
  <c r="E49" i="1"/>
  <c r="G49" i="1"/>
  <c r="G47" i="1"/>
  <c r="F46" i="1"/>
  <c r="H46" i="1" s="1"/>
  <c r="C46" i="1"/>
  <c r="D47" i="1"/>
  <c r="F47" i="1"/>
  <c r="G48" i="1"/>
  <c r="D48" i="1"/>
  <c r="E45" i="1"/>
  <c r="C45" i="1"/>
  <c r="C47" i="1"/>
  <c r="G46" i="1"/>
  <c r="F48" i="1"/>
  <c r="H48" i="1" s="1"/>
  <c r="F49" i="1"/>
  <c r="C49" i="1"/>
  <c r="F52" i="1"/>
  <c r="G52" i="1"/>
  <c r="G54" i="1"/>
  <c r="D55" i="1"/>
  <c r="G55" i="1"/>
  <c r="C51" i="1"/>
  <c r="G53" i="1"/>
  <c r="F50" i="1"/>
  <c r="H50" i="1" s="1"/>
  <c r="F54" i="1"/>
  <c r="H54" i="1" s="1"/>
  <c r="C53" i="1"/>
  <c r="C52" i="1"/>
  <c r="D51" i="1"/>
  <c r="G51" i="1"/>
  <c r="D50" i="1"/>
  <c r="D52" i="1"/>
  <c r="E54" i="1"/>
  <c r="E53" i="1"/>
  <c r="C50" i="1"/>
  <c r="C54" i="1"/>
  <c r="F53" i="1"/>
  <c r="E50" i="1"/>
  <c r="F51" i="1"/>
  <c r="H51" i="1" s="1"/>
  <c r="E52" i="1"/>
  <c r="D54" i="1"/>
  <c r="F55" i="1"/>
  <c r="H55" i="1" s="1"/>
  <c r="E51" i="1"/>
  <c r="D53" i="1"/>
  <c r="E57" i="1"/>
  <c r="E55" i="1"/>
  <c r="E56" i="1"/>
  <c r="F56" i="1"/>
  <c r="G56" i="1"/>
  <c r="C55" i="1"/>
  <c r="G57" i="1"/>
  <c r="C56" i="1"/>
  <c r="D57" i="1"/>
  <c r="C57" i="1"/>
  <c r="D56" i="1"/>
  <c r="F57" i="1"/>
  <c r="H57" i="1" s="1"/>
  <c r="G61" i="1"/>
  <c r="F60" i="1"/>
  <c r="H60" i="1" s="1"/>
  <c r="D61" i="1"/>
  <c r="C60" i="1"/>
  <c r="D60" i="1"/>
  <c r="C61" i="1"/>
  <c r="G58" i="1"/>
  <c r="F61" i="1"/>
  <c r="H61" i="1" s="1"/>
  <c r="C59" i="1"/>
  <c r="E58" i="1"/>
  <c r="G59" i="1"/>
  <c r="D58" i="1"/>
  <c r="D59" i="1"/>
  <c r="E59" i="1"/>
  <c r="G60" i="1"/>
  <c r="G65" i="1"/>
  <c r="F58" i="1"/>
  <c r="E60" i="1"/>
  <c r="E61" i="1"/>
  <c r="C58" i="1"/>
  <c r="F59" i="1"/>
  <c r="F63" i="1"/>
  <c r="G64" i="1"/>
  <c r="G62" i="1"/>
  <c r="F64" i="1"/>
  <c r="C62" i="1"/>
  <c r="G63" i="1"/>
  <c r="D63" i="1"/>
  <c r="D64" i="1"/>
  <c r="C63" i="1"/>
  <c r="C64" i="1"/>
  <c r="F62" i="1"/>
  <c r="E63" i="1"/>
  <c r="C65" i="1"/>
  <c r="D62" i="1"/>
  <c r="E62" i="1"/>
  <c r="E64" i="1"/>
  <c r="E68" i="1"/>
  <c r="G67" i="1"/>
  <c r="G66" i="1"/>
  <c r="E69" i="1"/>
  <c r="F66" i="1"/>
  <c r="H66" i="1" s="1"/>
  <c r="E65" i="1"/>
  <c r="E67" i="1"/>
  <c r="F65" i="1"/>
  <c r="H65" i="1" s="1"/>
  <c r="E66" i="1"/>
  <c r="D67" i="1"/>
  <c r="F68" i="1"/>
  <c r="D66" i="1"/>
  <c r="G68" i="1"/>
  <c r="C66" i="1"/>
  <c r="C68" i="1"/>
  <c r="D65" i="1"/>
  <c r="F67" i="1"/>
  <c r="D68" i="1"/>
  <c r="C67" i="1"/>
  <c r="C74" i="1"/>
  <c r="G70" i="1"/>
  <c r="G69" i="1"/>
  <c r="F72" i="1"/>
  <c r="D72" i="1"/>
  <c r="G72" i="1"/>
  <c r="E71" i="1"/>
  <c r="E73" i="1"/>
  <c r="D70" i="1"/>
  <c r="E72" i="1"/>
  <c r="C69" i="1"/>
  <c r="D73" i="1"/>
  <c r="G73" i="1"/>
  <c r="F73" i="1"/>
  <c r="H73" i="1" s="1"/>
  <c r="C73" i="1"/>
  <c r="C70" i="1"/>
  <c r="C71" i="1"/>
  <c r="F70" i="1"/>
  <c r="D71" i="1"/>
  <c r="D69" i="1"/>
  <c r="C72" i="1"/>
  <c r="G71" i="1"/>
  <c r="E70" i="1"/>
  <c r="F71" i="1"/>
  <c r="H71" i="1" s="1"/>
  <c r="F69" i="1"/>
  <c r="H69" i="1" s="1"/>
  <c r="E75" i="1"/>
  <c r="E74" i="1"/>
  <c r="G75" i="1"/>
  <c r="G74" i="1"/>
  <c r="F74" i="1"/>
  <c r="H74" i="1" s="1"/>
  <c r="F75" i="1"/>
  <c r="H75" i="1" s="1"/>
  <c r="D75" i="1"/>
  <c r="D74" i="1"/>
  <c r="C75" i="1"/>
  <c r="L73" i="1" l="1"/>
  <c r="J73" i="1"/>
  <c r="K73" i="1"/>
  <c r="I73" i="1"/>
  <c r="J66" i="1"/>
  <c r="I66" i="1"/>
  <c r="K66" i="1"/>
  <c r="L66" i="1"/>
  <c r="L64" i="1"/>
  <c r="K64" i="1"/>
  <c r="I64" i="1"/>
  <c r="J64" i="1"/>
  <c r="L53" i="1"/>
  <c r="J53" i="1"/>
  <c r="K53" i="1"/>
  <c r="I53" i="1"/>
  <c r="H45" i="1"/>
  <c r="K59" i="1"/>
  <c r="I59" i="1"/>
  <c r="J59" i="1"/>
  <c r="L59" i="1"/>
  <c r="L61" i="1"/>
  <c r="K61" i="1"/>
  <c r="J61" i="1"/>
  <c r="I61" i="1"/>
  <c r="J41" i="1"/>
  <c r="H64" i="1"/>
  <c r="J48" i="1"/>
  <c r="C76" i="1"/>
  <c r="J36" i="1"/>
  <c r="I60" i="1"/>
  <c r="L60" i="1"/>
  <c r="K60" i="1"/>
  <c r="J60" i="1"/>
  <c r="J39" i="1"/>
  <c r="J38" i="1"/>
  <c r="H63" i="1"/>
  <c r="H59" i="1"/>
  <c r="H53" i="1"/>
  <c r="J49" i="1"/>
  <c r="H40" i="1"/>
  <c r="J46" i="1"/>
  <c r="L54" i="1"/>
  <c r="I54" i="1"/>
  <c r="K54" i="1"/>
  <c r="J54" i="1"/>
  <c r="H49" i="1"/>
  <c r="J50" i="1"/>
  <c r="E76" i="1"/>
  <c r="J76" i="1" s="1"/>
  <c r="K63" i="1"/>
  <c r="I63" i="1"/>
  <c r="J63" i="1"/>
  <c r="L63" i="1"/>
  <c r="H44" i="1"/>
  <c r="F76" i="1"/>
  <c r="H36" i="1"/>
  <c r="H76" i="1" s="1"/>
  <c r="H72" i="1"/>
  <c r="I57" i="1"/>
  <c r="J57" i="1"/>
  <c r="L57" i="1"/>
  <c r="K57" i="1"/>
  <c r="J47" i="1"/>
  <c r="J40" i="1"/>
  <c r="K62" i="1"/>
  <c r="L62" i="1"/>
  <c r="J62" i="1"/>
  <c r="I62" i="1"/>
  <c r="H58" i="1"/>
  <c r="L67" i="1"/>
  <c r="K67" i="1"/>
  <c r="J67" i="1"/>
  <c r="I67" i="1"/>
  <c r="L56" i="1"/>
  <c r="K56" i="1"/>
  <c r="J56" i="1"/>
  <c r="I56" i="1"/>
  <c r="J45" i="1"/>
  <c r="J37" i="1"/>
  <c r="H68" i="1"/>
  <c r="K58" i="1"/>
  <c r="L58" i="1"/>
  <c r="J58" i="1"/>
  <c r="I58" i="1"/>
  <c r="H42" i="1"/>
  <c r="K75" i="1"/>
  <c r="J75" i="1"/>
  <c r="I75" i="1"/>
  <c r="L75" i="1"/>
  <c r="J42" i="1"/>
  <c r="K72" i="1"/>
  <c r="J72" i="1"/>
  <c r="I72" i="1"/>
  <c r="L72" i="1"/>
  <c r="H70" i="1"/>
  <c r="H67" i="1"/>
  <c r="L65" i="1"/>
  <c r="K65" i="1"/>
  <c r="J65" i="1"/>
  <c r="I65" i="1"/>
  <c r="K55" i="1"/>
  <c r="J55" i="1"/>
  <c r="I55" i="1"/>
  <c r="L55" i="1"/>
  <c r="J44" i="1"/>
  <c r="J69" i="1"/>
  <c r="L69" i="1"/>
  <c r="K69" i="1"/>
  <c r="I69" i="1"/>
  <c r="H52" i="1"/>
  <c r="K74" i="1"/>
  <c r="J74" i="1"/>
  <c r="L74" i="1"/>
  <c r="I74" i="1"/>
  <c r="L71" i="1"/>
  <c r="I71" i="1"/>
  <c r="K71" i="1"/>
  <c r="J71" i="1"/>
  <c r="J43" i="1"/>
  <c r="H38" i="1"/>
  <c r="J51" i="1"/>
  <c r="L70" i="1"/>
  <c r="I70" i="1"/>
  <c r="K70" i="1"/>
  <c r="J70" i="1"/>
  <c r="I68" i="1"/>
  <c r="L68" i="1"/>
  <c r="K68" i="1"/>
  <c r="J68" i="1"/>
  <c r="H62" i="1"/>
  <c r="H56" i="1"/>
  <c r="J52" i="1"/>
  <c r="H47" i="1"/>
  <c r="L49" i="1" l="1"/>
  <c r="I48" i="1"/>
  <c r="L50" i="1"/>
  <c r="I49" i="1"/>
  <c r="K37" i="1"/>
  <c r="L40" i="1"/>
  <c r="K50" i="1"/>
  <c r="K38" i="1"/>
  <c r="I38" i="1"/>
  <c r="L38" i="1"/>
  <c r="K41" i="1"/>
  <c r="I41" i="1"/>
  <c r="K45" i="1"/>
  <c r="L41" i="1"/>
  <c r="K49" i="1"/>
  <c r="I50" i="1"/>
  <c r="I37" i="1"/>
  <c r="I45" i="1"/>
  <c r="L45" i="1"/>
  <c r="K51" i="1"/>
  <c r="K42" i="1"/>
  <c r="L39" i="1"/>
  <c r="I40" i="1"/>
  <c r="K39" i="1"/>
  <c r="I39" i="1"/>
  <c r="K48" i="1"/>
  <c r="I47" i="1"/>
  <c r="K47" i="1"/>
  <c r="I51" i="1"/>
  <c r="L51" i="1"/>
  <c r="L44" i="1"/>
  <c r="K46" i="1"/>
  <c r="I52" i="1"/>
  <c r="K36" i="1"/>
  <c r="L36" i="1"/>
  <c r="I44" i="1"/>
  <c r="K44" i="1"/>
  <c r="K52" i="1"/>
  <c r="L46" i="1"/>
  <c r="I43" i="1"/>
  <c r="I36" i="1"/>
  <c r="L37" i="1"/>
  <c r="K40" i="1"/>
  <c r="L48" i="1"/>
  <c r="I42" i="1"/>
  <c r="L42" i="1"/>
  <c r="L47" i="1"/>
  <c r="L43" i="1"/>
  <c r="L52" i="1"/>
  <c r="K43" i="1"/>
  <c r="I46" i="1"/>
</calcChain>
</file>

<file path=xl/sharedStrings.xml><?xml version="1.0" encoding="utf-8"?>
<sst xmlns="http://schemas.openxmlformats.org/spreadsheetml/2006/main" count="173" uniqueCount="158">
  <si>
    <t>ZINS- UND TILGUNGSPLAN</t>
  </si>
  <si>
    <t>Annuitäten-, Raten- und endfällige Darlehen  ·  monatliche bis jährliche Zahlungsweise  ·  Sondertilgung und Zinsbindung  ·  Planungsjahr 2026</t>
  </si>
  <si>
    <t>1 · DARLEHENSDATEN  (sandfarbene Felder ausfüllen)</t>
  </si>
  <si>
    <t>2 · KENNZAHLEN AUF EINEN BLICK</t>
  </si>
  <si>
    <t>Darlehensbezeichnung</t>
  </si>
  <si>
    <t>Objektfinanzierung Musteranlage</t>
  </si>
  <si>
    <t>Freier Text – erscheint nicht in den Berechnungen</t>
  </si>
  <si>
    <t>RATE JE ZAHLUNG</t>
  </si>
  <si>
    <t>ZAHLUNGEN PRO JAHR</t>
  </si>
  <si>
    <t>Kreditgeber</t>
  </si>
  <si>
    <t>Rheinlandbank Nordwest AG</t>
  </si>
  <si>
    <t>Institut laut Darlehensvertrag</t>
  </si>
  <si>
    <t>Darlehensnehmer/in</t>
  </si>
  <si>
    <t>Beispiel Handels GmbH</t>
  </si>
  <si>
    <t>Person oder Unternehmen</t>
  </si>
  <si>
    <t>Darlehensnummer</t>
  </si>
  <si>
    <t>DL-2026-004718</t>
  </si>
  <si>
    <t>Vertrags- oder Kontonummer</t>
  </si>
  <si>
    <t>ZAHLUNGEN BIS VOLLTILGUNG</t>
  </si>
  <si>
    <t>GESAMTLAUFZEIT</t>
  </si>
  <si>
    <t>Darlehensbetrag (nominal)</t>
  </si>
  <si>
    <t>Nettodarlehensbetrag laut Vertrag</t>
  </si>
  <si>
    <t>Auszahlungskurs</t>
  </si>
  <si>
    <t>100,00 % = Auszahlung ohne Disagio</t>
  </si>
  <si>
    <t>Sollzins p. a. (nominal)</t>
  </si>
  <si>
    <t>Fester Sollzins, Zinsmethode 30/360</t>
  </si>
  <si>
    <t>ZINSEN GESAMT</t>
  </si>
  <si>
    <t>KAPITALDIENST GESAMT</t>
  </si>
  <si>
    <t>Tilgungsart</t>
  </si>
  <si>
    <t>Annuitätendarlehen</t>
  </si>
  <si>
    <t>Auswahl: Annuität / Rate / endfällig</t>
  </si>
  <si>
    <t>Anfängl. Tilgung p. a.</t>
  </si>
  <si>
    <t>Nur beim Annuitätendarlehen relevant</t>
  </si>
  <si>
    <t>Laufzeit (Jahre)</t>
  </si>
  <si>
    <t>Steuert Raten- und endfällige Darlehen</t>
  </si>
  <si>
    <t>SONDERTILGUNGEN GESAMT</t>
  </si>
  <si>
    <t>LETZTE RATE FÄLLIG AM</t>
  </si>
  <si>
    <t>Zahlungsweise</t>
  </si>
  <si>
    <t>monatlich</t>
  </si>
  <si>
    <t>monatlich / vierteljährlich / halbjährlich / jährlich</t>
  </si>
  <si>
    <t>Erste Rate fällig am</t>
  </si>
  <si>
    <t>Startdatum des Tilgungsplans</t>
  </si>
  <si>
    <t>Zinsbindung (Jahre)</t>
  </si>
  <si>
    <t>0 = keine Zinsbindung vereinbart</t>
  </si>
  <si>
    <t>RESTSCHULD BEI ZINSBINDUNGSENDE</t>
  </si>
  <si>
    <t>ZINSEN BIS ZINSBINDUNGSENDE</t>
  </si>
  <si>
    <t>Sondertilgung p. a.</t>
  </si>
  <si>
    <t>Wird mit der letzten Rate des Jahres verrechnet</t>
  </si>
  <si>
    <t>Max. Sondertilgung p. a.</t>
  </si>
  <si>
    <t>Vertragliche Obergrenze in % des Darlehens</t>
  </si>
  <si>
    <t>TILGUNGSSTAND BEI ZINSBINDUNGSENDE</t>
  </si>
  <si>
    <t>Ø ZINSANTEIL AN DER ZAHLUNG</t>
  </si>
  <si>
    <t>3 · RECHENGRÖSSEN  (automatisch ermittelt)</t>
  </si>
  <si>
    <t>Auszahlungsbetrag</t>
  </si>
  <si>
    <t>Abgeleitete Werte – bitte nicht überschreiben.
Annuitätendarlehen:
Rate konstant, Zinsanteil sinkt,
Tilgungsanteil steigt.
Ratendarlehen:
Tilgung konstant, Rate sinkt.
Endfälliges Darlehen:
nur Zinsen, Tilgung am Ende.</t>
  </si>
  <si>
    <t>Zahlungen pro Jahr</t>
  </si>
  <si>
    <t>PRÜFUNG &amp; HINWEISE</t>
  </si>
  <si>
    <t>Zinssatz je Zahlungsperiode</t>
  </si>
  <si>
    <t>Annuität p. a. (Zins+Tilgung)</t>
  </si>
  <si>
    <t>Rate je Zahlung (1. Rate)</t>
  </si>
  <si>
    <t>Reguläre Tilgung je Zahlung</t>
  </si>
  <si>
    <t>Perioden laut Laufzeit</t>
  </si>
  <si>
    <t>Angesetzte Sondertilgung p. a.</t>
  </si>
  <si>
    <t>Zahlungen bis Volltilgung</t>
  </si>
  <si>
    <t>4 · JAHRESÜBERSICHT</t>
  </si>
  <si>
    <t>Jahr</t>
  </si>
  <si>
    <t>Zahlungen</t>
  </si>
  <si>
    <t>Kapitaldienst</t>
  </si>
  <si>
    <t>Zinsen</t>
  </si>
  <si>
    <t>Tilgung regulär</t>
  </si>
  <si>
    <t>Sondertilgung</t>
  </si>
  <si>
    <t>Tilgung gesamt</t>
  </si>
  <si>
    <t>Restschuld Jahresende</t>
  </si>
  <si>
    <t>Zinsen kumuliert</t>
  </si>
  <si>
    <t>Tilgungsstand</t>
  </si>
  <si>
    <t>Hinweis</t>
  </si>
  <si>
    <t>Summe</t>
  </si>
  <si>
    <t>5 · SO ARBEITEN SIE MIT DER VORLAGE</t>
  </si>
  <si>
    <t>1.   Alle sandfarbenen Felder in Abschnitt 1 sind Eingabefelder. Alles Übrige rechnet sich automatisch – bitte keine Formeln überschreiben.</t>
  </si>
  <si>
    <t>2.   Die Tilgungsart wählen Sie in Zelle C14: Annuitätendarlehen (konstante Rate), Ratendarlehen (konstante Tilgung) oder endfälliges Darlehen (Tilgung in einer Summe am Laufzeitende).</t>
  </si>
  <si>
    <t>3.   Beim Annuitätendarlehen steuern Sollzins und anfängliche Tilgung die Rate; das Feld „Laufzeit“ dient dann nur als Planungshorizont. Bei Raten- und endfälligen Darlehen bestimmt die Laufzeit den Tilgungsverlauf.</t>
  </si>
  <si>
    <t>4.   Die Zahlungsweise in Zelle C17 stellt den gesamten Plan auf monatliche, vierteljährliche, halbjährliche oder jährliche Raten um – Fälligkeiten, Periodenzins und Sondertilgungstermine passen sich mit an.</t>
  </si>
  <si>
    <t>5.   Die Sondertilgung wird jeweils mit der letzten Rate eines Jahres verrechnet und automatisch auf die vertragliche Obergrenze begrenzt.</t>
  </si>
  <si>
    <t>6.   Das Blatt „Tilgungsplan“ zeigt jede einzelne Rate mit Zins-, Tilgungs- und Sondertilgungsanteil sowie der Restschuld. Über den Autofilter in Zeile 7 lassen sich einzelne Jahre isolieren.</t>
  </si>
  <si>
    <t>7.   Das Blatt „Szenarien“ vergleicht verschiedene Sondertilgungs- und Tilgungssatzvarianten und rechnet die Anschlussfinanzierung nach Ende der Zinsbindung durch.</t>
  </si>
  <si>
    <t>8.   Der Planungshorizont umfasst 480 Zahlungen. Reicht er nicht aus, weist die Prüfung in Abschnitt 2 darauf hin.</t>
  </si>
  <si>
    <t>9.   Alle Beträge sind Beispielwerte einer fiktiven Finanzierung und dienen nur der Veranschaulichung. Die Vorlage ersetzt keine Finanzierungs-, Steuer- oder Rechtsberatung.</t>
  </si>
  <si>
    <t>TILGUNGSPLAN – DETAILÜBERSICHT JE ZAHLUNG</t>
  </si>
  <si>
    <t>Alle Werte werden aus den Darlehensdaten im Blatt „Übersicht“ berechnet. Zeilen ohne Restschuld bleiben leer.</t>
  </si>
  <si>
    <t>Übersicht
der Laufzeit</t>
  </si>
  <si>
    <t>TILGUNG REGULÄR</t>
  </si>
  <si>
    <t>SONDERTILGUNGEN</t>
  </si>
  <si>
    <t>ZAHLUNGEN</t>
  </si>
  <si>
    <t>Nr.</t>
  </si>
  <si>
    <t>Fälligkeit</t>
  </si>
  <si>
    <t>Restschuld Beginn</t>
  </si>
  <si>
    <t>Rate</t>
  </si>
  <si>
    <t>davon Zinsen</t>
  </si>
  <si>
    <t>davon Tilgung</t>
  </si>
  <si>
    <t>Sonder-tilgung</t>
  </si>
  <si>
    <t>Zahlung gesamt</t>
  </si>
  <si>
    <t>Restschuld Ende</t>
  </si>
  <si>
    <t>Tilgung kumuliert</t>
  </si>
  <si>
    <t>Tilgungs-stand</t>
  </si>
  <si>
    <t>Sz1 Zinsen</t>
  </si>
  <si>
    <t>Sz1 Tilgung</t>
  </si>
  <si>
    <t>Sz1 Restschuld</t>
  </si>
  <si>
    <t>Sz2 Zinsen</t>
  </si>
  <si>
    <t>Sz2 Tilgung</t>
  </si>
  <si>
    <t>Sz2 Restschuld</t>
  </si>
  <si>
    <t>Sz3 Zinsen</t>
  </si>
  <si>
    <t>Sz3 Tilgung</t>
  </si>
  <si>
    <t>Sz3 Restschuld</t>
  </si>
  <si>
    <t>Sz4 Zinsen</t>
  </si>
  <si>
    <t>Sz4 Tilgung</t>
  </si>
  <si>
    <t>Sz4 Restschuld</t>
  </si>
  <si>
    <t>Sz5 Zinsen</t>
  </si>
  <si>
    <t>Sz5 Tilgung</t>
  </si>
  <si>
    <t>Sz5 Restschuld</t>
  </si>
  <si>
    <t>SZENARIEN &amp; ANSCHLUSSFINANZIERUNG</t>
  </si>
  <si>
    <t>Alle Szenarien greifen auf die Darlehensdaten im Blatt „Übersicht“ zu und rechnen mit derselben Zins- und Tilgungslogik.</t>
  </si>
  <si>
    <t>A · SONDERTILGUNGS-SZENARIEN  (Beträge in Spalte C frei wählbar)</t>
  </si>
  <si>
    <t>Szenario</t>
  </si>
  <si>
    <t>Laufzeit</t>
  </si>
  <si>
    <t>Zinsen gesamt</t>
  </si>
  <si>
    <t>Zinsersparnis</t>
  </si>
  <si>
    <t>Restschuld Zinsbindungsende</t>
  </si>
  <si>
    <t>Früher schuldenfrei</t>
  </si>
  <si>
    <t>Ohne Sondertilgung (Basis)</t>
  </si>
  <si>
    <t>Szenario B – gering</t>
  </si>
  <si>
    <t>Szenario C – Standard</t>
  </si>
  <si>
    <t>Szenario D – erhöht</t>
  </si>
  <si>
    <t>Szenario E – Vertragsmaximum</t>
  </si>
  <si>
    <t>Hinweis: Die Szenarien werden Zahlung für Zahlung exakt durchgerechnet – nicht genähert. Die Zeile „Ohne Sondertilgung“ dient als Vergleichsbasis und sollte auf 0 € stehen bleiben.</t>
  </si>
  <si>
    <t>B · TILGUNGSSATZ-VERGLEICH  (Annuitätendarlehen ohne Sondertilgung)</t>
  </si>
  <si>
    <t>Anfängliche Tilgung</t>
  </si>
  <si>
    <t>Rate je Zahlung</t>
  </si>
  <si>
    <t>Kapitaldienst p. a.</t>
  </si>
  <si>
    <t>Hinweis: Dieser Vergleich rechnet mit der reinen Annuitätenformel ohne Sondertilgung; die letzte Rate wird dabei vereinfacht als volle Rate angesetzt. Er eignet sich, um vor Vertragsabschluss den passenden Tilgungssatz zu bestimmen.</t>
  </si>
  <si>
    <t>C · ANSCHLUSSFINANZIERUNG NACH ENDE DER ZINSBINDUNG</t>
  </si>
  <si>
    <t>Restschuld bei Zinsbindungsende</t>
  </si>
  <si>
    <t>Gewünschte Restlaufzeit (Jahre)</t>
  </si>
  <si>
    <t>Heutige Rate je Zahlung</t>
  </si>
  <si>
    <t>Anschluss-Sollzins p. a.</t>
  </si>
  <si>
    <t>Veränderung zur heutigen Rate</t>
  </si>
  <si>
    <t>Zinsen der Anschlussphase</t>
  </si>
  <si>
    <t>Gesamtaufwand Anschlussphase</t>
  </si>
  <si>
    <t>Hinweis: Die Anschlussfinanzierung wird als Annuitätendarlehen über die gewählte Restlaufzeit gerechnet. Sie zeigt, wie stark ein höherer Zins nach Ende der Zinsbindung die Rate belastet.</t>
  </si>
  <si>
    <t>D · MEILENSTEINE IM TILGUNGSVERLAUF (aktueller Plan)</t>
  </si>
  <si>
    <t>Nach … Jahren</t>
  </si>
  <si>
    <t>Restschuld</t>
  </si>
  <si>
    <t>nach 1 Jahr</t>
  </si>
  <si>
    <t>nach 3 Jahren</t>
  </si>
  <si>
    <t>nach 5 Jahren</t>
  </si>
  <si>
    <t>nach 10 Jahren</t>
  </si>
  <si>
    <t>nach 15 Jahren</t>
  </si>
  <si>
    <t>nach 20 Jahren</t>
  </si>
  <si>
    <t>nach 25 Jahren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</si>
</sst>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&quot; €&quot;;\-#,##0.00&quot; €&quot;;\–"/>
    <numFmt numFmtId="165" formatCode="#,##0;\-#,##0;\–"/>
    <numFmt numFmtId="166" formatCode="0.00%;\-0.00%;\–"/>
    <numFmt numFmtId="167" formatCode="dd\.mm\.yyyy"/>
    <numFmt numFmtId="168" formatCode="0.0%;\-0.0%;\–"/>
    <numFmt numFmtId="169" formatCode="0.0000%"/>
    <numFmt numFmtId="170" formatCode="#,##0&quot; Monate&quot;;;\–"/>
    <numFmt numFmtId="171" formatCode="\+#,##0.00&quot; €&quot;;\-#,##0.00&quot; €&quot;;&quot;±0 €&quot;"/>
  </numFmts>
  <fonts count="18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"/>
      <color rgb="FF0E464C"/>
      <name val="Calibri"/>
      <charset val="1"/>
    </font>
    <font>
      <b/>
      <sz val="11"/>
      <color rgb="FF0E464C"/>
      <name val="Calibri"/>
      <charset val="1"/>
    </font>
    <font>
      <sz val="10"/>
      <color rgb="FF2E2823"/>
      <name val="Calibri"/>
      <charset val="1"/>
    </font>
    <font>
      <b/>
      <sz val="10"/>
      <color rgb="FF6E3020"/>
      <name val="Calibri"/>
      <charset val="1"/>
    </font>
    <font>
      <i/>
      <sz val="9"/>
      <color rgb="FF7C6E62"/>
      <name val="Calibri"/>
      <charset val="1"/>
    </font>
    <font>
      <b/>
      <sz val="8"/>
      <color rgb="FF7C6E62"/>
      <name val="Calibri"/>
      <charset val="1"/>
    </font>
    <font>
      <b/>
      <sz val="15"/>
      <color rgb="FF6E3020"/>
      <name val="Calibri"/>
      <charset val="1"/>
    </font>
    <font>
      <sz val="9"/>
      <color rgb="FF7C6E62"/>
      <name val="Calibri"/>
      <charset val="1"/>
    </font>
    <font>
      <sz val="9.5"/>
      <color rgb="FF2E2823"/>
      <name val="Calibri"/>
      <charset val="1"/>
    </font>
    <font>
      <b/>
      <sz val="9.5"/>
      <color rgb="FFFFFFFF"/>
      <name val="Calibri"/>
      <charset val="1"/>
    </font>
    <font>
      <b/>
      <sz val="9"/>
      <color rgb="FF0E464C"/>
      <name val="Calibri"/>
      <charset val="1"/>
    </font>
    <font>
      <b/>
      <sz val="10"/>
      <color rgb="FFFFFFFF"/>
      <name val="Calibri"/>
      <charset val="1"/>
    </font>
    <font>
      <b/>
      <sz val="15"/>
      <color rgb="FFFFFFFF"/>
      <name val="Calibri"/>
      <charset val="1"/>
    </font>
    <font>
      <sz val="9.5"/>
      <color rgb="FF0E464C"/>
      <name val="Calibri"/>
      <charset val="1"/>
    </font>
    <font>
      <b/>
      <sz val="13"/>
      <color rgb="FF6E3020"/>
      <name val="Calibri"/>
      <charset val="1"/>
    </font>
    <font>
      <b/>
      <sz val="9.5"/>
      <color rgb="FF2E2823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6E3020"/>
        <bgColor rgb="FF9B4A32"/>
      </patternFill>
    </fill>
    <fill>
      <patternFill patternType="solid">
        <fgColor rgb="FFFBF4EA"/>
        <bgColor rgb="FFF6F3EF"/>
      </patternFill>
    </fill>
    <fill>
      <patternFill patternType="solid">
        <fgColor rgb="FFF1E2CF"/>
        <bgColor rgb="FFF3E1D8"/>
      </patternFill>
    </fill>
    <fill>
      <patternFill patternType="solid">
        <fgColor rgb="FFFFFFFF"/>
        <bgColor rgb="FFFBF4EA"/>
      </patternFill>
    </fill>
    <fill>
      <patternFill patternType="solid">
        <fgColor rgb="FFF6F3EF"/>
        <bgColor rgb="FFFBF4EA"/>
      </patternFill>
    </fill>
    <fill>
      <patternFill patternType="solid">
        <fgColor rgb="FF17636B"/>
        <bgColor rgb="FF0E464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17636B"/>
      </bottom>
      <diagonal/>
    </border>
    <border>
      <left style="thin">
        <color rgb="FFB8A794"/>
      </left>
      <right style="thin">
        <color rgb="FFB8A794"/>
      </right>
      <top style="thin">
        <color rgb="FFB8A794"/>
      </top>
      <bottom style="thin">
        <color rgb="FFB8A794"/>
      </bottom>
      <diagonal/>
    </border>
    <border>
      <left/>
      <right/>
      <top/>
      <bottom style="thin">
        <color rgb="FFD9CDC0"/>
      </bottom>
      <diagonal/>
    </border>
    <border>
      <left style="thin">
        <color rgb="FF17636B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3895D"/>
      </left>
      <right style="thin">
        <color rgb="FFC3895D"/>
      </right>
      <top style="thin">
        <color rgb="FFC3895D"/>
      </top>
      <bottom style="thin">
        <color rgb="FFC3895D"/>
      </bottom>
      <diagonal/>
    </border>
    <border>
      <left style="thin">
        <color rgb="FFB8A794"/>
      </left>
      <right style="thin">
        <color rgb="FFB8A794"/>
      </right>
      <top style="thin">
        <color rgb="FFB8A79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0" fillId="6" borderId="0" xfId="0" applyFont="1" applyFill="1" applyAlignment="1">
      <alignment horizontal="left" vertical="center" wrapText="1" indent="1"/>
    </xf>
    <xf numFmtId="0" fontId="10" fillId="3" borderId="5" xfId="0" applyFont="1" applyFill="1" applyBorder="1" applyAlignment="1">
      <alignment horizontal="left" vertical="center" wrapText="1" indent="1"/>
    </xf>
    <xf numFmtId="0" fontId="9" fillId="6" borderId="4" xfId="0" applyFont="1" applyFill="1" applyBorder="1" applyAlignment="1">
      <alignment horizontal="left" vertical="top" wrapText="1" indent="1"/>
    </xf>
    <xf numFmtId="168" fontId="8" fillId="5" borderId="1" xfId="0" applyNumberFormat="1" applyFont="1" applyFill="1" applyBorder="1" applyAlignment="1">
      <alignment horizontal="left" vertical="top" indent="1"/>
    </xf>
    <xf numFmtId="167" fontId="8" fillId="5" borderId="1" xfId="0" applyNumberFormat="1" applyFont="1" applyFill="1" applyBorder="1" applyAlignment="1">
      <alignment horizontal="left" vertical="top" indent="1"/>
    </xf>
    <xf numFmtId="0" fontId="8" fillId="5" borderId="1" xfId="0" applyFont="1" applyFill="1" applyBorder="1" applyAlignment="1">
      <alignment horizontal="left" vertical="top" indent="1"/>
    </xf>
    <xf numFmtId="165" fontId="8" fillId="5" borderId="1" xfId="0" applyNumberFormat="1" applyFont="1" applyFill="1" applyBorder="1" applyAlignment="1">
      <alignment horizontal="left" vertical="top" indent="1"/>
    </xf>
    <xf numFmtId="164" fontId="8" fillId="5" borderId="1" xfId="0" applyNumberFormat="1" applyFont="1" applyFill="1" applyBorder="1" applyAlignment="1">
      <alignment horizontal="left" vertical="top" indent="1"/>
    </xf>
    <xf numFmtId="0" fontId="7" fillId="5" borderId="0" xfId="0" applyFont="1" applyFill="1" applyAlignment="1">
      <alignment horizontal="left" indent="1"/>
    </xf>
    <xf numFmtId="0" fontId="6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165" fontId="5" fillId="4" borderId="2" xfId="0" applyNumberFormat="1" applyFont="1" applyFill="1" applyBorder="1" applyAlignment="1">
      <alignment horizontal="right" vertical="center" indent="1"/>
    </xf>
    <xf numFmtId="164" fontId="4" fillId="6" borderId="3" xfId="0" applyNumberFormat="1" applyFont="1" applyFill="1" applyBorder="1" applyAlignment="1">
      <alignment horizontal="right" vertical="center" indent="1"/>
    </xf>
    <xf numFmtId="165" fontId="4" fillId="6" borderId="3" xfId="0" applyNumberFormat="1" applyFont="1" applyFill="1" applyBorder="1" applyAlignment="1">
      <alignment horizontal="right" vertical="center" indent="1"/>
    </xf>
    <xf numFmtId="169" fontId="4" fillId="6" borderId="3" xfId="0" applyNumberFormat="1" applyFont="1" applyFill="1" applyBorder="1" applyAlignment="1">
      <alignment horizontal="right" vertical="center" indent="1"/>
    </xf>
    <xf numFmtId="0" fontId="11" fillId="7" borderId="6" xfId="0" applyFont="1" applyFill="1" applyBorder="1" applyAlignment="1">
      <alignment horizontal="left" vertical="center" wrapText="1" indent="1"/>
    </xf>
    <xf numFmtId="0" fontId="11" fillId="7" borderId="6" xfId="0" applyFont="1" applyFill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right" vertical="center"/>
    </xf>
    <xf numFmtId="168" fontId="10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 indent="1"/>
    </xf>
    <xf numFmtId="1" fontId="10" fillId="6" borderId="3" xfId="0" applyNumberFormat="1" applyFont="1" applyFill="1" applyBorder="1" applyAlignment="1">
      <alignment horizontal="center" vertical="center"/>
    </xf>
    <xf numFmtId="165" fontId="10" fillId="6" borderId="3" xfId="0" applyNumberFormat="1" applyFont="1" applyFill="1" applyBorder="1" applyAlignment="1">
      <alignment horizontal="center" vertical="center"/>
    </xf>
    <xf numFmtId="164" fontId="10" fillId="6" borderId="3" xfId="0" applyNumberFormat="1" applyFont="1" applyFill="1" applyBorder="1" applyAlignment="1">
      <alignment horizontal="right" vertical="center"/>
    </xf>
    <xf numFmtId="168" fontId="10" fillId="6" borderId="3" xfId="0" applyNumberFormat="1" applyFont="1" applyFill="1" applyBorder="1" applyAlignment="1">
      <alignment horizontal="right" vertical="center"/>
    </xf>
    <xf numFmtId="0" fontId="12" fillId="6" borderId="3" xfId="0" applyFont="1" applyFill="1" applyBorder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165" fontId="13" fillId="2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7" fillId="0" borderId="0" xfId="0" applyFont="1"/>
    <xf numFmtId="167" fontId="10" fillId="0" borderId="3" xfId="0" applyNumberFormat="1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right" vertical="center"/>
    </xf>
    <xf numFmtId="164" fontId="0" fillId="0" borderId="0" xfId="0" applyNumberFormat="1"/>
    <xf numFmtId="167" fontId="10" fillId="6" borderId="3" xfId="0" applyNumberFormat="1" applyFont="1" applyFill="1" applyBorder="1" applyAlignment="1">
      <alignment horizontal="center" vertical="center"/>
    </xf>
    <xf numFmtId="164" fontId="17" fillId="6" borderId="3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 indent="1"/>
    </xf>
    <xf numFmtId="164" fontId="5" fillId="4" borderId="3" xfId="0" applyNumberFormat="1" applyFont="1" applyFill="1" applyBorder="1" applyAlignment="1">
      <alignment horizontal="right" vertical="center" indent="1"/>
    </xf>
    <xf numFmtId="0" fontId="10" fillId="0" borderId="3" xfId="0" applyFont="1" applyBorder="1" applyAlignment="1">
      <alignment horizontal="center" vertical="center"/>
    </xf>
    <xf numFmtId="170" fontId="10" fillId="0" borderId="3" xfId="0" applyNumberFormat="1" applyFont="1" applyBorder="1" applyAlignment="1">
      <alignment horizontal="right" vertical="center"/>
    </xf>
    <xf numFmtId="0" fontId="17" fillId="3" borderId="3" xfId="0" applyFont="1" applyFill="1" applyBorder="1" applyAlignment="1">
      <alignment horizontal="left" vertical="center" indent="1"/>
    </xf>
    <xf numFmtId="165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164" fontId="17" fillId="3" borderId="3" xfId="0" applyNumberFormat="1" applyFont="1" applyFill="1" applyBorder="1" applyAlignment="1">
      <alignment horizontal="right" vertical="center"/>
    </xf>
    <xf numFmtId="170" fontId="17" fillId="3" borderId="3" xfId="0" applyNumberFormat="1" applyFont="1" applyFill="1" applyBorder="1" applyAlignment="1">
      <alignment horizontal="right" vertical="center"/>
    </xf>
    <xf numFmtId="166" fontId="5" fillId="4" borderId="3" xfId="0" applyNumberFormat="1" applyFont="1" applyFill="1" applyBorder="1" applyAlignment="1">
      <alignment horizontal="left" vertical="center" indent="1"/>
    </xf>
    <xf numFmtId="0" fontId="10" fillId="0" borderId="3" xfId="0" applyFont="1" applyBorder="1" applyAlignment="1">
      <alignment horizontal="right" vertical="center"/>
    </xf>
    <xf numFmtId="171" fontId="10" fillId="0" borderId="3" xfId="0" applyNumberFormat="1" applyFont="1" applyBorder="1" applyAlignment="1">
      <alignment horizontal="right" vertical="center"/>
    </xf>
    <xf numFmtId="0" fontId="10" fillId="6" borderId="3" xfId="0" applyFont="1" applyFill="1" applyBorder="1" applyAlignment="1">
      <alignment horizontal="left" vertical="center" indent="1"/>
    </xf>
    <xf numFmtId="0" fontId="10" fillId="6" borderId="3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indent="1"/>
    </xf>
    <xf numFmtId="164" fontId="16" fillId="0" borderId="1" xfId="0" applyNumberFormat="1" applyFont="1" applyBorder="1" applyAlignment="1">
      <alignment horizontal="left" vertical="top" indent="1"/>
    </xf>
    <xf numFmtId="165" fontId="16" fillId="0" borderId="1" xfId="0" applyNumberFormat="1" applyFont="1" applyBorder="1" applyAlignment="1">
      <alignment horizontal="left" vertical="top" indent="1"/>
    </xf>
    <xf numFmtId="0" fontId="5" fillId="4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/>
    </xf>
    <xf numFmtId="166" fontId="5" fillId="4" borderId="7" xfId="0" applyNumberFormat="1" applyFont="1" applyFill="1" applyBorder="1" applyAlignment="1">
      <alignment horizontal="left" vertical="center"/>
    </xf>
    <xf numFmtId="165" fontId="5" fillId="4" borderId="7" xfId="0" applyNumberFormat="1" applyFont="1" applyFill="1" applyBorder="1" applyAlignment="1">
      <alignment horizontal="left" vertical="center"/>
    </xf>
    <xf numFmtId="167" fontId="5" fillId="4" borderId="7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5">
    <dxf>
      <font>
        <b/>
        <sz val="9"/>
        <color rgb="FF17636B"/>
        <name val="Calibri"/>
        <charset val="1"/>
      </font>
    </dxf>
    <dxf>
      <font>
        <b/>
        <sz val="9"/>
        <color rgb="FFB3261E"/>
        <name val="Calibri"/>
        <charset val="1"/>
      </font>
    </dxf>
    <dxf>
      <font>
        <b/>
        <sz val="9"/>
        <color rgb="FF6E3020"/>
        <name val="Calibri"/>
        <charset val="1"/>
      </font>
    </dxf>
    <dxf>
      <font>
        <b/>
        <sz val="9"/>
        <color rgb="FF6E3020"/>
        <name val="Calibri"/>
        <charset val="1"/>
      </font>
      <fill>
        <patternFill>
          <bgColor rgb="FFF3E1D8"/>
        </patternFill>
      </fill>
    </dxf>
    <dxf>
      <font>
        <b/>
        <sz val="9"/>
        <color rgb="FF0E464C"/>
        <name val="Calibri"/>
        <charset val="1"/>
      </font>
      <fill>
        <patternFill>
          <bgColor rgb="FFDCEB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7636B"/>
      <rgbColor rgb="FFD9CDC0"/>
      <rgbColor rgb="FF878787"/>
      <rgbColor rgb="FF9999FF"/>
      <rgbColor rgb="FF9B4A32"/>
      <rgbColor rgb="FFFBF4EA"/>
      <rgbColor rgb="FFDCEB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3EF"/>
      <rgbColor rgb="FFF3E1D8"/>
      <rgbColor rgb="FFFFFF99"/>
      <rgbColor rgb="FF99CCFF"/>
      <rgbColor rgb="FFFF99CC"/>
      <rgbColor rgb="FFCC99FF"/>
      <rgbColor rgb="FFF1E2CF"/>
      <rgbColor rgb="FF3366FF"/>
      <rgbColor rgb="FF33CCCC"/>
      <rgbColor rgb="FF99CC00"/>
      <rgbColor rgb="FFFFCC00"/>
      <rgbColor rgb="FFFF9900"/>
      <rgbColor rgb="FFFF6600"/>
      <rgbColor rgb="FF7C6E62"/>
      <rgbColor rgb="FFB8A794"/>
      <rgbColor rgb="FF0E464C"/>
      <rgbColor rgb="FF339966"/>
      <rgbColor rgb="FF003300"/>
      <rgbColor rgb="FF333300"/>
      <rgbColor rgb="FFB3261E"/>
      <rgbColor rgb="FF6E3020"/>
      <rgbColor rgb="FF333399"/>
      <rgbColor rgb="FF2E28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3895D"/>
      <color rgb="FFCD6D53"/>
      <color rgb="FF6E30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Zins- und Tilgungsverlauf sowie Restschuldentwicklung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Übersicht!$E$35</c:f>
              <c:strCache>
                <c:ptCount val="1"/>
                <c:pt idx="0">
                  <c:v>Zinsen</c:v>
                </c:pt>
              </c:strCache>
            </c:strRef>
          </c:tx>
          <c:spPr>
            <a:solidFill>
              <a:srgbClr val="9B4A3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Übersicht!$B$36:$B$55</c:f>
              <c:numCache>
                <c:formatCode>0</c:formatCode>
                <c:ptCount val="2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</c:numCache>
            </c:numRef>
          </c:cat>
          <c:val>
            <c:numRef>
              <c:f>Übersicht!$E$36:$E$55</c:f>
              <c:numCache>
                <c:formatCode>#,##0.00" €";\-#,##0.00" €";\–</c:formatCode>
                <c:ptCount val="20"/>
                <c:pt idx="0">
                  <c:v>8525.2099999999991</c:v>
                </c:pt>
                <c:pt idx="1">
                  <c:v>8127.39</c:v>
                </c:pt>
                <c:pt idx="2">
                  <c:v>7715.63</c:v>
                </c:pt>
                <c:pt idx="3">
                  <c:v>7289.4600000000009</c:v>
                </c:pt>
                <c:pt idx="4">
                  <c:v>6848.31</c:v>
                </c:pt>
                <c:pt idx="5">
                  <c:v>6391.73</c:v>
                </c:pt>
                <c:pt idx="6">
                  <c:v>5919.1200000000008</c:v>
                </c:pt>
                <c:pt idx="7">
                  <c:v>5429.9500000000007</c:v>
                </c:pt>
                <c:pt idx="8">
                  <c:v>4923.66</c:v>
                </c:pt>
                <c:pt idx="9">
                  <c:v>4399.6000000000004</c:v>
                </c:pt>
                <c:pt idx="10">
                  <c:v>3857.1499999999996</c:v>
                </c:pt>
                <c:pt idx="11">
                  <c:v>3295.7599999999998</c:v>
                </c:pt>
                <c:pt idx="12">
                  <c:v>2714.59</c:v>
                </c:pt>
                <c:pt idx="13">
                  <c:v>2113.15</c:v>
                </c:pt>
                <c:pt idx="14">
                  <c:v>1490.59</c:v>
                </c:pt>
                <c:pt idx="15">
                  <c:v>846.18999999999994</c:v>
                </c:pt>
                <c:pt idx="16">
                  <c:v>184.64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F-4097-A4C9-1BB9F642AEB8}"/>
            </c:ext>
          </c:extLst>
        </c:ser>
        <c:ser>
          <c:idx val="1"/>
          <c:order val="1"/>
          <c:tx>
            <c:strRef>
              <c:f>Übersicht!$H$35</c:f>
              <c:strCache>
                <c:ptCount val="1"/>
                <c:pt idx="0">
                  <c:v>Tilgung gesamt</c:v>
                </c:pt>
              </c:strCache>
            </c:strRef>
          </c:tx>
          <c:spPr>
            <a:solidFill>
              <a:srgbClr val="17636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Übersicht!$B$36:$B$55</c:f>
              <c:numCache>
                <c:formatCode>0</c:formatCode>
                <c:ptCount val="2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</c:numCache>
            </c:numRef>
          </c:cat>
          <c:val>
            <c:numRef>
              <c:f>Übersicht!$H$36:$H$55</c:f>
              <c:numCache>
                <c:formatCode>#,##0.00" €";\-#,##0.00" €";\–</c:formatCode>
                <c:ptCount val="20"/>
                <c:pt idx="0">
                  <c:v>11349.75</c:v>
                </c:pt>
                <c:pt idx="1">
                  <c:v>11747.57</c:v>
                </c:pt>
                <c:pt idx="2">
                  <c:v>12159.329999999998</c:v>
                </c:pt>
                <c:pt idx="3">
                  <c:v>12585.499999999998</c:v>
                </c:pt>
                <c:pt idx="4">
                  <c:v>13026.649999999998</c:v>
                </c:pt>
                <c:pt idx="5">
                  <c:v>13483.23</c:v>
                </c:pt>
                <c:pt idx="6">
                  <c:v>13955.839999999998</c:v>
                </c:pt>
                <c:pt idx="7">
                  <c:v>14445.009999999998</c:v>
                </c:pt>
                <c:pt idx="8">
                  <c:v>14951.300000000001</c:v>
                </c:pt>
                <c:pt idx="9">
                  <c:v>15475.359999999997</c:v>
                </c:pt>
                <c:pt idx="10">
                  <c:v>16017.81</c:v>
                </c:pt>
                <c:pt idx="11">
                  <c:v>16579.199999999997</c:v>
                </c:pt>
                <c:pt idx="12">
                  <c:v>17160.37</c:v>
                </c:pt>
                <c:pt idx="13">
                  <c:v>17761.810000000001</c:v>
                </c:pt>
                <c:pt idx="14">
                  <c:v>18384.37</c:v>
                </c:pt>
                <c:pt idx="15">
                  <c:v>19028.77</c:v>
                </c:pt>
                <c:pt idx="16">
                  <c:v>11888.13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F-4097-A4C9-1BB9F642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48017817"/>
        <c:axId val="56311338"/>
      </c:barChart>
      <c:lineChart>
        <c:grouping val="stacked"/>
        <c:varyColors val="0"/>
        <c:ser>
          <c:idx val="2"/>
          <c:order val="2"/>
          <c:tx>
            <c:strRef>
              <c:f>Übersicht!$I$35</c:f>
              <c:strCache>
                <c:ptCount val="1"/>
                <c:pt idx="0">
                  <c:v>Restschuld Jahresende</c:v>
                </c:pt>
              </c:strCache>
            </c:strRef>
          </c:tx>
          <c:spPr>
            <a:ln w="21960">
              <a:solidFill>
                <a:srgbClr val="2E2823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Übersicht!$B$36:$B$55</c:f>
              <c:numCache>
                <c:formatCode>0</c:formatCode>
                <c:ptCount val="2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</c:numCache>
            </c:numRef>
          </c:cat>
          <c:val>
            <c:numRef>
              <c:f>Übersicht!$I$36:$I$55</c:f>
              <c:numCache>
                <c:formatCode>#,##0.00" €";\-#,##0.00" €";\–</c:formatCode>
                <c:ptCount val="20"/>
                <c:pt idx="0">
                  <c:v>238650.25</c:v>
                </c:pt>
                <c:pt idx="1">
                  <c:v>226902.68</c:v>
                </c:pt>
                <c:pt idx="2">
                  <c:v>214743.35</c:v>
                </c:pt>
                <c:pt idx="3">
                  <c:v>202157.85</c:v>
                </c:pt>
                <c:pt idx="4">
                  <c:v>189131.2</c:v>
                </c:pt>
                <c:pt idx="5">
                  <c:v>175647.97000000003</c:v>
                </c:pt>
                <c:pt idx="6">
                  <c:v>161692.13</c:v>
                </c:pt>
                <c:pt idx="7">
                  <c:v>147247.12000000002</c:v>
                </c:pt>
                <c:pt idx="8">
                  <c:v>132295.82</c:v>
                </c:pt>
                <c:pt idx="9">
                  <c:v>116820.46000000002</c:v>
                </c:pt>
                <c:pt idx="10">
                  <c:v>100802.65000000002</c:v>
                </c:pt>
                <c:pt idx="11">
                  <c:v>84223.450000000012</c:v>
                </c:pt>
                <c:pt idx="12">
                  <c:v>67063.080000000016</c:v>
                </c:pt>
                <c:pt idx="13">
                  <c:v>49301.270000000019</c:v>
                </c:pt>
                <c:pt idx="14">
                  <c:v>30916.900000000023</c:v>
                </c:pt>
                <c:pt idx="15">
                  <c:v>11888.130000000034</c:v>
                </c:pt>
                <c:pt idx="16">
                  <c:v>2.9103830456733704E-11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F-4097-A4C9-1BB9F642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5599884"/>
        <c:axId val="77924969"/>
      </c:lineChart>
      <c:catAx>
        <c:axId val="4801781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6311338"/>
        <c:crosses val="autoZero"/>
        <c:auto val="1"/>
        <c:lblAlgn val="ctr"/>
        <c:lblOffset val="100"/>
        <c:noMultiLvlLbl val="0"/>
      </c:catAx>
      <c:valAx>
        <c:axId val="56311338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Zinsen und Tilgung je Jahr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8017817"/>
        <c:crosses val="autoZero"/>
        <c:crossBetween val="between"/>
      </c:valAx>
      <c:catAx>
        <c:axId val="2559988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7924969"/>
        <c:crosses val="autoZero"/>
        <c:auto val="1"/>
        <c:lblAlgn val="ctr"/>
        <c:lblOffset val="100"/>
        <c:noMultiLvlLbl val="0"/>
      </c:catAx>
      <c:valAx>
        <c:axId val="77924969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Restschuld (€)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5599884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12</xdr:col>
      <xdr:colOff>28575</xdr:colOff>
      <xdr:row>94</xdr:row>
      <xdr:rowOff>181080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7"/>
  <sheetViews>
    <sheetView showGridLines="0" tabSelected="1" zoomScaleNormal="100" workbookViewId="0">
      <pane ySplit="5" topLeftCell="A6" activePane="bottomLeft" state="frozen"/>
      <selection pane="bottomLeft" activeCell="B98" sqref="B98:L98"/>
    </sheetView>
  </sheetViews>
  <sheetFormatPr baseColWidth="10" defaultColWidth="8.7109375" defaultRowHeight="15" x14ac:dyDescent="0.25"/>
  <cols>
    <col min="1" max="1" width="2.140625" customWidth="1"/>
    <col min="2" max="2" width="24.42578125" bestFit="1" customWidth="1"/>
    <col min="3" max="3" width="12.5703125" bestFit="1" customWidth="1"/>
    <col min="4" max="4" width="11.28515625" bestFit="1" customWidth="1"/>
    <col min="5" max="5" width="10.28515625" bestFit="1" customWidth="1"/>
    <col min="6" max="6" width="12.42578125" bestFit="1" customWidth="1"/>
    <col min="7" max="7" width="11.85546875" bestFit="1" customWidth="1"/>
    <col min="8" max="8" width="12.5703125" bestFit="1" customWidth="1"/>
    <col min="9" max="9" width="11.28515625" bestFit="1" customWidth="1"/>
    <col min="10" max="10" width="14.140625" bestFit="1" customWidth="1"/>
    <col min="11" max="11" width="11.42578125" bestFit="1" customWidth="1"/>
    <col min="12" max="12" width="17.42578125" bestFit="1" customWidth="1"/>
    <col min="13" max="13" width="2.140625" customWidth="1"/>
  </cols>
  <sheetData>
    <row r="1" spans="2:12" ht="7.5" customHeight="1" x14ac:dyDescent="0.25"/>
    <row r="2" spans="2:12" ht="39.7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21.75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9.75" customHeight="1" x14ac:dyDescent="0.25"/>
    <row r="5" spans="2:12" ht="6" customHeight="1" x14ac:dyDescent="0.25"/>
    <row r="6" spans="2:12" ht="21.75" customHeight="1" x14ac:dyDescent="0.25">
      <c r="B6" s="11" t="s">
        <v>2</v>
      </c>
      <c r="C6" s="11"/>
      <c r="D6" s="11"/>
      <c r="E6" s="11"/>
      <c r="F6" s="11"/>
      <c r="G6" s="11"/>
      <c r="H6" s="11" t="s">
        <v>3</v>
      </c>
      <c r="I6" s="11"/>
      <c r="J6" s="11"/>
      <c r="K6" s="11"/>
      <c r="L6" s="11"/>
    </row>
    <row r="7" spans="2:12" ht="15" customHeight="1" x14ac:dyDescent="0.25">
      <c r="B7" s="14" t="s">
        <v>4</v>
      </c>
      <c r="C7" s="62" t="s">
        <v>5</v>
      </c>
      <c r="D7" s="62"/>
      <c r="E7" s="10" t="s">
        <v>6</v>
      </c>
      <c r="F7" s="10"/>
      <c r="G7" s="10"/>
      <c r="H7" s="9" t="s">
        <v>7</v>
      </c>
      <c r="I7" s="9"/>
      <c r="K7" s="9" t="s">
        <v>8</v>
      </c>
      <c r="L7" s="9"/>
    </row>
    <row r="8" spans="2:12" ht="24" customHeight="1" x14ac:dyDescent="0.25">
      <c r="B8" s="14" t="s">
        <v>9</v>
      </c>
      <c r="C8" s="63" t="s">
        <v>10</v>
      </c>
      <c r="D8" s="63"/>
      <c r="E8" s="10" t="s">
        <v>11</v>
      </c>
      <c r="F8" s="10"/>
      <c r="G8" s="10"/>
      <c r="H8" s="8">
        <f>$C$28</f>
        <v>1239.58</v>
      </c>
      <c r="I8" s="8"/>
      <c r="K8" s="7">
        <f>$C$25</f>
        <v>12</v>
      </c>
      <c r="L8" s="7"/>
    </row>
    <row r="9" spans="2:12" ht="18.75" customHeight="1" x14ac:dyDescent="0.25">
      <c r="B9" s="14" t="s">
        <v>12</v>
      </c>
      <c r="C9" s="63" t="s">
        <v>13</v>
      </c>
      <c r="D9" s="63"/>
      <c r="E9" s="10" t="s">
        <v>14</v>
      </c>
      <c r="F9" s="10"/>
      <c r="G9" s="10"/>
    </row>
    <row r="10" spans="2:12" ht="15" customHeight="1" x14ac:dyDescent="0.25">
      <c r="B10" s="14" t="s">
        <v>15</v>
      </c>
      <c r="C10" s="63" t="s">
        <v>16</v>
      </c>
      <c r="D10" s="63"/>
      <c r="E10" s="10" t="s">
        <v>17</v>
      </c>
      <c r="F10" s="10"/>
      <c r="G10" s="10"/>
      <c r="H10" s="9" t="s">
        <v>18</v>
      </c>
      <c r="I10" s="9"/>
      <c r="K10" s="9" t="s">
        <v>19</v>
      </c>
      <c r="L10" s="9"/>
    </row>
    <row r="11" spans="2:12" ht="24" customHeight="1" x14ac:dyDescent="0.25">
      <c r="B11" s="14" t="s">
        <v>20</v>
      </c>
      <c r="C11" s="64">
        <v>250000</v>
      </c>
      <c r="D11" s="64"/>
      <c r="E11" s="10" t="s">
        <v>21</v>
      </c>
      <c r="F11" s="10"/>
      <c r="G11" s="10"/>
      <c r="H11" s="7">
        <f>$C$32</f>
        <v>202</v>
      </c>
      <c r="I11" s="7"/>
      <c r="K11" s="6" t="str">
        <f>INT($C$32*12/$C$25/12)&amp;" Jahre "&amp;MOD($C$32*12/$C$25,12)&amp;" Monate"</f>
        <v>16 Jahre 10 Monate</v>
      </c>
      <c r="L11" s="6"/>
    </row>
    <row r="12" spans="2:12" ht="18.75" customHeight="1" x14ac:dyDescent="0.25">
      <c r="B12" s="14" t="s">
        <v>22</v>
      </c>
      <c r="C12" s="65">
        <v>1</v>
      </c>
      <c r="D12" s="65"/>
      <c r="E12" s="10" t="s">
        <v>23</v>
      </c>
      <c r="F12" s="10"/>
      <c r="G12" s="10"/>
    </row>
    <row r="13" spans="2:12" ht="15" customHeight="1" x14ac:dyDescent="0.25">
      <c r="B13" s="14" t="s">
        <v>24</v>
      </c>
      <c r="C13" s="65">
        <v>3.4500000000000003E-2</v>
      </c>
      <c r="D13" s="65"/>
      <c r="E13" s="10" t="s">
        <v>25</v>
      </c>
      <c r="F13" s="10"/>
      <c r="G13" s="10"/>
      <c r="H13" s="9" t="s">
        <v>26</v>
      </c>
      <c r="I13" s="9"/>
      <c r="K13" s="9" t="s">
        <v>27</v>
      </c>
      <c r="L13" s="9"/>
    </row>
    <row r="14" spans="2:12" ht="24" customHeight="1" x14ac:dyDescent="0.25">
      <c r="B14" s="14" t="s">
        <v>28</v>
      </c>
      <c r="C14" s="63" t="s">
        <v>29</v>
      </c>
      <c r="D14" s="63"/>
      <c r="E14" s="10" t="s">
        <v>30</v>
      </c>
      <c r="F14" s="10"/>
      <c r="G14" s="10"/>
      <c r="H14" s="8">
        <f>SUM(Tilgungsplan!$F$8:$F$487)</f>
        <v>80072.129999999961</v>
      </c>
      <c r="I14" s="8"/>
      <c r="K14" s="8">
        <f>SUM(Tilgungsplan!$I$8:$I$487)</f>
        <v>330072.12999999977</v>
      </c>
      <c r="L14" s="8"/>
    </row>
    <row r="15" spans="2:12" ht="18.75" customHeight="1" x14ac:dyDescent="0.25">
      <c r="B15" s="14" t="s">
        <v>31</v>
      </c>
      <c r="C15" s="65">
        <v>2.5000000000000001E-2</v>
      </c>
      <c r="D15" s="65"/>
      <c r="E15" s="10" t="s">
        <v>32</v>
      </c>
      <c r="F15" s="10"/>
      <c r="G15" s="10"/>
    </row>
    <row r="16" spans="2:12" ht="15" customHeight="1" x14ac:dyDescent="0.25">
      <c r="B16" s="14" t="s">
        <v>33</v>
      </c>
      <c r="C16" s="66">
        <v>25</v>
      </c>
      <c r="D16" s="66"/>
      <c r="E16" s="10" t="s">
        <v>34</v>
      </c>
      <c r="F16" s="10"/>
      <c r="G16" s="10"/>
      <c r="H16" s="9" t="s">
        <v>35</v>
      </c>
      <c r="I16" s="9"/>
      <c r="K16" s="9" t="s">
        <v>36</v>
      </c>
      <c r="L16" s="9"/>
    </row>
    <row r="17" spans="2:12" ht="24" customHeight="1" x14ac:dyDescent="0.25">
      <c r="B17" s="14" t="s">
        <v>37</v>
      </c>
      <c r="C17" s="63" t="s">
        <v>38</v>
      </c>
      <c r="D17" s="63"/>
      <c r="E17" s="10" t="s">
        <v>39</v>
      </c>
      <c r="F17" s="10"/>
      <c r="G17" s="10"/>
      <c r="H17" s="8">
        <f>SUM(Tilgungsplan!$H$8:$H$487)</f>
        <v>80000</v>
      </c>
      <c r="I17" s="8"/>
      <c r="K17" s="5">
        <f>MAX(Tilgungsplan!$B$8:$B$487)</f>
        <v>52170</v>
      </c>
      <c r="L17" s="5"/>
    </row>
    <row r="18" spans="2:12" ht="18.75" customHeight="1" x14ac:dyDescent="0.25">
      <c r="B18" s="14" t="s">
        <v>40</v>
      </c>
      <c r="C18" s="67">
        <v>46053</v>
      </c>
      <c r="D18" s="67"/>
      <c r="E18" s="10" t="s">
        <v>41</v>
      </c>
      <c r="F18" s="10"/>
      <c r="G18" s="10"/>
    </row>
    <row r="19" spans="2:12" ht="15" customHeight="1" x14ac:dyDescent="0.25">
      <c r="B19" s="14" t="s">
        <v>42</v>
      </c>
      <c r="C19" s="66">
        <v>10</v>
      </c>
      <c r="D19" s="66"/>
      <c r="E19" s="10" t="s">
        <v>43</v>
      </c>
      <c r="F19" s="10"/>
      <c r="G19" s="10"/>
      <c r="H19" s="9" t="s">
        <v>44</v>
      </c>
      <c r="I19" s="9"/>
      <c r="K19" s="9" t="s">
        <v>45</v>
      </c>
      <c r="L19" s="9"/>
    </row>
    <row r="20" spans="2:12" ht="24" customHeight="1" x14ac:dyDescent="0.25">
      <c r="B20" s="14" t="s">
        <v>46</v>
      </c>
      <c r="C20" s="64">
        <v>5000</v>
      </c>
      <c r="D20" s="64"/>
      <c r="E20" s="10" t="s">
        <v>47</v>
      </c>
      <c r="F20" s="10"/>
      <c r="G20" s="10"/>
      <c r="H20" s="8">
        <f>IF($C$19=0,0,INDEX(Tilgungsplan!$J$8:$J$487,MIN($C$19*$C$25,480)))</f>
        <v>116820.46</v>
      </c>
      <c r="I20" s="8"/>
      <c r="K20" s="8">
        <f>IF($C$19=0,0,INDEX(Tilgungsplan!$K$8:$K$487,MIN($C$19*$C$25,480)))</f>
        <v>65570.060000000012</v>
      </c>
      <c r="L20" s="8"/>
    </row>
    <row r="21" spans="2:12" ht="18.75" customHeight="1" x14ac:dyDescent="0.25">
      <c r="B21" s="14" t="s">
        <v>48</v>
      </c>
      <c r="C21" s="65">
        <v>0.05</v>
      </c>
      <c r="D21" s="65"/>
      <c r="E21" s="10" t="s">
        <v>49</v>
      </c>
      <c r="F21" s="10"/>
      <c r="G21" s="10"/>
    </row>
    <row r="22" spans="2:12" ht="15" customHeight="1" x14ac:dyDescent="0.25">
      <c r="H22" s="9" t="s">
        <v>50</v>
      </c>
      <c r="I22" s="9"/>
      <c r="K22" s="9" t="s">
        <v>51</v>
      </c>
      <c r="L22" s="9"/>
    </row>
    <row r="23" spans="2:12" ht="24" customHeight="1" x14ac:dyDescent="0.25">
      <c r="B23" s="11" t="s">
        <v>52</v>
      </c>
      <c r="C23" s="11"/>
      <c r="D23" s="11"/>
      <c r="E23" s="11"/>
      <c r="F23" s="11"/>
      <c r="G23" s="11"/>
      <c r="H23" s="4">
        <f>IF($C$11=0,0,IF($C$19=0,0,1-INDEX(Tilgungsplan!$J$8:$J$487,MIN($C$19*$C$25,480))/$C$11))</f>
        <v>0.53271815999999994</v>
      </c>
      <c r="I23" s="4"/>
      <c r="K23" s="4">
        <f>IF(SUM(Tilgungsplan!$I$8:$I$487)=0,0,SUM(Tilgungsplan!$F$8:$F$487)/SUM(Tilgungsplan!$I$8:$I$487))</f>
        <v>0.24258979393382898</v>
      </c>
      <c r="L23" s="4"/>
    </row>
    <row r="24" spans="2:12" ht="18" customHeight="1" x14ac:dyDescent="0.25">
      <c r="B24" s="14" t="s">
        <v>53</v>
      </c>
      <c r="C24" s="16">
        <f>$C$11*$C$12</f>
        <v>250000</v>
      </c>
      <c r="E24" s="3" t="s">
        <v>54</v>
      </c>
      <c r="F24" s="3"/>
      <c r="G24" s="3"/>
    </row>
    <row r="25" spans="2:12" ht="21.75" customHeight="1" x14ac:dyDescent="0.25">
      <c r="B25" s="14" t="s">
        <v>55</v>
      </c>
      <c r="C25" s="17">
        <f>IF($C$17="monatlich",12,IF($C$17="vierteljährlich",4,IF($C$17="halbjährlich",2,1)))</f>
        <v>12</v>
      </c>
      <c r="E25" s="3"/>
      <c r="F25" s="3"/>
      <c r="G25" s="3"/>
      <c r="H25" s="11" t="s">
        <v>56</v>
      </c>
      <c r="I25" s="11"/>
      <c r="J25" s="11"/>
      <c r="K25" s="11"/>
      <c r="L25" s="11"/>
    </row>
    <row r="26" spans="2:12" ht="24" customHeight="1" x14ac:dyDescent="0.25">
      <c r="B26" s="14" t="s">
        <v>57</v>
      </c>
      <c r="C26" s="18">
        <f>$C$13/$C$25</f>
        <v>2.8750000000000004E-3</v>
      </c>
      <c r="E26" s="3"/>
      <c r="F26" s="3"/>
      <c r="G26" s="3"/>
      <c r="H26" s="2" t="str">
        <f>IF($C$20&gt;$C$21*$C$11,"⚠  Die geplante Sondertilgung übersteigt die vertragliche Obergrenze – gerechnet wird mit dem zulässigen Höchstbetrag.","✓  Die Sondertilgung liegt innerhalb der vertraglichen Obergrenze.")</f>
        <v>✓  Die Sondertilgung liegt innerhalb der vertraglichen Obergrenze.</v>
      </c>
      <c r="I26" s="2"/>
      <c r="J26" s="2"/>
      <c r="K26" s="2"/>
      <c r="L26" s="2"/>
    </row>
    <row r="27" spans="2:12" ht="24" customHeight="1" x14ac:dyDescent="0.25">
      <c r="B27" s="14" t="s">
        <v>58</v>
      </c>
      <c r="C27" s="16">
        <f>$C$11*($C$13+$C$15)</f>
        <v>14875.000000000002</v>
      </c>
      <c r="E27" s="3"/>
      <c r="F27" s="3"/>
      <c r="G27" s="3"/>
      <c r="H27" s="2" t="str">
        <f>IF($C$14&lt;&gt;"Annuitätendarlehen","✓  Tilgungsart ohne Annuitätsvorgabe – die Rate ergibt sich aus Zins und Tilgungsplan.",IF($C$15&lt;=0,"⚠  Die anfängliche Tilgung muss größer als 0 % sein, sonst wird das Darlehen nie getilgt.","✓  Die Annuität deckt Zins und Tilgung ab."))</f>
        <v>✓  Die Annuität deckt Zins und Tilgung ab.</v>
      </c>
      <c r="I27" s="2"/>
      <c r="J27" s="2"/>
      <c r="K27" s="2"/>
      <c r="L27" s="2"/>
    </row>
    <row r="28" spans="2:12" ht="24" customHeight="1" x14ac:dyDescent="0.25">
      <c r="B28" s="14" t="s">
        <v>59</v>
      </c>
      <c r="C28" s="16">
        <f>IF($C$14="Annuitätendarlehen",ROUND($C$27/$C$25,2),IF($C$14="Ratendarlehen",ROUND($C$11/($C$16*$C$25)+$C$11*$C$26,2),ROUND($C$11*$C$26,2)))</f>
        <v>1239.58</v>
      </c>
      <c r="E28" s="3"/>
      <c r="F28" s="3"/>
      <c r="G28" s="3"/>
      <c r="H28" s="2" t="str">
        <f>IF(Tilgungsplan!$J$487&gt;0,"⚠  Das Darlehen ist innerhalb von 480 Zahlungen nicht vollständig getilgt – Tilgung oder Laufzeit erhöhen.","✓  Volltilgung liegt innerhalb des Planhorizonts.")</f>
        <v>✓  Volltilgung liegt innerhalb des Planhorizonts.</v>
      </c>
      <c r="I28" s="2"/>
      <c r="J28" s="2"/>
      <c r="K28" s="2"/>
      <c r="L28" s="2"/>
    </row>
    <row r="29" spans="2:12" ht="24" customHeight="1" x14ac:dyDescent="0.25">
      <c r="B29" s="14" t="s">
        <v>60</v>
      </c>
      <c r="C29" s="16">
        <f>IF($C$14="Ratendarlehen",ROUND($C$11/($C$16*$C$25),2),0)</f>
        <v>0</v>
      </c>
      <c r="E29" s="3"/>
      <c r="F29" s="3"/>
      <c r="G29" s="3"/>
      <c r="H29" s="2" t="str">
        <f>IF($C$19=0,"✓  Ohne Zinsbindung – die Konditionen gelten für die gesamte Laufzeit.",IF($C$19*$C$25&gt;$C$32,"⚠  Die Zinsbindung endet erst nach der Volltilgung – die Restschuld beträgt dann 0 €.","✓  Die Zinsbindung endet vor der Volltilgung – eine Anschlussfinanzierung ist einzuplanen."))</f>
        <v>✓  Die Zinsbindung endet vor der Volltilgung – eine Anschlussfinanzierung ist einzuplanen.</v>
      </c>
      <c r="I29" s="2"/>
      <c r="J29" s="2"/>
      <c r="K29" s="2"/>
      <c r="L29" s="2"/>
    </row>
    <row r="30" spans="2:12" ht="24" customHeight="1" x14ac:dyDescent="0.25">
      <c r="B30" s="14" t="s">
        <v>61</v>
      </c>
      <c r="C30" s="17">
        <f>$C$16*$C$25</f>
        <v>300</v>
      </c>
      <c r="E30" s="3"/>
      <c r="F30" s="3"/>
      <c r="G30" s="3"/>
      <c r="H30" s="2" t="str">
        <f>IF($C$12&lt;1,"⚠  Auszahlungskurs unter 100 % (Disagio): Die Restschuld läuft weiterhin auf dem Nominalbetrag.","✓  Auszahlung zu 100 % – Nominal- und Auszahlungsbetrag stimmen überein.")</f>
        <v>✓  Auszahlung zu 100 % – Nominal- und Auszahlungsbetrag stimmen überein.</v>
      </c>
      <c r="I30" s="2"/>
      <c r="J30" s="2"/>
      <c r="K30" s="2"/>
      <c r="L30" s="2"/>
    </row>
    <row r="31" spans="2:12" ht="18" customHeight="1" x14ac:dyDescent="0.25">
      <c r="B31" s="14" t="s">
        <v>62</v>
      </c>
      <c r="C31" s="16">
        <f>MIN($C$20,$C$21*$C$11)</f>
        <v>5000</v>
      </c>
      <c r="E31" s="3"/>
      <c r="F31" s="3"/>
      <c r="G31" s="3"/>
    </row>
    <row r="32" spans="2:12" ht="18" customHeight="1" x14ac:dyDescent="0.25">
      <c r="B32" s="14" t="s">
        <v>63</v>
      </c>
      <c r="C32" s="17">
        <f>COUNTIF(Tilgungsplan!$D$8:$D$487,"&gt;0")</f>
        <v>202</v>
      </c>
      <c r="E32" s="3"/>
      <c r="F32" s="3"/>
      <c r="G32" s="3"/>
    </row>
    <row r="33" spans="2:12" ht="12" customHeight="1" x14ac:dyDescent="0.25"/>
    <row r="34" spans="2:12" ht="21.75" customHeight="1" x14ac:dyDescent="0.25">
      <c r="B34" s="11" t="s">
        <v>64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2:12" ht="31.5" customHeight="1" x14ac:dyDescent="0.25">
      <c r="B35" s="19" t="s">
        <v>65</v>
      </c>
      <c r="C35" s="20" t="s">
        <v>66</v>
      </c>
      <c r="D35" s="20" t="s">
        <v>67</v>
      </c>
      <c r="E35" s="20" t="s">
        <v>68</v>
      </c>
      <c r="F35" s="20" t="s">
        <v>69</v>
      </c>
      <c r="G35" s="20" t="s">
        <v>70</v>
      </c>
      <c r="H35" s="20" t="s">
        <v>71</v>
      </c>
      <c r="I35" s="20" t="s">
        <v>72</v>
      </c>
      <c r="J35" s="20" t="s">
        <v>73</v>
      </c>
      <c r="K35" s="20" t="s">
        <v>74</v>
      </c>
      <c r="L35" s="20" t="s">
        <v>75</v>
      </c>
    </row>
    <row r="36" spans="2:12" ht="15.75" customHeight="1" x14ac:dyDescent="0.25">
      <c r="B36" s="21">
        <f>YEAR($C$18)</f>
        <v>2026</v>
      </c>
      <c r="C36" s="22">
        <f>COUNTIF(Tilgungsplan!$C$8:$C$487,$B36)</f>
        <v>12</v>
      </c>
      <c r="D36" s="23">
        <f>SUMIF(Tilgungsplan!$C$8:$C$487,$B36,Tilgungsplan!$I$8:$I$487)</f>
        <v>19874.96</v>
      </c>
      <c r="E36" s="23">
        <f>SUMIF(Tilgungsplan!$C$8:$C$487,$B36,Tilgungsplan!$F$8:$F$487)</f>
        <v>8525.2099999999991</v>
      </c>
      <c r="F36" s="23">
        <f>SUMIF(Tilgungsplan!$C$8:$C$487,$B36,Tilgungsplan!$G$8:$G$487)</f>
        <v>6349.75</v>
      </c>
      <c r="G36" s="23">
        <f>SUMIF(Tilgungsplan!$C$8:$C$487,$B36,Tilgungsplan!$H$8:$H$487)</f>
        <v>5000</v>
      </c>
      <c r="H36" s="23">
        <f t="shared" ref="H36:H75" si="0">F36+G36</f>
        <v>11349.75</v>
      </c>
      <c r="I36" s="23">
        <f>IF($C36=0,"",$C$11-SUM($H$36:$H36))</f>
        <v>238650.25</v>
      </c>
      <c r="J36" s="23">
        <f>IF($C36=0,"",SUM($E$36:$E36))</f>
        <v>8525.2099999999991</v>
      </c>
      <c r="K36" s="24">
        <f>IF($C36=0,"",IF($C$11=0,0,SUM($H$36:$H36)/$C$11))</f>
        <v>4.5399000000000002E-2</v>
      </c>
      <c r="L36" s="25" t="str">
        <f>IF($C36=0,"",IF($C$11-SUM($H$36:$H36)&lt;=0.005,"Volltilgung",IF($B36=YEAR($C$18)+$C$19-1,"Ende der Zinsbindung","")))</f>
        <v/>
      </c>
    </row>
    <row r="37" spans="2:12" ht="15.75" customHeight="1" x14ac:dyDescent="0.25">
      <c r="B37" s="26">
        <f t="shared" ref="B37:B75" si="1">B36+1</f>
        <v>2027</v>
      </c>
      <c r="C37" s="27">
        <f>COUNTIF(Tilgungsplan!$C$8:$C$487,$B37)</f>
        <v>12</v>
      </c>
      <c r="D37" s="28">
        <f>SUMIF(Tilgungsplan!$C$8:$C$487,$B37,Tilgungsplan!$I$8:$I$487)</f>
        <v>19874.96</v>
      </c>
      <c r="E37" s="28">
        <f>SUMIF(Tilgungsplan!$C$8:$C$487,$B37,Tilgungsplan!$F$8:$F$487)</f>
        <v>8127.39</v>
      </c>
      <c r="F37" s="28">
        <f>SUMIF(Tilgungsplan!$C$8:$C$487,$B37,Tilgungsplan!$G$8:$G$487)</f>
        <v>6747.57</v>
      </c>
      <c r="G37" s="28">
        <f>SUMIF(Tilgungsplan!$C$8:$C$487,$B37,Tilgungsplan!$H$8:$H$487)</f>
        <v>5000</v>
      </c>
      <c r="H37" s="28">
        <f t="shared" si="0"/>
        <v>11747.57</v>
      </c>
      <c r="I37" s="28">
        <f>IF($C37=0,"",$C$11-SUM($H$36:$H37))</f>
        <v>226902.68</v>
      </c>
      <c r="J37" s="28">
        <f>IF($C37=0,"",SUM($E$36:$E37))</f>
        <v>16652.599999999999</v>
      </c>
      <c r="K37" s="29">
        <f>IF($C37=0,"",IF($C$11=0,0,SUM($H$36:$H37)/$C$11))</f>
        <v>9.2389280000000004E-2</v>
      </c>
      <c r="L37" s="30" t="str">
        <f>IF($C37=0,"",IF($C$11-SUM($H$36:$H37)&lt;=0.005,"Volltilgung",IF($B37=YEAR($C$18)+$C$19-1,"Ende der Zinsbindung","")))</f>
        <v/>
      </c>
    </row>
    <row r="38" spans="2:12" ht="15.75" customHeight="1" x14ac:dyDescent="0.25">
      <c r="B38" s="21">
        <f t="shared" si="1"/>
        <v>2028</v>
      </c>
      <c r="C38" s="22">
        <f>COUNTIF(Tilgungsplan!$C$8:$C$487,$B38)</f>
        <v>12</v>
      </c>
      <c r="D38" s="23">
        <f>SUMIF(Tilgungsplan!$C$8:$C$487,$B38,Tilgungsplan!$I$8:$I$487)</f>
        <v>19874.96</v>
      </c>
      <c r="E38" s="23">
        <f>SUMIF(Tilgungsplan!$C$8:$C$487,$B38,Tilgungsplan!$F$8:$F$487)</f>
        <v>7715.63</v>
      </c>
      <c r="F38" s="23">
        <f>SUMIF(Tilgungsplan!$C$8:$C$487,$B38,Tilgungsplan!$G$8:$G$487)</f>
        <v>7159.329999999999</v>
      </c>
      <c r="G38" s="23">
        <f>SUMIF(Tilgungsplan!$C$8:$C$487,$B38,Tilgungsplan!$H$8:$H$487)</f>
        <v>5000</v>
      </c>
      <c r="H38" s="23">
        <f t="shared" si="0"/>
        <v>12159.329999999998</v>
      </c>
      <c r="I38" s="23">
        <f>IF($C38=0,"",$C$11-SUM($H$36:$H38))</f>
        <v>214743.35</v>
      </c>
      <c r="J38" s="23">
        <f>IF($C38=0,"",SUM($E$36:$E38))</f>
        <v>24368.23</v>
      </c>
      <c r="K38" s="24">
        <f>IF($C38=0,"",IF($C$11=0,0,SUM($H$36:$H38)/$C$11))</f>
        <v>0.14102659999999997</v>
      </c>
      <c r="L38" s="25" t="str">
        <f>IF($C38=0,"",IF($C$11-SUM($H$36:$H38)&lt;=0.005,"Volltilgung",IF($B38=YEAR($C$18)+$C$19-1,"Ende der Zinsbindung","")))</f>
        <v/>
      </c>
    </row>
    <row r="39" spans="2:12" ht="15.75" customHeight="1" x14ac:dyDescent="0.25">
      <c r="B39" s="26">
        <f t="shared" si="1"/>
        <v>2029</v>
      </c>
      <c r="C39" s="27">
        <f>COUNTIF(Tilgungsplan!$C$8:$C$487,$B39)</f>
        <v>12</v>
      </c>
      <c r="D39" s="28">
        <f>SUMIF(Tilgungsplan!$C$8:$C$487,$B39,Tilgungsplan!$I$8:$I$487)</f>
        <v>19874.96</v>
      </c>
      <c r="E39" s="28">
        <f>SUMIF(Tilgungsplan!$C$8:$C$487,$B39,Tilgungsplan!$F$8:$F$487)</f>
        <v>7289.4600000000009</v>
      </c>
      <c r="F39" s="28">
        <f>SUMIF(Tilgungsplan!$C$8:$C$487,$B39,Tilgungsplan!$G$8:$G$487)</f>
        <v>7585.4999999999982</v>
      </c>
      <c r="G39" s="28">
        <f>SUMIF(Tilgungsplan!$C$8:$C$487,$B39,Tilgungsplan!$H$8:$H$487)</f>
        <v>5000</v>
      </c>
      <c r="H39" s="28">
        <f t="shared" si="0"/>
        <v>12585.499999999998</v>
      </c>
      <c r="I39" s="28">
        <f>IF($C39=0,"",$C$11-SUM($H$36:$H39))</f>
        <v>202157.85</v>
      </c>
      <c r="J39" s="28">
        <f>IF($C39=0,"",SUM($E$36:$E39))</f>
        <v>31657.690000000002</v>
      </c>
      <c r="K39" s="29">
        <f>IF($C39=0,"",IF($C$11=0,0,SUM($H$36:$H39)/$C$11))</f>
        <v>0.19136859999999997</v>
      </c>
      <c r="L39" s="30" t="str">
        <f>IF($C39=0,"",IF($C$11-SUM($H$36:$H39)&lt;=0.005,"Volltilgung",IF($B39=YEAR($C$18)+$C$19-1,"Ende der Zinsbindung","")))</f>
        <v/>
      </c>
    </row>
    <row r="40" spans="2:12" ht="15.75" customHeight="1" x14ac:dyDescent="0.25">
      <c r="B40" s="21">
        <f t="shared" si="1"/>
        <v>2030</v>
      </c>
      <c r="C40" s="22">
        <f>COUNTIF(Tilgungsplan!$C$8:$C$487,$B40)</f>
        <v>12</v>
      </c>
      <c r="D40" s="23">
        <f>SUMIF(Tilgungsplan!$C$8:$C$487,$B40,Tilgungsplan!$I$8:$I$487)</f>
        <v>19874.96</v>
      </c>
      <c r="E40" s="23">
        <f>SUMIF(Tilgungsplan!$C$8:$C$487,$B40,Tilgungsplan!$F$8:$F$487)</f>
        <v>6848.31</v>
      </c>
      <c r="F40" s="23">
        <f>SUMIF(Tilgungsplan!$C$8:$C$487,$B40,Tilgungsplan!$G$8:$G$487)</f>
        <v>8026.6499999999987</v>
      </c>
      <c r="G40" s="23">
        <f>SUMIF(Tilgungsplan!$C$8:$C$487,$B40,Tilgungsplan!$H$8:$H$487)</f>
        <v>5000</v>
      </c>
      <c r="H40" s="23">
        <f t="shared" si="0"/>
        <v>13026.649999999998</v>
      </c>
      <c r="I40" s="23">
        <f>IF($C40=0,"",$C$11-SUM($H$36:$H40))</f>
        <v>189131.2</v>
      </c>
      <c r="J40" s="23">
        <f>IF($C40=0,"",SUM($E$36:$E40))</f>
        <v>38506</v>
      </c>
      <c r="K40" s="24">
        <f>IF($C40=0,"",IF($C$11=0,0,SUM($H$36:$H40)/$C$11))</f>
        <v>0.24347519999999995</v>
      </c>
      <c r="L40" s="25" t="str">
        <f>IF($C40=0,"",IF($C$11-SUM($H$36:$H40)&lt;=0.005,"Volltilgung",IF($B40=YEAR($C$18)+$C$19-1,"Ende der Zinsbindung","")))</f>
        <v/>
      </c>
    </row>
    <row r="41" spans="2:12" ht="15.75" customHeight="1" x14ac:dyDescent="0.25">
      <c r="B41" s="26">
        <f t="shared" si="1"/>
        <v>2031</v>
      </c>
      <c r="C41" s="27">
        <f>COUNTIF(Tilgungsplan!$C$8:$C$487,$B41)</f>
        <v>12</v>
      </c>
      <c r="D41" s="28">
        <f>SUMIF(Tilgungsplan!$C$8:$C$487,$B41,Tilgungsplan!$I$8:$I$487)</f>
        <v>19874.96</v>
      </c>
      <c r="E41" s="28">
        <f>SUMIF(Tilgungsplan!$C$8:$C$487,$B41,Tilgungsplan!$F$8:$F$487)</f>
        <v>6391.73</v>
      </c>
      <c r="F41" s="28">
        <f>SUMIF(Tilgungsplan!$C$8:$C$487,$B41,Tilgungsplan!$G$8:$G$487)</f>
        <v>8483.23</v>
      </c>
      <c r="G41" s="28">
        <f>SUMIF(Tilgungsplan!$C$8:$C$487,$B41,Tilgungsplan!$H$8:$H$487)</f>
        <v>5000</v>
      </c>
      <c r="H41" s="28">
        <f t="shared" si="0"/>
        <v>13483.23</v>
      </c>
      <c r="I41" s="28">
        <f>IF($C41=0,"",$C$11-SUM($H$36:$H41))</f>
        <v>175647.97000000003</v>
      </c>
      <c r="J41" s="28">
        <f>IF($C41=0,"",SUM($E$36:$E41))</f>
        <v>44897.729999999996</v>
      </c>
      <c r="K41" s="29">
        <f>IF($C41=0,"",IF($C$11=0,0,SUM($H$36:$H41)/$C$11))</f>
        <v>0.29740811999999994</v>
      </c>
      <c r="L41" s="30" t="str">
        <f>IF($C41=0,"",IF($C$11-SUM($H$36:$H41)&lt;=0.005,"Volltilgung",IF($B41=YEAR($C$18)+$C$19-1,"Ende der Zinsbindung","")))</f>
        <v/>
      </c>
    </row>
    <row r="42" spans="2:12" ht="15.75" customHeight="1" x14ac:dyDescent="0.25">
      <c r="B42" s="21">
        <f t="shared" si="1"/>
        <v>2032</v>
      </c>
      <c r="C42" s="22">
        <f>COUNTIF(Tilgungsplan!$C$8:$C$487,$B42)</f>
        <v>12</v>
      </c>
      <c r="D42" s="23">
        <f>SUMIF(Tilgungsplan!$C$8:$C$487,$B42,Tilgungsplan!$I$8:$I$487)</f>
        <v>19874.96</v>
      </c>
      <c r="E42" s="23">
        <f>SUMIF(Tilgungsplan!$C$8:$C$487,$B42,Tilgungsplan!$F$8:$F$487)</f>
        <v>5919.1200000000008</v>
      </c>
      <c r="F42" s="23">
        <f>SUMIF(Tilgungsplan!$C$8:$C$487,$B42,Tilgungsplan!$G$8:$G$487)</f>
        <v>8955.8399999999983</v>
      </c>
      <c r="G42" s="23">
        <f>SUMIF(Tilgungsplan!$C$8:$C$487,$B42,Tilgungsplan!$H$8:$H$487)</f>
        <v>5000</v>
      </c>
      <c r="H42" s="23">
        <f t="shared" si="0"/>
        <v>13955.839999999998</v>
      </c>
      <c r="I42" s="23">
        <f>IF($C42=0,"",$C$11-SUM($H$36:$H42))</f>
        <v>161692.13</v>
      </c>
      <c r="J42" s="23">
        <f>IF($C42=0,"",SUM($E$36:$E42))</f>
        <v>50816.85</v>
      </c>
      <c r="K42" s="24">
        <f>IF($C42=0,"",IF($C$11=0,0,SUM($H$36:$H42)/$C$11))</f>
        <v>0.35323147999999993</v>
      </c>
      <c r="L42" s="25" t="str">
        <f>IF($C42=0,"",IF($C$11-SUM($H$36:$H42)&lt;=0.005,"Volltilgung",IF($B42=YEAR($C$18)+$C$19-1,"Ende der Zinsbindung","")))</f>
        <v/>
      </c>
    </row>
    <row r="43" spans="2:12" ht="15.75" customHeight="1" x14ac:dyDescent="0.25">
      <c r="B43" s="26">
        <f t="shared" si="1"/>
        <v>2033</v>
      </c>
      <c r="C43" s="27">
        <f>COUNTIF(Tilgungsplan!$C$8:$C$487,$B43)</f>
        <v>12</v>
      </c>
      <c r="D43" s="28">
        <f>SUMIF(Tilgungsplan!$C$8:$C$487,$B43,Tilgungsplan!$I$8:$I$487)</f>
        <v>19874.96</v>
      </c>
      <c r="E43" s="28">
        <f>SUMIF(Tilgungsplan!$C$8:$C$487,$B43,Tilgungsplan!$F$8:$F$487)</f>
        <v>5429.9500000000007</v>
      </c>
      <c r="F43" s="28">
        <f>SUMIF(Tilgungsplan!$C$8:$C$487,$B43,Tilgungsplan!$G$8:$G$487)</f>
        <v>9445.0099999999984</v>
      </c>
      <c r="G43" s="28">
        <f>SUMIF(Tilgungsplan!$C$8:$C$487,$B43,Tilgungsplan!$H$8:$H$487)</f>
        <v>5000</v>
      </c>
      <c r="H43" s="28">
        <f t="shared" si="0"/>
        <v>14445.009999999998</v>
      </c>
      <c r="I43" s="28">
        <f>IF($C43=0,"",$C$11-SUM($H$36:$H43))</f>
        <v>147247.12000000002</v>
      </c>
      <c r="J43" s="28">
        <f>IF($C43=0,"",SUM($E$36:$E43))</f>
        <v>56246.8</v>
      </c>
      <c r="K43" s="29">
        <f>IF($C43=0,"",IF($C$11=0,0,SUM($H$36:$H43)/$C$11))</f>
        <v>0.41101151999999991</v>
      </c>
      <c r="L43" s="30" t="str">
        <f>IF($C43=0,"",IF($C$11-SUM($H$36:$H43)&lt;=0.005,"Volltilgung",IF($B43=YEAR($C$18)+$C$19-1,"Ende der Zinsbindung","")))</f>
        <v/>
      </c>
    </row>
    <row r="44" spans="2:12" ht="15.75" customHeight="1" x14ac:dyDescent="0.25">
      <c r="B44" s="21">
        <f t="shared" si="1"/>
        <v>2034</v>
      </c>
      <c r="C44" s="22">
        <f>COUNTIF(Tilgungsplan!$C$8:$C$487,$B44)</f>
        <v>12</v>
      </c>
      <c r="D44" s="23">
        <f>SUMIF(Tilgungsplan!$C$8:$C$487,$B44,Tilgungsplan!$I$8:$I$487)</f>
        <v>19874.96</v>
      </c>
      <c r="E44" s="23">
        <f>SUMIF(Tilgungsplan!$C$8:$C$487,$B44,Tilgungsplan!$F$8:$F$487)</f>
        <v>4923.66</v>
      </c>
      <c r="F44" s="23">
        <f>SUMIF(Tilgungsplan!$C$8:$C$487,$B44,Tilgungsplan!$G$8:$G$487)</f>
        <v>9951.3000000000011</v>
      </c>
      <c r="G44" s="23">
        <f>SUMIF(Tilgungsplan!$C$8:$C$487,$B44,Tilgungsplan!$H$8:$H$487)</f>
        <v>5000</v>
      </c>
      <c r="H44" s="23">
        <f t="shared" si="0"/>
        <v>14951.300000000001</v>
      </c>
      <c r="I44" s="23">
        <f>IF($C44=0,"",$C$11-SUM($H$36:$H44))</f>
        <v>132295.82</v>
      </c>
      <c r="J44" s="23">
        <f>IF($C44=0,"",SUM($E$36:$E44))</f>
        <v>61170.460000000006</v>
      </c>
      <c r="K44" s="24">
        <f>IF($C44=0,"",IF($C$11=0,0,SUM($H$36:$H44)/$C$11))</f>
        <v>0.47081671999999991</v>
      </c>
      <c r="L44" s="25" t="str">
        <f>IF($C44=0,"",IF($C$11-SUM($H$36:$H44)&lt;=0.005,"Volltilgung",IF($B44=YEAR($C$18)+$C$19-1,"Ende der Zinsbindung","")))</f>
        <v/>
      </c>
    </row>
    <row r="45" spans="2:12" ht="15.75" customHeight="1" x14ac:dyDescent="0.25">
      <c r="B45" s="26">
        <f t="shared" si="1"/>
        <v>2035</v>
      </c>
      <c r="C45" s="27">
        <f>COUNTIF(Tilgungsplan!$C$8:$C$487,$B45)</f>
        <v>12</v>
      </c>
      <c r="D45" s="28">
        <f>SUMIF(Tilgungsplan!$C$8:$C$487,$B45,Tilgungsplan!$I$8:$I$487)</f>
        <v>19874.96</v>
      </c>
      <c r="E45" s="28">
        <f>SUMIF(Tilgungsplan!$C$8:$C$487,$B45,Tilgungsplan!$F$8:$F$487)</f>
        <v>4399.6000000000004</v>
      </c>
      <c r="F45" s="28">
        <f>SUMIF(Tilgungsplan!$C$8:$C$487,$B45,Tilgungsplan!$G$8:$G$487)</f>
        <v>10475.359999999997</v>
      </c>
      <c r="G45" s="28">
        <f>SUMIF(Tilgungsplan!$C$8:$C$487,$B45,Tilgungsplan!$H$8:$H$487)</f>
        <v>5000</v>
      </c>
      <c r="H45" s="28">
        <f t="shared" si="0"/>
        <v>15475.359999999997</v>
      </c>
      <c r="I45" s="28">
        <f>IF($C45=0,"",$C$11-SUM($H$36:$H45))</f>
        <v>116820.46000000002</v>
      </c>
      <c r="J45" s="28">
        <f>IF($C45=0,"",SUM($E$36:$E45))</f>
        <v>65570.060000000012</v>
      </c>
      <c r="K45" s="29">
        <f>IF($C45=0,"",IF($C$11=0,0,SUM($H$36:$H45)/$C$11))</f>
        <v>0.53271815999999994</v>
      </c>
      <c r="L45" s="30" t="str">
        <f>IF($C45=0,"",IF($C$11-SUM($H$36:$H45)&lt;=0.005,"Volltilgung",IF($B45=YEAR($C$18)+$C$19-1,"Ende der Zinsbindung","")))</f>
        <v>Ende der Zinsbindung</v>
      </c>
    </row>
    <row r="46" spans="2:12" ht="15.75" customHeight="1" x14ac:dyDescent="0.25">
      <c r="B46" s="21">
        <f t="shared" si="1"/>
        <v>2036</v>
      </c>
      <c r="C46" s="22">
        <f>COUNTIF(Tilgungsplan!$C$8:$C$487,$B46)</f>
        <v>12</v>
      </c>
      <c r="D46" s="23">
        <f>SUMIF(Tilgungsplan!$C$8:$C$487,$B46,Tilgungsplan!$I$8:$I$487)</f>
        <v>19874.96</v>
      </c>
      <c r="E46" s="23">
        <f>SUMIF(Tilgungsplan!$C$8:$C$487,$B46,Tilgungsplan!$F$8:$F$487)</f>
        <v>3857.1499999999996</v>
      </c>
      <c r="F46" s="23">
        <f>SUMIF(Tilgungsplan!$C$8:$C$487,$B46,Tilgungsplan!$G$8:$G$487)</f>
        <v>11017.81</v>
      </c>
      <c r="G46" s="23">
        <f>SUMIF(Tilgungsplan!$C$8:$C$487,$B46,Tilgungsplan!$H$8:$H$487)</f>
        <v>5000</v>
      </c>
      <c r="H46" s="23">
        <f t="shared" si="0"/>
        <v>16017.81</v>
      </c>
      <c r="I46" s="23">
        <f>IF($C46=0,"",$C$11-SUM($H$36:$H46))</f>
        <v>100802.65000000002</v>
      </c>
      <c r="J46" s="23">
        <f>IF($C46=0,"",SUM($E$36:$E46))</f>
        <v>69427.210000000006</v>
      </c>
      <c r="K46" s="24">
        <f>IF($C46=0,"",IF($C$11=0,0,SUM($H$36:$H46)/$C$11))</f>
        <v>0.59678939999999991</v>
      </c>
      <c r="L46" s="25" t="str">
        <f>IF($C46=0,"",IF($C$11-SUM($H$36:$H46)&lt;=0.005,"Volltilgung",IF($B46=YEAR($C$18)+$C$19-1,"Ende der Zinsbindung","")))</f>
        <v/>
      </c>
    </row>
    <row r="47" spans="2:12" ht="15.75" customHeight="1" x14ac:dyDescent="0.25">
      <c r="B47" s="26">
        <f t="shared" si="1"/>
        <v>2037</v>
      </c>
      <c r="C47" s="27">
        <f>COUNTIF(Tilgungsplan!$C$8:$C$487,$B47)</f>
        <v>12</v>
      </c>
      <c r="D47" s="28">
        <f>SUMIF(Tilgungsplan!$C$8:$C$487,$B47,Tilgungsplan!$I$8:$I$487)</f>
        <v>19874.96</v>
      </c>
      <c r="E47" s="28">
        <f>SUMIF(Tilgungsplan!$C$8:$C$487,$B47,Tilgungsplan!$F$8:$F$487)</f>
        <v>3295.7599999999998</v>
      </c>
      <c r="F47" s="28">
        <f>SUMIF(Tilgungsplan!$C$8:$C$487,$B47,Tilgungsplan!$G$8:$G$487)</f>
        <v>11579.199999999999</v>
      </c>
      <c r="G47" s="28">
        <f>SUMIF(Tilgungsplan!$C$8:$C$487,$B47,Tilgungsplan!$H$8:$H$487)</f>
        <v>5000</v>
      </c>
      <c r="H47" s="28">
        <f t="shared" si="0"/>
        <v>16579.199999999997</v>
      </c>
      <c r="I47" s="28">
        <f>IF($C47=0,"",$C$11-SUM($H$36:$H47))</f>
        <v>84223.450000000012</v>
      </c>
      <c r="J47" s="28">
        <f>IF($C47=0,"",SUM($E$36:$E47))</f>
        <v>72722.97</v>
      </c>
      <c r="K47" s="29">
        <f>IF($C47=0,"",IF($C$11=0,0,SUM($H$36:$H47)/$C$11))</f>
        <v>0.66310619999999998</v>
      </c>
      <c r="L47" s="30" t="str">
        <f>IF($C47=0,"",IF($C$11-SUM($H$36:$H47)&lt;=0.005,"Volltilgung",IF($B47=YEAR($C$18)+$C$19-1,"Ende der Zinsbindung","")))</f>
        <v/>
      </c>
    </row>
    <row r="48" spans="2:12" ht="15.75" customHeight="1" x14ac:dyDescent="0.25">
      <c r="B48" s="21">
        <f t="shared" si="1"/>
        <v>2038</v>
      </c>
      <c r="C48" s="22">
        <f>COUNTIF(Tilgungsplan!$C$8:$C$487,$B48)</f>
        <v>12</v>
      </c>
      <c r="D48" s="23">
        <f>SUMIF(Tilgungsplan!$C$8:$C$487,$B48,Tilgungsplan!$I$8:$I$487)</f>
        <v>19874.96</v>
      </c>
      <c r="E48" s="23">
        <f>SUMIF(Tilgungsplan!$C$8:$C$487,$B48,Tilgungsplan!$F$8:$F$487)</f>
        <v>2714.59</v>
      </c>
      <c r="F48" s="23">
        <f>SUMIF(Tilgungsplan!$C$8:$C$487,$B48,Tilgungsplan!$G$8:$G$487)</f>
        <v>12160.369999999999</v>
      </c>
      <c r="G48" s="23">
        <f>SUMIF(Tilgungsplan!$C$8:$C$487,$B48,Tilgungsplan!$H$8:$H$487)</f>
        <v>5000</v>
      </c>
      <c r="H48" s="23">
        <f t="shared" si="0"/>
        <v>17160.37</v>
      </c>
      <c r="I48" s="23">
        <f>IF($C48=0,"",$C$11-SUM($H$36:$H48))</f>
        <v>67063.080000000016</v>
      </c>
      <c r="J48" s="23">
        <f>IF($C48=0,"",SUM($E$36:$E48))</f>
        <v>75437.56</v>
      </c>
      <c r="K48" s="24">
        <f>IF($C48=0,"",IF($C$11=0,0,SUM($H$36:$H48)/$C$11))</f>
        <v>0.7317476799999999</v>
      </c>
      <c r="L48" s="25" t="str">
        <f>IF($C48=0,"",IF($C$11-SUM($H$36:$H48)&lt;=0.005,"Volltilgung",IF($B48=YEAR($C$18)+$C$19-1,"Ende der Zinsbindung","")))</f>
        <v/>
      </c>
    </row>
    <row r="49" spans="2:12" ht="15.75" customHeight="1" x14ac:dyDescent="0.25">
      <c r="B49" s="26">
        <f t="shared" si="1"/>
        <v>2039</v>
      </c>
      <c r="C49" s="27">
        <f>COUNTIF(Tilgungsplan!$C$8:$C$487,$B49)</f>
        <v>12</v>
      </c>
      <c r="D49" s="28">
        <f>SUMIF(Tilgungsplan!$C$8:$C$487,$B49,Tilgungsplan!$I$8:$I$487)</f>
        <v>19874.96</v>
      </c>
      <c r="E49" s="28">
        <f>SUMIF(Tilgungsplan!$C$8:$C$487,$B49,Tilgungsplan!$F$8:$F$487)</f>
        <v>2113.15</v>
      </c>
      <c r="F49" s="28">
        <f>SUMIF(Tilgungsplan!$C$8:$C$487,$B49,Tilgungsplan!$G$8:$G$487)</f>
        <v>12761.810000000001</v>
      </c>
      <c r="G49" s="28">
        <f>SUMIF(Tilgungsplan!$C$8:$C$487,$B49,Tilgungsplan!$H$8:$H$487)</f>
        <v>5000</v>
      </c>
      <c r="H49" s="28">
        <f t="shared" si="0"/>
        <v>17761.810000000001</v>
      </c>
      <c r="I49" s="28">
        <f>IF($C49=0,"",$C$11-SUM($H$36:$H49))</f>
        <v>49301.270000000019</v>
      </c>
      <c r="J49" s="28">
        <f>IF($C49=0,"",SUM($E$36:$E49))</f>
        <v>77550.709999999992</v>
      </c>
      <c r="K49" s="29">
        <f>IF($C49=0,"",IF($C$11=0,0,SUM($H$36:$H49)/$C$11))</f>
        <v>0.80279491999999997</v>
      </c>
      <c r="L49" s="30" t="str">
        <f>IF($C49=0,"",IF($C$11-SUM($H$36:$H49)&lt;=0.005,"Volltilgung",IF($B49=YEAR($C$18)+$C$19-1,"Ende der Zinsbindung","")))</f>
        <v/>
      </c>
    </row>
    <row r="50" spans="2:12" ht="15.75" customHeight="1" x14ac:dyDescent="0.25">
      <c r="B50" s="21">
        <f t="shared" si="1"/>
        <v>2040</v>
      </c>
      <c r="C50" s="22">
        <f>COUNTIF(Tilgungsplan!$C$8:$C$487,$B50)</f>
        <v>12</v>
      </c>
      <c r="D50" s="23">
        <f>SUMIF(Tilgungsplan!$C$8:$C$487,$B50,Tilgungsplan!$I$8:$I$487)</f>
        <v>19874.96</v>
      </c>
      <c r="E50" s="23">
        <f>SUMIF(Tilgungsplan!$C$8:$C$487,$B50,Tilgungsplan!$F$8:$F$487)</f>
        <v>1490.59</v>
      </c>
      <c r="F50" s="23">
        <f>SUMIF(Tilgungsplan!$C$8:$C$487,$B50,Tilgungsplan!$G$8:$G$487)</f>
        <v>13384.369999999999</v>
      </c>
      <c r="G50" s="23">
        <f>SUMIF(Tilgungsplan!$C$8:$C$487,$B50,Tilgungsplan!$H$8:$H$487)</f>
        <v>5000</v>
      </c>
      <c r="H50" s="23">
        <f t="shared" si="0"/>
        <v>18384.37</v>
      </c>
      <c r="I50" s="23">
        <f>IF($C50=0,"",$C$11-SUM($H$36:$H50))</f>
        <v>30916.900000000023</v>
      </c>
      <c r="J50" s="23">
        <f>IF($C50=0,"",SUM($E$36:$E50))</f>
        <v>79041.299999999988</v>
      </c>
      <c r="K50" s="24">
        <f>IF($C50=0,"",IF($C$11=0,0,SUM($H$36:$H50)/$C$11))</f>
        <v>0.8763323999999999</v>
      </c>
      <c r="L50" s="25" t="str">
        <f>IF($C50=0,"",IF($C$11-SUM($H$36:$H50)&lt;=0.005,"Volltilgung",IF($B50=YEAR($C$18)+$C$19-1,"Ende der Zinsbindung","")))</f>
        <v/>
      </c>
    </row>
    <row r="51" spans="2:12" ht="15.75" customHeight="1" x14ac:dyDescent="0.25">
      <c r="B51" s="26">
        <f t="shared" si="1"/>
        <v>2041</v>
      </c>
      <c r="C51" s="27">
        <f>COUNTIF(Tilgungsplan!$C$8:$C$487,$B51)</f>
        <v>12</v>
      </c>
      <c r="D51" s="28">
        <f>SUMIF(Tilgungsplan!$C$8:$C$487,$B51,Tilgungsplan!$I$8:$I$487)</f>
        <v>19874.96</v>
      </c>
      <c r="E51" s="28">
        <f>SUMIF(Tilgungsplan!$C$8:$C$487,$B51,Tilgungsplan!$F$8:$F$487)</f>
        <v>846.18999999999994</v>
      </c>
      <c r="F51" s="28">
        <f>SUMIF(Tilgungsplan!$C$8:$C$487,$B51,Tilgungsplan!$G$8:$G$487)</f>
        <v>14028.77</v>
      </c>
      <c r="G51" s="28">
        <f>SUMIF(Tilgungsplan!$C$8:$C$487,$B51,Tilgungsplan!$H$8:$H$487)</f>
        <v>5000</v>
      </c>
      <c r="H51" s="28">
        <f t="shared" si="0"/>
        <v>19028.77</v>
      </c>
      <c r="I51" s="28">
        <f>IF($C51=0,"",$C$11-SUM($H$36:$H51))</f>
        <v>11888.130000000034</v>
      </c>
      <c r="J51" s="28">
        <f>IF($C51=0,"",SUM($E$36:$E51))</f>
        <v>79887.489999999991</v>
      </c>
      <c r="K51" s="29">
        <f>IF($C51=0,"",IF($C$11=0,0,SUM($H$36:$H51)/$C$11))</f>
        <v>0.9524474799999999</v>
      </c>
      <c r="L51" s="30" t="str">
        <f>IF($C51=0,"",IF($C$11-SUM($H$36:$H51)&lt;=0.005,"Volltilgung",IF($B51=YEAR($C$18)+$C$19-1,"Ende der Zinsbindung","")))</f>
        <v/>
      </c>
    </row>
    <row r="52" spans="2:12" ht="15.75" customHeight="1" x14ac:dyDescent="0.25">
      <c r="B52" s="21">
        <f t="shared" si="1"/>
        <v>2042</v>
      </c>
      <c r="C52" s="22">
        <f>COUNTIF(Tilgungsplan!$C$8:$C$487,$B52)</f>
        <v>10</v>
      </c>
      <c r="D52" s="23">
        <f>SUMIF(Tilgungsplan!$C$8:$C$487,$B52,Tilgungsplan!$I$8:$I$487)</f>
        <v>12072.769999999999</v>
      </c>
      <c r="E52" s="23">
        <f>SUMIF(Tilgungsplan!$C$8:$C$487,$B52,Tilgungsplan!$F$8:$F$487)</f>
        <v>184.64</v>
      </c>
      <c r="F52" s="23">
        <f>SUMIF(Tilgungsplan!$C$8:$C$487,$B52,Tilgungsplan!$G$8:$G$487)</f>
        <v>11888.13</v>
      </c>
      <c r="G52" s="23">
        <f>SUMIF(Tilgungsplan!$C$8:$C$487,$B52,Tilgungsplan!$H$8:$H$487)</f>
        <v>0</v>
      </c>
      <c r="H52" s="23">
        <f t="shared" si="0"/>
        <v>11888.13</v>
      </c>
      <c r="I52" s="23">
        <f>IF($C52=0,"",$C$11-SUM($H$36:$H52))</f>
        <v>2.9103830456733704E-11</v>
      </c>
      <c r="J52" s="23">
        <f>IF($C52=0,"",SUM($E$36:$E52))</f>
        <v>80072.12999999999</v>
      </c>
      <c r="K52" s="24">
        <f>IF($C52=0,"",IF($C$11=0,0,SUM($H$36:$H52)/$C$11))</f>
        <v>0.99999999999999989</v>
      </c>
      <c r="L52" s="25" t="str">
        <f>IF($C52=0,"",IF($C$11-SUM($H$36:$H52)&lt;=0.005,"Volltilgung",IF($B52=YEAR($C$18)+$C$19-1,"Ende der Zinsbindung","")))</f>
        <v>Volltilgung</v>
      </c>
    </row>
    <row r="53" spans="2:12" ht="15.75" customHeight="1" x14ac:dyDescent="0.25">
      <c r="B53" s="26">
        <f t="shared" si="1"/>
        <v>2043</v>
      </c>
      <c r="C53" s="27">
        <f>COUNTIF(Tilgungsplan!$C$8:$C$487,$B53)</f>
        <v>0</v>
      </c>
      <c r="D53" s="28">
        <f>SUMIF(Tilgungsplan!$C$8:$C$487,$B53,Tilgungsplan!$I$8:$I$487)</f>
        <v>0</v>
      </c>
      <c r="E53" s="28">
        <f>SUMIF(Tilgungsplan!$C$8:$C$487,$B53,Tilgungsplan!$F$8:$F$487)</f>
        <v>0</v>
      </c>
      <c r="F53" s="28">
        <f>SUMIF(Tilgungsplan!$C$8:$C$487,$B53,Tilgungsplan!$G$8:$G$487)</f>
        <v>0</v>
      </c>
      <c r="G53" s="28">
        <f>SUMIF(Tilgungsplan!$C$8:$C$487,$B53,Tilgungsplan!$H$8:$H$487)</f>
        <v>0</v>
      </c>
      <c r="H53" s="28">
        <f t="shared" si="0"/>
        <v>0</v>
      </c>
      <c r="I53" s="28" t="str">
        <f>IF($C53=0,"",$C$11-SUM($H$36:$H53))</f>
        <v/>
      </c>
      <c r="J53" s="28" t="str">
        <f>IF($C53=0,"",SUM($E$36:$E53))</f>
        <v/>
      </c>
      <c r="K53" s="29" t="str">
        <f>IF($C53=0,"",IF($C$11=0,0,SUM($H$36:$H53)/$C$11))</f>
        <v/>
      </c>
      <c r="L53" s="30" t="str">
        <f>IF($C53=0,"",IF($C$11-SUM($H$36:$H53)&lt;=0.005,"Volltilgung",IF($B53=YEAR($C$18)+$C$19-1,"Ende der Zinsbindung","")))</f>
        <v/>
      </c>
    </row>
    <row r="54" spans="2:12" ht="15.75" customHeight="1" x14ac:dyDescent="0.25">
      <c r="B54" s="21">
        <f t="shared" si="1"/>
        <v>2044</v>
      </c>
      <c r="C54" s="22">
        <f>COUNTIF(Tilgungsplan!$C$8:$C$487,$B54)</f>
        <v>0</v>
      </c>
      <c r="D54" s="23">
        <f>SUMIF(Tilgungsplan!$C$8:$C$487,$B54,Tilgungsplan!$I$8:$I$487)</f>
        <v>0</v>
      </c>
      <c r="E54" s="23">
        <f>SUMIF(Tilgungsplan!$C$8:$C$487,$B54,Tilgungsplan!$F$8:$F$487)</f>
        <v>0</v>
      </c>
      <c r="F54" s="23">
        <f>SUMIF(Tilgungsplan!$C$8:$C$487,$B54,Tilgungsplan!$G$8:$G$487)</f>
        <v>0</v>
      </c>
      <c r="G54" s="23">
        <f>SUMIF(Tilgungsplan!$C$8:$C$487,$B54,Tilgungsplan!$H$8:$H$487)</f>
        <v>0</v>
      </c>
      <c r="H54" s="23">
        <f t="shared" si="0"/>
        <v>0</v>
      </c>
      <c r="I54" s="23" t="str">
        <f>IF($C54=0,"",$C$11-SUM($H$36:$H54))</f>
        <v/>
      </c>
      <c r="J54" s="23" t="str">
        <f>IF($C54=0,"",SUM($E$36:$E54))</f>
        <v/>
      </c>
      <c r="K54" s="24" t="str">
        <f>IF($C54=0,"",IF($C$11=0,0,SUM($H$36:$H54)/$C$11))</f>
        <v/>
      </c>
      <c r="L54" s="25" t="str">
        <f>IF($C54=0,"",IF($C$11-SUM($H$36:$H54)&lt;=0.005,"Volltilgung",IF($B54=YEAR($C$18)+$C$19-1,"Ende der Zinsbindung","")))</f>
        <v/>
      </c>
    </row>
    <row r="55" spans="2:12" ht="15.75" customHeight="1" x14ac:dyDescent="0.25">
      <c r="B55" s="26">
        <f t="shared" si="1"/>
        <v>2045</v>
      </c>
      <c r="C55" s="27">
        <f>COUNTIF(Tilgungsplan!$C$8:$C$487,$B55)</f>
        <v>0</v>
      </c>
      <c r="D55" s="28">
        <f>SUMIF(Tilgungsplan!$C$8:$C$487,$B55,Tilgungsplan!$I$8:$I$487)</f>
        <v>0</v>
      </c>
      <c r="E55" s="28">
        <f>SUMIF(Tilgungsplan!$C$8:$C$487,$B55,Tilgungsplan!$F$8:$F$487)</f>
        <v>0</v>
      </c>
      <c r="F55" s="28">
        <f>SUMIF(Tilgungsplan!$C$8:$C$487,$B55,Tilgungsplan!$G$8:$G$487)</f>
        <v>0</v>
      </c>
      <c r="G55" s="28">
        <f>SUMIF(Tilgungsplan!$C$8:$C$487,$B55,Tilgungsplan!$H$8:$H$487)</f>
        <v>0</v>
      </c>
      <c r="H55" s="28">
        <f t="shared" si="0"/>
        <v>0</v>
      </c>
      <c r="I55" s="28" t="str">
        <f>IF($C55=0,"",$C$11-SUM($H$36:$H55))</f>
        <v/>
      </c>
      <c r="J55" s="28" t="str">
        <f>IF($C55=0,"",SUM($E$36:$E55))</f>
        <v/>
      </c>
      <c r="K55" s="29" t="str">
        <f>IF($C55=0,"",IF($C$11=0,0,SUM($H$36:$H55)/$C$11))</f>
        <v/>
      </c>
      <c r="L55" s="30" t="str">
        <f>IF($C55=0,"",IF($C$11-SUM($H$36:$H55)&lt;=0.005,"Volltilgung",IF($B55=YEAR($C$18)+$C$19-1,"Ende der Zinsbindung","")))</f>
        <v/>
      </c>
    </row>
    <row r="56" spans="2:12" ht="15.75" customHeight="1" x14ac:dyDescent="0.25">
      <c r="B56" s="21">
        <f t="shared" si="1"/>
        <v>2046</v>
      </c>
      <c r="C56" s="22">
        <f>COUNTIF(Tilgungsplan!$C$8:$C$487,$B56)</f>
        <v>0</v>
      </c>
      <c r="D56" s="23">
        <f>SUMIF(Tilgungsplan!$C$8:$C$487,$B56,Tilgungsplan!$I$8:$I$487)</f>
        <v>0</v>
      </c>
      <c r="E56" s="23">
        <f>SUMIF(Tilgungsplan!$C$8:$C$487,$B56,Tilgungsplan!$F$8:$F$487)</f>
        <v>0</v>
      </c>
      <c r="F56" s="23">
        <f>SUMIF(Tilgungsplan!$C$8:$C$487,$B56,Tilgungsplan!$G$8:$G$487)</f>
        <v>0</v>
      </c>
      <c r="G56" s="23">
        <f>SUMIF(Tilgungsplan!$C$8:$C$487,$B56,Tilgungsplan!$H$8:$H$487)</f>
        <v>0</v>
      </c>
      <c r="H56" s="23">
        <f t="shared" si="0"/>
        <v>0</v>
      </c>
      <c r="I56" s="23" t="str">
        <f>IF($C56=0,"",$C$11-SUM($H$36:$H56))</f>
        <v/>
      </c>
      <c r="J56" s="23" t="str">
        <f>IF($C56=0,"",SUM($E$36:$E56))</f>
        <v/>
      </c>
      <c r="K56" s="24" t="str">
        <f>IF($C56=0,"",IF($C$11=0,0,SUM($H$36:$H56)/$C$11))</f>
        <v/>
      </c>
      <c r="L56" s="25" t="str">
        <f>IF($C56=0,"",IF($C$11-SUM($H$36:$H56)&lt;=0.005,"Volltilgung",IF($B56=YEAR($C$18)+$C$19-1,"Ende der Zinsbindung","")))</f>
        <v/>
      </c>
    </row>
    <row r="57" spans="2:12" ht="15.75" customHeight="1" x14ac:dyDescent="0.25">
      <c r="B57" s="26">
        <f t="shared" si="1"/>
        <v>2047</v>
      </c>
      <c r="C57" s="27">
        <f>COUNTIF(Tilgungsplan!$C$8:$C$487,$B57)</f>
        <v>0</v>
      </c>
      <c r="D57" s="28">
        <f>SUMIF(Tilgungsplan!$C$8:$C$487,$B57,Tilgungsplan!$I$8:$I$487)</f>
        <v>0</v>
      </c>
      <c r="E57" s="28">
        <f>SUMIF(Tilgungsplan!$C$8:$C$487,$B57,Tilgungsplan!$F$8:$F$487)</f>
        <v>0</v>
      </c>
      <c r="F57" s="28">
        <f>SUMIF(Tilgungsplan!$C$8:$C$487,$B57,Tilgungsplan!$G$8:$G$487)</f>
        <v>0</v>
      </c>
      <c r="G57" s="28">
        <f>SUMIF(Tilgungsplan!$C$8:$C$487,$B57,Tilgungsplan!$H$8:$H$487)</f>
        <v>0</v>
      </c>
      <c r="H57" s="28">
        <f t="shared" si="0"/>
        <v>0</v>
      </c>
      <c r="I57" s="28" t="str">
        <f>IF($C57=0,"",$C$11-SUM($H$36:$H57))</f>
        <v/>
      </c>
      <c r="J57" s="28" t="str">
        <f>IF($C57=0,"",SUM($E$36:$E57))</f>
        <v/>
      </c>
      <c r="K57" s="29" t="str">
        <f>IF($C57=0,"",IF($C$11=0,0,SUM($H$36:$H57)/$C$11))</f>
        <v/>
      </c>
      <c r="L57" s="30" t="str">
        <f>IF($C57=0,"",IF($C$11-SUM($H$36:$H57)&lt;=0.005,"Volltilgung",IF($B57=YEAR($C$18)+$C$19-1,"Ende der Zinsbindung","")))</f>
        <v/>
      </c>
    </row>
    <row r="58" spans="2:12" ht="15.75" customHeight="1" x14ac:dyDescent="0.25">
      <c r="B58" s="21">
        <f t="shared" si="1"/>
        <v>2048</v>
      </c>
      <c r="C58" s="22">
        <f>COUNTIF(Tilgungsplan!$C$8:$C$487,$B58)</f>
        <v>0</v>
      </c>
      <c r="D58" s="23">
        <f>SUMIF(Tilgungsplan!$C$8:$C$487,$B58,Tilgungsplan!$I$8:$I$487)</f>
        <v>0</v>
      </c>
      <c r="E58" s="23">
        <f>SUMIF(Tilgungsplan!$C$8:$C$487,$B58,Tilgungsplan!$F$8:$F$487)</f>
        <v>0</v>
      </c>
      <c r="F58" s="23">
        <f>SUMIF(Tilgungsplan!$C$8:$C$487,$B58,Tilgungsplan!$G$8:$G$487)</f>
        <v>0</v>
      </c>
      <c r="G58" s="23">
        <f>SUMIF(Tilgungsplan!$C$8:$C$487,$B58,Tilgungsplan!$H$8:$H$487)</f>
        <v>0</v>
      </c>
      <c r="H58" s="23">
        <f t="shared" si="0"/>
        <v>0</v>
      </c>
      <c r="I58" s="23" t="str">
        <f>IF($C58=0,"",$C$11-SUM($H$36:$H58))</f>
        <v/>
      </c>
      <c r="J58" s="23" t="str">
        <f>IF($C58=0,"",SUM($E$36:$E58))</f>
        <v/>
      </c>
      <c r="K58" s="24" t="str">
        <f>IF($C58=0,"",IF($C$11=0,0,SUM($H$36:$H58)/$C$11))</f>
        <v/>
      </c>
      <c r="L58" s="25" t="str">
        <f>IF($C58=0,"",IF($C$11-SUM($H$36:$H58)&lt;=0.005,"Volltilgung",IF($B58=YEAR($C$18)+$C$19-1,"Ende der Zinsbindung","")))</f>
        <v/>
      </c>
    </row>
    <row r="59" spans="2:12" ht="15.75" customHeight="1" x14ac:dyDescent="0.25">
      <c r="B59" s="26">
        <f t="shared" si="1"/>
        <v>2049</v>
      </c>
      <c r="C59" s="27">
        <f>COUNTIF(Tilgungsplan!$C$8:$C$487,$B59)</f>
        <v>0</v>
      </c>
      <c r="D59" s="28">
        <f>SUMIF(Tilgungsplan!$C$8:$C$487,$B59,Tilgungsplan!$I$8:$I$487)</f>
        <v>0</v>
      </c>
      <c r="E59" s="28">
        <f>SUMIF(Tilgungsplan!$C$8:$C$487,$B59,Tilgungsplan!$F$8:$F$487)</f>
        <v>0</v>
      </c>
      <c r="F59" s="28">
        <f>SUMIF(Tilgungsplan!$C$8:$C$487,$B59,Tilgungsplan!$G$8:$G$487)</f>
        <v>0</v>
      </c>
      <c r="G59" s="28">
        <f>SUMIF(Tilgungsplan!$C$8:$C$487,$B59,Tilgungsplan!$H$8:$H$487)</f>
        <v>0</v>
      </c>
      <c r="H59" s="28">
        <f t="shared" si="0"/>
        <v>0</v>
      </c>
      <c r="I59" s="28" t="str">
        <f>IF($C59=0,"",$C$11-SUM($H$36:$H59))</f>
        <v/>
      </c>
      <c r="J59" s="28" t="str">
        <f>IF($C59=0,"",SUM($E$36:$E59))</f>
        <v/>
      </c>
      <c r="K59" s="29" t="str">
        <f>IF($C59=0,"",IF($C$11=0,0,SUM($H$36:$H59)/$C$11))</f>
        <v/>
      </c>
      <c r="L59" s="30" t="str">
        <f>IF($C59=0,"",IF($C$11-SUM($H$36:$H59)&lt;=0.005,"Volltilgung",IF($B59=YEAR($C$18)+$C$19-1,"Ende der Zinsbindung","")))</f>
        <v/>
      </c>
    </row>
    <row r="60" spans="2:12" ht="15.75" customHeight="1" x14ac:dyDescent="0.25">
      <c r="B60" s="21">
        <f t="shared" si="1"/>
        <v>2050</v>
      </c>
      <c r="C60" s="22">
        <f>COUNTIF(Tilgungsplan!$C$8:$C$487,$B60)</f>
        <v>0</v>
      </c>
      <c r="D60" s="23">
        <f>SUMIF(Tilgungsplan!$C$8:$C$487,$B60,Tilgungsplan!$I$8:$I$487)</f>
        <v>0</v>
      </c>
      <c r="E60" s="23">
        <f>SUMIF(Tilgungsplan!$C$8:$C$487,$B60,Tilgungsplan!$F$8:$F$487)</f>
        <v>0</v>
      </c>
      <c r="F60" s="23">
        <f>SUMIF(Tilgungsplan!$C$8:$C$487,$B60,Tilgungsplan!$G$8:$G$487)</f>
        <v>0</v>
      </c>
      <c r="G60" s="23">
        <f>SUMIF(Tilgungsplan!$C$8:$C$487,$B60,Tilgungsplan!$H$8:$H$487)</f>
        <v>0</v>
      </c>
      <c r="H60" s="23">
        <f t="shared" si="0"/>
        <v>0</v>
      </c>
      <c r="I60" s="23" t="str">
        <f>IF($C60=0,"",$C$11-SUM($H$36:$H60))</f>
        <v/>
      </c>
      <c r="J60" s="23" t="str">
        <f>IF($C60=0,"",SUM($E$36:$E60))</f>
        <v/>
      </c>
      <c r="K60" s="24" t="str">
        <f>IF($C60=0,"",IF($C$11=0,0,SUM($H$36:$H60)/$C$11))</f>
        <v/>
      </c>
      <c r="L60" s="25" t="str">
        <f>IF($C60=0,"",IF($C$11-SUM($H$36:$H60)&lt;=0.005,"Volltilgung",IF($B60=YEAR($C$18)+$C$19-1,"Ende der Zinsbindung","")))</f>
        <v/>
      </c>
    </row>
    <row r="61" spans="2:12" ht="15.75" customHeight="1" x14ac:dyDescent="0.25">
      <c r="B61" s="26">
        <f t="shared" si="1"/>
        <v>2051</v>
      </c>
      <c r="C61" s="27">
        <f>COUNTIF(Tilgungsplan!$C$8:$C$487,$B61)</f>
        <v>0</v>
      </c>
      <c r="D61" s="28">
        <f>SUMIF(Tilgungsplan!$C$8:$C$487,$B61,Tilgungsplan!$I$8:$I$487)</f>
        <v>0</v>
      </c>
      <c r="E61" s="28">
        <f>SUMIF(Tilgungsplan!$C$8:$C$487,$B61,Tilgungsplan!$F$8:$F$487)</f>
        <v>0</v>
      </c>
      <c r="F61" s="28">
        <f>SUMIF(Tilgungsplan!$C$8:$C$487,$B61,Tilgungsplan!$G$8:$G$487)</f>
        <v>0</v>
      </c>
      <c r="G61" s="28">
        <f>SUMIF(Tilgungsplan!$C$8:$C$487,$B61,Tilgungsplan!$H$8:$H$487)</f>
        <v>0</v>
      </c>
      <c r="H61" s="28">
        <f t="shared" si="0"/>
        <v>0</v>
      </c>
      <c r="I61" s="28" t="str">
        <f>IF($C61=0,"",$C$11-SUM($H$36:$H61))</f>
        <v/>
      </c>
      <c r="J61" s="28" t="str">
        <f>IF($C61=0,"",SUM($E$36:$E61))</f>
        <v/>
      </c>
      <c r="K61" s="29" t="str">
        <f>IF($C61=0,"",IF($C$11=0,0,SUM($H$36:$H61)/$C$11))</f>
        <v/>
      </c>
      <c r="L61" s="30" t="str">
        <f>IF($C61=0,"",IF($C$11-SUM($H$36:$H61)&lt;=0.005,"Volltilgung",IF($B61=YEAR($C$18)+$C$19-1,"Ende der Zinsbindung","")))</f>
        <v/>
      </c>
    </row>
    <row r="62" spans="2:12" ht="15.75" customHeight="1" x14ac:dyDescent="0.25">
      <c r="B62" s="21">
        <f t="shared" si="1"/>
        <v>2052</v>
      </c>
      <c r="C62" s="22">
        <f>COUNTIF(Tilgungsplan!$C$8:$C$487,$B62)</f>
        <v>0</v>
      </c>
      <c r="D62" s="23">
        <f>SUMIF(Tilgungsplan!$C$8:$C$487,$B62,Tilgungsplan!$I$8:$I$487)</f>
        <v>0</v>
      </c>
      <c r="E62" s="23">
        <f>SUMIF(Tilgungsplan!$C$8:$C$487,$B62,Tilgungsplan!$F$8:$F$487)</f>
        <v>0</v>
      </c>
      <c r="F62" s="23">
        <f>SUMIF(Tilgungsplan!$C$8:$C$487,$B62,Tilgungsplan!$G$8:$G$487)</f>
        <v>0</v>
      </c>
      <c r="G62" s="23">
        <f>SUMIF(Tilgungsplan!$C$8:$C$487,$B62,Tilgungsplan!$H$8:$H$487)</f>
        <v>0</v>
      </c>
      <c r="H62" s="23">
        <f t="shared" si="0"/>
        <v>0</v>
      </c>
      <c r="I62" s="23" t="str">
        <f>IF($C62=0,"",$C$11-SUM($H$36:$H62))</f>
        <v/>
      </c>
      <c r="J62" s="23" t="str">
        <f>IF($C62=0,"",SUM($E$36:$E62))</f>
        <v/>
      </c>
      <c r="K62" s="24" t="str">
        <f>IF($C62=0,"",IF($C$11=0,0,SUM($H$36:$H62)/$C$11))</f>
        <v/>
      </c>
      <c r="L62" s="25" t="str">
        <f>IF($C62=0,"",IF($C$11-SUM($H$36:$H62)&lt;=0.005,"Volltilgung",IF($B62=YEAR($C$18)+$C$19-1,"Ende der Zinsbindung","")))</f>
        <v/>
      </c>
    </row>
    <row r="63" spans="2:12" ht="15.75" customHeight="1" x14ac:dyDescent="0.25">
      <c r="B63" s="26">
        <f t="shared" si="1"/>
        <v>2053</v>
      </c>
      <c r="C63" s="27">
        <f>COUNTIF(Tilgungsplan!$C$8:$C$487,$B63)</f>
        <v>0</v>
      </c>
      <c r="D63" s="28">
        <f>SUMIF(Tilgungsplan!$C$8:$C$487,$B63,Tilgungsplan!$I$8:$I$487)</f>
        <v>0</v>
      </c>
      <c r="E63" s="28">
        <f>SUMIF(Tilgungsplan!$C$8:$C$487,$B63,Tilgungsplan!$F$8:$F$487)</f>
        <v>0</v>
      </c>
      <c r="F63" s="28">
        <f>SUMIF(Tilgungsplan!$C$8:$C$487,$B63,Tilgungsplan!$G$8:$G$487)</f>
        <v>0</v>
      </c>
      <c r="G63" s="28">
        <f>SUMIF(Tilgungsplan!$C$8:$C$487,$B63,Tilgungsplan!$H$8:$H$487)</f>
        <v>0</v>
      </c>
      <c r="H63" s="28">
        <f t="shared" si="0"/>
        <v>0</v>
      </c>
      <c r="I63" s="28" t="str">
        <f>IF($C63=0,"",$C$11-SUM($H$36:$H63))</f>
        <v/>
      </c>
      <c r="J63" s="28" t="str">
        <f>IF($C63=0,"",SUM($E$36:$E63))</f>
        <v/>
      </c>
      <c r="K63" s="29" t="str">
        <f>IF($C63=0,"",IF($C$11=0,0,SUM($H$36:$H63)/$C$11))</f>
        <v/>
      </c>
      <c r="L63" s="30" t="str">
        <f>IF($C63=0,"",IF($C$11-SUM($H$36:$H63)&lt;=0.005,"Volltilgung",IF($B63=YEAR($C$18)+$C$19-1,"Ende der Zinsbindung","")))</f>
        <v/>
      </c>
    </row>
    <row r="64" spans="2:12" ht="15.75" customHeight="1" x14ac:dyDescent="0.25">
      <c r="B64" s="21">
        <f t="shared" si="1"/>
        <v>2054</v>
      </c>
      <c r="C64" s="22">
        <f>COUNTIF(Tilgungsplan!$C$8:$C$487,$B64)</f>
        <v>0</v>
      </c>
      <c r="D64" s="23">
        <f>SUMIF(Tilgungsplan!$C$8:$C$487,$B64,Tilgungsplan!$I$8:$I$487)</f>
        <v>0</v>
      </c>
      <c r="E64" s="23">
        <f>SUMIF(Tilgungsplan!$C$8:$C$487,$B64,Tilgungsplan!$F$8:$F$487)</f>
        <v>0</v>
      </c>
      <c r="F64" s="23">
        <f>SUMIF(Tilgungsplan!$C$8:$C$487,$B64,Tilgungsplan!$G$8:$G$487)</f>
        <v>0</v>
      </c>
      <c r="G64" s="23">
        <f>SUMIF(Tilgungsplan!$C$8:$C$487,$B64,Tilgungsplan!$H$8:$H$487)</f>
        <v>0</v>
      </c>
      <c r="H64" s="23">
        <f t="shared" si="0"/>
        <v>0</v>
      </c>
      <c r="I64" s="23" t="str">
        <f>IF($C64=0,"",$C$11-SUM($H$36:$H64))</f>
        <v/>
      </c>
      <c r="J64" s="23" t="str">
        <f>IF($C64=0,"",SUM($E$36:$E64))</f>
        <v/>
      </c>
      <c r="K64" s="24" t="str">
        <f>IF($C64=0,"",IF($C$11=0,0,SUM($H$36:$H64)/$C$11))</f>
        <v/>
      </c>
      <c r="L64" s="25" t="str">
        <f>IF($C64=0,"",IF($C$11-SUM($H$36:$H64)&lt;=0.005,"Volltilgung",IF($B64=YEAR($C$18)+$C$19-1,"Ende der Zinsbindung","")))</f>
        <v/>
      </c>
    </row>
    <row r="65" spans="2:12" ht="15.75" customHeight="1" x14ac:dyDescent="0.25">
      <c r="B65" s="26">
        <f t="shared" si="1"/>
        <v>2055</v>
      </c>
      <c r="C65" s="27">
        <f>COUNTIF(Tilgungsplan!$C$8:$C$487,$B65)</f>
        <v>0</v>
      </c>
      <c r="D65" s="28">
        <f>SUMIF(Tilgungsplan!$C$8:$C$487,$B65,Tilgungsplan!$I$8:$I$487)</f>
        <v>0</v>
      </c>
      <c r="E65" s="28">
        <f>SUMIF(Tilgungsplan!$C$8:$C$487,$B65,Tilgungsplan!$F$8:$F$487)</f>
        <v>0</v>
      </c>
      <c r="F65" s="28">
        <f>SUMIF(Tilgungsplan!$C$8:$C$487,$B65,Tilgungsplan!$G$8:$G$487)</f>
        <v>0</v>
      </c>
      <c r="G65" s="28">
        <f>SUMIF(Tilgungsplan!$C$8:$C$487,$B65,Tilgungsplan!$H$8:$H$487)</f>
        <v>0</v>
      </c>
      <c r="H65" s="28">
        <f t="shared" si="0"/>
        <v>0</v>
      </c>
      <c r="I65" s="28" t="str">
        <f>IF($C65=0,"",$C$11-SUM($H$36:$H65))</f>
        <v/>
      </c>
      <c r="J65" s="28" t="str">
        <f>IF($C65=0,"",SUM($E$36:$E65))</f>
        <v/>
      </c>
      <c r="K65" s="29" t="str">
        <f>IF($C65=0,"",IF($C$11=0,0,SUM($H$36:$H65)/$C$11))</f>
        <v/>
      </c>
      <c r="L65" s="30" t="str">
        <f>IF($C65=0,"",IF($C$11-SUM($H$36:$H65)&lt;=0.005,"Volltilgung",IF($B65=YEAR($C$18)+$C$19-1,"Ende der Zinsbindung","")))</f>
        <v/>
      </c>
    </row>
    <row r="66" spans="2:12" ht="15.75" customHeight="1" x14ac:dyDescent="0.25">
      <c r="B66" s="21">
        <f t="shared" si="1"/>
        <v>2056</v>
      </c>
      <c r="C66" s="22">
        <f>COUNTIF(Tilgungsplan!$C$8:$C$487,$B66)</f>
        <v>0</v>
      </c>
      <c r="D66" s="23">
        <f>SUMIF(Tilgungsplan!$C$8:$C$487,$B66,Tilgungsplan!$I$8:$I$487)</f>
        <v>0</v>
      </c>
      <c r="E66" s="23">
        <f>SUMIF(Tilgungsplan!$C$8:$C$487,$B66,Tilgungsplan!$F$8:$F$487)</f>
        <v>0</v>
      </c>
      <c r="F66" s="23">
        <f>SUMIF(Tilgungsplan!$C$8:$C$487,$B66,Tilgungsplan!$G$8:$G$487)</f>
        <v>0</v>
      </c>
      <c r="G66" s="23">
        <f>SUMIF(Tilgungsplan!$C$8:$C$487,$B66,Tilgungsplan!$H$8:$H$487)</f>
        <v>0</v>
      </c>
      <c r="H66" s="23">
        <f t="shared" si="0"/>
        <v>0</v>
      </c>
      <c r="I66" s="23" t="str">
        <f>IF($C66=0,"",$C$11-SUM($H$36:$H66))</f>
        <v/>
      </c>
      <c r="J66" s="23" t="str">
        <f>IF($C66=0,"",SUM($E$36:$E66))</f>
        <v/>
      </c>
      <c r="K66" s="24" t="str">
        <f>IF($C66=0,"",IF($C$11=0,0,SUM($H$36:$H66)/$C$11))</f>
        <v/>
      </c>
      <c r="L66" s="25" t="str">
        <f>IF($C66=0,"",IF($C$11-SUM($H$36:$H66)&lt;=0.005,"Volltilgung",IF($B66=YEAR($C$18)+$C$19-1,"Ende der Zinsbindung","")))</f>
        <v/>
      </c>
    </row>
    <row r="67" spans="2:12" ht="15.75" customHeight="1" x14ac:dyDescent="0.25">
      <c r="B67" s="26">
        <f t="shared" si="1"/>
        <v>2057</v>
      </c>
      <c r="C67" s="27">
        <f>COUNTIF(Tilgungsplan!$C$8:$C$487,$B67)</f>
        <v>0</v>
      </c>
      <c r="D67" s="28">
        <f>SUMIF(Tilgungsplan!$C$8:$C$487,$B67,Tilgungsplan!$I$8:$I$487)</f>
        <v>0</v>
      </c>
      <c r="E67" s="28">
        <f>SUMIF(Tilgungsplan!$C$8:$C$487,$B67,Tilgungsplan!$F$8:$F$487)</f>
        <v>0</v>
      </c>
      <c r="F67" s="28">
        <f>SUMIF(Tilgungsplan!$C$8:$C$487,$B67,Tilgungsplan!$G$8:$G$487)</f>
        <v>0</v>
      </c>
      <c r="G67" s="28">
        <f>SUMIF(Tilgungsplan!$C$8:$C$487,$B67,Tilgungsplan!$H$8:$H$487)</f>
        <v>0</v>
      </c>
      <c r="H67" s="28">
        <f t="shared" si="0"/>
        <v>0</v>
      </c>
      <c r="I67" s="28" t="str">
        <f>IF($C67=0,"",$C$11-SUM($H$36:$H67))</f>
        <v/>
      </c>
      <c r="J67" s="28" t="str">
        <f>IF($C67=0,"",SUM($E$36:$E67))</f>
        <v/>
      </c>
      <c r="K67" s="29" t="str">
        <f>IF($C67=0,"",IF($C$11=0,0,SUM($H$36:$H67)/$C$11))</f>
        <v/>
      </c>
      <c r="L67" s="30" t="str">
        <f>IF($C67=0,"",IF($C$11-SUM($H$36:$H67)&lt;=0.005,"Volltilgung",IF($B67=YEAR($C$18)+$C$19-1,"Ende der Zinsbindung","")))</f>
        <v/>
      </c>
    </row>
    <row r="68" spans="2:12" ht="15.75" customHeight="1" x14ac:dyDescent="0.25">
      <c r="B68" s="21">
        <f t="shared" si="1"/>
        <v>2058</v>
      </c>
      <c r="C68" s="22">
        <f>COUNTIF(Tilgungsplan!$C$8:$C$487,$B68)</f>
        <v>0</v>
      </c>
      <c r="D68" s="23">
        <f>SUMIF(Tilgungsplan!$C$8:$C$487,$B68,Tilgungsplan!$I$8:$I$487)</f>
        <v>0</v>
      </c>
      <c r="E68" s="23">
        <f>SUMIF(Tilgungsplan!$C$8:$C$487,$B68,Tilgungsplan!$F$8:$F$487)</f>
        <v>0</v>
      </c>
      <c r="F68" s="23">
        <f>SUMIF(Tilgungsplan!$C$8:$C$487,$B68,Tilgungsplan!$G$8:$G$487)</f>
        <v>0</v>
      </c>
      <c r="G68" s="23">
        <f>SUMIF(Tilgungsplan!$C$8:$C$487,$B68,Tilgungsplan!$H$8:$H$487)</f>
        <v>0</v>
      </c>
      <c r="H68" s="23">
        <f t="shared" si="0"/>
        <v>0</v>
      </c>
      <c r="I68" s="23" t="str">
        <f>IF($C68=0,"",$C$11-SUM($H$36:$H68))</f>
        <v/>
      </c>
      <c r="J68" s="23" t="str">
        <f>IF($C68=0,"",SUM($E$36:$E68))</f>
        <v/>
      </c>
      <c r="K68" s="24" t="str">
        <f>IF($C68=0,"",IF($C$11=0,0,SUM($H$36:$H68)/$C$11))</f>
        <v/>
      </c>
      <c r="L68" s="25" t="str">
        <f>IF($C68=0,"",IF($C$11-SUM($H$36:$H68)&lt;=0.005,"Volltilgung",IF($B68=YEAR($C$18)+$C$19-1,"Ende der Zinsbindung","")))</f>
        <v/>
      </c>
    </row>
    <row r="69" spans="2:12" ht="15.75" customHeight="1" x14ac:dyDescent="0.25">
      <c r="B69" s="26">
        <f t="shared" si="1"/>
        <v>2059</v>
      </c>
      <c r="C69" s="27">
        <f>COUNTIF(Tilgungsplan!$C$8:$C$487,$B69)</f>
        <v>0</v>
      </c>
      <c r="D69" s="28">
        <f>SUMIF(Tilgungsplan!$C$8:$C$487,$B69,Tilgungsplan!$I$8:$I$487)</f>
        <v>0</v>
      </c>
      <c r="E69" s="28">
        <f>SUMIF(Tilgungsplan!$C$8:$C$487,$B69,Tilgungsplan!$F$8:$F$487)</f>
        <v>0</v>
      </c>
      <c r="F69" s="28">
        <f>SUMIF(Tilgungsplan!$C$8:$C$487,$B69,Tilgungsplan!$G$8:$G$487)</f>
        <v>0</v>
      </c>
      <c r="G69" s="28">
        <f>SUMIF(Tilgungsplan!$C$8:$C$487,$B69,Tilgungsplan!$H$8:$H$487)</f>
        <v>0</v>
      </c>
      <c r="H69" s="28">
        <f t="shared" si="0"/>
        <v>0</v>
      </c>
      <c r="I69" s="28" t="str">
        <f>IF($C69=0,"",$C$11-SUM($H$36:$H69))</f>
        <v/>
      </c>
      <c r="J69" s="28" t="str">
        <f>IF($C69=0,"",SUM($E$36:$E69))</f>
        <v/>
      </c>
      <c r="K69" s="29" t="str">
        <f>IF($C69=0,"",IF($C$11=0,0,SUM($H$36:$H69)/$C$11))</f>
        <v/>
      </c>
      <c r="L69" s="30" t="str">
        <f>IF($C69=0,"",IF($C$11-SUM($H$36:$H69)&lt;=0.005,"Volltilgung",IF($B69=YEAR($C$18)+$C$19-1,"Ende der Zinsbindung","")))</f>
        <v/>
      </c>
    </row>
    <row r="70" spans="2:12" ht="15.75" customHeight="1" x14ac:dyDescent="0.25">
      <c r="B70" s="21">
        <f t="shared" si="1"/>
        <v>2060</v>
      </c>
      <c r="C70" s="22">
        <f>COUNTIF(Tilgungsplan!$C$8:$C$487,$B70)</f>
        <v>0</v>
      </c>
      <c r="D70" s="23">
        <f>SUMIF(Tilgungsplan!$C$8:$C$487,$B70,Tilgungsplan!$I$8:$I$487)</f>
        <v>0</v>
      </c>
      <c r="E70" s="23">
        <f>SUMIF(Tilgungsplan!$C$8:$C$487,$B70,Tilgungsplan!$F$8:$F$487)</f>
        <v>0</v>
      </c>
      <c r="F70" s="23">
        <f>SUMIF(Tilgungsplan!$C$8:$C$487,$B70,Tilgungsplan!$G$8:$G$487)</f>
        <v>0</v>
      </c>
      <c r="G70" s="23">
        <f>SUMIF(Tilgungsplan!$C$8:$C$487,$B70,Tilgungsplan!$H$8:$H$487)</f>
        <v>0</v>
      </c>
      <c r="H70" s="23">
        <f t="shared" si="0"/>
        <v>0</v>
      </c>
      <c r="I70" s="23" t="str">
        <f>IF($C70=0,"",$C$11-SUM($H$36:$H70))</f>
        <v/>
      </c>
      <c r="J70" s="23" t="str">
        <f>IF($C70=0,"",SUM($E$36:$E70))</f>
        <v/>
      </c>
      <c r="K70" s="24" t="str">
        <f>IF($C70=0,"",IF($C$11=0,0,SUM($H$36:$H70)/$C$11))</f>
        <v/>
      </c>
      <c r="L70" s="25" t="str">
        <f>IF($C70=0,"",IF($C$11-SUM($H$36:$H70)&lt;=0.005,"Volltilgung",IF($B70=YEAR($C$18)+$C$19-1,"Ende der Zinsbindung","")))</f>
        <v/>
      </c>
    </row>
    <row r="71" spans="2:12" ht="15.75" customHeight="1" x14ac:dyDescent="0.25">
      <c r="B71" s="26">
        <f t="shared" si="1"/>
        <v>2061</v>
      </c>
      <c r="C71" s="27">
        <f>COUNTIF(Tilgungsplan!$C$8:$C$487,$B71)</f>
        <v>0</v>
      </c>
      <c r="D71" s="28">
        <f>SUMIF(Tilgungsplan!$C$8:$C$487,$B71,Tilgungsplan!$I$8:$I$487)</f>
        <v>0</v>
      </c>
      <c r="E71" s="28">
        <f>SUMIF(Tilgungsplan!$C$8:$C$487,$B71,Tilgungsplan!$F$8:$F$487)</f>
        <v>0</v>
      </c>
      <c r="F71" s="28">
        <f>SUMIF(Tilgungsplan!$C$8:$C$487,$B71,Tilgungsplan!$G$8:$G$487)</f>
        <v>0</v>
      </c>
      <c r="G71" s="28">
        <f>SUMIF(Tilgungsplan!$C$8:$C$487,$B71,Tilgungsplan!$H$8:$H$487)</f>
        <v>0</v>
      </c>
      <c r="H71" s="28">
        <f t="shared" si="0"/>
        <v>0</v>
      </c>
      <c r="I71" s="28" t="str">
        <f>IF($C71=0,"",$C$11-SUM($H$36:$H71))</f>
        <v/>
      </c>
      <c r="J71" s="28" t="str">
        <f>IF($C71=0,"",SUM($E$36:$E71))</f>
        <v/>
      </c>
      <c r="K71" s="29" t="str">
        <f>IF($C71=0,"",IF($C$11=0,0,SUM($H$36:$H71)/$C$11))</f>
        <v/>
      </c>
      <c r="L71" s="30" t="str">
        <f>IF($C71=0,"",IF($C$11-SUM($H$36:$H71)&lt;=0.005,"Volltilgung",IF($B71=YEAR($C$18)+$C$19-1,"Ende der Zinsbindung","")))</f>
        <v/>
      </c>
    </row>
    <row r="72" spans="2:12" ht="15.75" customHeight="1" x14ac:dyDescent="0.25">
      <c r="B72" s="21">
        <f t="shared" si="1"/>
        <v>2062</v>
      </c>
      <c r="C72" s="22">
        <f>COUNTIF(Tilgungsplan!$C$8:$C$487,$B72)</f>
        <v>0</v>
      </c>
      <c r="D72" s="23">
        <f>SUMIF(Tilgungsplan!$C$8:$C$487,$B72,Tilgungsplan!$I$8:$I$487)</f>
        <v>0</v>
      </c>
      <c r="E72" s="23">
        <f>SUMIF(Tilgungsplan!$C$8:$C$487,$B72,Tilgungsplan!$F$8:$F$487)</f>
        <v>0</v>
      </c>
      <c r="F72" s="23">
        <f>SUMIF(Tilgungsplan!$C$8:$C$487,$B72,Tilgungsplan!$G$8:$G$487)</f>
        <v>0</v>
      </c>
      <c r="G72" s="23">
        <f>SUMIF(Tilgungsplan!$C$8:$C$487,$B72,Tilgungsplan!$H$8:$H$487)</f>
        <v>0</v>
      </c>
      <c r="H72" s="23">
        <f t="shared" si="0"/>
        <v>0</v>
      </c>
      <c r="I72" s="23" t="str">
        <f>IF($C72=0,"",$C$11-SUM($H$36:$H72))</f>
        <v/>
      </c>
      <c r="J72" s="23" t="str">
        <f>IF($C72=0,"",SUM($E$36:$E72))</f>
        <v/>
      </c>
      <c r="K72" s="24" t="str">
        <f>IF($C72=0,"",IF($C$11=0,0,SUM($H$36:$H72)/$C$11))</f>
        <v/>
      </c>
      <c r="L72" s="25" t="str">
        <f>IF($C72=0,"",IF($C$11-SUM($H$36:$H72)&lt;=0.005,"Volltilgung",IF($B72=YEAR($C$18)+$C$19-1,"Ende der Zinsbindung","")))</f>
        <v/>
      </c>
    </row>
    <row r="73" spans="2:12" ht="15.75" customHeight="1" x14ac:dyDescent="0.25">
      <c r="B73" s="26">
        <f t="shared" si="1"/>
        <v>2063</v>
      </c>
      <c r="C73" s="27">
        <f>COUNTIF(Tilgungsplan!$C$8:$C$487,$B73)</f>
        <v>0</v>
      </c>
      <c r="D73" s="28">
        <f>SUMIF(Tilgungsplan!$C$8:$C$487,$B73,Tilgungsplan!$I$8:$I$487)</f>
        <v>0</v>
      </c>
      <c r="E73" s="28">
        <f>SUMIF(Tilgungsplan!$C$8:$C$487,$B73,Tilgungsplan!$F$8:$F$487)</f>
        <v>0</v>
      </c>
      <c r="F73" s="28">
        <f>SUMIF(Tilgungsplan!$C$8:$C$487,$B73,Tilgungsplan!$G$8:$G$487)</f>
        <v>0</v>
      </c>
      <c r="G73" s="28">
        <f>SUMIF(Tilgungsplan!$C$8:$C$487,$B73,Tilgungsplan!$H$8:$H$487)</f>
        <v>0</v>
      </c>
      <c r="H73" s="28">
        <f t="shared" si="0"/>
        <v>0</v>
      </c>
      <c r="I73" s="28" t="str">
        <f>IF($C73=0,"",$C$11-SUM($H$36:$H73))</f>
        <v/>
      </c>
      <c r="J73" s="28" t="str">
        <f>IF($C73=0,"",SUM($E$36:$E73))</f>
        <v/>
      </c>
      <c r="K73" s="29" t="str">
        <f>IF($C73=0,"",IF($C$11=0,0,SUM($H$36:$H73)/$C$11))</f>
        <v/>
      </c>
      <c r="L73" s="30" t="str">
        <f>IF($C73=0,"",IF($C$11-SUM($H$36:$H73)&lt;=0.005,"Volltilgung",IF($B73=YEAR($C$18)+$C$19-1,"Ende der Zinsbindung","")))</f>
        <v/>
      </c>
    </row>
    <row r="74" spans="2:12" ht="15.75" customHeight="1" x14ac:dyDescent="0.25">
      <c r="B74" s="21">
        <f t="shared" si="1"/>
        <v>2064</v>
      </c>
      <c r="C74" s="22">
        <f>COUNTIF(Tilgungsplan!$C$8:$C$487,$B74)</f>
        <v>0</v>
      </c>
      <c r="D74" s="23">
        <f>SUMIF(Tilgungsplan!$C$8:$C$487,$B74,Tilgungsplan!$I$8:$I$487)</f>
        <v>0</v>
      </c>
      <c r="E74" s="23">
        <f>SUMIF(Tilgungsplan!$C$8:$C$487,$B74,Tilgungsplan!$F$8:$F$487)</f>
        <v>0</v>
      </c>
      <c r="F74" s="23">
        <f>SUMIF(Tilgungsplan!$C$8:$C$487,$B74,Tilgungsplan!$G$8:$G$487)</f>
        <v>0</v>
      </c>
      <c r="G74" s="23">
        <f>SUMIF(Tilgungsplan!$C$8:$C$487,$B74,Tilgungsplan!$H$8:$H$487)</f>
        <v>0</v>
      </c>
      <c r="H74" s="23">
        <f t="shared" si="0"/>
        <v>0</v>
      </c>
      <c r="I74" s="23" t="str">
        <f>IF($C74=0,"",$C$11-SUM($H$36:$H74))</f>
        <v/>
      </c>
      <c r="J74" s="23" t="str">
        <f>IF($C74=0,"",SUM($E$36:$E74))</f>
        <v/>
      </c>
      <c r="K74" s="24" t="str">
        <f>IF($C74=0,"",IF($C$11=0,0,SUM($H$36:$H74)/$C$11))</f>
        <v/>
      </c>
      <c r="L74" s="25" t="str">
        <f>IF($C74=0,"",IF($C$11-SUM($H$36:$H74)&lt;=0.005,"Volltilgung",IF($B74=YEAR($C$18)+$C$19-1,"Ende der Zinsbindung","")))</f>
        <v/>
      </c>
    </row>
    <row r="75" spans="2:12" ht="15.75" customHeight="1" x14ac:dyDescent="0.25">
      <c r="B75" s="26">
        <f t="shared" si="1"/>
        <v>2065</v>
      </c>
      <c r="C75" s="27">
        <f>COUNTIF(Tilgungsplan!$C$8:$C$487,$B75)</f>
        <v>0</v>
      </c>
      <c r="D75" s="28">
        <f>SUMIF(Tilgungsplan!$C$8:$C$487,$B75,Tilgungsplan!$I$8:$I$487)</f>
        <v>0</v>
      </c>
      <c r="E75" s="28">
        <f>SUMIF(Tilgungsplan!$C$8:$C$487,$B75,Tilgungsplan!$F$8:$F$487)</f>
        <v>0</v>
      </c>
      <c r="F75" s="28">
        <f>SUMIF(Tilgungsplan!$C$8:$C$487,$B75,Tilgungsplan!$G$8:$G$487)</f>
        <v>0</v>
      </c>
      <c r="G75" s="28">
        <f>SUMIF(Tilgungsplan!$C$8:$C$487,$B75,Tilgungsplan!$H$8:$H$487)</f>
        <v>0</v>
      </c>
      <c r="H75" s="28">
        <f t="shared" si="0"/>
        <v>0</v>
      </c>
      <c r="I75" s="28" t="str">
        <f>IF($C75=0,"",$C$11-SUM($H$36:$H75))</f>
        <v/>
      </c>
      <c r="J75" s="28" t="str">
        <f>IF($C75=0,"",SUM($E$36:$E75))</f>
        <v/>
      </c>
      <c r="K75" s="29" t="str">
        <f>IF($C75=0,"",IF($C$11=0,0,SUM($H$36:$H75)/$C$11))</f>
        <v/>
      </c>
      <c r="L75" s="30" t="str">
        <f>IF($C75=0,"",IF($C$11-SUM($H$36:$H75)&lt;=0.005,"Volltilgung",IF($B75=YEAR($C$18)+$C$19-1,"Ende der Zinsbindung","")))</f>
        <v/>
      </c>
    </row>
    <row r="76" spans="2:12" ht="21.75" customHeight="1" x14ac:dyDescent="0.25">
      <c r="B76" s="31" t="s">
        <v>76</v>
      </c>
      <c r="C76" s="32">
        <f t="shared" ref="C76:H76" si="2">SUM(C36:C75)</f>
        <v>202</v>
      </c>
      <c r="D76" s="33">
        <f t="shared" si="2"/>
        <v>330072.13</v>
      </c>
      <c r="E76" s="33">
        <f t="shared" si="2"/>
        <v>80072.12999999999</v>
      </c>
      <c r="F76" s="33">
        <f t="shared" si="2"/>
        <v>169999.99999999997</v>
      </c>
      <c r="G76" s="33">
        <f t="shared" si="2"/>
        <v>80000</v>
      </c>
      <c r="H76" s="33">
        <f t="shared" si="2"/>
        <v>249999.99999999997</v>
      </c>
      <c r="I76" s="34"/>
      <c r="J76" s="33">
        <f>E76</f>
        <v>80072.12999999999</v>
      </c>
      <c r="K76" s="34"/>
      <c r="L76" s="34"/>
    </row>
    <row r="98" spans="2:12" ht="21.75" customHeight="1" x14ac:dyDescent="0.25">
      <c r="B98" s="11" t="s">
        <v>77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2" ht="27" customHeight="1" x14ac:dyDescent="0.25">
      <c r="B99" s="1" t="s">
        <v>78</v>
      </c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27" customHeight="1" x14ac:dyDescent="0.25">
      <c r="B100" s="55" t="s">
        <v>79</v>
      </c>
      <c r="C100" s="55"/>
      <c r="D100" s="55"/>
      <c r="E100" s="55"/>
      <c r="F100" s="55"/>
      <c r="G100" s="55"/>
      <c r="H100" s="55"/>
      <c r="I100" s="55"/>
      <c r="J100" s="55"/>
      <c r="K100" s="55"/>
      <c r="L100" s="55"/>
    </row>
    <row r="101" spans="2:12" ht="27" customHeight="1" x14ac:dyDescent="0.25">
      <c r="B101" s="1" t="s">
        <v>80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27" customHeight="1" x14ac:dyDescent="0.25">
      <c r="B102" s="55" t="s">
        <v>81</v>
      </c>
      <c r="C102" s="55"/>
      <c r="D102" s="55"/>
      <c r="E102" s="55"/>
      <c r="F102" s="55"/>
      <c r="G102" s="55"/>
      <c r="H102" s="55"/>
      <c r="I102" s="55"/>
      <c r="J102" s="55"/>
      <c r="K102" s="55"/>
      <c r="L102" s="55"/>
    </row>
    <row r="103" spans="2:12" ht="27" customHeight="1" x14ac:dyDescent="0.25">
      <c r="B103" s="1" t="s">
        <v>82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27" customHeight="1" x14ac:dyDescent="0.25">
      <c r="B104" s="55" t="s">
        <v>83</v>
      </c>
      <c r="C104" s="55"/>
      <c r="D104" s="55"/>
      <c r="E104" s="55"/>
      <c r="F104" s="55"/>
      <c r="G104" s="55"/>
      <c r="H104" s="55"/>
      <c r="I104" s="55"/>
      <c r="J104" s="55"/>
      <c r="K104" s="55"/>
      <c r="L104" s="55"/>
    </row>
    <row r="105" spans="2:12" ht="27" customHeight="1" x14ac:dyDescent="0.25">
      <c r="B105" s="1" t="s">
        <v>84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27" customHeight="1" x14ac:dyDescent="0.25">
      <c r="B106" s="55" t="s">
        <v>85</v>
      </c>
      <c r="C106" s="55"/>
      <c r="D106" s="55"/>
      <c r="E106" s="55"/>
      <c r="F106" s="55"/>
      <c r="G106" s="55"/>
      <c r="H106" s="55"/>
      <c r="I106" s="55"/>
      <c r="J106" s="55"/>
      <c r="K106" s="55"/>
      <c r="L106" s="55"/>
    </row>
    <row r="107" spans="2:12" ht="27" customHeight="1" x14ac:dyDescent="0.25">
      <c r="B107" s="1" t="s">
        <v>86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</row>
  </sheetData>
  <mergeCells count="77">
    <mergeCell ref="B107:L107"/>
    <mergeCell ref="C11:D11"/>
    <mergeCell ref="C12:D12"/>
    <mergeCell ref="C15:D15"/>
    <mergeCell ref="C13:D13"/>
    <mergeCell ref="C16:D16"/>
    <mergeCell ref="C18:D18"/>
    <mergeCell ref="C19:D19"/>
    <mergeCell ref="C20:D20"/>
    <mergeCell ref="C21:D21"/>
    <mergeCell ref="B102:L102"/>
    <mergeCell ref="B103:L103"/>
    <mergeCell ref="B104:L104"/>
    <mergeCell ref="B105:L105"/>
    <mergeCell ref="B106:L106"/>
    <mergeCell ref="B34:L34"/>
    <mergeCell ref="B98:L98"/>
    <mergeCell ref="B99:L99"/>
    <mergeCell ref="B100:L100"/>
    <mergeCell ref="B101:L101"/>
    <mergeCell ref="E24:G32"/>
    <mergeCell ref="H25:L25"/>
    <mergeCell ref="H26:L26"/>
    <mergeCell ref="H27:L27"/>
    <mergeCell ref="H28:L28"/>
    <mergeCell ref="H29:L29"/>
    <mergeCell ref="H30:L30"/>
    <mergeCell ref="E21:G21"/>
    <mergeCell ref="H22:I22"/>
    <mergeCell ref="K22:L22"/>
    <mergeCell ref="B23:G23"/>
    <mergeCell ref="H23:I23"/>
    <mergeCell ref="K23:L23"/>
    <mergeCell ref="E18:G18"/>
    <mergeCell ref="E19:G19"/>
    <mergeCell ref="H19:I19"/>
    <mergeCell ref="K19:L19"/>
    <mergeCell ref="E20:G20"/>
    <mergeCell ref="H20:I20"/>
    <mergeCell ref="K20:L20"/>
    <mergeCell ref="E15:G15"/>
    <mergeCell ref="E16:G16"/>
    <mergeCell ref="H16:I16"/>
    <mergeCell ref="K16:L16"/>
    <mergeCell ref="C17:D17"/>
    <mergeCell ref="E17:G17"/>
    <mergeCell ref="H17:I17"/>
    <mergeCell ref="K17:L17"/>
    <mergeCell ref="E12:G12"/>
    <mergeCell ref="E13:G13"/>
    <mergeCell ref="H13:I13"/>
    <mergeCell ref="K13:L13"/>
    <mergeCell ref="C14:D14"/>
    <mergeCell ref="E14:G14"/>
    <mergeCell ref="H14:I14"/>
    <mergeCell ref="K14:L14"/>
    <mergeCell ref="C10:D10"/>
    <mergeCell ref="E10:G10"/>
    <mergeCell ref="H10:I10"/>
    <mergeCell ref="K10:L10"/>
    <mergeCell ref="E11:G11"/>
    <mergeCell ref="H11:I11"/>
    <mergeCell ref="K11:L11"/>
    <mergeCell ref="C8:D8"/>
    <mergeCell ref="E8:G8"/>
    <mergeCell ref="H8:I8"/>
    <mergeCell ref="K8:L8"/>
    <mergeCell ref="C9:D9"/>
    <mergeCell ref="E9:G9"/>
    <mergeCell ref="B2:L2"/>
    <mergeCell ref="B3:L3"/>
    <mergeCell ref="B6:G6"/>
    <mergeCell ref="H6:L6"/>
    <mergeCell ref="C7:D7"/>
    <mergeCell ref="E7:G7"/>
    <mergeCell ref="H7:I7"/>
    <mergeCell ref="K7:L7"/>
  </mergeCells>
  <dataValidations disablePrompts="1" count="2">
    <dataValidation type="list" sqref="C14" xr:uid="{00000000-0002-0000-0000-000000000000}">
      <formula1>"Annuitätendarlehen,Ratendarlehen,Endfälliges Darlehen"</formula1>
      <formula2>0</formula2>
    </dataValidation>
    <dataValidation type="list" sqref="C17" xr:uid="{00000000-0002-0000-0000-000001000000}">
      <formula1>"monatlich,vierteljährlich,halbjährlich,jährlich"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87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6.5703125" customWidth="1"/>
    <col min="2" max="2" width="13" customWidth="1"/>
    <col min="3" max="3" width="8" customWidth="1"/>
    <col min="4" max="4" width="15.5703125" customWidth="1"/>
    <col min="5" max="5" width="13.42578125" customWidth="1"/>
    <col min="6" max="6" width="13" customWidth="1"/>
    <col min="7" max="7" width="13.42578125" customWidth="1"/>
    <col min="8" max="8" width="14" customWidth="1"/>
    <col min="9" max="9" width="14.5703125" customWidth="1"/>
    <col min="10" max="12" width="15.5703125" customWidth="1"/>
    <col min="13" max="13" width="12" customWidth="1"/>
    <col min="14" max="14" width="24" customWidth="1"/>
    <col min="16" max="16" width="3" customWidth="1"/>
    <col min="17" max="31" width="13" hidden="1" customWidth="1"/>
  </cols>
  <sheetData>
    <row r="1" spans="1:31" ht="33.75" customHeight="1" x14ac:dyDescent="0.25">
      <c r="A1" s="56" t="s">
        <v>87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31" ht="19.5" customHeight="1" x14ac:dyDescent="0.25">
      <c r="A2" s="57" t="s">
        <v>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31" ht="9.75" customHeight="1" x14ac:dyDescent="0.25"/>
    <row r="4" spans="1:31" ht="15" customHeight="1" x14ac:dyDescent="0.25">
      <c r="A4" s="58" t="s">
        <v>89</v>
      </c>
      <c r="B4" s="58"/>
      <c r="C4" s="58"/>
      <c r="D4" s="59" t="s">
        <v>26</v>
      </c>
      <c r="E4" s="59"/>
      <c r="F4" s="59" t="s">
        <v>90</v>
      </c>
      <c r="G4" s="59"/>
      <c r="H4" s="59" t="s">
        <v>91</v>
      </c>
      <c r="I4" s="59"/>
      <c r="J4" s="59" t="s">
        <v>27</v>
      </c>
      <c r="K4" s="59"/>
      <c r="L4" s="59" t="s">
        <v>92</v>
      </c>
      <c r="M4" s="59"/>
    </row>
    <row r="5" spans="1:31" ht="24" customHeight="1" x14ac:dyDescent="0.25">
      <c r="A5" s="58"/>
      <c r="B5" s="58"/>
      <c r="C5" s="58"/>
      <c r="D5" s="60">
        <f>SUM(F8:F487)</f>
        <v>80072.129999999961</v>
      </c>
      <c r="E5" s="60"/>
      <c r="F5" s="60">
        <f>SUM(G8:G487)</f>
        <v>169999.99999999994</v>
      </c>
      <c r="G5" s="60"/>
      <c r="H5" s="60">
        <f>SUM(H8:H487)</f>
        <v>80000</v>
      </c>
      <c r="I5" s="60"/>
      <c r="J5" s="60">
        <f>SUM(I8:I487)</f>
        <v>330072.12999999977</v>
      </c>
      <c r="K5" s="60"/>
      <c r="L5" s="61">
        <f>COUNTIF(D8:D487,"&gt;0")</f>
        <v>202</v>
      </c>
      <c r="M5" s="61"/>
    </row>
    <row r="6" spans="1:31" ht="9.75" customHeight="1" x14ac:dyDescent="0.25"/>
    <row r="7" spans="1:31" ht="33.75" customHeight="1" x14ac:dyDescent="0.25">
      <c r="A7" s="20" t="s">
        <v>93</v>
      </c>
      <c r="B7" s="20" t="s">
        <v>94</v>
      </c>
      <c r="C7" s="20" t="s">
        <v>65</v>
      </c>
      <c r="D7" s="20" t="s">
        <v>95</v>
      </c>
      <c r="E7" s="20" t="s">
        <v>96</v>
      </c>
      <c r="F7" s="20" t="s">
        <v>97</v>
      </c>
      <c r="G7" s="20" t="s">
        <v>98</v>
      </c>
      <c r="H7" s="20" t="s">
        <v>99</v>
      </c>
      <c r="I7" s="20" t="s">
        <v>100</v>
      </c>
      <c r="J7" s="20" t="s">
        <v>101</v>
      </c>
      <c r="K7" s="20" t="s">
        <v>73</v>
      </c>
      <c r="L7" s="20" t="s">
        <v>102</v>
      </c>
      <c r="M7" s="20" t="s">
        <v>103</v>
      </c>
      <c r="N7" s="20" t="s">
        <v>75</v>
      </c>
      <c r="Q7" s="35" t="s">
        <v>104</v>
      </c>
      <c r="R7" s="35" t="s">
        <v>105</v>
      </c>
      <c r="S7" s="35" t="s">
        <v>106</v>
      </c>
      <c r="T7" s="35" t="s">
        <v>107</v>
      </c>
      <c r="U7" s="35" t="s">
        <v>108</v>
      </c>
      <c r="V7" s="35" t="s">
        <v>109</v>
      </c>
      <c r="W7" s="35" t="s">
        <v>110</v>
      </c>
      <c r="X7" s="35" t="s">
        <v>111</v>
      </c>
      <c r="Y7" s="35" t="s">
        <v>112</v>
      </c>
      <c r="Z7" s="35" t="s">
        <v>113</v>
      </c>
      <c r="AA7" s="35" t="s">
        <v>114</v>
      </c>
      <c r="AB7" s="35" t="s">
        <v>115</v>
      </c>
      <c r="AC7" s="35" t="s">
        <v>116</v>
      </c>
      <c r="AD7" s="35" t="s">
        <v>117</v>
      </c>
      <c r="AE7" s="35" t="s">
        <v>118</v>
      </c>
    </row>
    <row r="8" spans="1:31" ht="15" customHeight="1" x14ac:dyDescent="0.25">
      <c r="A8" s="21">
        <v>1</v>
      </c>
      <c r="B8" s="36">
        <f>IF($D8&lt;=0,"",EDATE(Übersicht!$C$18,($A8-1)*12/Übersicht!$C$25))</f>
        <v>46053</v>
      </c>
      <c r="C8" s="21">
        <f t="shared" ref="C8:C71" si="0">IF($B8="","",YEAR($B8))</f>
        <v>2026</v>
      </c>
      <c r="D8" s="37">
        <f>Übersicht!$C$11</f>
        <v>250000</v>
      </c>
      <c r="E8" s="23">
        <f t="shared" ref="E8:E71" si="1">IF($D8&lt;=0,0,$F8+$G8)</f>
        <v>1239.58</v>
      </c>
      <c r="F8" s="23">
        <f>IF($D8&lt;=0,0,ROUND($D8*Übersicht!$C$26,2))</f>
        <v>718.75</v>
      </c>
      <c r="G8" s="23">
        <f>IF($D8&lt;=0,0,MIN($D8,IF(Übersicht!$C$14="Annuitätendarlehen",MAX(0,Übersicht!$C$28-$F8),IF(Übersicht!$C$14="Ratendarlehen",Übersicht!$C$29,IF($A8&gt;=Übersicht!$C$30,$D8,0)))))</f>
        <v>520.82999999999993</v>
      </c>
      <c r="H8" s="23">
        <f>IF($D8-$G8&lt;=0,0,IF(MOD($A8,Übersicht!$C$25)=0,MIN(Übersicht!$C$31,$D8-$G8),0))</f>
        <v>0</v>
      </c>
      <c r="I8" s="23">
        <f t="shared" ref="I8:I71" si="2">IF($D8&lt;=0,0,$E8+$H8)</f>
        <v>1239.58</v>
      </c>
      <c r="J8" s="23">
        <f t="shared" ref="J8:J71" si="3">IF($D8&lt;=0,0,ROUND($D8-$G8-$H8,2))</f>
        <v>249479.17</v>
      </c>
      <c r="K8" s="23">
        <f>$F8</f>
        <v>718.75</v>
      </c>
      <c r="L8" s="23">
        <f>ROUND($G8+$H8,2)</f>
        <v>520.83000000000004</v>
      </c>
      <c r="M8" s="24">
        <f>IF($D8&lt;=0,"",IF(Übersicht!$C$11=0,0,$L8/Übersicht!$C$11))</f>
        <v>2.0833200000000001E-3</v>
      </c>
      <c r="N8" s="25" t="str">
        <f>IF($D8&lt;=0,"",IF($J8&lt;=0.005,"Volltilgung erreicht",IF($A8=Übersicht!$C$19*Übersicht!$C$25,"Ende der Zinsbindung",IF($H8&gt;0,"Sondertilgung verrechnet",""))))</f>
        <v/>
      </c>
      <c r="Q8" s="38">
        <f>IF(Übersicht!$C$11&lt;=0,0,ROUND(Übersicht!$C$11*Übersicht!$C$26,2))</f>
        <v>718.75</v>
      </c>
      <c r="R8" s="38">
        <f>IF(Übersicht!$C$11&lt;=0,0,MIN(Übersicht!$C$11,IF(Übersicht!$C$14="Annuitätendarlehen",MAX(0,Übersicht!$C$28-$Q8),IF(Übersicht!$C$14="Ratendarlehen",Übersicht!$C$29,IF($A8&gt;=Übersicht!$C$30,Übersicht!$C$11,0)))))</f>
        <v>520.82999999999993</v>
      </c>
      <c r="S8" s="38">
        <f>IF(Übersicht!$C$11&lt;=0,0,ROUND(Übersicht!$C$11-$R8-IF(Übersicht!$C$11-$R8&lt;=0,0,IF(MOD($A8,Übersicht!$C$25)=0,MIN(Szenarien!$C$8,Übersicht!$C$11-$R8),0)),2))</f>
        <v>249479.17</v>
      </c>
      <c r="T8" s="38">
        <f>IF(Übersicht!$C$11&lt;=0,0,ROUND(Übersicht!$C$11*Übersicht!$C$26,2))</f>
        <v>718.75</v>
      </c>
      <c r="U8" s="38">
        <f>IF(Übersicht!$C$11&lt;=0,0,MIN(Übersicht!$C$11,IF(Übersicht!$C$14="Annuitätendarlehen",MAX(0,Übersicht!$C$28-$T8),IF(Übersicht!$C$14="Ratendarlehen",Übersicht!$C$29,IF($A8&gt;=Übersicht!$C$30,Übersicht!$C$11,0)))))</f>
        <v>520.82999999999993</v>
      </c>
      <c r="V8" s="38">
        <f>IF(Übersicht!$C$11&lt;=0,0,ROUND(Übersicht!$C$11-$U8-IF(Übersicht!$C$11-$U8&lt;=0,0,IF(MOD($A8,Übersicht!$C$25)=0,MIN(Szenarien!$C$9,Übersicht!$C$11-$U8),0)),2))</f>
        <v>249479.17</v>
      </c>
      <c r="W8" s="38">
        <f>IF(Übersicht!$C$11&lt;=0,0,ROUND(Übersicht!$C$11*Übersicht!$C$26,2))</f>
        <v>718.75</v>
      </c>
      <c r="X8" s="38">
        <f>IF(Übersicht!$C$11&lt;=0,0,MIN(Übersicht!$C$11,IF(Übersicht!$C$14="Annuitätendarlehen",MAX(0,Übersicht!$C$28-$W8),IF(Übersicht!$C$14="Ratendarlehen",Übersicht!$C$29,IF($A8&gt;=Übersicht!$C$30,Übersicht!$C$11,0)))))</f>
        <v>520.82999999999993</v>
      </c>
      <c r="Y8" s="38">
        <f>IF(Übersicht!$C$11&lt;=0,0,ROUND(Übersicht!$C$11-$X8-IF(Übersicht!$C$11-$X8&lt;=0,0,IF(MOD($A8,Übersicht!$C$25)=0,MIN(Szenarien!$C$10,Übersicht!$C$11-$X8),0)),2))</f>
        <v>249479.17</v>
      </c>
      <c r="Z8" s="38">
        <f>IF(Übersicht!$C$11&lt;=0,0,ROUND(Übersicht!$C$11*Übersicht!$C$26,2))</f>
        <v>718.75</v>
      </c>
      <c r="AA8" s="38">
        <f>IF(Übersicht!$C$11&lt;=0,0,MIN(Übersicht!$C$11,IF(Übersicht!$C$14="Annuitätendarlehen",MAX(0,Übersicht!$C$28-$Z8),IF(Übersicht!$C$14="Ratendarlehen",Übersicht!$C$29,IF($A8&gt;=Übersicht!$C$30,Übersicht!$C$11,0)))))</f>
        <v>520.82999999999993</v>
      </c>
      <c r="AB8" s="38">
        <f>IF(Übersicht!$C$11&lt;=0,0,ROUND(Übersicht!$C$11-$AA8-IF(Übersicht!$C$11-$AA8&lt;=0,0,IF(MOD($A8,Übersicht!$C$25)=0,MIN(Szenarien!$C$11,Übersicht!$C$11-$AA8),0)),2))</f>
        <v>249479.17</v>
      </c>
      <c r="AC8" s="38">
        <f>IF(Übersicht!$C$11&lt;=0,0,ROUND(Übersicht!$C$11*Übersicht!$C$26,2))</f>
        <v>718.75</v>
      </c>
      <c r="AD8" s="38">
        <f>IF(Übersicht!$C$11&lt;=0,0,MIN(Übersicht!$C$11,IF(Übersicht!$C$14="Annuitätendarlehen",MAX(0,Übersicht!$C$28-$AC8),IF(Übersicht!$C$14="Ratendarlehen",Übersicht!$C$29,IF($A8&gt;=Übersicht!$C$30,Übersicht!$C$11,0)))))</f>
        <v>520.82999999999993</v>
      </c>
      <c r="AE8" s="38">
        <f>IF(Übersicht!$C$11&lt;=0,0,ROUND(Übersicht!$C$11-$AD8-IF(Übersicht!$C$11-$AD8&lt;=0,0,IF(MOD($A8,Übersicht!$C$25)=0,MIN(Szenarien!$C$12,Übersicht!$C$11-$AD8),0)),2))</f>
        <v>249479.17</v>
      </c>
    </row>
    <row r="9" spans="1:31" ht="15" customHeight="1" x14ac:dyDescent="0.25">
      <c r="A9" s="26">
        <v>2</v>
      </c>
      <c r="B9" s="39">
        <f>IF($D9&lt;=0,"",EDATE(Übersicht!$C$18,($A9-1)*12/Übersicht!$C$25))</f>
        <v>46081</v>
      </c>
      <c r="C9" s="26">
        <f t="shared" si="0"/>
        <v>2026</v>
      </c>
      <c r="D9" s="40">
        <f t="shared" ref="D9:D72" si="4">$J8</f>
        <v>249479.17</v>
      </c>
      <c r="E9" s="28">
        <f t="shared" si="1"/>
        <v>1239.58</v>
      </c>
      <c r="F9" s="28">
        <f>IF($D9&lt;=0,0,ROUND($D9*Übersicht!$C$26,2))</f>
        <v>717.25</v>
      </c>
      <c r="G9" s="28">
        <f>IF($D9&lt;=0,0,MIN($D9,IF(Übersicht!$C$14="Annuitätendarlehen",MAX(0,Übersicht!$C$28-$F9),IF(Übersicht!$C$14="Ratendarlehen",Übersicht!$C$29,IF($A9&gt;=Übersicht!$C$30,$D9,0)))))</f>
        <v>522.32999999999993</v>
      </c>
      <c r="H9" s="28">
        <f>IF($D9-$G9&lt;=0,0,IF(MOD($A9,Übersicht!$C$25)=0,MIN(Übersicht!$C$31,$D9-$G9),0))</f>
        <v>0</v>
      </c>
      <c r="I9" s="28">
        <f t="shared" si="2"/>
        <v>1239.58</v>
      </c>
      <c r="J9" s="28">
        <f t="shared" si="3"/>
        <v>248956.84</v>
      </c>
      <c r="K9" s="28">
        <f t="shared" ref="K9:K72" si="5">$K8+$F9</f>
        <v>1436</v>
      </c>
      <c r="L9" s="28">
        <f t="shared" ref="L9:L72" si="6">ROUND($L8+$G9+$H9,2)</f>
        <v>1043.1600000000001</v>
      </c>
      <c r="M9" s="29">
        <f>IF($D9&lt;=0,"",IF(Übersicht!$C$11=0,0,$L9/Übersicht!$C$11))</f>
        <v>4.17264E-3</v>
      </c>
      <c r="N9" s="30" t="str">
        <f>IF($D9&lt;=0,"",IF($J9&lt;=0.005,"Volltilgung erreicht",IF($A9=Übersicht!$C$19*Übersicht!$C$25,"Ende der Zinsbindung",IF($H9&gt;0,"Sondertilgung verrechnet",""))))</f>
        <v/>
      </c>
      <c r="Q9" s="38">
        <f>IF($S8&lt;=0,0,ROUND($S8*Übersicht!$C$26,2))</f>
        <v>717.25</v>
      </c>
      <c r="R9" s="38">
        <f>IF($S8&lt;=0,0,MIN($S8,IF(Übersicht!$C$14="Annuitätendarlehen",MAX(0,Übersicht!$C$28-$Q9),IF(Übersicht!$C$14="Ratendarlehen",Übersicht!$C$29,IF($A9&gt;=Übersicht!$C$30,$S8,0)))))</f>
        <v>522.32999999999993</v>
      </c>
      <c r="S9" s="38">
        <f>IF($S8&lt;=0,0,ROUND($S8-$R9-IF($S8-$R9&lt;=0,0,IF(MOD($A9,Übersicht!$C$25)=0,MIN(Szenarien!$C$8,$S8-$R9),0)),2))</f>
        <v>248956.84</v>
      </c>
      <c r="T9" s="38">
        <f>IF($V8&lt;=0,0,ROUND($V8*Übersicht!$C$26,2))</f>
        <v>717.25</v>
      </c>
      <c r="U9" s="38">
        <f>IF($V8&lt;=0,0,MIN($V8,IF(Übersicht!$C$14="Annuitätendarlehen",MAX(0,Übersicht!$C$28-$T9),IF(Übersicht!$C$14="Ratendarlehen",Übersicht!$C$29,IF($A9&gt;=Übersicht!$C$30,$V8,0)))))</f>
        <v>522.32999999999993</v>
      </c>
      <c r="V9" s="38">
        <f>IF($V8&lt;=0,0,ROUND($V8-$U9-IF($V8-$U9&lt;=0,0,IF(MOD($A9,Übersicht!$C$25)=0,MIN(Szenarien!$C$9,$V8-$U9),0)),2))</f>
        <v>248956.84</v>
      </c>
      <c r="W9" s="38">
        <f>IF($Y8&lt;=0,0,ROUND($Y8*Übersicht!$C$26,2))</f>
        <v>717.25</v>
      </c>
      <c r="X9" s="38">
        <f>IF($Y8&lt;=0,0,MIN($Y8,IF(Übersicht!$C$14="Annuitätendarlehen",MAX(0,Übersicht!$C$28-$W9),IF(Übersicht!$C$14="Ratendarlehen",Übersicht!$C$29,IF($A9&gt;=Übersicht!$C$30,$Y8,0)))))</f>
        <v>522.32999999999993</v>
      </c>
      <c r="Y9" s="38">
        <f>IF($Y8&lt;=0,0,ROUND($Y8-$X9-IF($Y8-$X9&lt;=0,0,IF(MOD($A9,Übersicht!$C$25)=0,MIN(Szenarien!$C$10,$Y8-$X9),0)),2))</f>
        <v>248956.84</v>
      </c>
      <c r="Z9" s="38">
        <f>IF($AB8&lt;=0,0,ROUND($AB8*Übersicht!$C$26,2))</f>
        <v>717.25</v>
      </c>
      <c r="AA9" s="38">
        <f>IF($AB8&lt;=0,0,MIN($AB8,IF(Übersicht!$C$14="Annuitätendarlehen",MAX(0,Übersicht!$C$28-$Z9),IF(Übersicht!$C$14="Ratendarlehen",Übersicht!$C$29,IF($A9&gt;=Übersicht!$C$30,$AB8,0)))))</f>
        <v>522.32999999999993</v>
      </c>
      <c r="AB9" s="38">
        <f>IF($AB8&lt;=0,0,ROUND($AB8-$AA9-IF($AB8-$AA9&lt;=0,0,IF(MOD($A9,Übersicht!$C$25)=0,MIN(Szenarien!$C$11,$AB8-$AA9),0)),2))</f>
        <v>248956.84</v>
      </c>
      <c r="AC9" s="38">
        <f>IF($AE8&lt;=0,0,ROUND($AE8*Übersicht!$C$26,2))</f>
        <v>717.25</v>
      </c>
      <c r="AD9" s="38">
        <f>IF($AE8&lt;=0,0,MIN($AE8,IF(Übersicht!$C$14="Annuitätendarlehen",MAX(0,Übersicht!$C$28-$AC9),IF(Übersicht!$C$14="Ratendarlehen",Übersicht!$C$29,IF($A9&gt;=Übersicht!$C$30,$AE8,0)))))</f>
        <v>522.32999999999993</v>
      </c>
      <c r="AE9" s="38">
        <f>IF($AE8&lt;=0,0,ROUND($AE8-$AD9-IF($AE8-$AD9&lt;=0,0,IF(MOD($A9,Übersicht!$C$25)=0,MIN(Szenarien!$C$12,$AE8-$AD9),0)),2))</f>
        <v>248956.84</v>
      </c>
    </row>
    <row r="10" spans="1:31" ht="15" customHeight="1" x14ac:dyDescent="0.25">
      <c r="A10" s="21">
        <v>3</v>
      </c>
      <c r="B10" s="36">
        <f>IF($D10&lt;=0,"",EDATE(Übersicht!$C$18,($A10-1)*12/Übersicht!$C$25))</f>
        <v>46112</v>
      </c>
      <c r="C10" s="21">
        <f t="shared" si="0"/>
        <v>2026</v>
      </c>
      <c r="D10" s="37">
        <f t="shared" si="4"/>
        <v>248956.84</v>
      </c>
      <c r="E10" s="23">
        <f t="shared" si="1"/>
        <v>1239.58</v>
      </c>
      <c r="F10" s="23">
        <f>IF($D10&lt;=0,0,ROUND($D10*Übersicht!$C$26,2))</f>
        <v>715.75</v>
      </c>
      <c r="G10" s="23">
        <f>IF($D10&lt;=0,0,MIN($D10,IF(Übersicht!$C$14="Annuitätendarlehen",MAX(0,Übersicht!$C$28-$F10),IF(Übersicht!$C$14="Ratendarlehen",Übersicht!$C$29,IF($A10&gt;=Übersicht!$C$30,$D10,0)))))</f>
        <v>523.82999999999993</v>
      </c>
      <c r="H10" s="23">
        <f>IF($D10-$G10&lt;=0,0,IF(MOD($A10,Übersicht!$C$25)=0,MIN(Übersicht!$C$31,$D10-$G10),0))</f>
        <v>0</v>
      </c>
      <c r="I10" s="23">
        <f t="shared" si="2"/>
        <v>1239.58</v>
      </c>
      <c r="J10" s="23">
        <f t="shared" si="3"/>
        <v>248433.01</v>
      </c>
      <c r="K10" s="23">
        <f t="shared" si="5"/>
        <v>2151.75</v>
      </c>
      <c r="L10" s="23">
        <f t="shared" si="6"/>
        <v>1566.99</v>
      </c>
      <c r="M10" s="24">
        <f>IF($D10&lt;=0,"",IF(Übersicht!$C$11=0,0,$L10/Übersicht!$C$11))</f>
        <v>6.2679600000000004E-3</v>
      </c>
      <c r="N10" s="25" t="str">
        <f>IF($D10&lt;=0,"",IF($J10&lt;=0.005,"Volltilgung erreicht",IF($A10=Übersicht!$C$19*Übersicht!$C$25,"Ende der Zinsbindung",IF($H10&gt;0,"Sondertilgung verrechnet",""))))</f>
        <v/>
      </c>
      <c r="Q10" s="38">
        <f>IF($S9&lt;=0,0,ROUND($S9*Übersicht!$C$26,2))</f>
        <v>715.75</v>
      </c>
      <c r="R10" s="38">
        <f>IF($S9&lt;=0,0,MIN($S9,IF(Übersicht!$C$14="Annuitätendarlehen",MAX(0,Übersicht!$C$28-$Q10),IF(Übersicht!$C$14="Ratendarlehen",Übersicht!$C$29,IF($A10&gt;=Übersicht!$C$30,$S9,0)))))</f>
        <v>523.82999999999993</v>
      </c>
      <c r="S10" s="38">
        <f>IF($S9&lt;=0,0,ROUND($S9-$R10-IF($S9-$R10&lt;=0,0,IF(MOD($A10,Übersicht!$C$25)=0,MIN(Szenarien!$C$8,$S9-$R10),0)),2))</f>
        <v>248433.01</v>
      </c>
      <c r="T10" s="38">
        <f>IF($V9&lt;=0,0,ROUND($V9*Übersicht!$C$26,2))</f>
        <v>715.75</v>
      </c>
      <c r="U10" s="38">
        <f>IF($V9&lt;=0,0,MIN($V9,IF(Übersicht!$C$14="Annuitätendarlehen",MAX(0,Übersicht!$C$28-$T10),IF(Übersicht!$C$14="Ratendarlehen",Übersicht!$C$29,IF($A10&gt;=Übersicht!$C$30,$V9,0)))))</f>
        <v>523.82999999999993</v>
      </c>
      <c r="V10" s="38">
        <f>IF($V9&lt;=0,0,ROUND($V9-$U10-IF($V9-$U10&lt;=0,0,IF(MOD($A10,Übersicht!$C$25)=0,MIN(Szenarien!$C$9,$V9-$U10),0)),2))</f>
        <v>248433.01</v>
      </c>
      <c r="W10" s="38">
        <f>IF($Y9&lt;=0,0,ROUND($Y9*Übersicht!$C$26,2))</f>
        <v>715.75</v>
      </c>
      <c r="X10" s="38">
        <f>IF($Y9&lt;=0,0,MIN($Y9,IF(Übersicht!$C$14="Annuitätendarlehen",MAX(0,Übersicht!$C$28-$W10),IF(Übersicht!$C$14="Ratendarlehen",Übersicht!$C$29,IF($A10&gt;=Übersicht!$C$30,$Y9,0)))))</f>
        <v>523.82999999999993</v>
      </c>
      <c r="Y10" s="38">
        <f>IF($Y9&lt;=0,0,ROUND($Y9-$X10-IF($Y9-$X10&lt;=0,0,IF(MOD($A10,Übersicht!$C$25)=0,MIN(Szenarien!$C$10,$Y9-$X10),0)),2))</f>
        <v>248433.01</v>
      </c>
      <c r="Z10" s="38">
        <f>IF($AB9&lt;=0,0,ROUND($AB9*Übersicht!$C$26,2))</f>
        <v>715.75</v>
      </c>
      <c r="AA10" s="38">
        <f>IF($AB9&lt;=0,0,MIN($AB9,IF(Übersicht!$C$14="Annuitätendarlehen",MAX(0,Übersicht!$C$28-$Z10),IF(Übersicht!$C$14="Ratendarlehen",Übersicht!$C$29,IF($A10&gt;=Übersicht!$C$30,$AB9,0)))))</f>
        <v>523.82999999999993</v>
      </c>
      <c r="AB10" s="38">
        <f>IF($AB9&lt;=0,0,ROUND($AB9-$AA10-IF($AB9-$AA10&lt;=0,0,IF(MOD($A10,Übersicht!$C$25)=0,MIN(Szenarien!$C$11,$AB9-$AA10),0)),2))</f>
        <v>248433.01</v>
      </c>
      <c r="AC10" s="38">
        <f>IF($AE9&lt;=0,0,ROUND($AE9*Übersicht!$C$26,2))</f>
        <v>715.75</v>
      </c>
      <c r="AD10" s="38">
        <f>IF($AE9&lt;=0,0,MIN($AE9,IF(Übersicht!$C$14="Annuitätendarlehen",MAX(0,Übersicht!$C$28-$AC10),IF(Übersicht!$C$14="Ratendarlehen",Übersicht!$C$29,IF($A10&gt;=Übersicht!$C$30,$AE9,0)))))</f>
        <v>523.82999999999993</v>
      </c>
      <c r="AE10" s="38">
        <f>IF($AE9&lt;=0,0,ROUND($AE9-$AD10-IF($AE9-$AD10&lt;=0,0,IF(MOD($A10,Übersicht!$C$25)=0,MIN(Szenarien!$C$12,$AE9-$AD10),0)),2))</f>
        <v>248433.01</v>
      </c>
    </row>
    <row r="11" spans="1:31" ht="15" customHeight="1" x14ac:dyDescent="0.25">
      <c r="A11" s="26">
        <v>4</v>
      </c>
      <c r="B11" s="39">
        <f>IF($D11&lt;=0,"",EDATE(Übersicht!$C$18,($A11-1)*12/Übersicht!$C$25))</f>
        <v>46142</v>
      </c>
      <c r="C11" s="26">
        <f t="shared" si="0"/>
        <v>2026</v>
      </c>
      <c r="D11" s="40">
        <f t="shared" si="4"/>
        <v>248433.01</v>
      </c>
      <c r="E11" s="28">
        <f t="shared" si="1"/>
        <v>1239.58</v>
      </c>
      <c r="F11" s="28">
        <f>IF($D11&lt;=0,0,ROUND($D11*Übersicht!$C$26,2))</f>
        <v>714.24</v>
      </c>
      <c r="G11" s="28">
        <f>IF($D11&lt;=0,0,MIN($D11,IF(Übersicht!$C$14="Annuitätendarlehen",MAX(0,Übersicht!$C$28-$F11),IF(Übersicht!$C$14="Ratendarlehen",Übersicht!$C$29,IF($A11&gt;=Übersicht!$C$30,$D11,0)))))</f>
        <v>525.33999999999992</v>
      </c>
      <c r="H11" s="28">
        <f>IF($D11-$G11&lt;=0,0,IF(MOD($A11,Übersicht!$C$25)=0,MIN(Übersicht!$C$31,$D11-$G11),0))</f>
        <v>0</v>
      </c>
      <c r="I11" s="28">
        <f t="shared" si="2"/>
        <v>1239.58</v>
      </c>
      <c r="J11" s="28">
        <f t="shared" si="3"/>
        <v>247907.67</v>
      </c>
      <c r="K11" s="28">
        <f t="shared" si="5"/>
        <v>2865.99</v>
      </c>
      <c r="L11" s="28">
        <f t="shared" si="6"/>
        <v>2092.33</v>
      </c>
      <c r="M11" s="29">
        <f>IF($D11&lt;=0,"",IF(Übersicht!$C$11=0,0,$L11/Übersicht!$C$11))</f>
        <v>8.3693199999999995E-3</v>
      </c>
      <c r="N11" s="30" t="str">
        <f>IF($D11&lt;=0,"",IF($J11&lt;=0.005,"Volltilgung erreicht",IF($A11=Übersicht!$C$19*Übersicht!$C$25,"Ende der Zinsbindung",IF($H11&gt;0,"Sondertilgung verrechnet",""))))</f>
        <v/>
      </c>
      <c r="Q11" s="38">
        <f>IF($S10&lt;=0,0,ROUND($S10*Übersicht!$C$26,2))</f>
        <v>714.24</v>
      </c>
      <c r="R11" s="38">
        <f>IF($S10&lt;=0,0,MIN($S10,IF(Übersicht!$C$14="Annuitätendarlehen",MAX(0,Übersicht!$C$28-$Q11),IF(Übersicht!$C$14="Ratendarlehen",Übersicht!$C$29,IF($A11&gt;=Übersicht!$C$30,$S10,0)))))</f>
        <v>525.33999999999992</v>
      </c>
      <c r="S11" s="38">
        <f>IF($S10&lt;=0,0,ROUND($S10-$R11-IF($S10-$R11&lt;=0,0,IF(MOD($A11,Übersicht!$C$25)=0,MIN(Szenarien!$C$8,$S10-$R11),0)),2))</f>
        <v>247907.67</v>
      </c>
      <c r="T11" s="38">
        <f>IF($V10&lt;=0,0,ROUND($V10*Übersicht!$C$26,2))</f>
        <v>714.24</v>
      </c>
      <c r="U11" s="38">
        <f>IF($V10&lt;=0,0,MIN($V10,IF(Übersicht!$C$14="Annuitätendarlehen",MAX(0,Übersicht!$C$28-$T11),IF(Übersicht!$C$14="Ratendarlehen",Übersicht!$C$29,IF($A11&gt;=Übersicht!$C$30,$V10,0)))))</f>
        <v>525.33999999999992</v>
      </c>
      <c r="V11" s="38">
        <f>IF($V10&lt;=0,0,ROUND($V10-$U11-IF($V10-$U11&lt;=0,0,IF(MOD($A11,Übersicht!$C$25)=0,MIN(Szenarien!$C$9,$V10-$U11),0)),2))</f>
        <v>247907.67</v>
      </c>
      <c r="W11" s="38">
        <f>IF($Y10&lt;=0,0,ROUND($Y10*Übersicht!$C$26,2))</f>
        <v>714.24</v>
      </c>
      <c r="X11" s="38">
        <f>IF($Y10&lt;=0,0,MIN($Y10,IF(Übersicht!$C$14="Annuitätendarlehen",MAX(0,Übersicht!$C$28-$W11),IF(Übersicht!$C$14="Ratendarlehen",Übersicht!$C$29,IF($A11&gt;=Übersicht!$C$30,$Y10,0)))))</f>
        <v>525.33999999999992</v>
      </c>
      <c r="Y11" s="38">
        <f>IF($Y10&lt;=0,0,ROUND($Y10-$X11-IF($Y10-$X11&lt;=0,0,IF(MOD($A11,Übersicht!$C$25)=0,MIN(Szenarien!$C$10,$Y10-$X11),0)),2))</f>
        <v>247907.67</v>
      </c>
      <c r="Z11" s="38">
        <f>IF($AB10&lt;=0,0,ROUND($AB10*Übersicht!$C$26,2))</f>
        <v>714.24</v>
      </c>
      <c r="AA11" s="38">
        <f>IF($AB10&lt;=0,0,MIN($AB10,IF(Übersicht!$C$14="Annuitätendarlehen",MAX(0,Übersicht!$C$28-$Z11),IF(Übersicht!$C$14="Ratendarlehen",Übersicht!$C$29,IF($A11&gt;=Übersicht!$C$30,$AB10,0)))))</f>
        <v>525.33999999999992</v>
      </c>
      <c r="AB11" s="38">
        <f>IF($AB10&lt;=0,0,ROUND($AB10-$AA11-IF($AB10-$AA11&lt;=0,0,IF(MOD($A11,Übersicht!$C$25)=0,MIN(Szenarien!$C$11,$AB10-$AA11),0)),2))</f>
        <v>247907.67</v>
      </c>
      <c r="AC11" s="38">
        <f>IF($AE10&lt;=0,0,ROUND($AE10*Übersicht!$C$26,2))</f>
        <v>714.24</v>
      </c>
      <c r="AD11" s="38">
        <f>IF($AE10&lt;=0,0,MIN($AE10,IF(Übersicht!$C$14="Annuitätendarlehen",MAX(0,Übersicht!$C$28-$AC11),IF(Übersicht!$C$14="Ratendarlehen",Übersicht!$C$29,IF($A11&gt;=Übersicht!$C$30,$AE10,0)))))</f>
        <v>525.33999999999992</v>
      </c>
      <c r="AE11" s="38">
        <f>IF($AE10&lt;=0,0,ROUND($AE10-$AD11-IF($AE10-$AD11&lt;=0,0,IF(MOD($A11,Übersicht!$C$25)=0,MIN(Szenarien!$C$12,$AE10-$AD11),0)),2))</f>
        <v>247907.67</v>
      </c>
    </row>
    <row r="12" spans="1:31" ht="15" customHeight="1" x14ac:dyDescent="0.25">
      <c r="A12" s="21">
        <v>5</v>
      </c>
      <c r="B12" s="36">
        <f>IF($D12&lt;=0,"",EDATE(Übersicht!$C$18,($A12-1)*12/Übersicht!$C$25))</f>
        <v>46173</v>
      </c>
      <c r="C12" s="21">
        <f t="shared" si="0"/>
        <v>2026</v>
      </c>
      <c r="D12" s="37">
        <f t="shared" si="4"/>
        <v>247907.67</v>
      </c>
      <c r="E12" s="23">
        <f t="shared" si="1"/>
        <v>1239.58</v>
      </c>
      <c r="F12" s="23">
        <f>IF($D12&lt;=0,0,ROUND($D12*Übersicht!$C$26,2))</f>
        <v>712.73</v>
      </c>
      <c r="G12" s="23">
        <f>IF($D12&lt;=0,0,MIN($D12,IF(Übersicht!$C$14="Annuitätendarlehen",MAX(0,Übersicht!$C$28-$F12),IF(Übersicht!$C$14="Ratendarlehen",Übersicht!$C$29,IF($A12&gt;=Übersicht!$C$30,$D12,0)))))</f>
        <v>526.84999999999991</v>
      </c>
      <c r="H12" s="23">
        <f>IF($D12-$G12&lt;=0,0,IF(MOD($A12,Übersicht!$C$25)=0,MIN(Übersicht!$C$31,$D12-$G12),0))</f>
        <v>0</v>
      </c>
      <c r="I12" s="23">
        <f t="shared" si="2"/>
        <v>1239.58</v>
      </c>
      <c r="J12" s="23">
        <f t="shared" si="3"/>
        <v>247380.82</v>
      </c>
      <c r="K12" s="23">
        <f t="shared" si="5"/>
        <v>3578.72</v>
      </c>
      <c r="L12" s="23">
        <f t="shared" si="6"/>
        <v>2619.1799999999998</v>
      </c>
      <c r="M12" s="24">
        <f>IF($D12&lt;=0,"",IF(Übersicht!$C$11=0,0,$L12/Übersicht!$C$11))</f>
        <v>1.047672E-2</v>
      </c>
      <c r="N12" s="25" t="str">
        <f>IF($D12&lt;=0,"",IF($J12&lt;=0.005,"Volltilgung erreicht",IF($A12=Übersicht!$C$19*Übersicht!$C$25,"Ende der Zinsbindung",IF($H12&gt;0,"Sondertilgung verrechnet",""))))</f>
        <v/>
      </c>
      <c r="Q12" s="38">
        <f>IF($S11&lt;=0,0,ROUND($S11*Übersicht!$C$26,2))</f>
        <v>712.73</v>
      </c>
      <c r="R12" s="38">
        <f>IF($S11&lt;=0,0,MIN($S11,IF(Übersicht!$C$14="Annuitätendarlehen",MAX(0,Übersicht!$C$28-$Q12),IF(Übersicht!$C$14="Ratendarlehen",Übersicht!$C$29,IF($A12&gt;=Übersicht!$C$30,$S11,0)))))</f>
        <v>526.84999999999991</v>
      </c>
      <c r="S12" s="38">
        <f>IF($S11&lt;=0,0,ROUND($S11-$R12-IF($S11-$R12&lt;=0,0,IF(MOD($A12,Übersicht!$C$25)=0,MIN(Szenarien!$C$8,$S11-$R12),0)),2))</f>
        <v>247380.82</v>
      </c>
      <c r="T12" s="38">
        <f>IF($V11&lt;=0,0,ROUND($V11*Übersicht!$C$26,2))</f>
        <v>712.73</v>
      </c>
      <c r="U12" s="38">
        <f>IF($V11&lt;=0,0,MIN($V11,IF(Übersicht!$C$14="Annuitätendarlehen",MAX(0,Übersicht!$C$28-$T12),IF(Übersicht!$C$14="Ratendarlehen",Übersicht!$C$29,IF($A12&gt;=Übersicht!$C$30,$V11,0)))))</f>
        <v>526.84999999999991</v>
      </c>
      <c r="V12" s="38">
        <f>IF($V11&lt;=0,0,ROUND($V11-$U12-IF($V11-$U12&lt;=0,0,IF(MOD($A12,Übersicht!$C$25)=0,MIN(Szenarien!$C$9,$V11-$U12),0)),2))</f>
        <v>247380.82</v>
      </c>
      <c r="W12" s="38">
        <f>IF($Y11&lt;=0,0,ROUND($Y11*Übersicht!$C$26,2))</f>
        <v>712.73</v>
      </c>
      <c r="X12" s="38">
        <f>IF($Y11&lt;=0,0,MIN($Y11,IF(Übersicht!$C$14="Annuitätendarlehen",MAX(0,Übersicht!$C$28-$W12),IF(Übersicht!$C$14="Ratendarlehen",Übersicht!$C$29,IF($A12&gt;=Übersicht!$C$30,$Y11,0)))))</f>
        <v>526.84999999999991</v>
      </c>
      <c r="Y12" s="38">
        <f>IF($Y11&lt;=0,0,ROUND($Y11-$X12-IF($Y11-$X12&lt;=0,0,IF(MOD($A12,Übersicht!$C$25)=0,MIN(Szenarien!$C$10,$Y11-$X12),0)),2))</f>
        <v>247380.82</v>
      </c>
      <c r="Z12" s="38">
        <f>IF($AB11&lt;=0,0,ROUND($AB11*Übersicht!$C$26,2))</f>
        <v>712.73</v>
      </c>
      <c r="AA12" s="38">
        <f>IF($AB11&lt;=0,0,MIN($AB11,IF(Übersicht!$C$14="Annuitätendarlehen",MAX(0,Übersicht!$C$28-$Z12),IF(Übersicht!$C$14="Ratendarlehen",Übersicht!$C$29,IF($A12&gt;=Übersicht!$C$30,$AB11,0)))))</f>
        <v>526.84999999999991</v>
      </c>
      <c r="AB12" s="38">
        <f>IF($AB11&lt;=0,0,ROUND($AB11-$AA12-IF($AB11-$AA12&lt;=0,0,IF(MOD($A12,Übersicht!$C$25)=0,MIN(Szenarien!$C$11,$AB11-$AA12),0)),2))</f>
        <v>247380.82</v>
      </c>
      <c r="AC12" s="38">
        <f>IF($AE11&lt;=0,0,ROUND($AE11*Übersicht!$C$26,2))</f>
        <v>712.73</v>
      </c>
      <c r="AD12" s="38">
        <f>IF($AE11&lt;=0,0,MIN($AE11,IF(Übersicht!$C$14="Annuitätendarlehen",MAX(0,Übersicht!$C$28-$AC12),IF(Übersicht!$C$14="Ratendarlehen",Übersicht!$C$29,IF($A12&gt;=Übersicht!$C$30,$AE11,0)))))</f>
        <v>526.84999999999991</v>
      </c>
      <c r="AE12" s="38">
        <f>IF($AE11&lt;=0,0,ROUND($AE11-$AD12-IF($AE11-$AD12&lt;=0,0,IF(MOD($A12,Übersicht!$C$25)=0,MIN(Szenarien!$C$12,$AE11-$AD12),0)),2))</f>
        <v>247380.82</v>
      </c>
    </row>
    <row r="13" spans="1:31" ht="15" customHeight="1" x14ac:dyDescent="0.25">
      <c r="A13" s="26">
        <v>6</v>
      </c>
      <c r="B13" s="39">
        <f>IF($D13&lt;=0,"",EDATE(Übersicht!$C$18,($A13-1)*12/Übersicht!$C$25))</f>
        <v>46203</v>
      </c>
      <c r="C13" s="26">
        <f t="shared" si="0"/>
        <v>2026</v>
      </c>
      <c r="D13" s="40">
        <f t="shared" si="4"/>
        <v>247380.82</v>
      </c>
      <c r="E13" s="28">
        <f t="shared" si="1"/>
        <v>1239.58</v>
      </c>
      <c r="F13" s="28">
        <f>IF($D13&lt;=0,0,ROUND($D13*Übersicht!$C$26,2))</f>
        <v>711.22</v>
      </c>
      <c r="G13" s="28">
        <f>IF($D13&lt;=0,0,MIN($D13,IF(Übersicht!$C$14="Annuitätendarlehen",MAX(0,Übersicht!$C$28-$F13),IF(Übersicht!$C$14="Ratendarlehen",Übersicht!$C$29,IF($A13&gt;=Übersicht!$C$30,$D13,0)))))</f>
        <v>528.3599999999999</v>
      </c>
      <c r="H13" s="28">
        <f>IF($D13-$G13&lt;=0,0,IF(MOD($A13,Übersicht!$C$25)=0,MIN(Übersicht!$C$31,$D13-$G13),0))</f>
        <v>0</v>
      </c>
      <c r="I13" s="28">
        <f t="shared" si="2"/>
        <v>1239.58</v>
      </c>
      <c r="J13" s="28">
        <f t="shared" si="3"/>
        <v>246852.46</v>
      </c>
      <c r="K13" s="28">
        <f t="shared" si="5"/>
        <v>4289.9399999999996</v>
      </c>
      <c r="L13" s="28">
        <f t="shared" si="6"/>
        <v>3147.54</v>
      </c>
      <c r="M13" s="29">
        <f>IF($D13&lt;=0,"",IF(Übersicht!$C$11=0,0,$L13/Übersicht!$C$11))</f>
        <v>1.259016E-2</v>
      </c>
      <c r="N13" s="30" t="str">
        <f>IF($D13&lt;=0,"",IF($J13&lt;=0.005,"Volltilgung erreicht",IF($A13=Übersicht!$C$19*Übersicht!$C$25,"Ende der Zinsbindung",IF($H13&gt;0,"Sondertilgung verrechnet",""))))</f>
        <v/>
      </c>
      <c r="Q13" s="38">
        <f>IF($S12&lt;=0,0,ROUND($S12*Übersicht!$C$26,2))</f>
        <v>711.22</v>
      </c>
      <c r="R13" s="38">
        <f>IF($S12&lt;=0,0,MIN($S12,IF(Übersicht!$C$14="Annuitätendarlehen",MAX(0,Übersicht!$C$28-$Q13),IF(Übersicht!$C$14="Ratendarlehen",Übersicht!$C$29,IF($A13&gt;=Übersicht!$C$30,$S12,0)))))</f>
        <v>528.3599999999999</v>
      </c>
      <c r="S13" s="38">
        <f>IF($S12&lt;=0,0,ROUND($S12-$R13-IF($S12-$R13&lt;=0,0,IF(MOD($A13,Übersicht!$C$25)=0,MIN(Szenarien!$C$8,$S12-$R13),0)),2))</f>
        <v>246852.46</v>
      </c>
      <c r="T13" s="38">
        <f>IF($V12&lt;=0,0,ROUND($V12*Übersicht!$C$26,2))</f>
        <v>711.22</v>
      </c>
      <c r="U13" s="38">
        <f>IF($V12&lt;=0,0,MIN($V12,IF(Übersicht!$C$14="Annuitätendarlehen",MAX(0,Übersicht!$C$28-$T13),IF(Übersicht!$C$14="Ratendarlehen",Übersicht!$C$29,IF($A13&gt;=Übersicht!$C$30,$V12,0)))))</f>
        <v>528.3599999999999</v>
      </c>
      <c r="V13" s="38">
        <f>IF($V12&lt;=0,0,ROUND($V12-$U13-IF($V12-$U13&lt;=0,0,IF(MOD($A13,Übersicht!$C$25)=0,MIN(Szenarien!$C$9,$V12-$U13),0)),2))</f>
        <v>246852.46</v>
      </c>
      <c r="W13" s="38">
        <f>IF($Y12&lt;=0,0,ROUND($Y12*Übersicht!$C$26,2))</f>
        <v>711.22</v>
      </c>
      <c r="X13" s="38">
        <f>IF($Y12&lt;=0,0,MIN($Y12,IF(Übersicht!$C$14="Annuitätendarlehen",MAX(0,Übersicht!$C$28-$W13),IF(Übersicht!$C$14="Ratendarlehen",Übersicht!$C$29,IF($A13&gt;=Übersicht!$C$30,$Y12,0)))))</f>
        <v>528.3599999999999</v>
      </c>
      <c r="Y13" s="38">
        <f>IF($Y12&lt;=0,0,ROUND($Y12-$X13-IF($Y12-$X13&lt;=0,0,IF(MOD($A13,Übersicht!$C$25)=0,MIN(Szenarien!$C$10,$Y12-$X13),0)),2))</f>
        <v>246852.46</v>
      </c>
      <c r="Z13" s="38">
        <f>IF($AB12&lt;=0,0,ROUND($AB12*Übersicht!$C$26,2))</f>
        <v>711.22</v>
      </c>
      <c r="AA13" s="38">
        <f>IF($AB12&lt;=0,0,MIN($AB12,IF(Übersicht!$C$14="Annuitätendarlehen",MAX(0,Übersicht!$C$28-$Z13),IF(Übersicht!$C$14="Ratendarlehen",Übersicht!$C$29,IF($A13&gt;=Übersicht!$C$30,$AB12,0)))))</f>
        <v>528.3599999999999</v>
      </c>
      <c r="AB13" s="38">
        <f>IF($AB12&lt;=0,0,ROUND($AB12-$AA13-IF($AB12-$AA13&lt;=0,0,IF(MOD($A13,Übersicht!$C$25)=0,MIN(Szenarien!$C$11,$AB12-$AA13),0)),2))</f>
        <v>246852.46</v>
      </c>
      <c r="AC13" s="38">
        <f>IF($AE12&lt;=0,0,ROUND($AE12*Übersicht!$C$26,2))</f>
        <v>711.22</v>
      </c>
      <c r="AD13" s="38">
        <f>IF($AE12&lt;=0,0,MIN($AE12,IF(Übersicht!$C$14="Annuitätendarlehen",MAX(0,Übersicht!$C$28-$AC13),IF(Übersicht!$C$14="Ratendarlehen",Übersicht!$C$29,IF($A13&gt;=Übersicht!$C$30,$AE12,0)))))</f>
        <v>528.3599999999999</v>
      </c>
      <c r="AE13" s="38">
        <f>IF($AE12&lt;=0,0,ROUND($AE12-$AD13-IF($AE12-$AD13&lt;=0,0,IF(MOD($A13,Übersicht!$C$25)=0,MIN(Szenarien!$C$12,$AE12-$AD13),0)),2))</f>
        <v>246852.46</v>
      </c>
    </row>
    <row r="14" spans="1:31" ht="15" customHeight="1" x14ac:dyDescent="0.25">
      <c r="A14" s="21">
        <v>7</v>
      </c>
      <c r="B14" s="36">
        <f>IF($D14&lt;=0,"",EDATE(Übersicht!$C$18,($A14-1)*12/Übersicht!$C$25))</f>
        <v>46234</v>
      </c>
      <c r="C14" s="21">
        <f t="shared" si="0"/>
        <v>2026</v>
      </c>
      <c r="D14" s="37">
        <f t="shared" si="4"/>
        <v>246852.46</v>
      </c>
      <c r="E14" s="23">
        <f t="shared" si="1"/>
        <v>1239.58</v>
      </c>
      <c r="F14" s="23">
        <f>IF($D14&lt;=0,0,ROUND($D14*Übersicht!$C$26,2))</f>
        <v>709.7</v>
      </c>
      <c r="G14" s="23">
        <f>IF($D14&lt;=0,0,MIN($D14,IF(Übersicht!$C$14="Annuitätendarlehen",MAX(0,Übersicht!$C$28-$F14),IF(Übersicht!$C$14="Ratendarlehen",Übersicht!$C$29,IF($A14&gt;=Übersicht!$C$30,$D14,0)))))</f>
        <v>529.87999999999988</v>
      </c>
      <c r="H14" s="23">
        <f>IF($D14-$G14&lt;=0,0,IF(MOD($A14,Übersicht!$C$25)=0,MIN(Übersicht!$C$31,$D14-$G14),0))</f>
        <v>0</v>
      </c>
      <c r="I14" s="23">
        <f t="shared" si="2"/>
        <v>1239.58</v>
      </c>
      <c r="J14" s="23">
        <f t="shared" si="3"/>
        <v>246322.58</v>
      </c>
      <c r="K14" s="23">
        <f t="shared" si="5"/>
        <v>4999.6399999999994</v>
      </c>
      <c r="L14" s="23">
        <f t="shared" si="6"/>
        <v>3677.42</v>
      </c>
      <c r="M14" s="24">
        <f>IF($D14&lt;=0,"",IF(Übersicht!$C$11=0,0,$L14/Übersicht!$C$11))</f>
        <v>1.4709680000000001E-2</v>
      </c>
      <c r="N14" s="25" t="str">
        <f>IF($D14&lt;=0,"",IF($J14&lt;=0.005,"Volltilgung erreicht",IF($A14=Übersicht!$C$19*Übersicht!$C$25,"Ende der Zinsbindung",IF($H14&gt;0,"Sondertilgung verrechnet",""))))</f>
        <v/>
      </c>
      <c r="Q14" s="38">
        <f>IF($S13&lt;=0,0,ROUND($S13*Übersicht!$C$26,2))</f>
        <v>709.7</v>
      </c>
      <c r="R14" s="38">
        <f>IF($S13&lt;=0,0,MIN($S13,IF(Übersicht!$C$14="Annuitätendarlehen",MAX(0,Übersicht!$C$28-$Q14),IF(Übersicht!$C$14="Ratendarlehen",Übersicht!$C$29,IF($A14&gt;=Übersicht!$C$30,$S13,0)))))</f>
        <v>529.87999999999988</v>
      </c>
      <c r="S14" s="38">
        <f>IF($S13&lt;=0,0,ROUND($S13-$R14-IF($S13-$R14&lt;=0,0,IF(MOD($A14,Übersicht!$C$25)=0,MIN(Szenarien!$C$8,$S13-$R14),0)),2))</f>
        <v>246322.58</v>
      </c>
      <c r="T14" s="38">
        <f>IF($V13&lt;=0,0,ROUND($V13*Übersicht!$C$26,2))</f>
        <v>709.7</v>
      </c>
      <c r="U14" s="38">
        <f>IF($V13&lt;=0,0,MIN($V13,IF(Übersicht!$C$14="Annuitätendarlehen",MAX(0,Übersicht!$C$28-$T14),IF(Übersicht!$C$14="Ratendarlehen",Übersicht!$C$29,IF($A14&gt;=Übersicht!$C$30,$V13,0)))))</f>
        <v>529.87999999999988</v>
      </c>
      <c r="V14" s="38">
        <f>IF($V13&lt;=0,0,ROUND($V13-$U14-IF($V13-$U14&lt;=0,0,IF(MOD($A14,Übersicht!$C$25)=0,MIN(Szenarien!$C$9,$V13-$U14),0)),2))</f>
        <v>246322.58</v>
      </c>
      <c r="W14" s="38">
        <f>IF($Y13&lt;=0,0,ROUND($Y13*Übersicht!$C$26,2))</f>
        <v>709.7</v>
      </c>
      <c r="X14" s="38">
        <f>IF($Y13&lt;=0,0,MIN($Y13,IF(Übersicht!$C$14="Annuitätendarlehen",MAX(0,Übersicht!$C$28-$W14),IF(Übersicht!$C$14="Ratendarlehen",Übersicht!$C$29,IF($A14&gt;=Übersicht!$C$30,$Y13,0)))))</f>
        <v>529.87999999999988</v>
      </c>
      <c r="Y14" s="38">
        <f>IF($Y13&lt;=0,0,ROUND($Y13-$X14-IF($Y13-$X14&lt;=0,0,IF(MOD($A14,Übersicht!$C$25)=0,MIN(Szenarien!$C$10,$Y13-$X14),0)),2))</f>
        <v>246322.58</v>
      </c>
      <c r="Z14" s="38">
        <f>IF($AB13&lt;=0,0,ROUND($AB13*Übersicht!$C$26,2))</f>
        <v>709.7</v>
      </c>
      <c r="AA14" s="38">
        <f>IF($AB13&lt;=0,0,MIN($AB13,IF(Übersicht!$C$14="Annuitätendarlehen",MAX(0,Übersicht!$C$28-$Z14),IF(Übersicht!$C$14="Ratendarlehen",Übersicht!$C$29,IF($A14&gt;=Übersicht!$C$30,$AB13,0)))))</f>
        <v>529.87999999999988</v>
      </c>
      <c r="AB14" s="38">
        <f>IF($AB13&lt;=0,0,ROUND($AB13-$AA14-IF($AB13-$AA14&lt;=0,0,IF(MOD($A14,Übersicht!$C$25)=0,MIN(Szenarien!$C$11,$AB13-$AA14),0)),2))</f>
        <v>246322.58</v>
      </c>
      <c r="AC14" s="38">
        <f>IF($AE13&lt;=0,0,ROUND($AE13*Übersicht!$C$26,2))</f>
        <v>709.7</v>
      </c>
      <c r="AD14" s="38">
        <f>IF($AE13&lt;=0,0,MIN($AE13,IF(Übersicht!$C$14="Annuitätendarlehen",MAX(0,Übersicht!$C$28-$AC14),IF(Übersicht!$C$14="Ratendarlehen",Übersicht!$C$29,IF($A14&gt;=Übersicht!$C$30,$AE13,0)))))</f>
        <v>529.87999999999988</v>
      </c>
      <c r="AE14" s="38">
        <f>IF($AE13&lt;=0,0,ROUND($AE13-$AD14-IF($AE13-$AD14&lt;=0,0,IF(MOD($A14,Übersicht!$C$25)=0,MIN(Szenarien!$C$12,$AE13-$AD14),0)),2))</f>
        <v>246322.58</v>
      </c>
    </row>
    <row r="15" spans="1:31" ht="15" customHeight="1" x14ac:dyDescent="0.25">
      <c r="A15" s="26">
        <v>8</v>
      </c>
      <c r="B15" s="39">
        <f>IF($D15&lt;=0,"",EDATE(Übersicht!$C$18,($A15-1)*12/Übersicht!$C$25))</f>
        <v>46265</v>
      </c>
      <c r="C15" s="26">
        <f t="shared" si="0"/>
        <v>2026</v>
      </c>
      <c r="D15" s="40">
        <f t="shared" si="4"/>
        <v>246322.58</v>
      </c>
      <c r="E15" s="28">
        <f t="shared" si="1"/>
        <v>1239.58</v>
      </c>
      <c r="F15" s="28">
        <f>IF($D15&lt;=0,0,ROUND($D15*Übersicht!$C$26,2))</f>
        <v>708.18</v>
      </c>
      <c r="G15" s="28">
        <f>IF($D15&lt;=0,0,MIN($D15,IF(Übersicht!$C$14="Annuitätendarlehen",MAX(0,Übersicht!$C$28-$F15),IF(Übersicht!$C$14="Ratendarlehen",Übersicht!$C$29,IF($A15&gt;=Übersicht!$C$30,$D15,0)))))</f>
        <v>531.4</v>
      </c>
      <c r="H15" s="28">
        <f>IF($D15-$G15&lt;=0,0,IF(MOD($A15,Übersicht!$C$25)=0,MIN(Übersicht!$C$31,$D15-$G15),0))</f>
        <v>0</v>
      </c>
      <c r="I15" s="28">
        <f t="shared" si="2"/>
        <v>1239.58</v>
      </c>
      <c r="J15" s="28">
        <f t="shared" si="3"/>
        <v>245791.18</v>
      </c>
      <c r="K15" s="28">
        <f t="shared" si="5"/>
        <v>5707.82</v>
      </c>
      <c r="L15" s="28">
        <f t="shared" si="6"/>
        <v>4208.82</v>
      </c>
      <c r="M15" s="29">
        <f>IF($D15&lt;=0,"",IF(Übersicht!$C$11=0,0,$L15/Übersicht!$C$11))</f>
        <v>1.6835279999999998E-2</v>
      </c>
      <c r="N15" s="30" t="str">
        <f>IF($D15&lt;=0,"",IF($J15&lt;=0.005,"Volltilgung erreicht",IF($A15=Übersicht!$C$19*Übersicht!$C$25,"Ende der Zinsbindung",IF($H15&gt;0,"Sondertilgung verrechnet",""))))</f>
        <v/>
      </c>
      <c r="Q15" s="38">
        <f>IF($S14&lt;=0,0,ROUND($S14*Übersicht!$C$26,2))</f>
        <v>708.18</v>
      </c>
      <c r="R15" s="38">
        <f>IF($S14&lt;=0,0,MIN($S14,IF(Übersicht!$C$14="Annuitätendarlehen",MAX(0,Übersicht!$C$28-$Q15),IF(Übersicht!$C$14="Ratendarlehen",Übersicht!$C$29,IF($A15&gt;=Übersicht!$C$30,$S14,0)))))</f>
        <v>531.4</v>
      </c>
      <c r="S15" s="38">
        <f>IF($S14&lt;=0,0,ROUND($S14-$R15-IF($S14-$R15&lt;=0,0,IF(MOD($A15,Übersicht!$C$25)=0,MIN(Szenarien!$C$8,$S14-$R15),0)),2))</f>
        <v>245791.18</v>
      </c>
      <c r="T15" s="38">
        <f>IF($V14&lt;=0,0,ROUND($V14*Übersicht!$C$26,2))</f>
        <v>708.18</v>
      </c>
      <c r="U15" s="38">
        <f>IF($V14&lt;=0,0,MIN($V14,IF(Übersicht!$C$14="Annuitätendarlehen",MAX(0,Übersicht!$C$28-$T15),IF(Übersicht!$C$14="Ratendarlehen",Übersicht!$C$29,IF($A15&gt;=Übersicht!$C$30,$V14,0)))))</f>
        <v>531.4</v>
      </c>
      <c r="V15" s="38">
        <f>IF($V14&lt;=0,0,ROUND($V14-$U15-IF($V14-$U15&lt;=0,0,IF(MOD($A15,Übersicht!$C$25)=0,MIN(Szenarien!$C$9,$V14-$U15),0)),2))</f>
        <v>245791.18</v>
      </c>
      <c r="W15" s="38">
        <f>IF($Y14&lt;=0,0,ROUND($Y14*Übersicht!$C$26,2))</f>
        <v>708.18</v>
      </c>
      <c r="X15" s="38">
        <f>IF($Y14&lt;=0,0,MIN($Y14,IF(Übersicht!$C$14="Annuitätendarlehen",MAX(0,Übersicht!$C$28-$W15),IF(Übersicht!$C$14="Ratendarlehen",Übersicht!$C$29,IF($A15&gt;=Übersicht!$C$30,$Y14,0)))))</f>
        <v>531.4</v>
      </c>
      <c r="Y15" s="38">
        <f>IF($Y14&lt;=0,0,ROUND($Y14-$X15-IF($Y14-$X15&lt;=0,0,IF(MOD($A15,Übersicht!$C$25)=0,MIN(Szenarien!$C$10,$Y14-$X15),0)),2))</f>
        <v>245791.18</v>
      </c>
      <c r="Z15" s="38">
        <f>IF($AB14&lt;=0,0,ROUND($AB14*Übersicht!$C$26,2))</f>
        <v>708.18</v>
      </c>
      <c r="AA15" s="38">
        <f>IF($AB14&lt;=0,0,MIN($AB14,IF(Übersicht!$C$14="Annuitätendarlehen",MAX(0,Übersicht!$C$28-$Z15),IF(Übersicht!$C$14="Ratendarlehen",Übersicht!$C$29,IF($A15&gt;=Übersicht!$C$30,$AB14,0)))))</f>
        <v>531.4</v>
      </c>
      <c r="AB15" s="38">
        <f>IF($AB14&lt;=0,0,ROUND($AB14-$AA15-IF($AB14-$AA15&lt;=0,0,IF(MOD($A15,Übersicht!$C$25)=0,MIN(Szenarien!$C$11,$AB14-$AA15),0)),2))</f>
        <v>245791.18</v>
      </c>
      <c r="AC15" s="38">
        <f>IF($AE14&lt;=0,0,ROUND($AE14*Übersicht!$C$26,2))</f>
        <v>708.18</v>
      </c>
      <c r="AD15" s="38">
        <f>IF($AE14&lt;=0,0,MIN($AE14,IF(Übersicht!$C$14="Annuitätendarlehen",MAX(0,Übersicht!$C$28-$AC15),IF(Übersicht!$C$14="Ratendarlehen",Übersicht!$C$29,IF($A15&gt;=Übersicht!$C$30,$AE14,0)))))</f>
        <v>531.4</v>
      </c>
      <c r="AE15" s="38">
        <f>IF($AE14&lt;=0,0,ROUND($AE14-$AD15-IF($AE14-$AD15&lt;=0,0,IF(MOD($A15,Übersicht!$C$25)=0,MIN(Szenarien!$C$12,$AE14-$AD15),0)),2))</f>
        <v>245791.18</v>
      </c>
    </row>
    <row r="16" spans="1:31" ht="15" customHeight="1" x14ac:dyDescent="0.25">
      <c r="A16" s="21">
        <v>9</v>
      </c>
      <c r="B16" s="36">
        <f>IF($D16&lt;=0,"",EDATE(Übersicht!$C$18,($A16-1)*12/Übersicht!$C$25))</f>
        <v>46295</v>
      </c>
      <c r="C16" s="21">
        <f t="shared" si="0"/>
        <v>2026</v>
      </c>
      <c r="D16" s="37">
        <f t="shared" si="4"/>
        <v>245791.18</v>
      </c>
      <c r="E16" s="23">
        <f t="shared" si="1"/>
        <v>1239.58</v>
      </c>
      <c r="F16" s="23">
        <f>IF($D16&lt;=0,0,ROUND($D16*Übersicht!$C$26,2))</f>
        <v>706.65</v>
      </c>
      <c r="G16" s="23">
        <f>IF($D16&lt;=0,0,MIN($D16,IF(Übersicht!$C$14="Annuitätendarlehen",MAX(0,Übersicht!$C$28-$F16),IF(Übersicht!$C$14="Ratendarlehen",Übersicht!$C$29,IF($A16&gt;=Übersicht!$C$30,$D16,0)))))</f>
        <v>532.92999999999995</v>
      </c>
      <c r="H16" s="23">
        <f>IF($D16-$G16&lt;=0,0,IF(MOD($A16,Übersicht!$C$25)=0,MIN(Übersicht!$C$31,$D16-$G16),0))</f>
        <v>0</v>
      </c>
      <c r="I16" s="23">
        <f t="shared" si="2"/>
        <v>1239.58</v>
      </c>
      <c r="J16" s="23">
        <f t="shared" si="3"/>
        <v>245258.25</v>
      </c>
      <c r="K16" s="23">
        <f t="shared" si="5"/>
        <v>6414.4699999999993</v>
      </c>
      <c r="L16" s="23">
        <f t="shared" si="6"/>
        <v>4741.75</v>
      </c>
      <c r="M16" s="24">
        <f>IF($D16&lt;=0,"",IF(Übersicht!$C$11=0,0,$L16/Übersicht!$C$11))</f>
        <v>1.8967000000000001E-2</v>
      </c>
      <c r="N16" s="25" t="str">
        <f>IF($D16&lt;=0,"",IF($J16&lt;=0.005,"Volltilgung erreicht",IF($A16=Übersicht!$C$19*Übersicht!$C$25,"Ende der Zinsbindung",IF($H16&gt;0,"Sondertilgung verrechnet",""))))</f>
        <v/>
      </c>
      <c r="Q16" s="38">
        <f>IF($S15&lt;=0,0,ROUND($S15*Übersicht!$C$26,2))</f>
        <v>706.65</v>
      </c>
      <c r="R16" s="38">
        <f>IF($S15&lt;=0,0,MIN($S15,IF(Übersicht!$C$14="Annuitätendarlehen",MAX(0,Übersicht!$C$28-$Q16),IF(Übersicht!$C$14="Ratendarlehen",Übersicht!$C$29,IF($A16&gt;=Übersicht!$C$30,$S15,0)))))</f>
        <v>532.92999999999995</v>
      </c>
      <c r="S16" s="38">
        <f>IF($S15&lt;=0,0,ROUND($S15-$R16-IF($S15-$R16&lt;=0,0,IF(MOD($A16,Übersicht!$C$25)=0,MIN(Szenarien!$C$8,$S15-$R16),0)),2))</f>
        <v>245258.25</v>
      </c>
      <c r="T16" s="38">
        <f>IF($V15&lt;=0,0,ROUND($V15*Übersicht!$C$26,2))</f>
        <v>706.65</v>
      </c>
      <c r="U16" s="38">
        <f>IF($V15&lt;=0,0,MIN($V15,IF(Übersicht!$C$14="Annuitätendarlehen",MAX(0,Übersicht!$C$28-$T16),IF(Übersicht!$C$14="Ratendarlehen",Übersicht!$C$29,IF($A16&gt;=Übersicht!$C$30,$V15,0)))))</f>
        <v>532.92999999999995</v>
      </c>
      <c r="V16" s="38">
        <f>IF($V15&lt;=0,0,ROUND($V15-$U16-IF($V15-$U16&lt;=0,0,IF(MOD($A16,Übersicht!$C$25)=0,MIN(Szenarien!$C$9,$V15-$U16),0)),2))</f>
        <v>245258.25</v>
      </c>
      <c r="W16" s="38">
        <f>IF($Y15&lt;=0,0,ROUND($Y15*Übersicht!$C$26,2))</f>
        <v>706.65</v>
      </c>
      <c r="X16" s="38">
        <f>IF($Y15&lt;=0,0,MIN($Y15,IF(Übersicht!$C$14="Annuitätendarlehen",MAX(0,Übersicht!$C$28-$W16),IF(Übersicht!$C$14="Ratendarlehen",Übersicht!$C$29,IF($A16&gt;=Übersicht!$C$30,$Y15,0)))))</f>
        <v>532.92999999999995</v>
      </c>
      <c r="Y16" s="38">
        <f>IF($Y15&lt;=0,0,ROUND($Y15-$X16-IF($Y15-$X16&lt;=0,0,IF(MOD($A16,Übersicht!$C$25)=0,MIN(Szenarien!$C$10,$Y15-$X16),0)),2))</f>
        <v>245258.25</v>
      </c>
      <c r="Z16" s="38">
        <f>IF($AB15&lt;=0,0,ROUND($AB15*Übersicht!$C$26,2))</f>
        <v>706.65</v>
      </c>
      <c r="AA16" s="38">
        <f>IF($AB15&lt;=0,0,MIN($AB15,IF(Übersicht!$C$14="Annuitätendarlehen",MAX(0,Übersicht!$C$28-$Z16),IF(Übersicht!$C$14="Ratendarlehen",Übersicht!$C$29,IF($A16&gt;=Übersicht!$C$30,$AB15,0)))))</f>
        <v>532.92999999999995</v>
      </c>
      <c r="AB16" s="38">
        <f>IF($AB15&lt;=0,0,ROUND($AB15-$AA16-IF($AB15-$AA16&lt;=0,0,IF(MOD($A16,Übersicht!$C$25)=0,MIN(Szenarien!$C$11,$AB15-$AA16),0)),2))</f>
        <v>245258.25</v>
      </c>
      <c r="AC16" s="38">
        <f>IF($AE15&lt;=0,0,ROUND($AE15*Übersicht!$C$26,2))</f>
        <v>706.65</v>
      </c>
      <c r="AD16" s="38">
        <f>IF($AE15&lt;=0,0,MIN($AE15,IF(Übersicht!$C$14="Annuitätendarlehen",MAX(0,Übersicht!$C$28-$AC16),IF(Übersicht!$C$14="Ratendarlehen",Übersicht!$C$29,IF($A16&gt;=Übersicht!$C$30,$AE15,0)))))</f>
        <v>532.92999999999995</v>
      </c>
      <c r="AE16" s="38">
        <f>IF($AE15&lt;=0,0,ROUND($AE15-$AD16-IF($AE15-$AD16&lt;=0,0,IF(MOD($A16,Übersicht!$C$25)=0,MIN(Szenarien!$C$12,$AE15-$AD16),0)),2))</f>
        <v>245258.25</v>
      </c>
    </row>
    <row r="17" spans="1:31" ht="15" customHeight="1" x14ac:dyDescent="0.25">
      <c r="A17" s="26">
        <v>10</v>
      </c>
      <c r="B17" s="39">
        <f>IF($D17&lt;=0,"",EDATE(Übersicht!$C$18,($A17-1)*12/Übersicht!$C$25))</f>
        <v>46326</v>
      </c>
      <c r="C17" s="26">
        <f t="shared" si="0"/>
        <v>2026</v>
      </c>
      <c r="D17" s="40">
        <f t="shared" si="4"/>
        <v>245258.25</v>
      </c>
      <c r="E17" s="28">
        <f t="shared" si="1"/>
        <v>1239.58</v>
      </c>
      <c r="F17" s="28">
        <f>IF($D17&lt;=0,0,ROUND($D17*Übersicht!$C$26,2))</f>
        <v>705.12</v>
      </c>
      <c r="G17" s="28">
        <f>IF($D17&lt;=0,0,MIN($D17,IF(Übersicht!$C$14="Annuitätendarlehen",MAX(0,Übersicht!$C$28-$F17),IF(Übersicht!$C$14="Ratendarlehen",Übersicht!$C$29,IF($A17&gt;=Übersicht!$C$30,$D17,0)))))</f>
        <v>534.45999999999992</v>
      </c>
      <c r="H17" s="28">
        <f>IF($D17-$G17&lt;=0,0,IF(MOD($A17,Übersicht!$C$25)=0,MIN(Übersicht!$C$31,$D17-$G17),0))</f>
        <v>0</v>
      </c>
      <c r="I17" s="28">
        <f t="shared" si="2"/>
        <v>1239.58</v>
      </c>
      <c r="J17" s="28">
        <f t="shared" si="3"/>
        <v>244723.79</v>
      </c>
      <c r="K17" s="28">
        <f t="shared" si="5"/>
        <v>7119.5899999999992</v>
      </c>
      <c r="L17" s="28">
        <f t="shared" si="6"/>
        <v>5276.21</v>
      </c>
      <c r="M17" s="29">
        <f>IF($D17&lt;=0,"",IF(Übersicht!$C$11=0,0,$L17/Übersicht!$C$11))</f>
        <v>2.110484E-2</v>
      </c>
      <c r="N17" s="30" t="str">
        <f>IF($D17&lt;=0,"",IF($J17&lt;=0.005,"Volltilgung erreicht",IF($A17=Übersicht!$C$19*Übersicht!$C$25,"Ende der Zinsbindung",IF($H17&gt;0,"Sondertilgung verrechnet",""))))</f>
        <v/>
      </c>
      <c r="Q17" s="38">
        <f>IF($S16&lt;=0,0,ROUND($S16*Übersicht!$C$26,2))</f>
        <v>705.12</v>
      </c>
      <c r="R17" s="38">
        <f>IF($S16&lt;=0,0,MIN($S16,IF(Übersicht!$C$14="Annuitätendarlehen",MAX(0,Übersicht!$C$28-$Q17),IF(Übersicht!$C$14="Ratendarlehen",Übersicht!$C$29,IF($A17&gt;=Übersicht!$C$30,$S16,0)))))</f>
        <v>534.45999999999992</v>
      </c>
      <c r="S17" s="38">
        <f>IF($S16&lt;=0,0,ROUND($S16-$R17-IF($S16-$R17&lt;=0,0,IF(MOD($A17,Übersicht!$C$25)=0,MIN(Szenarien!$C$8,$S16-$R17),0)),2))</f>
        <v>244723.79</v>
      </c>
      <c r="T17" s="38">
        <f>IF($V16&lt;=0,0,ROUND($V16*Übersicht!$C$26,2))</f>
        <v>705.12</v>
      </c>
      <c r="U17" s="38">
        <f>IF($V16&lt;=0,0,MIN($V16,IF(Übersicht!$C$14="Annuitätendarlehen",MAX(0,Übersicht!$C$28-$T17),IF(Übersicht!$C$14="Ratendarlehen",Übersicht!$C$29,IF($A17&gt;=Übersicht!$C$30,$V16,0)))))</f>
        <v>534.45999999999992</v>
      </c>
      <c r="V17" s="38">
        <f>IF($V16&lt;=0,0,ROUND($V16-$U17-IF($V16-$U17&lt;=0,0,IF(MOD($A17,Übersicht!$C$25)=0,MIN(Szenarien!$C$9,$V16-$U17),0)),2))</f>
        <v>244723.79</v>
      </c>
      <c r="W17" s="38">
        <f>IF($Y16&lt;=0,0,ROUND($Y16*Übersicht!$C$26,2))</f>
        <v>705.12</v>
      </c>
      <c r="X17" s="38">
        <f>IF($Y16&lt;=0,0,MIN($Y16,IF(Übersicht!$C$14="Annuitätendarlehen",MAX(0,Übersicht!$C$28-$W17),IF(Übersicht!$C$14="Ratendarlehen",Übersicht!$C$29,IF($A17&gt;=Übersicht!$C$30,$Y16,0)))))</f>
        <v>534.45999999999992</v>
      </c>
      <c r="Y17" s="38">
        <f>IF($Y16&lt;=0,0,ROUND($Y16-$X17-IF($Y16-$X17&lt;=0,0,IF(MOD($A17,Übersicht!$C$25)=0,MIN(Szenarien!$C$10,$Y16-$X17),0)),2))</f>
        <v>244723.79</v>
      </c>
      <c r="Z17" s="38">
        <f>IF($AB16&lt;=0,0,ROUND($AB16*Übersicht!$C$26,2))</f>
        <v>705.12</v>
      </c>
      <c r="AA17" s="38">
        <f>IF($AB16&lt;=0,0,MIN($AB16,IF(Übersicht!$C$14="Annuitätendarlehen",MAX(0,Übersicht!$C$28-$Z17),IF(Übersicht!$C$14="Ratendarlehen",Übersicht!$C$29,IF($A17&gt;=Übersicht!$C$30,$AB16,0)))))</f>
        <v>534.45999999999992</v>
      </c>
      <c r="AB17" s="38">
        <f>IF($AB16&lt;=0,0,ROUND($AB16-$AA17-IF($AB16-$AA17&lt;=0,0,IF(MOD($A17,Übersicht!$C$25)=0,MIN(Szenarien!$C$11,$AB16-$AA17),0)),2))</f>
        <v>244723.79</v>
      </c>
      <c r="AC17" s="38">
        <f>IF($AE16&lt;=0,0,ROUND($AE16*Übersicht!$C$26,2))</f>
        <v>705.12</v>
      </c>
      <c r="AD17" s="38">
        <f>IF($AE16&lt;=0,0,MIN($AE16,IF(Übersicht!$C$14="Annuitätendarlehen",MAX(0,Übersicht!$C$28-$AC17),IF(Übersicht!$C$14="Ratendarlehen",Übersicht!$C$29,IF($A17&gt;=Übersicht!$C$30,$AE16,0)))))</f>
        <v>534.45999999999992</v>
      </c>
      <c r="AE17" s="38">
        <f>IF($AE16&lt;=0,0,ROUND($AE16-$AD17-IF($AE16-$AD17&lt;=0,0,IF(MOD($A17,Übersicht!$C$25)=0,MIN(Szenarien!$C$12,$AE16-$AD17),0)),2))</f>
        <v>244723.79</v>
      </c>
    </row>
    <row r="18" spans="1:31" ht="15" customHeight="1" x14ac:dyDescent="0.25">
      <c r="A18" s="21">
        <v>11</v>
      </c>
      <c r="B18" s="36">
        <f>IF($D18&lt;=0,"",EDATE(Übersicht!$C$18,($A18-1)*12/Übersicht!$C$25))</f>
        <v>46356</v>
      </c>
      <c r="C18" s="21">
        <f t="shared" si="0"/>
        <v>2026</v>
      </c>
      <c r="D18" s="37">
        <f t="shared" si="4"/>
        <v>244723.79</v>
      </c>
      <c r="E18" s="23">
        <f t="shared" si="1"/>
        <v>1239.58</v>
      </c>
      <c r="F18" s="23">
        <f>IF($D18&lt;=0,0,ROUND($D18*Übersicht!$C$26,2))</f>
        <v>703.58</v>
      </c>
      <c r="G18" s="23">
        <f>IF($D18&lt;=0,0,MIN($D18,IF(Übersicht!$C$14="Annuitätendarlehen",MAX(0,Übersicht!$C$28-$F18),IF(Übersicht!$C$14="Ratendarlehen",Übersicht!$C$29,IF($A18&gt;=Übersicht!$C$30,$D18,0)))))</f>
        <v>535.99999999999989</v>
      </c>
      <c r="H18" s="23">
        <f>IF($D18-$G18&lt;=0,0,IF(MOD($A18,Übersicht!$C$25)=0,MIN(Übersicht!$C$31,$D18-$G18),0))</f>
        <v>0</v>
      </c>
      <c r="I18" s="23">
        <f t="shared" si="2"/>
        <v>1239.58</v>
      </c>
      <c r="J18" s="23">
        <f t="shared" si="3"/>
        <v>244187.79</v>
      </c>
      <c r="K18" s="23">
        <f t="shared" si="5"/>
        <v>7823.1699999999992</v>
      </c>
      <c r="L18" s="23">
        <f t="shared" si="6"/>
        <v>5812.21</v>
      </c>
      <c r="M18" s="24">
        <f>IF($D18&lt;=0,"",IF(Übersicht!$C$11=0,0,$L18/Übersicht!$C$11))</f>
        <v>2.324884E-2</v>
      </c>
      <c r="N18" s="25" t="str">
        <f>IF($D18&lt;=0,"",IF($J18&lt;=0.005,"Volltilgung erreicht",IF($A18=Übersicht!$C$19*Übersicht!$C$25,"Ende der Zinsbindung",IF($H18&gt;0,"Sondertilgung verrechnet",""))))</f>
        <v/>
      </c>
      <c r="Q18" s="38">
        <f>IF($S17&lt;=0,0,ROUND($S17*Übersicht!$C$26,2))</f>
        <v>703.58</v>
      </c>
      <c r="R18" s="38">
        <f>IF($S17&lt;=0,0,MIN($S17,IF(Übersicht!$C$14="Annuitätendarlehen",MAX(0,Übersicht!$C$28-$Q18),IF(Übersicht!$C$14="Ratendarlehen",Übersicht!$C$29,IF($A18&gt;=Übersicht!$C$30,$S17,0)))))</f>
        <v>535.99999999999989</v>
      </c>
      <c r="S18" s="38">
        <f>IF($S17&lt;=0,0,ROUND($S17-$R18-IF($S17-$R18&lt;=0,0,IF(MOD($A18,Übersicht!$C$25)=0,MIN(Szenarien!$C$8,$S17-$R18),0)),2))</f>
        <v>244187.79</v>
      </c>
      <c r="T18" s="38">
        <f>IF($V17&lt;=0,0,ROUND($V17*Übersicht!$C$26,2))</f>
        <v>703.58</v>
      </c>
      <c r="U18" s="38">
        <f>IF($V17&lt;=0,0,MIN($V17,IF(Übersicht!$C$14="Annuitätendarlehen",MAX(0,Übersicht!$C$28-$T18),IF(Übersicht!$C$14="Ratendarlehen",Übersicht!$C$29,IF($A18&gt;=Übersicht!$C$30,$V17,0)))))</f>
        <v>535.99999999999989</v>
      </c>
      <c r="V18" s="38">
        <f>IF($V17&lt;=0,0,ROUND($V17-$U18-IF($V17-$U18&lt;=0,0,IF(MOD($A18,Übersicht!$C$25)=0,MIN(Szenarien!$C$9,$V17-$U18),0)),2))</f>
        <v>244187.79</v>
      </c>
      <c r="W18" s="38">
        <f>IF($Y17&lt;=0,0,ROUND($Y17*Übersicht!$C$26,2))</f>
        <v>703.58</v>
      </c>
      <c r="X18" s="38">
        <f>IF($Y17&lt;=0,0,MIN($Y17,IF(Übersicht!$C$14="Annuitätendarlehen",MAX(0,Übersicht!$C$28-$W18),IF(Übersicht!$C$14="Ratendarlehen",Übersicht!$C$29,IF($A18&gt;=Übersicht!$C$30,$Y17,0)))))</f>
        <v>535.99999999999989</v>
      </c>
      <c r="Y18" s="38">
        <f>IF($Y17&lt;=0,0,ROUND($Y17-$X18-IF($Y17-$X18&lt;=0,0,IF(MOD($A18,Übersicht!$C$25)=0,MIN(Szenarien!$C$10,$Y17-$X18),0)),2))</f>
        <v>244187.79</v>
      </c>
      <c r="Z18" s="38">
        <f>IF($AB17&lt;=0,0,ROUND($AB17*Übersicht!$C$26,2))</f>
        <v>703.58</v>
      </c>
      <c r="AA18" s="38">
        <f>IF($AB17&lt;=0,0,MIN($AB17,IF(Übersicht!$C$14="Annuitätendarlehen",MAX(0,Übersicht!$C$28-$Z18),IF(Übersicht!$C$14="Ratendarlehen",Übersicht!$C$29,IF($A18&gt;=Übersicht!$C$30,$AB17,0)))))</f>
        <v>535.99999999999989</v>
      </c>
      <c r="AB18" s="38">
        <f>IF($AB17&lt;=0,0,ROUND($AB17-$AA18-IF($AB17-$AA18&lt;=0,0,IF(MOD($A18,Übersicht!$C$25)=0,MIN(Szenarien!$C$11,$AB17-$AA18),0)),2))</f>
        <v>244187.79</v>
      </c>
      <c r="AC18" s="38">
        <f>IF($AE17&lt;=0,0,ROUND($AE17*Übersicht!$C$26,2))</f>
        <v>703.58</v>
      </c>
      <c r="AD18" s="38">
        <f>IF($AE17&lt;=0,0,MIN($AE17,IF(Übersicht!$C$14="Annuitätendarlehen",MAX(0,Übersicht!$C$28-$AC18),IF(Übersicht!$C$14="Ratendarlehen",Übersicht!$C$29,IF($A18&gt;=Übersicht!$C$30,$AE17,0)))))</f>
        <v>535.99999999999989</v>
      </c>
      <c r="AE18" s="38">
        <f>IF($AE17&lt;=0,0,ROUND($AE17-$AD18-IF($AE17-$AD18&lt;=0,0,IF(MOD($A18,Übersicht!$C$25)=0,MIN(Szenarien!$C$12,$AE17-$AD18),0)),2))</f>
        <v>244187.79</v>
      </c>
    </row>
    <row r="19" spans="1:31" ht="15" customHeight="1" x14ac:dyDescent="0.25">
      <c r="A19" s="26">
        <v>12</v>
      </c>
      <c r="B19" s="39">
        <f>IF($D19&lt;=0,"",EDATE(Übersicht!$C$18,($A19-1)*12/Übersicht!$C$25))</f>
        <v>46387</v>
      </c>
      <c r="C19" s="26">
        <f t="shared" si="0"/>
        <v>2026</v>
      </c>
      <c r="D19" s="40">
        <f t="shared" si="4"/>
        <v>244187.79</v>
      </c>
      <c r="E19" s="28">
        <f t="shared" si="1"/>
        <v>1239.58</v>
      </c>
      <c r="F19" s="28">
        <f>IF($D19&lt;=0,0,ROUND($D19*Übersicht!$C$26,2))</f>
        <v>702.04</v>
      </c>
      <c r="G19" s="28">
        <f>IF($D19&lt;=0,0,MIN($D19,IF(Übersicht!$C$14="Annuitätendarlehen",MAX(0,Übersicht!$C$28-$F19),IF(Übersicht!$C$14="Ratendarlehen",Übersicht!$C$29,IF($A19&gt;=Übersicht!$C$30,$D19,0)))))</f>
        <v>537.54</v>
      </c>
      <c r="H19" s="28">
        <f>IF($D19-$G19&lt;=0,0,IF(MOD($A19,Übersicht!$C$25)=0,MIN(Übersicht!$C$31,$D19-$G19),0))</f>
        <v>5000</v>
      </c>
      <c r="I19" s="28">
        <f t="shared" si="2"/>
        <v>6239.58</v>
      </c>
      <c r="J19" s="28">
        <f t="shared" si="3"/>
        <v>238650.25</v>
      </c>
      <c r="K19" s="28">
        <f t="shared" si="5"/>
        <v>8525.2099999999991</v>
      </c>
      <c r="L19" s="28">
        <f t="shared" si="6"/>
        <v>11349.75</v>
      </c>
      <c r="M19" s="29">
        <f>IF($D19&lt;=0,"",IF(Übersicht!$C$11=0,0,$L19/Übersicht!$C$11))</f>
        <v>4.5399000000000002E-2</v>
      </c>
      <c r="N19" s="30" t="str">
        <f>IF($D19&lt;=0,"",IF($J19&lt;=0.005,"Volltilgung erreicht",IF($A19=Übersicht!$C$19*Übersicht!$C$25,"Ende der Zinsbindung",IF($H19&gt;0,"Sondertilgung verrechnet",""))))</f>
        <v>Sondertilgung verrechnet</v>
      </c>
      <c r="Q19" s="38">
        <f>IF($S18&lt;=0,0,ROUND($S18*Übersicht!$C$26,2))</f>
        <v>702.04</v>
      </c>
      <c r="R19" s="38">
        <f>IF($S18&lt;=0,0,MIN($S18,IF(Übersicht!$C$14="Annuitätendarlehen",MAX(0,Übersicht!$C$28-$Q19),IF(Übersicht!$C$14="Ratendarlehen",Übersicht!$C$29,IF($A19&gt;=Übersicht!$C$30,$S18,0)))))</f>
        <v>537.54</v>
      </c>
      <c r="S19" s="38">
        <f>IF($S18&lt;=0,0,ROUND($S18-$R19-IF($S18-$R19&lt;=0,0,IF(MOD($A19,Übersicht!$C$25)=0,MIN(Szenarien!$C$8,$S18-$R19),0)),2))</f>
        <v>243650.25</v>
      </c>
      <c r="T19" s="38">
        <f>IF($V18&lt;=0,0,ROUND($V18*Übersicht!$C$26,2))</f>
        <v>702.04</v>
      </c>
      <c r="U19" s="38">
        <f>IF($V18&lt;=0,0,MIN($V18,IF(Übersicht!$C$14="Annuitätendarlehen",MAX(0,Übersicht!$C$28-$T19),IF(Übersicht!$C$14="Ratendarlehen",Übersicht!$C$29,IF($A19&gt;=Übersicht!$C$30,$V18,0)))))</f>
        <v>537.54</v>
      </c>
      <c r="V19" s="38">
        <f>IF($V18&lt;=0,0,ROUND($V18-$U19-IF($V18-$U19&lt;=0,0,IF(MOD($A19,Übersicht!$C$25)=0,MIN(Szenarien!$C$9,$V18-$U19),0)),2))</f>
        <v>241150.25</v>
      </c>
      <c r="W19" s="38">
        <f>IF($Y18&lt;=0,0,ROUND($Y18*Übersicht!$C$26,2))</f>
        <v>702.04</v>
      </c>
      <c r="X19" s="38">
        <f>IF($Y18&lt;=0,0,MIN($Y18,IF(Übersicht!$C$14="Annuitätendarlehen",MAX(0,Übersicht!$C$28-$W19),IF(Übersicht!$C$14="Ratendarlehen",Übersicht!$C$29,IF($A19&gt;=Übersicht!$C$30,$Y18,0)))))</f>
        <v>537.54</v>
      </c>
      <c r="Y19" s="38">
        <f>IF($Y18&lt;=0,0,ROUND($Y18-$X19-IF($Y18-$X19&lt;=0,0,IF(MOD($A19,Übersicht!$C$25)=0,MIN(Szenarien!$C$10,$Y18-$X19),0)),2))</f>
        <v>238650.25</v>
      </c>
      <c r="Z19" s="38">
        <f>IF($AB18&lt;=0,0,ROUND($AB18*Übersicht!$C$26,2))</f>
        <v>702.04</v>
      </c>
      <c r="AA19" s="38">
        <f>IF($AB18&lt;=0,0,MIN($AB18,IF(Übersicht!$C$14="Annuitätendarlehen",MAX(0,Übersicht!$C$28-$Z19),IF(Übersicht!$C$14="Ratendarlehen",Übersicht!$C$29,IF($A19&gt;=Übersicht!$C$30,$AB18,0)))))</f>
        <v>537.54</v>
      </c>
      <c r="AB19" s="38">
        <f>IF($AB18&lt;=0,0,ROUND($AB18-$AA19-IF($AB18-$AA19&lt;=0,0,IF(MOD($A19,Übersicht!$C$25)=0,MIN(Szenarien!$C$11,$AB18-$AA19),0)),2))</f>
        <v>236150.25</v>
      </c>
      <c r="AC19" s="38">
        <f>IF($AE18&lt;=0,0,ROUND($AE18*Übersicht!$C$26,2))</f>
        <v>702.04</v>
      </c>
      <c r="AD19" s="38">
        <f>IF($AE18&lt;=0,0,MIN($AE18,IF(Übersicht!$C$14="Annuitätendarlehen",MAX(0,Übersicht!$C$28-$AC19),IF(Übersicht!$C$14="Ratendarlehen",Übersicht!$C$29,IF($A19&gt;=Übersicht!$C$30,$AE18,0)))))</f>
        <v>537.54</v>
      </c>
      <c r="AE19" s="38">
        <f>IF($AE18&lt;=0,0,ROUND($AE18-$AD19-IF($AE18-$AD19&lt;=0,0,IF(MOD($A19,Übersicht!$C$25)=0,MIN(Szenarien!$C$12,$AE18-$AD19),0)),2))</f>
        <v>231150.25</v>
      </c>
    </row>
    <row r="20" spans="1:31" ht="15" customHeight="1" x14ac:dyDescent="0.25">
      <c r="A20" s="21">
        <v>13</v>
      </c>
      <c r="B20" s="36">
        <f>IF($D20&lt;=0,"",EDATE(Übersicht!$C$18,($A20-1)*12/Übersicht!$C$25))</f>
        <v>46418</v>
      </c>
      <c r="C20" s="21">
        <f t="shared" si="0"/>
        <v>2027</v>
      </c>
      <c r="D20" s="37">
        <f t="shared" si="4"/>
        <v>238650.25</v>
      </c>
      <c r="E20" s="23">
        <f t="shared" si="1"/>
        <v>1239.58</v>
      </c>
      <c r="F20" s="23">
        <f>IF($D20&lt;=0,0,ROUND($D20*Übersicht!$C$26,2))</f>
        <v>686.12</v>
      </c>
      <c r="G20" s="23">
        <f>IF($D20&lt;=0,0,MIN($D20,IF(Übersicht!$C$14="Annuitätendarlehen",MAX(0,Übersicht!$C$28-$F20),IF(Übersicht!$C$14="Ratendarlehen",Übersicht!$C$29,IF($A20&gt;=Übersicht!$C$30,$D20,0)))))</f>
        <v>553.45999999999992</v>
      </c>
      <c r="H20" s="23">
        <f>IF($D20-$G20&lt;=0,0,IF(MOD($A20,Übersicht!$C$25)=0,MIN(Übersicht!$C$31,$D20-$G20),0))</f>
        <v>0</v>
      </c>
      <c r="I20" s="23">
        <f t="shared" si="2"/>
        <v>1239.58</v>
      </c>
      <c r="J20" s="23">
        <f t="shared" si="3"/>
        <v>238096.79</v>
      </c>
      <c r="K20" s="23">
        <f t="shared" si="5"/>
        <v>9211.33</v>
      </c>
      <c r="L20" s="23">
        <f t="shared" si="6"/>
        <v>11903.21</v>
      </c>
      <c r="M20" s="24">
        <f>IF($D20&lt;=0,"",IF(Übersicht!$C$11=0,0,$L20/Übersicht!$C$11))</f>
        <v>4.7612839999999997E-2</v>
      </c>
      <c r="N20" s="25" t="str">
        <f>IF($D20&lt;=0,"",IF($J20&lt;=0.005,"Volltilgung erreicht",IF($A20=Übersicht!$C$19*Übersicht!$C$25,"Ende der Zinsbindung",IF($H20&gt;0,"Sondertilgung verrechnet",""))))</f>
        <v/>
      </c>
      <c r="Q20" s="38">
        <f>IF($S19&lt;=0,0,ROUND($S19*Übersicht!$C$26,2))</f>
        <v>700.49</v>
      </c>
      <c r="R20" s="38">
        <f>IF($S19&lt;=0,0,MIN($S19,IF(Übersicht!$C$14="Annuitätendarlehen",MAX(0,Übersicht!$C$28-$Q20),IF(Übersicht!$C$14="Ratendarlehen",Übersicht!$C$29,IF($A20&gt;=Übersicht!$C$30,$S19,0)))))</f>
        <v>539.08999999999992</v>
      </c>
      <c r="S20" s="38">
        <f>IF($S19&lt;=0,0,ROUND($S19-$R20-IF($S19-$R20&lt;=0,0,IF(MOD($A20,Übersicht!$C$25)=0,MIN(Szenarien!$C$8,$S19-$R20),0)),2))</f>
        <v>243111.16</v>
      </c>
      <c r="T20" s="38">
        <f>IF($V19&lt;=0,0,ROUND($V19*Übersicht!$C$26,2))</f>
        <v>693.31</v>
      </c>
      <c r="U20" s="38">
        <f>IF($V19&lt;=0,0,MIN($V19,IF(Übersicht!$C$14="Annuitätendarlehen",MAX(0,Übersicht!$C$28-$T20),IF(Übersicht!$C$14="Ratendarlehen",Übersicht!$C$29,IF($A20&gt;=Übersicht!$C$30,$V19,0)))))</f>
        <v>546.27</v>
      </c>
      <c r="V20" s="38">
        <f>IF($V19&lt;=0,0,ROUND($V19-$U20-IF($V19-$U20&lt;=0,0,IF(MOD($A20,Übersicht!$C$25)=0,MIN(Szenarien!$C$9,$V19-$U20),0)),2))</f>
        <v>240603.98</v>
      </c>
      <c r="W20" s="38">
        <f>IF($Y19&lt;=0,0,ROUND($Y19*Übersicht!$C$26,2))</f>
        <v>686.12</v>
      </c>
      <c r="X20" s="38">
        <f>IF($Y19&lt;=0,0,MIN($Y19,IF(Übersicht!$C$14="Annuitätendarlehen",MAX(0,Übersicht!$C$28-$W20),IF(Übersicht!$C$14="Ratendarlehen",Übersicht!$C$29,IF($A20&gt;=Übersicht!$C$30,$Y19,0)))))</f>
        <v>553.45999999999992</v>
      </c>
      <c r="Y20" s="38">
        <f>IF($Y19&lt;=0,0,ROUND($Y19-$X20-IF($Y19-$X20&lt;=0,0,IF(MOD($A20,Übersicht!$C$25)=0,MIN(Szenarien!$C$10,$Y19-$X20),0)),2))</f>
        <v>238096.79</v>
      </c>
      <c r="Z20" s="38">
        <f>IF($AB19&lt;=0,0,ROUND($AB19*Übersicht!$C$26,2))</f>
        <v>678.93</v>
      </c>
      <c r="AA20" s="38">
        <f>IF($AB19&lt;=0,0,MIN($AB19,IF(Übersicht!$C$14="Annuitätendarlehen",MAX(0,Übersicht!$C$28-$Z20),IF(Übersicht!$C$14="Ratendarlehen",Übersicht!$C$29,IF($A20&gt;=Übersicht!$C$30,$AB19,0)))))</f>
        <v>560.65</v>
      </c>
      <c r="AB20" s="38">
        <f>IF($AB19&lt;=0,0,ROUND($AB19-$AA20-IF($AB19-$AA20&lt;=0,0,IF(MOD($A20,Übersicht!$C$25)=0,MIN(Szenarien!$C$11,$AB19-$AA20),0)),2))</f>
        <v>235589.6</v>
      </c>
      <c r="AC20" s="38">
        <f>IF($AE19&lt;=0,0,ROUND($AE19*Übersicht!$C$26,2))</f>
        <v>664.56</v>
      </c>
      <c r="AD20" s="38">
        <f>IF($AE19&lt;=0,0,MIN($AE19,IF(Übersicht!$C$14="Annuitätendarlehen",MAX(0,Übersicht!$C$28-$AC20),IF(Übersicht!$C$14="Ratendarlehen",Übersicht!$C$29,IF($A20&gt;=Übersicht!$C$30,$AE19,0)))))</f>
        <v>575.02</v>
      </c>
      <c r="AE20" s="38">
        <f>IF($AE19&lt;=0,0,ROUND($AE19-$AD20-IF($AE19-$AD20&lt;=0,0,IF(MOD($A20,Übersicht!$C$25)=0,MIN(Szenarien!$C$12,$AE19-$AD20),0)),2))</f>
        <v>230575.23</v>
      </c>
    </row>
    <row r="21" spans="1:31" ht="15" customHeight="1" x14ac:dyDescent="0.25">
      <c r="A21" s="26">
        <v>14</v>
      </c>
      <c r="B21" s="39">
        <f>IF($D21&lt;=0,"",EDATE(Übersicht!$C$18,($A21-1)*12/Übersicht!$C$25))</f>
        <v>46446</v>
      </c>
      <c r="C21" s="26">
        <f t="shared" si="0"/>
        <v>2027</v>
      </c>
      <c r="D21" s="40">
        <f t="shared" si="4"/>
        <v>238096.79</v>
      </c>
      <c r="E21" s="28">
        <f t="shared" si="1"/>
        <v>1239.58</v>
      </c>
      <c r="F21" s="28">
        <f>IF($D21&lt;=0,0,ROUND($D21*Übersicht!$C$26,2))</f>
        <v>684.53</v>
      </c>
      <c r="G21" s="28">
        <f>IF($D21&lt;=0,0,MIN($D21,IF(Übersicht!$C$14="Annuitätendarlehen",MAX(0,Übersicht!$C$28-$F21),IF(Übersicht!$C$14="Ratendarlehen",Übersicht!$C$29,IF($A21&gt;=Übersicht!$C$30,$D21,0)))))</f>
        <v>555.04999999999995</v>
      </c>
      <c r="H21" s="28">
        <f>IF($D21-$G21&lt;=0,0,IF(MOD($A21,Übersicht!$C$25)=0,MIN(Übersicht!$C$31,$D21-$G21),0))</f>
        <v>0</v>
      </c>
      <c r="I21" s="28">
        <f t="shared" si="2"/>
        <v>1239.58</v>
      </c>
      <c r="J21" s="28">
        <f t="shared" si="3"/>
        <v>237541.74</v>
      </c>
      <c r="K21" s="28">
        <f t="shared" si="5"/>
        <v>9895.86</v>
      </c>
      <c r="L21" s="28">
        <f t="shared" si="6"/>
        <v>12458.26</v>
      </c>
      <c r="M21" s="29">
        <f>IF($D21&lt;=0,"",IF(Übersicht!$C$11=0,0,$L21/Übersicht!$C$11))</f>
        <v>4.9833040000000002E-2</v>
      </c>
      <c r="N21" s="30" t="str">
        <f>IF($D21&lt;=0,"",IF($J21&lt;=0.005,"Volltilgung erreicht",IF($A21=Übersicht!$C$19*Übersicht!$C$25,"Ende der Zinsbindung",IF($H21&gt;0,"Sondertilgung verrechnet",""))))</f>
        <v/>
      </c>
      <c r="Q21" s="38">
        <f>IF($S20&lt;=0,0,ROUND($S20*Übersicht!$C$26,2))</f>
        <v>698.94</v>
      </c>
      <c r="R21" s="38">
        <f>IF($S20&lt;=0,0,MIN($S20,IF(Übersicht!$C$14="Annuitätendarlehen",MAX(0,Übersicht!$C$28-$Q21),IF(Übersicht!$C$14="Ratendarlehen",Übersicht!$C$29,IF($A21&gt;=Übersicht!$C$30,$S20,0)))))</f>
        <v>540.63999999999987</v>
      </c>
      <c r="S21" s="38">
        <f>IF($S20&lt;=0,0,ROUND($S20-$R21-IF($S20-$R21&lt;=0,0,IF(MOD($A21,Übersicht!$C$25)=0,MIN(Szenarien!$C$8,$S20-$R21),0)),2))</f>
        <v>242570.52</v>
      </c>
      <c r="T21" s="38">
        <f>IF($V20&lt;=0,0,ROUND($V20*Übersicht!$C$26,2))</f>
        <v>691.74</v>
      </c>
      <c r="U21" s="38">
        <f>IF($V20&lt;=0,0,MIN($V20,IF(Übersicht!$C$14="Annuitätendarlehen",MAX(0,Übersicht!$C$28-$T21),IF(Übersicht!$C$14="Ratendarlehen",Übersicht!$C$29,IF($A21&gt;=Übersicht!$C$30,$V20,0)))))</f>
        <v>547.83999999999992</v>
      </c>
      <c r="V21" s="38">
        <f>IF($V20&lt;=0,0,ROUND($V20-$U21-IF($V20-$U21&lt;=0,0,IF(MOD($A21,Übersicht!$C$25)=0,MIN(Szenarien!$C$9,$V20-$U21),0)),2))</f>
        <v>240056.14</v>
      </c>
      <c r="W21" s="38">
        <f>IF($Y20&lt;=0,0,ROUND($Y20*Übersicht!$C$26,2))</f>
        <v>684.53</v>
      </c>
      <c r="X21" s="38">
        <f>IF($Y20&lt;=0,0,MIN($Y20,IF(Übersicht!$C$14="Annuitätendarlehen",MAX(0,Übersicht!$C$28-$W21),IF(Übersicht!$C$14="Ratendarlehen",Übersicht!$C$29,IF($A21&gt;=Übersicht!$C$30,$Y20,0)))))</f>
        <v>555.04999999999995</v>
      </c>
      <c r="Y21" s="38">
        <f>IF($Y20&lt;=0,0,ROUND($Y20-$X21-IF($Y20-$X21&lt;=0,0,IF(MOD($A21,Übersicht!$C$25)=0,MIN(Szenarien!$C$10,$Y20-$X21),0)),2))</f>
        <v>237541.74</v>
      </c>
      <c r="Z21" s="38">
        <f>IF($AB20&lt;=0,0,ROUND($AB20*Übersicht!$C$26,2))</f>
        <v>677.32</v>
      </c>
      <c r="AA21" s="38">
        <f>IF($AB20&lt;=0,0,MIN($AB20,IF(Übersicht!$C$14="Annuitätendarlehen",MAX(0,Übersicht!$C$28-$Z21),IF(Übersicht!$C$14="Ratendarlehen",Übersicht!$C$29,IF($A21&gt;=Übersicht!$C$30,$AB20,0)))))</f>
        <v>562.25999999999988</v>
      </c>
      <c r="AB21" s="38">
        <f>IF($AB20&lt;=0,0,ROUND($AB20-$AA21-IF($AB20-$AA21&lt;=0,0,IF(MOD($A21,Übersicht!$C$25)=0,MIN(Szenarien!$C$11,$AB20-$AA21),0)),2))</f>
        <v>235027.34</v>
      </c>
      <c r="AC21" s="38">
        <f>IF($AE20&lt;=0,0,ROUND($AE20*Übersicht!$C$26,2))</f>
        <v>662.9</v>
      </c>
      <c r="AD21" s="38">
        <f>IF($AE20&lt;=0,0,MIN($AE20,IF(Übersicht!$C$14="Annuitätendarlehen",MAX(0,Übersicht!$C$28-$AC21),IF(Übersicht!$C$14="Ratendarlehen",Übersicht!$C$29,IF($A21&gt;=Übersicht!$C$30,$AE20,0)))))</f>
        <v>576.67999999999995</v>
      </c>
      <c r="AE21" s="38">
        <f>IF($AE20&lt;=0,0,ROUND($AE20-$AD21-IF($AE20-$AD21&lt;=0,0,IF(MOD($A21,Übersicht!$C$25)=0,MIN(Szenarien!$C$12,$AE20-$AD21),0)),2))</f>
        <v>229998.55</v>
      </c>
    </row>
    <row r="22" spans="1:31" ht="15" customHeight="1" x14ac:dyDescent="0.25">
      <c r="A22" s="21">
        <v>15</v>
      </c>
      <c r="B22" s="36">
        <f>IF($D22&lt;=0,"",EDATE(Übersicht!$C$18,($A22-1)*12/Übersicht!$C$25))</f>
        <v>46477</v>
      </c>
      <c r="C22" s="21">
        <f t="shared" si="0"/>
        <v>2027</v>
      </c>
      <c r="D22" s="37">
        <f t="shared" si="4"/>
        <v>237541.74</v>
      </c>
      <c r="E22" s="23">
        <f t="shared" si="1"/>
        <v>1239.58</v>
      </c>
      <c r="F22" s="23">
        <f>IF($D22&lt;=0,0,ROUND($D22*Übersicht!$C$26,2))</f>
        <v>682.93</v>
      </c>
      <c r="G22" s="23">
        <f>IF($D22&lt;=0,0,MIN($D22,IF(Übersicht!$C$14="Annuitätendarlehen",MAX(0,Übersicht!$C$28-$F22),IF(Übersicht!$C$14="Ratendarlehen",Übersicht!$C$29,IF($A22&gt;=Übersicht!$C$30,$D22,0)))))</f>
        <v>556.65</v>
      </c>
      <c r="H22" s="23">
        <f>IF($D22-$G22&lt;=0,0,IF(MOD($A22,Übersicht!$C$25)=0,MIN(Übersicht!$C$31,$D22-$G22),0))</f>
        <v>0</v>
      </c>
      <c r="I22" s="23">
        <f t="shared" si="2"/>
        <v>1239.58</v>
      </c>
      <c r="J22" s="23">
        <f t="shared" si="3"/>
        <v>236985.09</v>
      </c>
      <c r="K22" s="23">
        <f t="shared" si="5"/>
        <v>10578.79</v>
      </c>
      <c r="L22" s="23">
        <f t="shared" si="6"/>
        <v>13014.91</v>
      </c>
      <c r="M22" s="24">
        <f>IF($D22&lt;=0,"",IF(Übersicht!$C$11=0,0,$L22/Übersicht!$C$11))</f>
        <v>5.2059639999999997E-2</v>
      </c>
      <c r="N22" s="25" t="str">
        <f>IF($D22&lt;=0,"",IF($J22&lt;=0.005,"Volltilgung erreicht",IF($A22=Übersicht!$C$19*Übersicht!$C$25,"Ende der Zinsbindung",IF($H22&gt;0,"Sondertilgung verrechnet",""))))</f>
        <v/>
      </c>
      <c r="Q22" s="38">
        <f>IF($S21&lt;=0,0,ROUND($S21*Übersicht!$C$26,2))</f>
        <v>697.39</v>
      </c>
      <c r="R22" s="38">
        <f>IF($S21&lt;=0,0,MIN($S21,IF(Übersicht!$C$14="Annuitätendarlehen",MAX(0,Übersicht!$C$28-$Q22),IF(Übersicht!$C$14="Ratendarlehen",Übersicht!$C$29,IF($A22&gt;=Übersicht!$C$30,$S21,0)))))</f>
        <v>542.18999999999994</v>
      </c>
      <c r="S22" s="38">
        <f>IF($S21&lt;=0,0,ROUND($S21-$R22-IF($S21-$R22&lt;=0,0,IF(MOD($A22,Übersicht!$C$25)=0,MIN(Szenarien!$C$8,$S21-$R22),0)),2))</f>
        <v>242028.33</v>
      </c>
      <c r="T22" s="38">
        <f>IF($V21&lt;=0,0,ROUND($V21*Übersicht!$C$26,2))</f>
        <v>690.16</v>
      </c>
      <c r="U22" s="38">
        <f>IF($V21&lt;=0,0,MIN($V21,IF(Übersicht!$C$14="Annuitätendarlehen",MAX(0,Übersicht!$C$28-$T22),IF(Übersicht!$C$14="Ratendarlehen",Übersicht!$C$29,IF($A22&gt;=Übersicht!$C$30,$V21,0)))))</f>
        <v>549.41999999999996</v>
      </c>
      <c r="V22" s="38">
        <f>IF($V21&lt;=0,0,ROUND($V21-$U22-IF($V21-$U22&lt;=0,0,IF(MOD($A22,Übersicht!$C$25)=0,MIN(Szenarien!$C$9,$V21-$U22),0)),2))</f>
        <v>239506.72</v>
      </c>
      <c r="W22" s="38">
        <f>IF($Y21&lt;=0,0,ROUND($Y21*Übersicht!$C$26,2))</f>
        <v>682.93</v>
      </c>
      <c r="X22" s="38">
        <f>IF($Y21&lt;=0,0,MIN($Y21,IF(Übersicht!$C$14="Annuitätendarlehen",MAX(0,Übersicht!$C$28-$W22),IF(Übersicht!$C$14="Ratendarlehen",Übersicht!$C$29,IF($A22&gt;=Übersicht!$C$30,$Y21,0)))))</f>
        <v>556.65</v>
      </c>
      <c r="Y22" s="38">
        <f>IF($Y21&lt;=0,0,ROUND($Y21-$X22-IF($Y21-$X22&lt;=0,0,IF(MOD($A22,Übersicht!$C$25)=0,MIN(Szenarien!$C$10,$Y21-$X22),0)),2))</f>
        <v>236985.09</v>
      </c>
      <c r="Z22" s="38">
        <f>IF($AB21&lt;=0,0,ROUND($AB21*Übersicht!$C$26,2))</f>
        <v>675.7</v>
      </c>
      <c r="AA22" s="38">
        <f>IF($AB21&lt;=0,0,MIN($AB21,IF(Übersicht!$C$14="Annuitätendarlehen",MAX(0,Übersicht!$C$28-$Z22),IF(Übersicht!$C$14="Ratendarlehen",Übersicht!$C$29,IF($A22&gt;=Übersicht!$C$30,$AB21,0)))))</f>
        <v>563.87999999999988</v>
      </c>
      <c r="AB22" s="38">
        <f>IF($AB21&lt;=0,0,ROUND($AB21-$AA22-IF($AB21-$AA22&lt;=0,0,IF(MOD($A22,Übersicht!$C$25)=0,MIN(Szenarien!$C$11,$AB21-$AA22),0)),2))</f>
        <v>234463.46</v>
      </c>
      <c r="AC22" s="38">
        <f>IF($AE21&lt;=0,0,ROUND($AE21*Übersicht!$C$26,2))</f>
        <v>661.25</v>
      </c>
      <c r="AD22" s="38">
        <f>IF($AE21&lt;=0,0,MIN($AE21,IF(Übersicht!$C$14="Annuitätendarlehen",MAX(0,Übersicht!$C$28-$AC22),IF(Übersicht!$C$14="Ratendarlehen",Übersicht!$C$29,IF($A22&gt;=Übersicht!$C$30,$AE21,0)))))</f>
        <v>578.32999999999993</v>
      </c>
      <c r="AE22" s="38">
        <f>IF($AE21&lt;=0,0,ROUND($AE21-$AD22-IF($AE21-$AD22&lt;=0,0,IF(MOD($A22,Übersicht!$C$25)=0,MIN(Szenarien!$C$12,$AE21-$AD22),0)),2))</f>
        <v>229420.22</v>
      </c>
    </row>
    <row r="23" spans="1:31" ht="15" customHeight="1" x14ac:dyDescent="0.25">
      <c r="A23" s="26">
        <v>16</v>
      </c>
      <c r="B23" s="39">
        <f>IF($D23&lt;=0,"",EDATE(Übersicht!$C$18,($A23-1)*12/Übersicht!$C$25))</f>
        <v>46507</v>
      </c>
      <c r="C23" s="26">
        <f t="shared" si="0"/>
        <v>2027</v>
      </c>
      <c r="D23" s="40">
        <f t="shared" si="4"/>
        <v>236985.09</v>
      </c>
      <c r="E23" s="28">
        <f t="shared" si="1"/>
        <v>1239.58</v>
      </c>
      <c r="F23" s="28">
        <f>IF($D23&lt;=0,0,ROUND($D23*Übersicht!$C$26,2))</f>
        <v>681.33</v>
      </c>
      <c r="G23" s="28">
        <f>IF($D23&lt;=0,0,MIN($D23,IF(Übersicht!$C$14="Annuitätendarlehen",MAX(0,Übersicht!$C$28-$F23),IF(Übersicht!$C$14="Ratendarlehen",Übersicht!$C$29,IF($A23&gt;=Übersicht!$C$30,$D23,0)))))</f>
        <v>558.24999999999989</v>
      </c>
      <c r="H23" s="28">
        <f>IF($D23-$G23&lt;=0,0,IF(MOD($A23,Übersicht!$C$25)=0,MIN(Übersicht!$C$31,$D23-$G23),0))</f>
        <v>0</v>
      </c>
      <c r="I23" s="28">
        <f t="shared" si="2"/>
        <v>1239.58</v>
      </c>
      <c r="J23" s="28">
        <f t="shared" si="3"/>
        <v>236426.84</v>
      </c>
      <c r="K23" s="28">
        <f t="shared" si="5"/>
        <v>11260.12</v>
      </c>
      <c r="L23" s="28">
        <f t="shared" si="6"/>
        <v>13573.16</v>
      </c>
      <c r="M23" s="29">
        <f>IF($D23&lt;=0,"",IF(Übersicht!$C$11=0,0,$L23/Übersicht!$C$11))</f>
        <v>5.4292639999999996E-2</v>
      </c>
      <c r="N23" s="30" t="str">
        <f>IF($D23&lt;=0,"",IF($J23&lt;=0.005,"Volltilgung erreicht",IF($A23=Übersicht!$C$19*Übersicht!$C$25,"Ende der Zinsbindung",IF($H23&gt;0,"Sondertilgung verrechnet",""))))</f>
        <v/>
      </c>
      <c r="Q23" s="38">
        <f>IF($S22&lt;=0,0,ROUND($S22*Übersicht!$C$26,2))</f>
        <v>695.83</v>
      </c>
      <c r="R23" s="38">
        <f>IF($S22&lt;=0,0,MIN($S22,IF(Übersicht!$C$14="Annuitätendarlehen",MAX(0,Übersicht!$C$28-$Q23),IF(Übersicht!$C$14="Ratendarlehen",Übersicht!$C$29,IF($A23&gt;=Übersicht!$C$30,$S22,0)))))</f>
        <v>543.74999999999989</v>
      </c>
      <c r="S23" s="38">
        <f>IF($S22&lt;=0,0,ROUND($S22-$R23-IF($S22-$R23&lt;=0,0,IF(MOD($A23,Übersicht!$C$25)=0,MIN(Szenarien!$C$8,$S22-$R23),0)),2))</f>
        <v>241484.58</v>
      </c>
      <c r="T23" s="38">
        <f>IF($V22&lt;=0,0,ROUND($V22*Übersicht!$C$26,2))</f>
        <v>688.58</v>
      </c>
      <c r="U23" s="38">
        <f>IF($V22&lt;=0,0,MIN($V22,IF(Übersicht!$C$14="Annuitätendarlehen",MAX(0,Übersicht!$C$28-$T23),IF(Übersicht!$C$14="Ratendarlehen",Übersicht!$C$29,IF($A23&gt;=Übersicht!$C$30,$V22,0)))))</f>
        <v>550.99999999999989</v>
      </c>
      <c r="V23" s="38">
        <f>IF($V22&lt;=0,0,ROUND($V22-$U23-IF($V22-$U23&lt;=0,0,IF(MOD($A23,Übersicht!$C$25)=0,MIN(Szenarien!$C$9,$V22-$U23),0)),2))</f>
        <v>238955.72</v>
      </c>
      <c r="W23" s="38">
        <f>IF($Y22&lt;=0,0,ROUND($Y22*Übersicht!$C$26,2))</f>
        <v>681.33</v>
      </c>
      <c r="X23" s="38">
        <f>IF($Y22&lt;=0,0,MIN($Y22,IF(Übersicht!$C$14="Annuitätendarlehen",MAX(0,Übersicht!$C$28-$W23),IF(Übersicht!$C$14="Ratendarlehen",Übersicht!$C$29,IF($A23&gt;=Übersicht!$C$30,$Y22,0)))))</f>
        <v>558.24999999999989</v>
      </c>
      <c r="Y23" s="38">
        <f>IF($Y22&lt;=0,0,ROUND($Y22-$X23-IF($Y22-$X23&lt;=0,0,IF(MOD($A23,Übersicht!$C$25)=0,MIN(Szenarien!$C$10,$Y22-$X23),0)),2))</f>
        <v>236426.84</v>
      </c>
      <c r="Z23" s="38">
        <f>IF($AB22&lt;=0,0,ROUND($AB22*Übersicht!$C$26,2))</f>
        <v>674.08</v>
      </c>
      <c r="AA23" s="38">
        <f>IF($AB22&lt;=0,0,MIN($AB22,IF(Übersicht!$C$14="Annuitätendarlehen",MAX(0,Übersicht!$C$28-$Z23),IF(Übersicht!$C$14="Ratendarlehen",Übersicht!$C$29,IF($A23&gt;=Übersicht!$C$30,$AB22,0)))))</f>
        <v>565.49999999999989</v>
      </c>
      <c r="AB23" s="38">
        <f>IF($AB22&lt;=0,0,ROUND($AB22-$AA23-IF($AB22-$AA23&lt;=0,0,IF(MOD($A23,Übersicht!$C$25)=0,MIN(Szenarien!$C$11,$AB22-$AA23),0)),2))</f>
        <v>233897.96</v>
      </c>
      <c r="AC23" s="38">
        <f>IF($AE22&lt;=0,0,ROUND($AE22*Übersicht!$C$26,2))</f>
        <v>659.58</v>
      </c>
      <c r="AD23" s="38">
        <f>IF($AE22&lt;=0,0,MIN($AE22,IF(Übersicht!$C$14="Annuitätendarlehen",MAX(0,Übersicht!$C$28-$AC23),IF(Übersicht!$C$14="Ratendarlehen",Übersicht!$C$29,IF($A23&gt;=Übersicht!$C$30,$AE22,0)))))</f>
        <v>579.99999999999989</v>
      </c>
      <c r="AE23" s="38">
        <f>IF($AE22&lt;=0,0,ROUND($AE22-$AD23-IF($AE22-$AD23&lt;=0,0,IF(MOD($A23,Übersicht!$C$25)=0,MIN(Szenarien!$C$12,$AE22-$AD23),0)),2))</f>
        <v>228840.22</v>
      </c>
    </row>
    <row r="24" spans="1:31" ht="15" customHeight="1" x14ac:dyDescent="0.25">
      <c r="A24" s="21">
        <v>17</v>
      </c>
      <c r="B24" s="36">
        <f>IF($D24&lt;=0,"",EDATE(Übersicht!$C$18,($A24-1)*12/Übersicht!$C$25))</f>
        <v>46538</v>
      </c>
      <c r="C24" s="21">
        <f t="shared" si="0"/>
        <v>2027</v>
      </c>
      <c r="D24" s="37">
        <f t="shared" si="4"/>
        <v>236426.84</v>
      </c>
      <c r="E24" s="23">
        <f t="shared" si="1"/>
        <v>1239.58</v>
      </c>
      <c r="F24" s="23">
        <f>IF($D24&lt;=0,0,ROUND($D24*Übersicht!$C$26,2))</f>
        <v>679.73</v>
      </c>
      <c r="G24" s="23">
        <f>IF($D24&lt;=0,0,MIN($D24,IF(Übersicht!$C$14="Annuitätendarlehen",MAX(0,Übersicht!$C$28-$F24),IF(Übersicht!$C$14="Ratendarlehen",Übersicht!$C$29,IF($A24&gt;=Übersicht!$C$30,$D24,0)))))</f>
        <v>559.84999999999991</v>
      </c>
      <c r="H24" s="23">
        <f>IF($D24-$G24&lt;=0,0,IF(MOD($A24,Übersicht!$C$25)=0,MIN(Übersicht!$C$31,$D24-$G24),0))</f>
        <v>0</v>
      </c>
      <c r="I24" s="23">
        <f t="shared" si="2"/>
        <v>1239.58</v>
      </c>
      <c r="J24" s="23">
        <f t="shared" si="3"/>
        <v>235866.99</v>
      </c>
      <c r="K24" s="23">
        <f t="shared" si="5"/>
        <v>11939.85</v>
      </c>
      <c r="L24" s="23">
        <f t="shared" si="6"/>
        <v>14133.01</v>
      </c>
      <c r="M24" s="24">
        <f>IF($D24&lt;=0,"",IF(Übersicht!$C$11=0,0,$L24/Übersicht!$C$11))</f>
        <v>5.6532039999999999E-2</v>
      </c>
      <c r="N24" s="25" t="str">
        <f>IF($D24&lt;=0,"",IF($J24&lt;=0.005,"Volltilgung erreicht",IF($A24=Übersicht!$C$19*Übersicht!$C$25,"Ende der Zinsbindung",IF($H24&gt;0,"Sondertilgung verrechnet",""))))</f>
        <v/>
      </c>
      <c r="Q24" s="38">
        <f>IF($S23&lt;=0,0,ROUND($S23*Übersicht!$C$26,2))</f>
        <v>694.27</v>
      </c>
      <c r="R24" s="38">
        <f>IF($S23&lt;=0,0,MIN($S23,IF(Übersicht!$C$14="Annuitätendarlehen",MAX(0,Übersicht!$C$28-$Q24),IF(Übersicht!$C$14="Ratendarlehen",Übersicht!$C$29,IF($A24&gt;=Übersicht!$C$30,$S23,0)))))</f>
        <v>545.30999999999995</v>
      </c>
      <c r="S24" s="38">
        <f>IF($S23&lt;=0,0,ROUND($S23-$R24-IF($S23-$R24&lt;=0,0,IF(MOD($A24,Übersicht!$C$25)=0,MIN(Szenarien!$C$8,$S23-$R24),0)),2))</f>
        <v>240939.27</v>
      </c>
      <c r="T24" s="38">
        <f>IF($V23&lt;=0,0,ROUND($V23*Übersicht!$C$26,2))</f>
        <v>687</v>
      </c>
      <c r="U24" s="38">
        <f>IF($V23&lt;=0,0,MIN($V23,IF(Übersicht!$C$14="Annuitätendarlehen",MAX(0,Übersicht!$C$28-$T24),IF(Übersicht!$C$14="Ratendarlehen",Übersicht!$C$29,IF($A24&gt;=Übersicht!$C$30,$V23,0)))))</f>
        <v>552.57999999999993</v>
      </c>
      <c r="V24" s="38">
        <f>IF($V23&lt;=0,0,ROUND($V23-$U24-IF($V23-$U24&lt;=0,0,IF(MOD($A24,Übersicht!$C$25)=0,MIN(Szenarien!$C$9,$V23-$U24),0)),2))</f>
        <v>238403.14</v>
      </c>
      <c r="W24" s="38">
        <f>IF($Y23&lt;=0,0,ROUND($Y23*Übersicht!$C$26,2))</f>
        <v>679.73</v>
      </c>
      <c r="X24" s="38">
        <f>IF($Y23&lt;=0,0,MIN($Y23,IF(Übersicht!$C$14="Annuitätendarlehen",MAX(0,Übersicht!$C$28-$W24),IF(Übersicht!$C$14="Ratendarlehen",Übersicht!$C$29,IF($A24&gt;=Übersicht!$C$30,$Y23,0)))))</f>
        <v>559.84999999999991</v>
      </c>
      <c r="Y24" s="38">
        <f>IF($Y23&lt;=0,0,ROUND($Y23-$X24-IF($Y23-$X24&lt;=0,0,IF(MOD($A24,Übersicht!$C$25)=0,MIN(Szenarien!$C$10,$Y23-$X24),0)),2))</f>
        <v>235866.99</v>
      </c>
      <c r="Z24" s="38">
        <f>IF($AB23&lt;=0,0,ROUND($AB23*Übersicht!$C$26,2))</f>
        <v>672.46</v>
      </c>
      <c r="AA24" s="38">
        <f>IF($AB23&lt;=0,0,MIN($AB23,IF(Übersicht!$C$14="Annuitätendarlehen",MAX(0,Übersicht!$C$28-$Z24),IF(Übersicht!$C$14="Ratendarlehen",Übersicht!$C$29,IF($A24&gt;=Übersicht!$C$30,$AB23,0)))))</f>
        <v>567.11999999999989</v>
      </c>
      <c r="AB24" s="38">
        <f>IF($AB23&lt;=0,0,ROUND($AB23-$AA24-IF($AB23-$AA24&lt;=0,0,IF(MOD($A24,Übersicht!$C$25)=0,MIN(Szenarien!$C$11,$AB23-$AA24),0)),2))</f>
        <v>233330.84</v>
      </c>
      <c r="AC24" s="38">
        <f>IF($AE23&lt;=0,0,ROUND($AE23*Übersicht!$C$26,2))</f>
        <v>657.92</v>
      </c>
      <c r="AD24" s="38">
        <f>IF($AE23&lt;=0,0,MIN($AE23,IF(Übersicht!$C$14="Annuitätendarlehen",MAX(0,Übersicht!$C$28-$AC24),IF(Übersicht!$C$14="Ratendarlehen",Übersicht!$C$29,IF($A24&gt;=Übersicht!$C$30,$AE23,0)))))</f>
        <v>581.66</v>
      </c>
      <c r="AE24" s="38">
        <f>IF($AE23&lt;=0,0,ROUND($AE23-$AD24-IF($AE23-$AD24&lt;=0,0,IF(MOD($A24,Übersicht!$C$25)=0,MIN(Szenarien!$C$12,$AE23-$AD24),0)),2))</f>
        <v>228258.56</v>
      </c>
    </row>
    <row r="25" spans="1:31" ht="15" customHeight="1" x14ac:dyDescent="0.25">
      <c r="A25" s="26">
        <v>18</v>
      </c>
      <c r="B25" s="39">
        <f>IF($D25&lt;=0,"",EDATE(Übersicht!$C$18,($A25-1)*12/Übersicht!$C$25))</f>
        <v>46568</v>
      </c>
      <c r="C25" s="26">
        <f t="shared" si="0"/>
        <v>2027</v>
      </c>
      <c r="D25" s="40">
        <f t="shared" si="4"/>
        <v>235866.99</v>
      </c>
      <c r="E25" s="28">
        <f t="shared" si="1"/>
        <v>1239.58</v>
      </c>
      <c r="F25" s="28">
        <f>IF($D25&lt;=0,0,ROUND($D25*Übersicht!$C$26,2))</f>
        <v>678.12</v>
      </c>
      <c r="G25" s="28">
        <f>IF($D25&lt;=0,0,MIN($D25,IF(Übersicht!$C$14="Annuitätendarlehen",MAX(0,Übersicht!$C$28-$F25),IF(Übersicht!$C$14="Ratendarlehen",Übersicht!$C$29,IF($A25&gt;=Übersicht!$C$30,$D25,0)))))</f>
        <v>561.45999999999992</v>
      </c>
      <c r="H25" s="28">
        <f>IF($D25-$G25&lt;=0,0,IF(MOD($A25,Übersicht!$C$25)=0,MIN(Übersicht!$C$31,$D25-$G25),0))</f>
        <v>0</v>
      </c>
      <c r="I25" s="28">
        <f t="shared" si="2"/>
        <v>1239.58</v>
      </c>
      <c r="J25" s="28">
        <f t="shared" si="3"/>
        <v>235305.53</v>
      </c>
      <c r="K25" s="28">
        <f t="shared" si="5"/>
        <v>12617.970000000001</v>
      </c>
      <c r="L25" s="28">
        <f t="shared" si="6"/>
        <v>14694.47</v>
      </c>
      <c r="M25" s="29">
        <f>IF($D25&lt;=0,"",IF(Übersicht!$C$11=0,0,$L25/Übersicht!$C$11))</f>
        <v>5.8777879999999998E-2</v>
      </c>
      <c r="N25" s="30" t="str">
        <f>IF($D25&lt;=0,"",IF($J25&lt;=0.005,"Volltilgung erreicht",IF($A25=Übersicht!$C$19*Übersicht!$C$25,"Ende der Zinsbindung",IF($H25&gt;0,"Sondertilgung verrechnet",""))))</f>
        <v/>
      </c>
      <c r="Q25" s="38">
        <f>IF($S24&lt;=0,0,ROUND($S24*Übersicht!$C$26,2))</f>
        <v>692.7</v>
      </c>
      <c r="R25" s="38">
        <f>IF($S24&lt;=0,0,MIN($S24,IF(Übersicht!$C$14="Annuitätendarlehen",MAX(0,Übersicht!$C$28-$Q25),IF(Übersicht!$C$14="Ratendarlehen",Übersicht!$C$29,IF($A25&gt;=Übersicht!$C$30,$S24,0)))))</f>
        <v>546.87999999999988</v>
      </c>
      <c r="S25" s="38">
        <f>IF($S24&lt;=0,0,ROUND($S24-$R25-IF($S24-$R25&lt;=0,0,IF(MOD($A25,Übersicht!$C$25)=0,MIN(Szenarien!$C$8,$S24-$R25),0)),2))</f>
        <v>240392.39</v>
      </c>
      <c r="T25" s="38">
        <f>IF($V24&lt;=0,0,ROUND($V24*Übersicht!$C$26,2))</f>
        <v>685.41</v>
      </c>
      <c r="U25" s="38">
        <f>IF($V24&lt;=0,0,MIN($V24,IF(Übersicht!$C$14="Annuitätendarlehen",MAX(0,Übersicht!$C$28-$T25),IF(Übersicht!$C$14="Ratendarlehen",Übersicht!$C$29,IF($A25&gt;=Übersicht!$C$30,$V24,0)))))</f>
        <v>554.16999999999996</v>
      </c>
      <c r="V25" s="38">
        <f>IF($V24&lt;=0,0,ROUND($V24-$U25-IF($V24-$U25&lt;=0,0,IF(MOD($A25,Übersicht!$C$25)=0,MIN(Szenarien!$C$9,$V24-$U25),0)),2))</f>
        <v>237848.97</v>
      </c>
      <c r="W25" s="38">
        <f>IF($Y24&lt;=0,0,ROUND($Y24*Übersicht!$C$26,2))</f>
        <v>678.12</v>
      </c>
      <c r="X25" s="38">
        <f>IF($Y24&lt;=0,0,MIN($Y24,IF(Übersicht!$C$14="Annuitätendarlehen",MAX(0,Übersicht!$C$28-$W25),IF(Übersicht!$C$14="Ratendarlehen",Übersicht!$C$29,IF($A25&gt;=Übersicht!$C$30,$Y24,0)))))</f>
        <v>561.45999999999992</v>
      </c>
      <c r="Y25" s="38">
        <f>IF($Y24&lt;=0,0,ROUND($Y24-$X25-IF($Y24-$X25&lt;=0,0,IF(MOD($A25,Übersicht!$C$25)=0,MIN(Szenarien!$C$10,$Y24-$X25),0)),2))</f>
        <v>235305.53</v>
      </c>
      <c r="Z25" s="38">
        <f>IF($AB24&lt;=0,0,ROUND($AB24*Übersicht!$C$26,2))</f>
        <v>670.83</v>
      </c>
      <c r="AA25" s="38">
        <f>IF($AB24&lt;=0,0,MIN($AB24,IF(Übersicht!$C$14="Annuitätendarlehen",MAX(0,Übersicht!$C$28-$Z25),IF(Übersicht!$C$14="Ratendarlehen",Übersicht!$C$29,IF($A25&gt;=Übersicht!$C$30,$AB24,0)))))</f>
        <v>568.74999999999989</v>
      </c>
      <c r="AB25" s="38">
        <f>IF($AB24&lt;=0,0,ROUND($AB24-$AA25-IF($AB24-$AA25&lt;=0,0,IF(MOD($A25,Übersicht!$C$25)=0,MIN(Szenarien!$C$11,$AB24-$AA25),0)),2))</f>
        <v>232762.09</v>
      </c>
      <c r="AC25" s="38">
        <f>IF($AE24&lt;=0,0,ROUND($AE24*Übersicht!$C$26,2))</f>
        <v>656.24</v>
      </c>
      <c r="AD25" s="38">
        <f>IF($AE24&lt;=0,0,MIN($AE24,IF(Übersicht!$C$14="Annuitätendarlehen",MAX(0,Übersicht!$C$28-$AC25),IF(Übersicht!$C$14="Ratendarlehen",Übersicht!$C$29,IF($A25&gt;=Übersicht!$C$30,$AE24,0)))))</f>
        <v>583.33999999999992</v>
      </c>
      <c r="AE25" s="38">
        <f>IF($AE24&lt;=0,0,ROUND($AE24-$AD25-IF($AE24-$AD25&lt;=0,0,IF(MOD($A25,Übersicht!$C$25)=0,MIN(Szenarien!$C$12,$AE24-$AD25),0)),2))</f>
        <v>227675.22</v>
      </c>
    </row>
    <row r="26" spans="1:31" ht="15" customHeight="1" x14ac:dyDescent="0.25">
      <c r="A26" s="21">
        <v>19</v>
      </c>
      <c r="B26" s="36">
        <f>IF($D26&lt;=0,"",EDATE(Übersicht!$C$18,($A26-1)*12/Übersicht!$C$25))</f>
        <v>46599</v>
      </c>
      <c r="C26" s="21">
        <f t="shared" si="0"/>
        <v>2027</v>
      </c>
      <c r="D26" s="37">
        <f t="shared" si="4"/>
        <v>235305.53</v>
      </c>
      <c r="E26" s="23">
        <f t="shared" si="1"/>
        <v>1239.58</v>
      </c>
      <c r="F26" s="23">
        <f>IF($D26&lt;=0,0,ROUND($D26*Übersicht!$C$26,2))</f>
        <v>676.5</v>
      </c>
      <c r="G26" s="23">
        <f>IF($D26&lt;=0,0,MIN($D26,IF(Übersicht!$C$14="Annuitätendarlehen",MAX(0,Übersicht!$C$28-$F26),IF(Übersicht!$C$14="Ratendarlehen",Übersicht!$C$29,IF($A26&gt;=Übersicht!$C$30,$D26,0)))))</f>
        <v>563.07999999999993</v>
      </c>
      <c r="H26" s="23">
        <f>IF($D26-$G26&lt;=0,0,IF(MOD($A26,Übersicht!$C$25)=0,MIN(Übersicht!$C$31,$D26-$G26),0))</f>
        <v>0</v>
      </c>
      <c r="I26" s="23">
        <f t="shared" si="2"/>
        <v>1239.58</v>
      </c>
      <c r="J26" s="23">
        <f t="shared" si="3"/>
        <v>234742.45</v>
      </c>
      <c r="K26" s="23">
        <f t="shared" si="5"/>
        <v>13294.470000000001</v>
      </c>
      <c r="L26" s="23">
        <f t="shared" si="6"/>
        <v>15257.55</v>
      </c>
      <c r="M26" s="24">
        <f>IF($D26&lt;=0,"",IF(Übersicht!$C$11=0,0,$L26/Übersicht!$C$11))</f>
        <v>6.10302E-2</v>
      </c>
      <c r="N26" s="25" t="str">
        <f>IF($D26&lt;=0,"",IF($J26&lt;=0.005,"Volltilgung erreicht",IF($A26=Übersicht!$C$19*Übersicht!$C$25,"Ende der Zinsbindung",IF($H26&gt;0,"Sondertilgung verrechnet",""))))</f>
        <v/>
      </c>
      <c r="Q26" s="38">
        <f>IF($S25&lt;=0,0,ROUND($S25*Übersicht!$C$26,2))</f>
        <v>691.13</v>
      </c>
      <c r="R26" s="38">
        <f>IF($S25&lt;=0,0,MIN($S25,IF(Übersicht!$C$14="Annuitätendarlehen",MAX(0,Übersicht!$C$28-$Q26),IF(Übersicht!$C$14="Ratendarlehen",Übersicht!$C$29,IF($A26&gt;=Übersicht!$C$30,$S25,0)))))</f>
        <v>548.44999999999993</v>
      </c>
      <c r="S26" s="38">
        <f>IF($S25&lt;=0,0,ROUND($S25-$R26-IF($S25-$R26&lt;=0,0,IF(MOD($A26,Übersicht!$C$25)=0,MIN(Szenarien!$C$8,$S25-$R26),0)),2))</f>
        <v>239843.94</v>
      </c>
      <c r="T26" s="38">
        <f>IF($V25&lt;=0,0,ROUND($V25*Übersicht!$C$26,2))</f>
        <v>683.82</v>
      </c>
      <c r="U26" s="38">
        <f>IF($V25&lt;=0,0,MIN($V25,IF(Übersicht!$C$14="Annuitätendarlehen",MAX(0,Übersicht!$C$28-$T26),IF(Übersicht!$C$14="Ratendarlehen",Übersicht!$C$29,IF($A26&gt;=Übersicht!$C$30,$V25,0)))))</f>
        <v>555.75999999999988</v>
      </c>
      <c r="V26" s="38">
        <f>IF($V25&lt;=0,0,ROUND($V25-$U26-IF($V25-$U26&lt;=0,0,IF(MOD($A26,Übersicht!$C$25)=0,MIN(Szenarien!$C$9,$V25-$U26),0)),2))</f>
        <v>237293.21</v>
      </c>
      <c r="W26" s="38">
        <f>IF($Y25&lt;=0,0,ROUND($Y25*Übersicht!$C$26,2))</f>
        <v>676.5</v>
      </c>
      <c r="X26" s="38">
        <f>IF($Y25&lt;=0,0,MIN($Y25,IF(Übersicht!$C$14="Annuitätendarlehen",MAX(0,Übersicht!$C$28-$W26),IF(Übersicht!$C$14="Ratendarlehen",Übersicht!$C$29,IF($A26&gt;=Übersicht!$C$30,$Y25,0)))))</f>
        <v>563.07999999999993</v>
      </c>
      <c r="Y26" s="38">
        <f>IF($Y25&lt;=0,0,ROUND($Y25-$X26-IF($Y25-$X26&lt;=0,0,IF(MOD($A26,Übersicht!$C$25)=0,MIN(Szenarien!$C$10,$Y25-$X26),0)),2))</f>
        <v>234742.45</v>
      </c>
      <c r="Z26" s="38">
        <f>IF($AB25&lt;=0,0,ROUND($AB25*Übersicht!$C$26,2))</f>
        <v>669.19</v>
      </c>
      <c r="AA26" s="38">
        <f>IF($AB25&lt;=0,0,MIN($AB25,IF(Übersicht!$C$14="Annuitätendarlehen",MAX(0,Übersicht!$C$28-$Z26),IF(Übersicht!$C$14="Ratendarlehen",Übersicht!$C$29,IF($A26&gt;=Übersicht!$C$30,$AB25,0)))))</f>
        <v>570.38999999999987</v>
      </c>
      <c r="AB26" s="38">
        <f>IF($AB25&lt;=0,0,ROUND($AB25-$AA26-IF($AB25-$AA26&lt;=0,0,IF(MOD($A26,Übersicht!$C$25)=0,MIN(Szenarien!$C$11,$AB25-$AA26),0)),2))</f>
        <v>232191.7</v>
      </c>
      <c r="AC26" s="38">
        <f>IF($AE25&lt;=0,0,ROUND($AE25*Übersicht!$C$26,2))</f>
        <v>654.57000000000005</v>
      </c>
      <c r="AD26" s="38">
        <f>IF($AE25&lt;=0,0,MIN($AE25,IF(Übersicht!$C$14="Annuitätendarlehen",MAX(0,Übersicht!$C$28-$AC26),IF(Übersicht!$C$14="Ratendarlehen",Übersicht!$C$29,IF($A26&gt;=Übersicht!$C$30,$AE25,0)))))</f>
        <v>585.00999999999988</v>
      </c>
      <c r="AE26" s="38">
        <f>IF($AE25&lt;=0,0,ROUND($AE25-$AD26-IF($AE25-$AD26&lt;=0,0,IF(MOD($A26,Übersicht!$C$25)=0,MIN(Szenarien!$C$12,$AE25-$AD26),0)),2))</f>
        <v>227090.21</v>
      </c>
    </row>
    <row r="27" spans="1:31" ht="15" customHeight="1" x14ac:dyDescent="0.25">
      <c r="A27" s="26">
        <v>20</v>
      </c>
      <c r="B27" s="39">
        <f>IF($D27&lt;=0,"",EDATE(Übersicht!$C$18,($A27-1)*12/Übersicht!$C$25))</f>
        <v>46630</v>
      </c>
      <c r="C27" s="26">
        <f t="shared" si="0"/>
        <v>2027</v>
      </c>
      <c r="D27" s="40">
        <f t="shared" si="4"/>
        <v>234742.45</v>
      </c>
      <c r="E27" s="28">
        <f t="shared" si="1"/>
        <v>1239.58</v>
      </c>
      <c r="F27" s="28">
        <f>IF($D27&lt;=0,0,ROUND($D27*Übersicht!$C$26,2))</f>
        <v>674.88</v>
      </c>
      <c r="G27" s="28">
        <f>IF($D27&lt;=0,0,MIN($D27,IF(Übersicht!$C$14="Annuitätendarlehen",MAX(0,Übersicht!$C$28-$F27),IF(Übersicht!$C$14="Ratendarlehen",Übersicht!$C$29,IF($A27&gt;=Übersicht!$C$30,$D27,0)))))</f>
        <v>564.69999999999993</v>
      </c>
      <c r="H27" s="28">
        <f>IF($D27-$G27&lt;=0,0,IF(MOD($A27,Übersicht!$C$25)=0,MIN(Übersicht!$C$31,$D27-$G27),0))</f>
        <v>0</v>
      </c>
      <c r="I27" s="28">
        <f t="shared" si="2"/>
        <v>1239.58</v>
      </c>
      <c r="J27" s="28">
        <f t="shared" si="3"/>
        <v>234177.75</v>
      </c>
      <c r="K27" s="28">
        <f t="shared" si="5"/>
        <v>13969.35</v>
      </c>
      <c r="L27" s="28">
        <f t="shared" si="6"/>
        <v>15822.25</v>
      </c>
      <c r="M27" s="29">
        <f>IF($D27&lt;=0,"",IF(Übersicht!$C$11=0,0,$L27/Übersicht!$C$11))</f>
        <v>6.3288999999999998E-2</v>
      </c>
      <c r="N27" s="30" t="str">
        <f>IF($D27&lt;=0,"",IF($J27&lt;=0.005,"Volltilgung erreicht",IF($A27=Übersicht!$C$19*Übersicht!$C$25,"Ende der Zinsbindung",IF($H27&gt;0,"Sondertilgung verrechnet",""))))</f>
        <v/>
      </c>
      <c r="Q27" s="38">
        <f>IF($S26&lt;=0,0,ROUND($S26*Übersicht!$C$26,2))</f>
        <v>689.55</v>
      </c>
      <c r="R27" s="38">
        <f>IF($S26&lt;=0,0,MIN($S26,IF(Übersicht!$C$14="Annuitätendarlehen",MAX(0,Übersicht!$C$28-$Q27),IF(Übersicht!$C$14="Ratendarlehen",Übersicht!$C$29,IF($A27&gt;=Übersicht!$C$30,$S26,0)))))</f>
        <v>550.03</v>
      </c>
      <c r="S27" s="38">
        <f>IF($S26&lt;=0,0,ROUND($S26-$R27-IF($S26-$R27&lt;=0,0,IF(MOD($A27,Übersicht!$C$25)=0,MIN(Szenarien!$C$8,$S26-$R27),0)),2))</f>
        <v>239293.91</v>
      </c>
      <c r="T27" s="38">
        <f>IF($V26&lt;=0,0,ROUND($V26*Übersicht!$C$26,2))</f>
        <v>682.22</v>
      </c>
      <c r="U27" s="38">
        <f>IF($V26&lt;=0,0,MIN($V26,IF(Übersicht!$C$14="Annuitätendarlehen",MAX(0,Übersicht!$C$28-$T27),IF(Übersicht!$C$14="Ratendarlehen",Übersicht!$C$29,IF($A27&gt;=Übersicht!$C$30,$V26,0)))))</f>
        <v>557.3599999999999</v>
      </c>
      <c r="V27" s="38">
        <f>IF($V26&lt;=0,0,ROUND($V26-$U27-IF($V26-$U27&lt;=0,0,IF(MOD($A27,Übersicht!$C$25)=0,MIN(Szenarien!$C$9,$V26-$U27),0)),2))</f>
        <v>236735.85</v>
      </c>
      <c r="W27" s="38">
        <f>IF($Y26&lt;=0,0,ROUND($Y26*Übersicht!$C$26,2))</f>
        <v>674.88</v>
      </c>
      <c r="X27" s="38">
        <f>IF($Y26&lt;=0,0,MIN($Y26,IF(Übersicht!$C$14="Annuitätendarlehen",MAX(0,Übersicht!$C$28-$W27),IF(Übersicht!$C$14="Ratendarlehen",Übersicht!$C$29,IF($A27&gt;=Übersicht!$C$30,$Y26,0)))))</f>
        <v>564.69999999999993</v>
      </c>
      <c r="Y27" s="38">
        <f>IF($Y26&lt;=0,0,ROUND($Y26-$X27-IF($Y26-$X27&lt;=0,0,IF(MOD($A27,Übersicht!$C$25)=0,MIN(Szenarien!$C$10,$Y26-$X27),0)),2))</f>
        <v>234177.75</v>
      </c>
      <c r="Z27" s="38">
        <f>IF($AB26&lt;=0,0,ROUND($AB26*Übersicht!$C$26,2))</f>
        <v>667.55</v>
      </c>
      <c r="AA27" s="38">
        <f>IF($AB26&lt;=0,0,MIN($AB26,IF(Übersicht!$C$14="Annuitätendarlehen",MAX(0,Übersicht!$C$28-$Z27),IF(Übersicht!$C$14="Ratendarlehen",Übersicht!$C$29,IF($A27&gt;=Übersicht!$C$30,$AB26,0)))))</f>
        <v>572.03</v>
      </c>
      <c r="AB27" s="38">
        <f>IF($AB26&lt;=0,0,ROUND($AB26-$AA27-IF($AB26-$AA27&lt;=0,0,IF(MOD($A27,Übersicht!$C$25)=0,MIN(Szenarien!$C$11,$AB26-$AA27),0)),2))</f>
        <v>231619.67</v>
      </c>
      <c r="AC27" s="38">
        <f>IF($AE26&lt;=0,0,ROUND($AE26*Übersicht!$C$26,2))</f>
        <v>652.88</v>
      </c>
      <c r="AD27" s="38">
        <f>IF($AE26&lt;=0,0,MIN($AE26,IF(Übersicht!$C$14="Annuitätendarlehen",MAX(0,Übersicht!$C$28-$AC27),IF(Übersicht!$C$14="Ratendarlehen",Übersicht!$C$29,IF($A27&gt;=Übersicht!$C$30,$AE26,0)))))</f>
        <v>586.69999999999993</v>
      </c>
      <c r="AE27" s="38">
        <f>IF($AE26&lt;=0,0,ROUND($AE26-$AD27-IF($AE26-$AD27&lt;=0,0,IF(MOD($A27,Übersicht!$C$25)=0,MIN(Szenarien!$C$12,$AE26-$AD27),0)),2))</f>
        <v>226503.51</v>
      </c>
    </row>
    <row r="28" spans="1:31" ht="15" customHeight="1" x14ac:dyDescent="0.25">
      <c r="A28" s="21">
        <v>21</v>
      </c>
      <c r="B28" s="36">
        <f>IF($D28&lt;=0,"",EDATE(Übersicht!$C$18,($A28-1)*12/Übersicht!$C$25))</f>
        <v>46660</v>
      </c>
      <c r="C28" s="21">
        <f t="shared" si="0"/>
        <v>2027</v>
      </c>
      <c r="D28" s="37">
        <f t="shared" si="4"/>
        <v>234177.75</v>
      </c>
      <c r="E28" s="23">
        <f t="shared" si="1"/>
        <v>1239.58</v>
      </c>
      <c r="F28" s="23">
        <f>IF($D28&lt;=0,0,ROUND($D28*Übersicht!$C$26,2))</f>
        <v>673.26</v>
      </c>
      <c r="G28" s="23">
        <f>IF($D28&lt;=0,0,MIN($D28,IF(Übersicht!$C$14="Annuitätendarlehen",MAX(0,Übersicht!$C$28-$F28),IF(Übersicht!$C$14="Ratendarlehen",Übersicht!$C$29,IF($A28&gt;=Übersicht!$C$30,$D28,0)))))</f>
        <v>566.31999999999994</v>
      </c>
      <c r="H28" s="23">
        <f>IF($D28-$G28&lt;=0,0,IF(MOD($A28,Übersicht!$C$25)=0,MIN(Übersicht!$C$31,$D28-$G28),0))</f>
        <v>0</v>
      </c>
      <c r="I28" s="23">
        <f t="shared" si="2"/>
        <v>1239.58</v>
      </c>
      <c r="J28" s="23">
        <f t="shared" si="3"/>
        <v>233611.43</v>
      </c>
      <c r="K28" s="23">
        <f t="shared" si="5"/>
        <v>14642.61</v>
      </c>
      <c r="L28" s="23">
        <f t="shared" si="6"/>
        <v>16388.57</v>
      </c>
      <c r="M28" s="24">
        <f>IF($D28&lt;=0,"",IF(Übersicht!$C$11=0,0,$L28/Übersicht!$C$11))</f>
        <v>6.5554279999999993E-2</v>
      </c>
      <c r="N28" s="25" t="str">
        <f>IF($D28&lt;=0,"",IF($J28&lt;=0.005,"Volltilgung erreicht",IF($A28=Übersicht!$C$19*Übersicht!$C$25,"Ende der Zinsbindung",IF($H28&gt;0,"Sondertilgung verrechnet",""))))</f>
        <v/>
      </c>
      <c r="Q28" s="38">
        <f>IF($S27&lt;=0,0,ROUND($S27*Übersicht!$C$26,2))</f>
        <v>687.97</v>
      </c>
      <c r="R28" s="38">
        <f>IF($S27&lt;=0,0,MIN($S27,IF(Übersicht!$C$14="Annuitätendarlehen",MAX(0,Übersicht!$C$28-$Q28),IF(Übersicht!$C$14="Ratendarlehen",Übersicht!$C$29,IF($A28&gt;=Übersicht!$C$30,$S27,0)))))</f>
        <v>551.6099999999999</v>
      </c>
      <c r="S28" s="38">
        <f>IF($S27&lt;=0,0,ROUND($S27-$R28-IF($S27-$R28&lt;=0,0,IF(MOD($A28,Übersicht!$C$25)=0,MIN(Szenarien!$C$8,$S27-$R28),0)),2))</f>
        <v>238742.3</v>
      </c>
      <c r="T28" s="38">
        <f>IF($V27&lt;=0,0,ROUND($V27*Übersicht!$C$26,2))</f>
        <v>680.62</v>
      </c>
      <c r="U28" s="38">
        <f>IF($V27&lt;=0,0,MIN($V27,IF(Übersicht!$C$14="Annuitätendarlehen",MAX(0,Übersicht!$C$28-$T28),IF(Übersicht!$C$14="Ratendarlehen",Übersicht!$C$29,IF($A28&gt;=Übersicht!$C$30,$V27,0)))))</f>
        <v>558.95999999999992</v>
      </c>
      <c r="V28" s="38">
        <f>IF($V27&lt;=0,0,ROUND($V27-$U28-IF($V27-$U28&lt;=0,0,IF(MOD($A28,Übersicht!$C$25)=0,MIN(Szenarien!$C$9,$V27-$U28),0)),2))</f>
        <v>236176.89</v>
      </c>
      <c r="W28" s="38">
        <f>IF($Y27&lt;=0,0,ROUND($Y27*Übersicht!$C$26,2))</f>
        <v>673.26</v>
      </c>
      <c r="X28" s="38">
        <f>IF($Y27&lt;=0,0,MIN($Y27,IF(Übersicht!$C$14="Annuitätendarlehen",MAX(0,Übersicht!$C$28-$W28),IF(Übersicht!$C$14="Ratendarlehen",Übersicht!$C$29,IF($A28&gt;=Übersicht!$C$30,$Y27,0)))))</f>
        <v>566.31999999999994</v>
      </c>
      <c r="Y28" s="38">
        <f>IF($Y27&lt;=0,0,ROUND($Y27-$X28-IF($Y27-$X28&lt;=0,0,IF(MOD($A28,Übersicht!$C$25)=0,MIN(Szenarien!$C$10,$Y27-$X28),0)),2))</f>
        <v>233611.43</v>
      </c>
      <c r="Z28" s="38">
        <f>IF($AB27&lt;=0,0,ROUND($AB27*Übersicht!$C$26,2))</f>
        <v>665.91</v>
      </c>
      <c r="AA28" s="38">
        <f>IF($AB27&lt;=0,0,MIN($AB27,IF(Übersicht!$C$14="Annuitätendarlehen",MAX(0,Übersicht!$C$28-$Z28),IF(Übersicht!$C$14="Ratendarlehen",Übersicht!$C$29,IF($A28&gt;=Übersicht!$C$30,$AB27,0)))))</f>
        <v>573.66999999999996</v>
      </c>
      <c r="AB28" s="38">
        <f>IF($AB27&lt;=0,0,ROUND($AB27-$AA28-IF($AB27-$AA28&lt;=0,0,IF(MOD($A28,Übersicht!$C$25)=0,MIN(Szenarien!$C$11,$AB27-$AA28),0)),2))</f>
        <v>231046</v>
      </c>
      <c r="AC28" s="38">
        <f>IF($AE27&lt;=0,0,ROUND($AE27*Übersicht!$C$26,2))</f>
        <v>651.20000000000005</v>
      </c>
      <c r="AD28" s="38">
        <f>IF($AE27&lt;=0,0,MIN($AE27,IF(Übersicht!$C$14="Annuitätendarlehen",MAX(0,Übersicht!$C$28-$AC28),IF(Übersicht!$C$14="Ratendarlehen",Übersicht!$C$29,IF($A28&gt;=Übersicht!$C$30,$AE27,0)))))</f>
        <v>588.37999999999988</v>
      </c>
      <c r="AE28" s="38">
        <f>IF($AE27&lt;=0,0,ROUND($AE27-$AD28-IF($AE27-$AD28&lt;=0,0,IF(MOD($A28,Übersicht!$C$25)=0,MIN(Szenarien!$C$12,$AE27-$AD28),0)),2))</f>
        <v>225915.13</v>
      </c>
    </row>
    <row r="29" spans="1:31" ht="15" customHeight="1" x14ac:dyDescent="0.25">
      <c r="A29" s="26">
        <v>22</v>
      </c>
      <c r="B29" s="39">
        <f>IF($D29&lt;=0,"",EDATE(Übersicht!$C$18,($A29-1)*12/Übersicht!$C$25))</f>
        <v>46691</v>
      </c>
      <c r="C29" s="26">
        <f t="shared" si="0"/>
        <v>2027</v>
      </c>
      <c r="D29" s="40">
        <f t="shared" si="4"/>
        <v>233611.43</v>
      </c>
      <c r="E29" s="28">
        <f t="shared" si="1"/>
        <v>1239.58</v>
      </c>
      <c r="F29" s="28">
        <f>IF($D29&lt;=0,0,ROUND($D29*Übersicht!$C$26,2))</f>
        <v>671.63</v>
      </c>
      <c r="G29" s="28">
        <f>IF($D29&lt;=0,0,MIN($D29,IF(Übersicht!$C$14="Annuitätendarlehen",MAX(0,Übersicht!$C$28-$F29),IF(Übersicht!$C$14="Ratendarlehen",Übersicht!$C$29,IF($A29&gt;=Übersicht!$C$30,$D29,0)))))</f>
        <v>567.94999999999993</v>
      </c>
      <c r="H29" s="28">
        <f>IF($D29-$G29&lt;=0,0,IF(MOD($A29,Übersicht!$C$25)=0,MIN(Übersicht!$C$31,$D29-$G29),0))</f>
        <v>0</v>
      </c>
      <c r="I29" s="28">
        <f t="shared" si="2"/>
        <v>1239.58</v>
      </c>
      <c r="J29" s="28">
        <f t="shared" si="3"/>
        <v>233043.48</v>
      </c>
      <c r="K29" s="28">
        <f t="shared" si="5"/>
        <v>15314.24</v>
      </c>
      <c r="L29" s="28">
        <f t="shared" si="6"/>
        <v>16956.52</v>
      </c>
      <c r="M29" s="29">
        <f>IF($D29&lt;=0,"",IF(Übersicht!$C$11=0,0,$L29/Übersicht!$C$11))</f>
        <v>6.7826079999999997E-2</v>
      </c>
      <c r="N29" s="30" t="str">
        <f>IF($D29&lt;=0,"",IF($J29&lt;=0.005,"Volltilgung erreicht",IF($A29=Übersicht!$C$19*Übersicht!$C$25,"Ende der Zinsbindung",IF($H29&gt;0,"Sondertilgung verrechnet",""))))</f>
        <v/>
      </c>
      <c r="Q29" s="38">
        <f>IF($S28&lt;=0,0,ROUND($S28*Übersicht!$C$26,2))</f>
        <v>686.38</v>
      </c>
      <c r="R29" s="38">
        <f>IF($S28&lt;=0,0,MIN($S28,IF(Übersicht!$C$14="Annuitätendarlehen",MAX(0,Übersicht!$C$28-$Q29),IF(Übersicht!$C$14="Ratendarlehen",Übersicht!$C$29,IF($A29&gt;=Übersicht!$C$30,$S28,0)))))</f>
        <v>553.19999999999993</v>
      </c>
      <c r="S29" s="38">
        <f>IF($S28&lt;=0,0,ROUND($S28-$R29-IF($S28-$R29&lt;=0,0,IF(MOD($A29,Übersicht!$C$25)=0,MIN(Szenarien!$C$8,$S28-$R29),0)),2))</f>
        <v>238189.1</v>
      </c>
      <c r="T29" s="38">
        <f>IF($V28&lt;=0,0,ROUND($V28*Übersicht!$C$26,2))</f>
        <v>679.01</v>
      </c>
      <c r="U29" s="38">
        <f>IF($V28&lt;=0,0,MIN($V28,IF(Übersicht!$C$14="Annuitätendarlehen",MAX(0,Übersicht!$C$28-$T29),IF(Übersicht!$C$14="Ratendarlehen",Übersicht!$C$29,IF($A29&gt;=Übersicht!$C$30,$V28,0)))))</f>
        <v>560.56999999999994</v>
      </c>
      <c r="V29" s="38">
        <f>IF($V28&lt;=0,0,ROUND($V28-$U29-IF($V28-$U29&lt;=0,0,IF(MOD($A29,Übersicht!$C$25)=0,MIN(Szenarien!$C$9,$V28-$U29),0)),2))</f>
        <v>235616.32</v>
      </c>
      <c r="W29" s="38">
        <f>IF($Y28&lt;=0,0,ROUND($Y28*Übersicht!$C$26,2))</f>
        <v>671.63</v>
      </c>
      <c r="X29" s="38">
        <f>IF($Y28&lt;=0,0,MIN($Y28,IF(Übersicht!$C$14="Annuitätendarlehen",MAX(0,Übersicht!$C$28-$W29),IF(Übersicht!$C$14="Ratendarlehen",Übersicht!$C$29,IF($A29&gt;=Übersicht!$C$30,$Y28,0)))))</f>
        <v>567.94999999999993</v>
      </c>
      <c r="Y29" s="38">
        <f>IF($Y28&lt;=0,0,ROUND($Y28-$X29-IF($Y28-$X29&lt;=0,0,IF(MOD($A29,Übersicht!$C$25)=0,MIN(Szenarien!$C$10,$Y28-$X29),0)),2))</f>
        <v>233043.48</v>
      </c>
      <c r="Z29" s="38">
        <f>IF($AB28&lt;=0,0,ROUND($AB28*Übersicht!$C$26,2))</f>
        <v>664.26</v>
      </c>
      <c r="AA29" s="38">
        <f>IF($AB28&lt;=0,0,MIN($AB28,IF(Übersicht!$C$14="Annuitätendarlehen",MAX(0,Übersicht!$C$28-$Z29),IF(Übersicht!$C$14="Ratendarlehen",Übersicht!$C$29,IF($A29&gt;=Übersicht!$C$30,$AB28,0)))))</f>
        <v>575.31999999999994</v>
      </c>
      <c r="AB29" s="38">
        <f>IF($AB28&lt;=0,0,ROUND($AB28-$AA29-IF($AB28-$AA29&lt;=0,0,IF(MOD($A29,Übersicht!$C$25)=0,MIN(Szenarien!$C$11,$AB28-$AA29),0)),2))</f>
        <v>230470.68</v>
      </c>
      <c r="AC29" s="38">
        <f>IF($AE28&lt;=0,0,ROUND($AE28*Übersicht!$C$26,2))</f>
        <v>649.51</v>
      </c>
      <c r="AD29" s="38">
        <f>IF($AE28&lt;=0,0,MIN($AE28,IF(Übersicht!$C$14="Annuitätendarlehen",MAX(0,Übersicht!$C$28-$AC29),IF(Übersicht!$C$14="Ratendarlehen",Übersicht!$C$29,IF($A29&gt;=Übersicht!$C$30,$AE28,0)))))</f>
        <v>590.06999999999994</v>
      </c>
      <c r="AE29" s="38">
        <f>IF($AE28&lt;=0,0,ROUND($AE28-$AD29-IF($AE28-$AD29&lt;=0,0,IF(MOD($A29,Übersicht!$C$25)=0,MIN(Szenarien!$C$12,$AE28-$AD29),0)),2))</f>
        <v>225325.06</v>
      </c>
    </row>
    <row r="30" spans="1:31" ht="15" customHeight="1" x14ac:dyDescent="0.25">
      <c r="A30" s="21">
        <v>23</v>
      </c>
      <c r="B30" s="36">
        <f>IF($D30&lt;=0,"",EDATE(Übersicht!$C$18,($A30-1)*12/Übersicht!$C$25))</f>
        <v>46721</v>
      </c>
      <c r="C30" s="21">
        <f t="shared" si="0"/>
        <v>2027</v>
      </c>
      <c r="D30" s="37">
        <f t="shared" si="4"/>
        <v>233043.48</v>
      </c>
      <c r="E30" s="23">
        <f t="shared" si="1"/>
        <v>1239.58</v>
      </c>
      <c r="F30" s="23">
        <f>IF($D30&lt;=0,0,ROUND($D30*Übersicht!$C$26,2))</f>
        <v>670</v>
      </c>
      <c r="G30" s="23">
        <f>IF($D30&lt;=0,0,MIN($D30,IF(Übersicht!$C$14="Annuitätendarlehen",MAX(0,Übersicht!$C$28-$F30),IF(Übersicht!$C$14="Ratendarlehen",Übersicht!$C$29,IF($A30&gt;=Übersicht!$C$30,$D30,0)))))</f>
        <v>569.57999999999993</v>
      </c>
      <c r="H30" s="23">
        <f>IF($D30-$G30&lt;=0,0,IF(MOD($A30,Übersicht!$C$25)=0,MIN(Übersicht!$C$31,$D30-$G30),0))</f>
        <v>0</v>
      </c>
      <c r="I30" s="23">
        <f t="shared" si="2"/>
        <v>1239.58</v>
      </c>
      <c r="J30" s="23">
        <f t="shared" si="3"/>
        <v>232473.9</v>
      </c>
      <c r="K30" s="23">
        <f t="shared" si="5"/>
        <v>15984.24</v>
      </c>
      <c r="L30" s="23">
        <f t="shared" si="6"/>
        <v>17526.099999999999</v>
      </c>
      <c r="M30" s="24">
        <f>IF($D30&lt;=0,"",IF(Übersicht!$C$11=0,0,$L30/Übersicht!$C$11))</f>
        <v>7.0104399999999997E-2</v>
      </c>
      <c r="N30" s="25" t="str">
        <f>IF($D30&lt;=0,"",IF($J30&lt;=0.005,"Volltilgung erreicht",IF($A30=Übersicht!$C$19*Übersicht!$C$25,"Ende der Zinsbindung",IF($H30&gt;0,"Sondertilgung verrechnet",""))))</f>
        <v/>
      </c>
      <c r="Q30" s="38">
        <f>IF($S29&lt;=0,0,ROUND($S29*Übersicht!$C$26,2))</f>
        <v>684.79</v>
      </c>
      <c r="R30" s="38">
        <f>IF($S29&lt;=0,0,MIN($S29,IF(Übersicht!$C$14="Annuitätendarlehen",MAX(0,Übersicht!$C$28-$Q30),IF(Übersicht!$C$14="Ratendarlehen",Übersicht!$C$29,IF($A30&gt;=Übersicht!$C$30,$S29,0)))))</f>
        <v>554.79</v>
      </c>
      <c r="S30" s="38">
        <f>IF($S29&lt;=0,0,ROUND($S29-$R30-IF($S29-$R30&lt;=0,0,IF(MOD($A30,Übersicht!$C$25)=0,MIN(Szenarien!$C$8,$S29-$R30),0)),2))</f>
        <v>237634.31</v>
      </c>
      <c r="T30" s="38">
        <f>IF($V29&lt;=0,0,ROUND($V29*Übersicht!$C$26,2))</f>
        <v>677.4</v>
      </c>
      <c r="U30" s="38">
        <f>IF($V29&lt;=0,0,MIN($V29,IF(Übersicht!$C$14="Annuitätendarlehen",MAX(0,Übersicht!$C$28-$T30),IF(Übersicht!$C$14="Ratendarlehen",Übersicht!$C$29,IF($A30&gt;=Übersicht!$C$30,$V29,0)))))</f>
        <v>562.17999999999995</v>
      </c>
      <c r="V30" s="38">
        <f>IF($V29&lt;=0,0,ROUND($V29-$U30-IF($V29-$U30&lt;=0,0,IF(MOD($A30,Übersicht!$C$25)=0,MIN(Szenarien!$C$9,$V29-$U30),0)),2))</f>
        <v>235054.14</v>
      </c>
      <c r="W30" s="38">
        <f>IF($Y29&lt;=0,0,ROUND($Y29*Übersicht!$C$26,2))</f>
        <v>670</v>
      </c>
      <c r="X30" s="38">
        <f>IF($Y29&lt;=0,0,MIN($Y29,IF(Übersicht!$C$14="Annuitätendarlehen",MAX(0,Übersicht!$C$28-$W30),IF(Übersicht!$C$14="Ratendarlehen",Übersicht!$C$29,IF($A30&gt;=Übersicht!$C$30,$Y29,0)))))</f>
        <v>569.57999999999993</v>
      </c>
      <c r="Y30" s="38">
        <f>IF($Y29&lt;=0,0,ROUND($Y29-$X30-IF($Y29-$X30&lt;=0,0,IF(MOD($A30,Übersicht!$C$25)=0,MIN(Szenarien!$C$10,$Y29-$X30),0)),2))</f>
        <v>232473.9</v>
      </c>
      <c r="Z30" s="38">
        <f>IF($AB29&lt;=0,0,ROUND($AB29*Übersicht!$C$26,2))</f>
        <v>662.6</v>
      </c>
      <c r="AA30" s="38">
        <f>IF($AB29&lt;=0,0,MIN($AB29,IF(Übersicht!$C$14="Annuitätendarlehen",MAX(0,Übersicht!$C$28-$Z30),IF(Übersicht!$C$14="Ratendarlehen",Übersicht!$C$29,IF($A30&gt;=Übersicht!$C$30,$AB29,0)))))</f>
        <v>576.9799999999999</v>
      </c>
      <c r="AB30" s="38">
        <f>IF($AB29&lt;=0,0,ROUND($AB29-$AA30-IF($AB29-$AA30&lt;=0,0,IF(MOD($A30,Übersicht!$C$25)=0,MIN(Szenarien!$C$11,$AB29-$AA30),0)),2))</f>
        <v>229893.7</v>
      </c>
      <c r="AC30" s="38">
        <f>IF($AE29&lt;=0,0,ROUND($AE29*Übersicht!$C$26,2))</f>
        <v>647.80999999999995</v>
      </c>
      <c r="AD30" s="38">
        <f>IF($AE29&lt;=0,0,MIN($AE29,IF(Übersicht!$C$14="Annuitätendarlehen",MAX(0,Übersicht!$C$28-$AC30),IF(Übersicht!$C$14="Ratendarlehen",Übersicht!$C$29,IF($A30&gt;=Übersicht!$C$30,$AE29,0)))))</f>
        <v>591.77</v>
      </c>
      <c r="AE30" s="38">
        <f>IF($AE29&lt;=0,0,ROUND($AE29-$AD30-IF($AE29-$AD30&lt;=0,0,IF(MOD($A30,Übersicht!$C$25)=0,MIN(Szenarien!$C$12,$AE29-$AD30),0)),2))</f>
        <v>224733.29</v>
      </c>
    </row>
    <row r="31" spans="1:31" ht="15" customHeight="1" x14ac:dyDescent="0.25">
      <c r="A31" s="26">
        <v>24</v>
      </c>
      <c r="B31" s="39">
        <f>IF($D31&lt;=0,"",EDATE(Übersicht!$C$18,($A31-1)*12/Übersicht!$C$25))</f>
        <v>46752</v>
      </c>
      <c r="C31" s="26">
        <f t="shared" si="0"/>
        <v>2027</v>
      </c>
      <c r="D31" s="40">
        <f t="shared" si="4"/>
        <v>232473.9</v>
      </c>
      <c r="E31" s="28">
        <f t="shared" si="1"/>
        <v>1239.58</v>
      </c>
      <c r="F31" s="28">
        <f>IF($D31&lt;=0,0,ROUND($D31*Übersicht!$C$26,2))</f>
        <v>668.36</v>
      </c>
      <c r="G31" s="28">
        <f>IF($D31&lt;=0,0,MIN($D31,IF(Übersicht!$C$14="Annuitätendarlehen",MAX(0,Übersicht!$C$28-$F31),IF(Übersicht!$C$14="Ratendarlehen",Übersicht!$C$29,IF($A31&gt;=Übersicht!$C$30,$D31,0)))))</f>
        <v>571.21999999999991</v>
      </c>
      <c r="H31" s="28">
        <f>IF($D31-$G31&lt;=0,0,IF(MOD($A31,Übersicht!$C$25)=0,MIN(Übersicht!$C$31,$D31-$G31),0))</f>
        <v>5000</v>
      </c>
      <c r="I31" s="28">
        <f t="shared" si="2"/>
        <v>6239.58</v>
      </c>
      <c r="J31" s="28">
        <f t="shared" si="3"/>
        <v>226902.68</v>
      </c>
      <c r="K31" s="28">
        <f t="shared" si="5"/>
        <v>16652.599999999999</v>
      </c>
      <c r="L31" s="28">
        <f t="shared" si="6"/>
        <v>23097.32</v>
      </c>
      <c r="M31" s="29">
        <f>IF($D31&lt;=0,"",IF(Übersicht!$C$11=0,0,$L31/Übersicht!$C$11))</f>
        <v>9.2389280000000004E-2</v>
      </c>
      <c r="N31" s="30" t="str">
        <f>IF($D31&lt;=0,"",IF($J31&lt;=0.005,"Volltilgung erreicht",IF($A31=Übersicht!$C$19*Übersicht!$C$25,"Ende der Zinsbindung",IF($H31&gt;0,"Sondertilgung verrechnet",""))))</f>
        <v>Sondertilgung verrechnet</v>
      </c>
      <c r="Q31" s="38">
        <f>IF($S30&lt;=0,0,ROUND($S30*Übersicht!$C$26,2))</f>
        <v>683.2</v>
      </c>
      <c r="R31" s="38">
        <f>IF($S30&lt;=0,0,MIN($S30,IF(Übersicht!$C$14="Annuitätendarlehen",MAX(0,Übersicht!$C$28-$Q31),IF(Übersicht!$C$14="Ratendarlehen",Übersicht!$C$29,IF($A31&gt;=Übersicht!$C$30,$S30,0)))))</f>
        <v>556.37999999999988</v>
      </c>
      <c r="S31" s="38">
        <f>IF($S30&lt;=0,0,ROUND($S30-$R31-IF($S30-$R31&lt;=0,0,IF(MOD($A31,Übersicht!$C$25)=0,MIN(Szenarien!$C$8,$S30-$R31),0)),2))</f>
        <v>237077.93</v>
      </c>
      <c r="T31" s="38">
        <f>IF($V30&lt;=0,0,ROUND($V30*Übersicht!$C$26,2))</f>
        <v>675.78</v>
      </c>
      <c r="U31" s="38">
        <f>IF($V30&lt;=0,0,MIN($V30,IF(Übersicht!$C$14="Annuitätendarlehen",MAX(0,Übersicht!$C$28-$T31),IF(Übersicht!$C$14="Ratendarlehen",Übersicht!$C$29,IF($A31&gt;=Übersicht!$C$30,$V30,0)))))</f>
        <v>563.79999999999995</v>
      </c>
      <c r="V31" s="38">
        <f>IF($V30&lt;=0,0,ROUND($V30-$U31-IF($V30-$U31&lt;=0,0,IF(MOD($A31,Übersicht!$C$25)=0,MIN(Szenarien!$C$9,$V30-$U31),0)),2))</f>
        <v>231990.34</v>
      </c>
      <c r="W31" s="38">
        <f>IF($Y30&lt;=0,0,ROUND($Y30*Übersicht!$C$26,2))</f>
        <v>668.36</v>
      </c>
      <c r="X31" s="38">
        <f>IF($Y30&lt;=0,0,MIN($Y30,IF(Übersicht!$C$14="Annuitätendarlehen",MAX(0,Übersicht!$C$28-$W31),IF(Übersicht!$C$14="Ratendarlehen",Übersicht!$C$29,IF($A31&gt;=Übersicht!$C$30,$Y30,0)))))</f>
        <v>571.21999999999991</v>
      </c>
      <c r="Y31" s="38">
        <f>IF($Y30&lt;=0,0,ROUND($Y30-$X31-IF($Y30-$X31&lt;=0,0,IF(MOD($A31,Übersicht!$C$25)=0,MIN(Szenarien!$C$10,$Y30-$X31),0)),2))</f>
        <v>226902.68</v>
      </c>
      <c r="Z31" s="38">
        <f>IF($AB30&lt;=0,0,ROUND($AB30*Übersicht!$C$26,2))</f>
        <v>660.94</v>
      </c>
      <c r="AA31" s="38">
        <f>IF($AB30&lt;=0,0,MIN($AB30,IF(Übersicht!$C$14="Annuitätendarlehen",MAX(0,Übersicht!$C$28-$Z31),IF(Übersicht!$C$14="Ratendarlehen",Übersicht!$C$29,IF($A31&gt;=Übersicht!$C$30,$AB30,0)))))</f>
        <v>578.63999999999987</v>
      </c>
      <c r="AB31" s="38">
        <f>IF($AB30&lt;=0,0,ROUND($AB30-$AA31-IF($AB30-$AA31&lt;=0,0,IF(MOD($A31,Übersicht!$C$25)=0,MIN(Szenarien!$C$11,$AB30-$AA31),0)),2))</f>
        <v>221815.06</v>
      </c>
      <c r="AC31" s="38">
        <f>IF($AE30&lt;=0,0,ROUND($AE30*Übersicht!$C$26,2))</f>
        <v>646.11</v>
      </c>
      <c r="AD31" s="38">
        <f>IF($AE30&lt;=0,0,MIN($AE30,IF(Übersicht!$C$14="Annuitätendarlehen",MAX(0,Übersicht!$C$28-$AC31),IF(Übersicht!$C$14="Ratendarlehen",Übersicht!$C$29,IF($A31&gt;=Übersicht!$C$30,$AE30,0)))))</f>
        <v>593.46999999999991</v>
      </c>
      <c r="AE31" s="38">
        <f>IF($AE30&lt;=0,0,ROUND($AE30-$AD31-IF($AE30-$AD31&lt;=0,0,IF(MOD($A31,Übersicht!$C$25)=0,MIN(Szenarien!$C$12,$AE30-$AD31),0)),2))</f>
        <v>211639.82</v>
      </c>
    </row>
    <row r="32" spans="1:31" ht="15" customHeight="1" x14ac:dyDescent="0.25">
      <c r="A32" s="21">
        <v>25</v>
      </c>
      <c r="B32" s="36">
        <f>IF($D32&lt;=0,"",EDATE(Übersicht!$C$18,($A32-1)*12/Übersicht!$C$25))</f>
        <v>46783</v>
      </c>
      <c r="C32" s="21">
        <f t="shared" si="0"/>
        <v>2028</v>
      </c>
      <c r="D32" s="37">
        <f t="shared" si="4"/>
        <v>226902.68</v>
      </c>
      <c r="E32" s="23">
        <f t="shared" si="1"/>
        <v>1239.58</v>
      </c>
      <c r="F32" s="23">
        <f>IF($D32&lt;=0,0,ROUND($D32*Übersicht!$C$26,2))</f>
        <v>652.35</v>
      </c>
      <c r="G32" s="23">
        <f>IF($D32&lt;=0,0,MIN($D32,IF(Übersicht!$C$14="Annuitätendarlehen",MAX(0,Übersicht!$C$28-$F32),IF(Übersicht!$C$14="Ratendarlehen",Übersicht!$C$29,IF($A32&gt;=Übersicht!$C$30,$D32,0)))))</f>
        <v>587.2299999999999</v>
      </c>
      <c r="H32" s="23">
        <f>IF($D32-$G32&lt;=0,0,IF(MOD($A32,Übersicht!$C$25)=0,MIN(Übersicht!$C$31,$D32-$G32),0))</f>
        <v>0</v>
      </c>
      <c r="I32" s="23">
        <f t="shared" si="2"/>
        <v>1239.58</v>
      </c>
      <c r="J32" s="23">
        <f t="shared" si="3"/>
        <v>226315.45</v>
      </c>
      <c r="K32" s="23">
        <f t="shared" si="5"/>
        <v>17304.949999999997</v>
      </c>
      <c r="L32" s="23">
        <f t="shared" si="6"/>
        <v>23684.55</v>
      </c>
      <c r="M32" s="24">
        <f>IF($D32&lt;=0,"",IF(Übersicht!$C$11=0,0,$L32/Übersicht!$C$11))</f>
        <v>9.4738199999999995E-2</v>
      </c>
      <c r="N32" s="25" t="str">
        <f>IF($D32&lt;=0,"",IF($J32&lt;=0.005,"Volltilgung erreicht",IF($A32=Übersicht!$C$19*Übersicht!$C$25,"Ende der Zinsbindung",IF($H32&gt;0,"Sondertilgung verrechnet",""))))</f>
        <v/>
      </c>
      <c r="Q32" s="38">
        <f>IF($S31&lt;=0,0,ROUND($S31*Übersicht!$C$26,2))</f>
        <v>681.6</v>
      </c>
      <c r="R32" s="38">
        <f>IF($S31&lt;=0,0,MIN($S31,IF(Übersicht!$C$14="Annuitätendarlehen",MAX(0,Übersicht!$C$28-$Q32),IF(Übersicht!$C$14="Ratendarlehen",Übersicht!$C$29,IF($A32&gt;=Übersicht!$C$30,$S31,0)))))</f>
        <v>557.9799999999999</v>
      </c>
      <c r="S32" s="38">
        <f>IF($S31&lt;=0,0,ROUND($S31-$R32-IF($S31-$R32&lt;=0,0,IF(MOD($A32,Übersicht!$C$25)=0,MIN(Szenarien!$C$8,$S31-$R32),0)),2))</f>
        <v>236519.95</v>
      </c>
      <c r="T32" s="38">
        <f>IF($V31&lt;=0,0,ROUND($V31*Übersicht!$C$26,2))</f>
        <v>666.97</v>
      </c>
      <c r="U32" s="38">
        <f>IF($V31&lt;=0,0,MIN($V31,IF(Übersicht!$C$14="Annuitätendarlehen",MAX(0,Übersicht!$C$28-$T32),IF(Übersicht!$C$14="Ratendarlehen",Übersicht!$C$29,IF($A32&gt;=Übersicht!$C$30,$V31,0)))))</f>
        <v>572.6099999999999</v>
      </c>
      <c r="V32" s="38">
        <f>IF($V31&lt;=0,0,ROUND($V31-$U32-IF($V31-$U32&lt;=0,0,IF(MOD($A32,Übersicht!$C$25)=0,MIN(Szenarien!$C$9,$V31-$U32),0)),2))</f>
        <v>231417.73</v>
      </c>
      <c r="W32" s="38">
        <f>IF($Y31&lt;=0,0,ROUND($Y31*Übersicht!$C$26,2))</f>
        <v>652.35</v>
      </c>
      <c r="X32" s="38">
        <f>IF($Y31&lt;=0,0,MIN($Y31,IF(Übersicht!$C$14="Annuitätendarlehen",MAX(0,Übersicht!$C$28-$W32),IF(Übersicht!$C$14="Ratendarlehen",Übersicht!$C$29,IF($A32&gt;=Übersicht!$C$30,$Y31,0)))))</f>
        <v>587.2299999999999</v>
      </c>
      <c r="Y32" s="38">
        <f>IF($Y31&lt;=0,0,ROUND($Y31-$X32-IF($Y31-$X32&lt;=0,0,IF(MOD($A32,Übersicht!$C$25)=0,MIN(Szenarien!$C$10,$Y31-$X32),0)),2))</f>
        <v>226315.45</v>
      </c>
      <c r="Z32" s="38">
        <f>IF($AB31&lt;=0,0,ROUND($AB31*Übersicht!$C$26,2))</f>
        <v>637.72</v>
      </c>
      <c r="AA32" s="38">
        <f>IF($AB31&lt;=0,0,MIN($AB31,IF(Übersicht!$C$14="Annuitätendarlehen",MAX(0,Übersicht!$C$28-$Z32),IF(Übersicht!$C$14="Ratendarlehen",Übersicht!$C$29,IF($A32&gt;=Übersicht!$C$30,$AB31,0)))))</f>
        <v>601.8599999999999</v>
      </c>
      <c r="AB32" s="38">
        <f>IF($AB31&lt;=0,0,ROUND($AB31-$AA32-IF($AB31-$AA32&lt;=0,0,IF(MOD($A32,Übersicht!$C$25)=0,MIN(Szenarien!$C$11,$AB31-$AA32),0)),2))</f>
        <v>221213.2</v>
      </c>
      <c r="AC32" s="38">
        <f>IF($AE31&lt;=0,0,ROUND($AE31*Übersicht!$C$26,2))</f>
        <v>608.46</v>
      </c>
      <c r="AD32" s="38">
        <f>IF($AE31&lt;=0,0,MIN($AE31,IF(Übersicht!$C$14="Annuitätendarlehen",MAX(0,Übersicht!$C$28-$AC32),IF(Übersicht!$C$14="Ratendarlehen",Übersicht!$C$29,IF($A32&gt;=Übersicht!$C$30,$AE31,0)))))</f>
        <v>631.11999999999989</v>
      </c>
      <c r="AE32" s="38">
        <f>IF($AE31&lt;=0,0,ROUND($AE31-$AD32-IF($AE31-$AD32&lt;=0,0,IF(MOD($A32,Übersicht!$C$25)=0,MIN(Szenarien!$C$12,$AE31-$AD32),0)),2))</f>
        <v>211008.7</v>
      </c>
    </row>
    <row r="33" spans="1:31" ht="15" customHeight="1" x14ac:dyDescent="0.25">
      <c r="A33" s="26">
        <v>26</v>
      </c>
      <c r="B33" s="39">
        <f>IF($D33&lt;=0,"",EDATE(Übersicht!$C$18,($A33-1)*12/Übersicht!$C$25))</f>
        <v>46812</v>
      </c>
      <c r="C33" s="26">
        <f t="shared" si="0"/>
        <v>2028</v>
      </c>
      <c r="D33" s="40">
        <f t="shared" si="4"/>
        <v>226315.45</v>
      </c>
      <c r="E33" s="28">
        <f t="shared" si="1"/>
        <v>1239.58</v>
      </c>
      <c r="F33" s="28">
        <f>IF($D33&lt;=0,0,ROUND($D33*Übersicht!$C$26,2))</f>
        <v>650.66</v>
      </c>
      <c r="G33" s="28">
        <f>IF($D33&lt;=0,0,MIN($D33,IF(Übersicht!$C$14="Annuitätendarlehen",MAX(0,Übersicht!$C$28-$F33),IF(Übersicht!$C$14="Ratendarlehen",Übersicht!$C$29,IF($A33&gt;=Übersicht!$C$30,$D33,0)))))</f>
        <v>588.91999999999996</v>
      </c>
      <c r="H33" s="28">
        <f>IF($D33-$G33&lt;=0,0,IF(MOD($A33,Übersicht!$C$25)=0,MIN(Übersicht!$C$31,$D33-$G33),0))</f>
        <v>0</v>
      </c>
      <c r="I33" s="28">
        <f t="shared" si="2"/>
        <v>1239.58</v>
      </c>
      <c r="J33" s="28">
        <f t="shared" si="3"/>
        <v>225726.53</v>
      </c>
      <c r="K33" s="28">
        <f t="shared" si="5"/>
        <v>17955.609999999997</v>
      </c>
      <c r="L33" s="28">
        <f t="shared" si="6"/>
        <v>24273.47</v>
      </c>
      <c r="M33" s="29">
        <f>IF($D33&lt;=0,"",IF(Übersicht!$C$11=0,0,$L33/Übersicht!$C$11))</f>
        <v>9.7093880000000007E-2</v>
      </c>
      <c r="N33" s="30" t="str">
        <f>IF($D33&lt;=0,"",IF($J33&lt;=0.005,"Volltilgung erreicht",IF($A33=Übersicht!$C$19*Übersicht!$C$25,"Ende der Zinsbindung",IF($H33&gt;0,"Sondertilgung verrechnet",""))))</f>
        <v/>
      </c>
      <c r="Q33" s="38">
        <f>IF($S32&lt;=0,0,ROUND($S32*Übersicht!$C$26,2))</f>
        <v>679.99</v>
      </c>
      <c r="R33" s="38">
        <f>IF($S32&lt;=0,0,MIN($S32,IF(Übersicht!$C$14="Annuitätendarlehen",MAX(0,Übersicht!$C$28-$Q33),IF(Übersicht!$C$14="Ratendarlehen",Übersicht!$C$29,IF($A33&gt;=Übersicht!$C$30,$S32,0)))))</f>
        <v>559.58999999999992</v>
      </c>
      <c r="S33" s="38">
        <f>IF($S32&lt;=0,0,ROUND($S32-$R33-IF($S32-$R33&lt;=0,0,IF(MOD($A33,Übersicht!$C$25)=0,MIN(Szenarien!$C$8,$S32-$R33),0)),2))</f>
        <v>235960.36</v>
      </c>
      <c r="T33" s="38">
        <f>IF($V32&lt;=0,0,ROUND($V32*Übersicht!$C$26,2))</f>
        <v>665.33</v>
      </c>
      <c r="U33" s="38">
        <f>IF($V32&lt;=0,0,MIN($V32,IF(Übersicht!$C$14="Annuitätendarlehen",MAX(0,Übersicht!$C$28-$T33),IF(Übersicht!$C$14="Ratendarlehen",Übersicht!$C$29,IF($A33&gt;=Übersicht!$C$30,$V32,0)))))</f>
        <v>574.24999999999989</v>
      </c>
      <c r="V33" s="38">
        <f>IF($V32&lt;=0,0,ROUND($V32-$U33-IF($V32-$U33&lt;=0,0,IF(MOD($A33,Übersicht!$C$25)=0,MIN(Szenarien!$C$9,$V32-$U33),0)),2))</f>
        <v>230843.48</v>
      </c>
      <c r="W33" s="38">
        <f>IF($Y32&lt;=0,0,ROUND($Y32*Übersicht!$C$26,2))</f>
        <v>650.66</v>
      </c>
      <c r="X33" s="38">
        <f>IF($Y32&lt;=0,0,MIN($Y32,IF(Übersicht!$C$14="Annuitätendarlehen",MAX(0,Übersicht!$C$28-$W33),IF(Übersicht!$C$14="Ratendarlehen",Übersicht!$C$29,IF($A33&gt;=Übersicht!$C$30,$Y32,0)))))</f>
        <v>588.91999999999996</v>
      </c>
      <c r="Y33" s="38">
        <f>IF($Y32&lt;=0,0,ROUND($Y32-$X33-IF($Y32-$X33&lt;=0,0,IF(MOD($A33,Übersicht!$C$25)=0,MIN(Szenarien!$C$10,$Y32-$X33),0)),2))</f>
        <v>225726.53</v>
      </c>
      <c r="Z33" s="38">
        <f>IF($AB32&lt;=0,0,ROUND($AB32*Übersicht!$C$26,2))</f>
        <v>635.99</v>
      </c>
      <c r="AA33" s="38">
        <f>IF($AB32&lt;=0,0,MIN($AB32,IF(Übersicht!$C$14="Annuitätendarlehen",MAX(0,Übersicht!$C$28-$Z33),IF(Übersicht!$C$14="Ratendarlehen",Übersicht!$C$29,IF($A33&gt;=Übersicht!$C$30,$AB32,0)))))</f>
        <v>603.58999999999992</v>
      </c>
      <c r="AB33" s="38">
        <f>IF($AB32&lt;=0,0,ROUND($AB32-$AA33-IF($AB32-$AA33&lt;=0,0,IF(MOD($A33,Übersicht!$C$25)=0,MIN(Szenarien!$C$11,$AB32-$AA33),0)),2))</f>
        <v>220609.61</v>
      </c>
      <c r="AC33" s="38">
        <f>IF($AE32&lt;=0,0,ROUND($AE32*Übersicht!$C$26,2))</f>
        <v>606.65</v>
      </c>
      <c r="AD33" s="38">
        <f>IF($AE32&lt;=0,0,MIN($AE32,IF(Übersicht!$C$14="Annuitätendarlehen",MAX(0,Übersicht!$C$28-$AC33),IF(Übersicht!$C$14="Ratendarlehen",Übersicht!$C$29,IF($A33&gt;=Übersicht!$C$30,$AE32,0)))))</f>
        <v>632.92999999999995</v>
      </c>
      <c r="AE33" s="38">
        <f>IF($AE32&lt;=0,0,ROUND($AE32-$AD33-IF($AE32-$AD33&lt;=0,0,IF(MOD($A33,Übersicht!$C$25)=0,MIN(Szenarien!$C$12,$AE32-$AD33),0)),2))</f>
        <v>210375.77</v>
      </c>
    </row>
    <row r="34" spans="1:31" ht="15" customHeight="1" x14ac:dyDescent="0.25">
      <c r="A34" s="21">
        <v>27</v>
      </c>
      <c r="B34" s="36">
        <f>IF($D34&lt;=0,"",EDATE(Übersicht!$C$18,($A34-1)*12/Übersicht!$C$25))</f>
        <v>46843</v>
      </c>
      <c r="C34" s="21">
        <f t="shared" si="0"/>
        <v>2028</v>
      </c>
      <c r="D34" s="37">
        <f t="shared" si="4"/>
        <v>225726.53</v>
      </c>
      <c r="E34" s="23">
        <f t="shared" si="1"/>
        <v>1239.58</v>
      </c>
      <c r="F34" s="23">
        <f>IF($D34&lt;=0,0,ROUND($D34*Übersicht!$C$26,2))</f>
        <v>648.96</v>
      </c>
      <c r="G34" s="23">
        <f>IF($D34&lt;=0,0,MIN($D34,IF(Übersicht!$C$14="Annuitätendarlehen",MAX(0,Übersicht!$C$28-$F34),IF(Übersicht!$C$14="Ratendarlehen",Übersicht!$C$29,IF($A34&gt;=Übersicht!$C$30,$D34,0)))))</f>
        <v>590.61999999999989</v>
      </c>
      <c r="H34" s="23">
        <f>IF($D34-$G34&lt;=0,0,IF(MOD($A34,Übersicht!$C$25)=0,MIN(Übersicht!$C$31,$D34-$G34),0))</f>
        <v>0</v>
      </c>
      <c r="I34" s="23">
        <f t="shared" si="2"/>
        <v>1239.58</v>
      </c>
      <c r="J34" s="23">
        <f t="shared" si="3"/>
        <v>225135.91</v>
      </c>
      <c r="K34" s="23">
        <f t="shared" si="5"/>
        <v>18604.569999999996</v>
      </c>
      <c r="L34" s="23">
        <f t="shared" si="6"/>
        <v>24864.09</v>
      </c>
      <c r="M34" s="24">
        <f>IF($D34&lt;=0,"",IF(Übersicht!$C$11=0,0,$L34/Übersicht!$C$11))</f>
        <v>9.9456359999999994E-2</v>
      </c>
      <c r="N34" s="25" t="str">
        <f>IF($D34&lt;=0,"",IF($J34&lt;=0.005,"Volltilgung erreicht",IF($A34=Übersicht!$C$19*Übersicht!$C$25,"Ende der Zinsbindung",IF($H34&gt;0,"Sondertilgung verrechnet",""))))</f>
        <v/>
      </c>
      <c r="Q34" s="38">
        <f>IF($S33&lt;=0,0,ROUND($S33*Übersicht!$C$26,2))</f>
        <v>678.39</v>
      </c>
      <c r="R34" s="38">
        <f>IF($S33&lt;=0,0,MIN($S33,IF(Übersicht!$C$14="Annuitätendarlehen",MAX(0,Übersicht!$C$28-$Q34),IF(Übersicht!$C$14="Ratendarlehen",Übersicht!$C$29,IF($A34&gt;=Übersicht!$C$30,$S33,0)))))</f>
        <v>561.18999999999994</v>
      </c>
      <c r="S34" s="38">
        <f>IF($S33&lt;=0,0,ROUND($S33-$R34-IF($S33-$R34&lt;=0,0,IF(MOD($A34,Übersicht!$C$25)=0,MIN(Szenarien!$C$8,$S33-$R34),0)),2))</f>
        <v>235399.17</v>
      </c>
      <c r="T34" s="38">
        <f>IF($V33&lt;=0,0,ROUND($V33*Übersicht!$C$26,2))</f>
        <v>663.68</v>
      </c>
      <c r="U34" s="38">
        <f>IF($V33&lt;=0,0,MIN($V33,IF(Übersicht!$C$14="Annuitätendarlehen",MAX(0,Übersicht!$C$28-$T34),IF(Übersicht!$C$14="Ratendarlehen",Übersicht!$C$29,IF($A34&gt;=Übersicht!$C$30,$V33,0)))))</f>
        <v>575.9</v>
      </c>
      <c r="V34" s="38">
        <f>IF($V33&lt;=0,0,ROUND($V33-$U34-IF($V33-$U34&lt;=0,0,IF(MOD($A34,Übersicht!$C$25)=0,MIN(Szenarien!$C$9,$V33-$U34),0)),2))</f>
        <v>230267.58</v>
      </c>
      <c r="W34" s="38">
        <f>IF($Y33&lt;=0,0,ROUND($Y33*Übersicht!$C$26,2))</f>
        <v>648.96</v>
      </c>
      <c r="X34" s="38">
        <f>IF($Y33&lt;=0,0,MIN($Y33,IF(Übersicht!$C$14="Annuitätendarlehen",MAX(0,Übersicht!$C$28-$W34),IF(Übersicht!$C$14="Ratendarlehen",Übersicht!$C$29,IF($A34&gt;=Übersicht!$C$30,$Y33,0)))))</f>
        <v>590.61999999999989</v>
      </c>
      <c r="Y34" s="38">
        <f>IF($Y33&lt;=0,0,ROUND($Y33-$X34-IF($Y33-$X34&lt;=0,0,IF(MOD($A34,Übersicht!$C$25)=0,MIN(Szenarien!$C$10,$Y33-$X34),0)),2))</f>
        <v>225135.91</v>
      </c>
      <c r="Z34" s="38">
        <f>IF($AB33&lt;=0,0,ROUND($AB33*Übersicht!$C$26,2))</f>
        <v>634.25</v>
      </c>
      <c r="AA34" s="38">
        <f>IF($AB33&lt;=0,0,MIN($AB33,IF(Übersicht!$C$14="Annuitätendarlehen",MAX(0,Übersicht!$C$28-$Z34),IF(Übersicht!$C$14="Ratendarlehen",Übersicht!$C$29,IF($A34&gt;=Übersicht!$C$30,$AB33,0)))))</f>
        <v>605.32999999999993</v>
      </c>
      <c r="AB34" s="38">
        <f>IF($AB33&lt;=0,0,ROUND($AB33-$AA34-IF($AB33-$AA34&lt;=0,0,IF(MOD($A34,Übersicht!$C$25)=0,MIN(Szenarien!$C$11,$AB33-$AA34),0)),2))</f>
        <v>220004.28</v>
      </c>
      <c r="AC34" s="38">
        <f>IF($AE33&lt;=0,0,ROUND($AE33*Übersicht!$C$26,2))</f>
        <v>604.83000000000004</v>
      </c>
      <c r="AD34" s="38">
        <f>IF($AE33&lt;=0,0,MIN($AE33,IF(Übersicht!$C$14="Annuitätendarlehen",MAX(0,Übersicht!$C$28-$AC34),IF(Übersicht!$C$14="Ratendarlehen",Übersicht!$C$29,IF($A34&gt;=Übersicht!$C$30,$AE33,0)))))</f>
        <v>634.74999999999989</v>
      </c>
      <c r="AE34" s="38">
        <f>IF($AE33&lt;=0,0,ROUND($AE33-$AD34-IF($AE33-$AD34&lt;=0,0,IF(MOD($A34,Übersicht!$C$25)=0,MIN(Szenarien!$C$12,$AE33-$AD34),0)),2))</f>
        <v>209741.02</v>
      </c>
    </row>
    <row r="35" spans="1:31" ht="15" customHeight="1" x14ac:dyDescent="0.25">
      <c r="A35" s="26">
        <v>28</v>
      </c>
      <c r="B35" s="39">
        <f>IF($D35&lt;=0,"",EDATE(Übersicht!$C$18,($A35-1)*12/Übersicht!$C$25))</f>
        <v>46873</v>
      </c>
      <c r="C35" s="26">
        <f t="shared" si="0"/>
        <v>2028</v>
      </c>
      <c r="D35" s="40">
        <f t="shared" si="4"/>
        <v>225135.91</v>
      </c>
      <c r="E35" s="28">
        <f t="shared" si="1"/>
        <v>1239.58</v>
      </c>
      <c r="F35" s="28">
        <f>IF($D35&lt;=0,0,ROUND($D35*Übersicht!$C$26,2))</f>
        <v>647.27</v>
      </c>
      <c r="G35" s="28">
        <f>IF($D35&lt;=0,0,MIN($D35,IF(Übersicht!$C$14="Annuitätendarlehen",MAX(0,Übersicht!$C$28-$F35),IF(Übersicht!$C$14="Ratendarlehen",Übersicht!$C$29,IF($A35&gt;=Übersicht!$C$30,$D35,0)))))</f>
        <v>592.30999999999995</v>
      </c>
      <c r="H35" s="28">
        <f>IF($D35-$G35&lt;=0,0,IF(MOD($A35,Übersicht!$C$25)=0,MIN(Übersicht!$C$31,$D35-$G35),0))</f>
        <v>0</v>
      </c>
      <c r="I35" s="28">
        <f t="shared" si="2"/>
        <v>1239.58</v>
      </c>
      <c r="J35" s="28">
        <f t="shared" si="3"/>
        <v>224543.6</v>
      </c>
      <c r="K35" s="28">
        <f t="shared" si="5"/>
        <v>19251.839999999997</v>
      </c>
      <c r="L35" s="28">
        <f t="shared" si="6"/>
        <v>25456.400000000001</v>
      </c>
      <c r="M35" s="29">
        <f>IF($D35&lt;=0,"",IF(Übersicht!$C$11=0,0,$L35/Übersicht!$C$11))</f>
        <v>0.1018256</v>
      </c>
      <c r="N35" s="30" t="str">
        <f>IF($D35&lt;=0,"",IF($J35&lt;=0.005,"Volltilgung erreicht",IF($A35=Übersicht!$C$19*Übersicht!$C$25,"Ende der Zinsbindung",IF($H35&gt;0,"Sondertilgung verrechnet",""))))</f>
        <v/>
      </c>
      <c r="Q35" s="38">
        <f>IF($S34&lt;=0,0,ROUND($S34*Übersicht!$C$26,2))</f>
        <v>676.77</v>
      </c>
      <c r="R35" s="38">
        <f>IF($S34&lt;=0,0,MIN($S34,IF(Übersicht!$C$14="Annuitätendarlehen",MAX(0,Übersicht!$C$28-$Q35),IF(Übersicht!$C$14="Ratendarlehen",Übersicht!$C$29,IF($A35&gt;=Übersicht!$C$30,$S34,0)))))</f>
        <v>562.80999999999995</v>
      </c>
      <c r="S35" s="38">
        <f>IF($S34&lt;=0,0,ROUND($S34-$R35-IF($S34-$R35&lt;=0,0,IF(MOD($A35,Übersicht!$C$25)=0,MIN(Szenarien!$C$8,$S34-$R35),0)),2))</f>
        <v>234836.36</v>
      </c>
      <c r="T35" s="38">
        <f>IF($V34&lt;=0,0,ROUND($V34*Übersicht!$C$26,2))</f>
        <v>662.02</v>
      </c>
      <c r="U35" s="38">
        <f>IF($V34&lt;=0,0,MIN($V34,IF(Übersicht!$C$14="Annuitätendarlehen",MAX(0,Übersicht!$C$28-$T35),IF(Übersicht!$C$14="Ratendarlehen",Übersicht!$C$29,IF($A35&gt;=Übersicht!$C$30,$V34,0)))))</f>
        <v>577.55999999999995</v>
      </c>
      <c r="V35" s="38">
        <f>IF($V34&lt;=0,0,ROUND($V34-$U35-IF($V34-$U35&lt;=0,0,IF(MOD($A35,Übersicht!$C$25)=0,MIN(Szenarien!$C$9,$V34-$U35),0)),2))</f>
        <v>229690.02</v>
      </c>
      <c r="W35" s="38">
        <f>IF($Y34&lt;=0,0,ROUND($Y34*Übersicht!$C$26,2))</f>
        <v>647.27</v>
      </c>
      <c r="X35" s="38">
        <f>IF($Y34&lt;=0,0,MIN($Y34,IF(Übersicht!$C$14="Annuitätendarlehen",MAX(0,Übersicht!$C$28-$W35),IF(Übersicht!$C$14="Ratendarlehen",Übersicht!$C$29,IF($A35&gt;=Übersicht!$C$30,$Y34,0)))))</f>
        <v>592.30999999999995</v>
      </c>
      <c r="Y35" s="38">
        <f>IF($Y34&lt;=0,0,ROUND($Y34-$X35-IF($Y34-$X35&lt;=0,0,IF(MOD($A35,Übersicht!$C$25)=0,MIN(Szenarien!$C$10,$Y34-$X35),0)),2))</f>
        <v>224543.6</v>
      </c>
      <c r="Z35" s="38">
        <f>IF($AB34&lt;=0,0,ROUND($AB34*Übersicht!$C$26,2))</f>
        <v>632.51</v>
      </c>
      <c r="AA35" s="38">
        <f>IF($AB34&lt;=0,0,MIN($AB34,IF(Übersicht!$C$14="Annuitätendarlehen",MAX(0,Übersicht!$C$28-$Z35),IF(Übersicht!$C$14="Ratendarlehen",Übersicht!$C$29,IF($A35&gt;=Übersicht!$C$30,$AB34,0)))))</f>
        <v>607.06999999999994</v>
      </c>
      <c r="AB35" s="38">
        <f>IF($AB34&lt;=0,0,ROUND($AB34-$AA35-IF($AB34-$AA35&lt;=0,0,IF(MOD($A35,Übersicht!$C$25)=0,MIN(Szenarien!$C$11,$AB34-$AA35),0)),2))</f>
        <v>219397.21</v>
      </c>
      <c r="AC35" s="38">
        <f>IF($AE34&lt;=0,0,ROUND($AE34*Übersicht!$C$26,2))</f>
        <v>603.01</v>
      </c>
      <c r="AD35" s="38">
        <f>IF($AE34&lt;=0,0,MIN($AE34,IF(Übersicht!$C$14="Annuitätendarlehen",MAX(0,Übersicht!$C$28-$AC35),IF(Übersicht!$C$14="Ratendarlehen",Übersicht!$C$29,IF($A35&gt;=Übersicht!$C$30,$AE34,0)))))</f>
        <v>636.56999999999994</v>
      </c>
      <c r="AE35" s="38">
        <f>IF($AE34&lt;=0,0,ROUND($AE34-$AD35-IF($AE34-$AD35&lt;=0,0,IF(MOD($A35,Übersicht!$C$25)=0,MIN(Szenarien!$C$12,$AE34-$AD35),0)),2))</f>
        <v>209104.45</v>
      </c>
    </row>
    <row r="36" spans="1:31" ht="15" customHeight="1" x14ac:dyDescent="0.25">
      <c r="A36" s="21">
        <v>29</v>
      </c>
      <c r="B36" s="36">
        <f>IF($D36&lt;=0,"",EDATE(Übersicht!$C$18,($A36-1)*12/Übersicht!$C$25))</f>
        <v>46904</v>
      </c>
      <c r="C36" s="21">
        <f t="shared" si="0"/>
        <v>2028</v>
      </c>
      <c r="D36" s="37">
        <f t="shared" si="4"/>
        <v>224543.6</v>
      </c>
      <c r="E36" s="23">
        <f t="shared" si="1"/>
        <v>1239.58</v>
      </c>
      <c r="F36" s="23">
        <f>IF($D36&lt;=0,0,ROUND($D36*Übersicht!$C$26,2))</f>
        <v>645.55999999999995</v>
      </c>
      <c r="G36" s="23">
        <f>IF($D36&lt;=0,0,MIN($D36,IF(Übersicht!$C$14="Annuitätendarlehen",MAX(0,Übersicht!$C$28-$F36),IF(Übersicht!$C$14="Ratendarlehen",Übersicht!$C$29,IF($A36&gt;=Übersicht!$C$30,$D36,0)))))</f>
        <v>594.02</v>
      </c>
      <c r="H36" s="23">
        <f>IF($D36-$G36&lt;=0,0,IF(MOD($A36,Übersicht!$C$25)=0,MIN(Übersicht!$C$31,$D36-$G36),0))</f>
        <v>0</v>
      </c>
      <c r="I36" s="23">
        <f t="shared" si="2"/>
        <v>1239.58</v>
      </c>
      <c r="J36" s="23">
        <f t="shared" si="3"/>
        <v>223949.58</v>
      </c>
      <c r="K36" s="23">
        <f t="shared" si="5"/>
        <v>19897.399999999998</v>
      </c>
      <c r="L36" s="23">
        <f t="shared" si="6"/>
        <v>26050.42</v>
      </c>
      <c r="M36" s="24">
        <f>IF($D36&lt;=0,"",IF(Übersicht!$C$11=0,0,$L36/Übersicht!$C$11))</f>
        <v>0.10420167999999999</v>
      </c>
      <c r="N36" s="25" t="str">
        <f>IF($D36&lt;=0,"",IF($J36&lt;=0.005,"Volltilgung erreicht",IF($A36=Übersicht!$C$19*Übersicht!$C$25,"Ende der Zinsbindung",IF($H36&gt;0,"Sondertilgung verrechnet",""))))</f>
        <v/>
      </c>
      <c r="Q36" s="38">
        <f>IF($S35&lt;=0,0,ROUND($S35*Übersicht!$C$26,2))</f>
        <v>675.15</v>
      </c>
      <c r="R36" s="38">
        <f>IF($S35&lt;=0,0,MIN($S35,IF(Übersicht!$C$14="Annuitätendarlehen",MAX(0,Übersicht!$C$28-$Q36),IF(Übersicht!$C$14="Ratendarlehen",Übersicht!$C$29,IF($A36&gt;=Übersicht!$C$30,$S35,0)))))</f>
        <v>564.42999999999995</v>
      </c>
      <c r="S36" s="38">
        <f>IF($S35&lt;=0,0,ROUND($S35-$R36-IF($S35-$R36&lt;=0,0,IF(MOD($A36,Übersicht!$C$25)=0,MIN(Szenarien!$C$8,$S35-$R36),0)),2))</f>
        <v>234271.93</v>
      </c>
      <c r="T36" s="38">
        <f>IF($V35&lt;=0,0,ROUND($V35*Übersicht!$C$26,2))</f>
        <v>660.36</v>
      </c>
      <c r="U36" s="38">
        <f>IF($V35&lt;=0,0,MIN($V35,IF(Übersicht!$C$14="Annuitätendarlehen",MAX(0,Übersicht!$C$28-$T36),IF(Übersicht!$C$14="Ratendarlehen",Übersicht!$C$29,IF($A36&gt;=Übersicht!$C$30,$V35,0)))))</f>
        <v>579.21999999999991</v>
      </c>
      <c r="V36" s="38">
        <f>IF($V35&lt;=0,0,ROUND($V35-$U36-IF($V35-$U36&lt;=0,0,IF(MOD($A36,Übersicht!$C$25)=0,MIN(Szenarien!$C$9,$V35-$U36),0)),2))</f>
        <v>229110.8</v>
      </c>
      <c r="W36" s="38">
        <f>IF($Y35&lt;=0,0,ROUND($Y35*Übersicht!$C$26,2))</f>
        <v>645.55999999999995</v>
      </c>
      <c r="X36" s="38">
        <f>IF($Y35&lt;=0,0,MIN($Y35,IF(Übersicht!$C$14="Annuitätendarlehen",MAX(0,Übersicht!$C$28-$W36),IF(Übersicht!$C$14="Ratendarlehen",Übersicht!$C$29,IF($A36&gt;=Übersicht!$C$30,$Y35,0)))))</f>
        <v>594.02</v>
      </c>
      <c r="Y36" s="38">
        <f>IF($Y35&lt;=0,0,ROUND($Y35-$X36-IF($Y35-$X36&lt;=0,0,IF(MOD($A36,Übersicht!$C$25)=0,MIN(Szenarien!$C$10,$Y35-$X36),0)),2))</f>
        <v>223949.58</v>
      </c>
      <c r="Z36" s="38">
        <f>IF($AB35&lt;=0,0,ROUND($AB35*Übersicht!$C$26,2))</f>
        <v>630.77</v>
      </c>
      <c r="AA36" s="38">
        <f>IF($AB35&lt;=0,0,MIN($AB35,IF(Übersicht!$C$14="Annuitätendarlehen",MAX(0,Übersicht!$C$28-$Z36),IF(Übersicht!$C$14="Ratendarlehen",Übersicht!$C$29,IF($A36&gt;=Übersicht!$C$30,$AB35,0)))))</f>
        <v>608.80999999999995</v>
      </c>
      <c r="AB36" s="38">
        <f>IF($AB35&lt;=0,0,ROUND($AB35-$AA36-IF($AB35-$AA36&lt;=0,0,IF(MOD($A36,Übersicht!$C$25)=0,MIN(Szenarien!$C$11,$AB35-$AA36),0)),2))</f>
        <v>218788.4</v>
      </c>
      <c r="AC36" s="38">
        <f>IF($AE35&lt;=0,0,ROUND($AE35*Übersicht!$C$26,2))</f>
        <v>601.17999999999995</v>
      </c>
      <c r="AD36" s="38">
        <f>IF($AE35&lt;=0,0,MIN($AE35,IF(Übersicht!$C$14="Annuitätendarlehen",MAX(0,Übersicht!$C$28-$AC36),IF(Übersicht!$C$14="Ratendarlehen",Übersicht!$C$29,IF($A36&gt;=Übersicht!$C$30,$AE35,0)))))</f>
        <v>638.4</v>
      </c>
      <c r="AE36" s="38">
        <f>IF($AE35&lt;=0,0,ROUND($AE35-$AD36-IF($AE35-$AD36&lt;=0,0,IF(MOD($A36,Übersicht!$C$25)=0,MIN(Szenarien!$C$12,$AE35-$AD36),0)),2))</f>
        <v>208466.05</v>
      </c>
    </row>
    <row r="37" spans="1:31" ht="15" customHeight="1" x14ac:dyDescent="0.25">
      <c r="A37" s="26">
        <v>30</v>
      </c>
      <c r="B37" s="39">
        <f>IF($D37&lt;=0,"",EDATE(Übersicht!$C$18,($A37-1)*12/Übersicht!$C$25))</f>
        <v>46934</v>
      </c>
      <c r="C37" s="26">
        <f t="shared" si="0"/>
        <v>2028</v>
      </c>
      <c r="D37" s="40">
        <f t="shared" si="4"/>
        <v>223949.58</v>
      </c>
      <c r="E37" s="28">
        <f t="shared" si="1"/>
        <v>1239.58</v>
      </c>
      <c r="F37" s="28">
        <f>IF($D37&lt;=0,0,ROUND($D37*Übersicht!$C$26,2))</f>
        <v>643.86</v>
      </c>
      <c r="G37" s="28">
        <f>IF($D37&lt;=0,0,MIN($D37,IF(Übersicht!$C$14="Annuitätendarlehen",MAX(0,Übersicht!$C$28-$F37),IF(Übersicht!$C$14="Ratendarlehen",Übersicht!$C$29,IF($A37&gt;=Übersicht!$C$30,$D37,0)))))</f>
        <v>595.71999999999991</v>
      </c>
      <c r="H37" s="28">
        <f>IF($D37-$G37&lt;=0,0,IF(MOD($A37,Übersicht!$C$25)=0,MIN(Übersicht!$C$31,$D37-$G37),0))</f>
        <v>0</v>
      </c>
      <c r="I37" s="28">
        <f t="shared" si="2"/>
        <v>1239.58</v>
      </c>
      <c r="J37" s="28">
        <f t="shared" si="3"/>
        <v>223353.86</v>
      </c>
      <c r="K37" s="28">
        <f t="shared" si="5"/>
        <v>20541.259999999998</v>
      </c>
      <c r="L37" s="28">
        <f t="shared" si="6"/>
        <v>26646.14</v>
      </c>
      <c r="M37" s="29">
        <f>IF($D37&lt;=0,"",IF(Übersicht!$C$11=0,0,$L37/Übersicht!$C$11))</f>
        <v>0.10658455999999999</v>
      </c>
      <c r="N37" s="30" t="str">
        <f>IF($D37&lt;=0,"",IF($J37&lt;=0.005,"Volltilgung erreicht",IF($A37=Übersicht!$C$19*Übersicht!$C$25,"Ende der Zinsbindung",IF($H37&gt;0,"Sondertilgung verrechnet",""))))</f>
        <v/>
      </c>
      <c r="Q37" s="38">
        <f>IF($S36&lt;=0,0,ROUND($S36*Übersicht!$C$26,2))</f>
        <v>673.53</v>
      </c>
      <c r="R37" s="38">
        <f>IF($S36&lt;=0,0,MIN($S36,IF(Übersicht!$C$14="Annuitätendarlehen",MAX(0,Übersicht!$C$28-$Q37),IF(Übersicht!$C$14="Ratendarlehen",Übersicht!$C$29,IF($A37&gt;=Übersicht!$C$30,$S36,0)))))</f>
        <v>566.04999999999995</v>
      </c>
      <c r="S37" s="38">
        <f>IF($S36&lt;=0,0,ROUND($S36-$R37-IF($S36-$R37&lt;=0,0,IF(MOD($A37,Übersicht!$C$25)=0,MIN(Szenarien!$C$8,$S36-$R37),0)),2))</f>
        <v>233705.88</v>
      </c>
      <c r="T37" s="38">
        <f>IF($V36&lt;=0,0,ROUND($V36*Übersicht!$C$26,2))</f>
        <v>658.69</v>
      </c>
      <c r="U37" s="38">
        <f>IF($V36&lt;=0,0,MIN($V36,IF(Übersicht!$C$14="Annuitätendarlehen",MAX(0,Übersicht!$C$28-$T37),IF(Übersicht!$C$14="Ratendarlehen",Übersicht!$C$29,IF($A37&gt;=Übersicht!$C$30,$V36,0)))))</f>
        <v>580.88999999999987</v>
      </c>
      <c r="V37" s="38">
        <f>IF($V36&lt;=0,0,ROUND($V36-$U37-IF($V36-$U37&lt;=0,0,IF(MOD($A37,Übersicht!$C$25)=0,MIN(Szenarien!$C$9,$V36-$U37),0)),2))</f>
        <v>228529.91</v>
      </c>
      <c r="W37" s="38">
        <f>IF($Y36&lt;=0,0,ROUND($Y36*Übersicht!$C$26,2))</f>
        <v>643.86</v>
      </c>
      <c r="X37" s="38">
        <f>IF($Y36&lt;=0,0,MIN($Y36,IF(Übersicht!$C$14="Annuitätendarlehen",MAX(0,Übersicht!$C$28-$W37),IF(Übersicht!$C$14="Ratendarlehen",Übersicht!$C$29,IF($A37&gt;=Übersicht!$C$30,$Y36,0)))))</f>
        <v>595.71999999999991</v>
      </c>
      <c r="Y37" s="38">
        <f>IF($Y36&lt;=0,0,ROUND($Y36-$X37-IF($Y36-$X37&lt;=0,0,IF(MOD($A37,Übersicht!$C$25)=0,MIN(Szenarien!$C$10,$Y36-$X37),0)),2))</f>
        <v>223353.86</v>
      </c>
      <c r="Z37" s="38">
        <f>IF($AB36&lt;=0,0,ROUND($AB36*Übersicht!$C$26,2))</f>
        <v>629.02</v>
      </c>
      <c r="AA37" s="38">
        <f>IF($AB36&lt;=0,0,MIN($AB36,IF(Übersicht!$C$14="Annuitätendarlehen",MAX(0,Übersicht!$C$28-$Z37),IF(Übersicht!$C$14="Ratendarlehen",Übersicht!$C$29,IF($A37&gt;=Übersicht!$C$30,$AB36,0)))))</f>
        <v>610.55999999999995</v>
      </c>
      <c r="AB37" s="38">
        <f>IF($AB36&lt;=0,0,ROUND($AB36-$AA37-IF($AB36-$AA37&lt;=0,0,IF(MOD($A37,Übersicht!$C$25)=0,MIN(Szenarien!$C$11,$AB36-$AA37),0)),2))</f>
        <v>218177.84</v>
      </c>
      <c r="AC37" s="38">
        <f>IF($AE36&lt;=0,0,ROUND($AE36*Übersicht!$C$26,2))</f>
        <v>599.34</v>
      </c>
      <c r="AD37" s="38">
        <f>IF($AE36&lt;=0,0,MIN($AE36,IF(Übersicht!$C$14="Annuitätendarlehen",MAX(0,Übersicht!$C$28-$AC37),IF(Übersicht!$C$14="Ratendarlehen",Übersicht!$C$29,IF($A37&gt;=Übersicht!$C$30,$AE36,0)))))</f>
        <v>640.2399999999999</v>
      </c>
      <c r="AE37" s="38">
        <f>IF($AE36&lt;=0,0,ROUND($AE36-$AD37-IF($AE36-$AD37&lt;=0,0,IF(MOD($A37,Übersicht!$C$25)=0,MIN(Szenarien!$C$12,$AE36-$AD37),0)),2))</f>
        <v>207825.81</v>
      </c>
    </row>
    <row r="38" spans="1:31" ht="15" customHeight="1" x14ac:dyDescent="0.25">
      <c r="A38" s="21">
        <v>31</v>
      </c>
      <c r="B38" s="36">
        <f>IF($D38&lt;=0,"",EDATE(Übersicht!$C$18,($A38-1)*12/Übersicht!$C$25))</f>
        <v>46965</v>
      </c>
      <c r="C38" s="21">
        <f t="shared" si="0"/>
        <v>2028</v>
      </c>
      <c r="D38" s="37">
        <f t="shared" si="4"/>
        <v>223353.86</v>
      </c>
      <c r="E38" s="23">
        <f t="shared" si="1"/>
        <v>1239.58</v>
      </c>
      <c r="F38" s="23">
        <f>IF($D38&lt;=0,0,ROUND($D38*Übersicht!$C$26,2))</f>
        <v>642.14</v>
      </c>
      <c r="G38" s="23">
        <f>IF($D38&lt;=0,0,MIN($D38,IF(Übersicht!$C$14="Annuitätendarlehen",MAX(0,Übersicht!$C$28-$F38),IF(Übersicht!$C$14="Ratendarlehen",Übersicht!$C$29,IF($A38&gt;=Übersicht!$C$30,$D38,0)))))</f>
        <v>597.43999999999994</v>
      </c>
      <c r="H38" s="23">
        <f>IF($D38-$G38&lt;=0,0,IF(MOD($A38,Übersicht!$C$25)=0,MIN(Übersicht!$C$31,$D38-$G38),0))</f>
        <v>0</v>
      </c>
      <c r="I38" s="23">
        <f t="shared" si="2"/>
        <v>1239.58</v>
      </c>
      <c r="J38" s="23">
        <f t="shared" si="3"/>
        <v>222756.42</v>
      </c>
      <c r="K38" s="23">
        <f t="shared" si="5"/>
        <v>21183.399999999998</v>
      </c>
      <c r="L38" s="23">
        <f t="shared" si="6"/>
        <v>27243.58</v>
      </c>
      <c r="M38" s="24">
        <f>IF($D38&lt;=0,"",IF(Übersicht!$C$11=0,0,$L38/Übersicht!$C$11))</f>
        <v>0.10897432000000001</v>
      </c>
      <c r="N38" s="25" t="str">
        <f>IF($D38&lt;=0,"",IF($J38&lt;=0.005,"Volltilgung erreicht",IF($A38=Übersicht!$C$19*Übersicht!$C$25,"Ende der Zinsbindung",IF($H38&gt;0,"Sondertilgung verrechnet",""))))</f>
        <v/>
      </c>
      <c r="Q38" s="38">
        <f>IF($S37&lt;=0,0,ROUND($S37*Übersicht!$C$26,2))</f>
        <v>671.9</v>
      </c>
      <c r="R38" s="38">
        <f>IF($S37&lt;=0,0,MIN($S37,IF(Übersicht!$C$14="Annuitätendarlehen",MAX(0,Übersicht!$C$28-$Q38),IF(Übersicht!$C$14="Ratendarlehen",Übersicht!$C$29,IF($A38&gt;=Übersicht!$C$30,$S37,0)))))</f>
        <v>567.67999999999995</v>
      </c>
      <c r="S38" s="38">
        <f>IF($S37&lt;=0,0,ROUND($S37-$R38-IF($S37-$R38&lt;=0,0,IF(MOD($A38,Übersicht!$C$25)=0,MIN(Szenarien!$C$8,$S37-$R38),0)),2))</f>
        <v>233138.2</v>
      </c>
      <c r="T38" s="38">
        <f>IF($V37&lt;=0,0,ROUND($V37*Übersicht!$C$26,2))</f>
        <v>657.02</v>
      </c>
      <c r="U38" s="38">
        <f>IF($V37&lt;=0,0,MIN($V37,IF(Übersicht!$C$14="Annuitätendarlehen",MAX(0,Übersicht!$C$28-$T38),IF(Übersicht!$C$14="Ratendarlehen",Übersicht!$C$29,IF($A38&gt;=Übersicht!$C$30,$V37,0)))))</f>
        <v>582.55999999999995</v>
      </c>
      <c r="V38" s="38">
        <f>IF($V37&lt;=0,0,ROUND($V37-$U38-IF($V37-$U38&lt;=0,0,IF(MOD($A38,Übersicht!$C$25)=0,MIN(Szenarien!$C$9,$V37-$U38),0)),2))</f>
        <v>227947.35</v>
      </c>
      <c r="W38" s="38">
        <f>IF($Y37&lt;=0,0,ROUND($Y37*Übersicht!$C$26,2))</f>
        <v>642.14</v>
      </c>
      <c r="X38" s="38">
        <f>IF($Y37&lt;=0,0,MIN($Y37,IF(Übersicht!$C$14="Annuitätendarlehen",MAX(0,Übersicht!$C$28-$W38),IF(Übersicht!$C$14="Ratendarlehen",Übersicht!$C$29,IF($A38&gt;=Übersicht!$C$30,$Y37,0)))))</f>
        <v>597.43999999999994</v>
      </c>
      <c r="Y38" s="38">
        <f>IF($Y37&lt;=0,0,ROUND($Y37-$X38-IF($Y37-$X38&lt;=0,0,IF(MOD($A38,Übersicht!$C$25)=0,MIN(Szenarien!$C$10,$Y37-$X38),0)),2))</f>
        <v>222756.42</v>
      </c>
      <c r="Z38" s="38">
        <f>IF($AB37&lt;=0,0,ROUND($AB37*Übersicht!$C$26,2))</f>
        <v>627.26</v>
      </c>
      <c r="AA38" s="38">
        <f>IF($AB37&lt;=0,0,MIN($AB37,IF(Übersicht!$C$14="Annuitätendarlehen",MAX(0,Übersicht!$C$28-$Z38),IF(Übersicht!$C$14="Ratendarlehen",Übersicht!$C$29,IF($A38&gt;=Übersicht!$C$30,$AB37,0)))))</f>
        <v>612.31999999999994</v>
      </c>
      <c r="AB38" s="38">
        <f>IF($AB37&lt;=0,0,ROUND($AB37-$AA38-IF($AB37-$AA38&lt;=0,0,IF(MOD($A38,Übersicht!$C$25)=0,MIN(Szenarien!$C$11,$AB37-$AA38),0)),2))</f>
        <v>217565.52</v>
      </c>
      <c r="AC38" s="38">
        <f>IF($AE37&lt;=0,0,ROUND($AE37*Übersicht!$C$26,2))</f>
        <v>597.5</v>
      </c>
      <c r="AD38" s="38">
        <f>IF($AE37&lt;=0,0,MIN($AE37,IF(Übersicht!$C$14="Annuitätendarlehen",MAX(0,Übersicht!$C$28-$AC38),IF(Übersicht!$C$14="Ratendarlehen",Übersicht!$C$29,IF($A38&gt;=Übersicht!$C$30,$AE37,0)))))</f>
        <v>642.07999999999993</v>
      </c>
      <c r="AE38" s="38">
        <f>IF($AE37&lt;=0,0,ROUND($AE37-$AD38-IF($AE37-$AD38&lt;=0,0,IF(MOD($A38,Übersicht!$C$25)=0,MIN(Szenarien!$C$12,$AE37-$AD38),0)),2))</f>
        <v>207183.73</v>
      </c>
    </row>
    <row r="39" spans="1:31" ht="15" customHeight="1" x14ac:dyDescent="0.25">
      <c r="A39" s="26">
        <v>32</v>
      </c>
      <c r="B39" s="39">
        <f>IF($D39&lt;=0,"",EDATE(Übersicht!$C$18,($A39-1)*12/Übersicht!$C$25))</f>
        <v>46996</v>
      </c>
      <c r="C39" s="26">
        <f t="shared" si="0"/>
        <v>2028</v>
      </c>
      <c r="D39" s="40">
        <f t="shared" si="4"/>
        <v>222756.42</v>
      </c>
      <c r="E39" s="28">
        <f t="shared" si="1"/>
        <v>1239.58</v>
      </c>
      <c r="F39" s="28">
        <f>IF($D39&lt;=0,0,ROUND($D39*Übersicht!$C$26,2))</f>
        <v>640.41999999999996</v>
      </c>
      <c r="G39" s="28">
        <f>IF($D39&lt;=0,0,MIN($D39,IF(Übersicht!$C$14="Annuitätendarlehen",MAX(0,Übersicht!$C$28-$F39),IF(Übersicht!$C$14="Ratendarlehen",Übersicht!$C$29,IF($A39&gt;=Übersicht!$C$30,$D39,0)))))</f>
        <v>599.16</v>
      </c>
      <c r="H39" s="28">
        <f>IF($D39-$G39&lt;=0,0,IF(MOD($A39,Übersicht!$C$25)=0,MIN(Übersicht!$C$31,$D39-$G39),0))</f>
        <v>0</v>
      </c>
      <c r="I39" s="28">
        <f t="shared" si="2"/>
        <v>1239.58</v>
      </c>
      <c r="J39" s="28">
        <f t="shared" si="3"/>
        <v>222157.26</v>
      </c>
      <c r="K39" s="28">
        <f t="shared" si="5"/>
        <v>21823.819999999996</v>
      </c>
      <c r="L39" s="28">
        <f t="shared" si="6"/>
        <v>27842.74</v>
      </c>
      <c r="M39" s="29">
        <f>IF($D39&lt;=0,"",IF(Übersicht!$C$11=0,0,$L39/Übersicht!$C$11))</f>
        <v>0.11137096</v>
      </c>
      <c r="N39" s="30" t="str">
        <f>IF($D39&lt;=0,"",IF($J39&lt;=0.005,"Volltilgung erreicht",IF($A39=Übersicht!$C$19*Übersicht!$C$25,"Ende der Zinsbindung",IF($H39&gt;0,"Sondertilgung verrechnet",""))))</f>
        <v/>
      </c>
      <c r="Q39" s="38">
        <f>IF($S38&lt;=0,0,ROUND($S38*Übersicht!$C$26,2))</f>
        <v>670.27</v>
      </c>
      <c r="R39" s="38">
        <f>IF($S38&lt;=0,0,MIN($S38,IF(Übersicht!$C$14="Annuitätendarlehen",MAX(0,Übersicht!$C$28-$Q39),IF(Übersicht!$C$14="Ratendarlehen",Übersicht!$C$29,IF($A39&gt;=Übersicht!$C$30,$S38,0)))))</f>
        <v>569.30999999999995</v>
      </c>
      <c r="S39" s="38">
        <f>IF($S38&lt;=0,0,ROUND($S38-$R39-IF($S38-$R39&lt;=0,0,IF(MOD($A39,Übersicht!$C$25)=0,MIN(Szenarien!$C$8,$S38-$R39),0)),2))</f>
        <v>232568.89</v>
      </c>
      <c r="T39" s="38">
        <f>IF($V38&lt;=0,0,ROUND($V38*Übersicht!$C$26,2))</f>
        <v>655.35</v>
      </c>
      <c r="U39" s="38">
        <f>IF($V38&lt;=0,0,MIN($V38,IF(Übersicht!$C$14="Annuitätendarlehen",MAX(0,Übersicht!$C$28-$T39),IF(Übersicht!$C$14="Ratendarlehen",Übersicht!$C$29,IF($A39&gt;=Übersicht!$C$30,$V38,0)))))</f>
        <v>584.2299999999999</v>
      </c>
      <c r="V39" s="38">
        <f>IF($V38&lt;=0,0,ROUND($V38-$U39-IF($V38-$U39&lt;=0,0,IF(MOD($A39,Übersicht!$C$25)=0,MIN(Szenarien!$C$9,$V38-$U39),0)),2))</f>
        <v>227363.12</v>
      </c>
      <c r="W39" s="38">
        <f>IF($Y38&lt;=0,0,ROUND($Y38*Übersicht!$C$26,2))</f>
        <v>640.41999999999996</v>
      </c>
      <c r="X39" s="38">
        <f>IF($Y38&lt;=0,0,MIN($Y38,IF(Übersicht!$C$14="Annuitätendarlehen",MAX(0,Übersicht!$C$28-$W39),IF(Übersicht!$C$14="Ratendarlehen",Übersicht!$C$29,IF($A39&gt;=Übersicht!$C$30,$Y38,0)))))</f>
        <v>599.16</v>
      </c>
      <c r="Y39" s="38">
        <f>IF($Y38&lt;=0,0,ROUND($Y38-$X39-IF($Y38-$X39&lt;=0,0,IF(MOD($A39,Übersicht!$C$25)=0,MIN(Szenarien!$C$10,$Y38-$X39),0)),2))</f>
        <v>222157.26</v>
      </c>
      <c r="Z39" s="38">
        <f>IF($AB38&lt;=0,0,ROUND($AB38*Übersicht!$C$26,2))</f>
        <v>625.5</v>
      </c>
      <c r="AA39" s="38">
        <f>IF($AB38&lt;=0,0,MIN($AB38,IF(Übersicht!$C$14="Annuitätendarlehen",MAX(0,Übersicht!$C$28-$Z39),IF(Übersicht!$C$14="Ratendarlehen",Übersicht!$C$29,IF($A39&gt;=Übersicht!$C$30,$AB38,0)))))</f>
        <v>614.07999999999993</v>
      </c>
      <c r="AB39" s="38">
        <f>IF($AB38&lt;=0,0,ROUND($AB38-$AA39-IF($AB38-$AA39&lt;=0,0,IF(MOD($A39,Übersicht!$C$25)=0,MIN(Szenarien!$C$11,$AB38-$AA39),0)),2))</f>
        <v>216951.44</v>
      </c>
      <c r="AC39" s="38">
        <f>IF($AE38&lt;=0,0,ROUND($AE38*Übersicht!$C$26,2))</f>
        <v>595.65</v>
      </c>
      <c r="AD39" s="38">
        <f>IF($AE38&lt;=0,0,MIN($AE38,IF(Übersicht!$C$14="Annuitätendarlehen",MAX(0,Übersicht!$C$28-$AC39),IF(Übersicht!$C$14="Ratendarlehen",Übersicht!$C$29,IF($A39&gt;=Übersicht!$C$30,$AE38,0)))))</f>
        <v>643.92999999999995</v>
      </c>
      <c r="AE39" s="38">
        <f>IF($AE38&lt;=0,0,ROUND($AE38-$AD39-IF($AE38-$AD39&lt;=0,0,IF(MOD($A39,Übersicht!$C$25)=0,MIN(Szenarien!$C$12,$AE38-$AD39),0)),2))</f>
        <v>206539.8</v>
      </c>
    </row>
    <row r="40" spans="1:31" ht="15" customHeight="1" x14ac:dyDescent="0.25">
      <c r="A40" s="21">
        <v>33</v>
      </c>
      <c r="B40" s="36">
        <f>IF($D40&lt;=0,"",EDATE(Übersicht!$C$18,($A40-1)*12/Übersicht!$C$25))</f>
        <v>47026</v>
      </c>
      <c r="C40" s="21">
        <f t="shared" si="0"/>
        <v>2028</v>
      </c>
      <c r="D40" s="37">
        <f t="shared" si="4"/>
        <v>222157.26</v>
      </c>
      <c r="E40" s="23">
        <f t="shared" si="1"/>
        <v>1239.58</v>
      </c>
      <c r="F40" s="23">
        <f>IF($D40&lt;=0,0,ROUND($D40*Übersicht!$C$26,2))</f>
        <v>638.70000000000005</v>
      </c>
      <c r="G40" s="23">
        <f>IF($D40&lt;=0,0,MIN($D40,IF(Übersicht!$C$14="Annuitätendarlehen",MAX(0,Übersicht!$C$28-$F40),IF(Übersicht!$C$14="Ratendarlehen",Übersicht!$C$29,IF($A40&gt;=Übersicht!$C$30,$D40,0)))))</f>
        <v>600.87999999999988</v>
      </c>
      <c r="H40" s="23">
        <f>IF($D40-$G40&lt;=0,0,IF(MOD($A40,Übersicht!$C$25)=0,MIN(Übersicht!$C$31,$D40-$G40),0))</f>
        <v>0</v>
      </c>
      <c r="I40" s="23">
        <f t="shared" si="2"/>
        <v>1239.58</v>
      </c>
      <c r="J40" s="23">
        <f t="shared" si="3"/>
        <v>221556.38</v>
      </c>
      <c r="K40" s="23">
        <f t="shared" si="5"/>
        <v>22462.519999999997</v>
      </c>
      <c r="L40" s="23">
        <f t="shared" si="6"/>
        <v>28443.62</v>
      </c>
      <c r="M40" s="24">
        <f>IF($D40&lt;=0,"",IF(Übersicht!$C$11=0,0,$L40/Übersicht!$C$11))</f>
        <v>0.11377448</v>
      </c>
      <c r="N40" s="25" t="str">
        <f>IF($D40&lt;=0,"",IF($J40&lt;=0.005,"Volltilgung erreicht",IF($A40=Übersicht!$C$19*Übersicht!$C$25,"Ende der Zinsbindung",IF($H40&gt;0,"Sondertilgung verrechnet",""))))</f>
        <v/>
      </c>
      <c r="Q40" s="38">
        <f>IF($S39&lt;=0,0,ROUND($S39*Übersicht!$C$26,2))</f>
        <v>668.64</v>
      </c>
      <c r="R40" s="38">
        <f>IF($S39&lt;=0,0,MIN($S39,IF(Übersicht!$C$14="Annuitätendarlehen",MAX(0,Übersicht!$C$28-$Q40),IF(Übersicht!$C$14="Ratendarlehen",Übersicht!$C$29,IF($A40&gt;=Übersicht!$C$30,$S39,0)))))</f>
        <v>570.93999999999994</v>
      </c>
      <c r="S40" s="38">
        <f>IF($S39&lt;=0,0,ROUND($S39-$R40-IF($S39-$R40&lt;=0,0,IF(MOD($A40,Übersicht!$C$25)=0,MIN(Szenarien!$C$8,$S39-$R40),0)),2))</f>
        <v>231997.95</v>
      </c>
      <c r="T40" s="38">
        <f>IF($V39&lt;=0,0,ROUND($V39*Übersicht!$C$26,2))</f>
        <v>653.66999999999996</v>
      </c>
      <c r="U40" s="38">
        <f>IF($V39&lt;=0,0,MIN($V39,IF(Übersicht!$C$14="Annuitätendarlehen",MAX(0,Übersicht!$C$28-$T40),IF(Übersicht!$C$14="Ratendarlehen",Übersicht!$C$29,IF($A40&gt;=Übersicht!$C$30,$V39,0)))))</f>
        <v>585.91</v>
      </c>
      <c r="V40" s="38">
        <f>IF($V39&lt;=0,0,ROUND($V39-$U40-IF($V39-$U40&lt;=0,0,IF(MOD($A40,Übersicht!$C$25)=0,MIN(Szenarien!$C$9,$V39-$U40),0)),2))</f>
        <v>226777.21</v>
      </c>
      <c r="W40" s="38">
        <f>IF($Y39&lt;=0,0,ROUND($Y39*Übersicht!$C$26,2))</f>
        <v>638.70000000000005</v>
      </c>
      <c r="X40" s="38">
        <f>IF($Y39&lt;=0,0,MIN($Y39,IF(Übersicht!$C$14="Annuitätendarlehen",MAX(0,Übersicht!$C$28-$W40),IF(Übersicht!$C$14="Ratendarlehen",Übersicht!$C$29,IF($A40&gt;=Übersicht!$C$30,$Y39,0)))))</f>
        <v>600.87999999999988</v>
      </c>
      <c r="Y40" s="38">
        <f>IF($Y39&lt;=0,0,ROUND($Y39-$X40-IF($Y39-$X40&lt;=0,0,IF(MOD($A40,Übersicht!$C$25)=0,MIN(Szenarien!$C$10,$Y39-$X40),0)),2))</f>
        <v>221556.38</v>
      </c>
      <c r="Z40" s="38">
        <f>IF($AB39&lt;=0,0,ROUND($AB39*Übersicht!$C$26,2))</f>
        <v>623.74</v>
      </c>
      <c r="AA40" s="38">
        <f>IF($AB39&lt;=0,0,MIN($AB39,IF(Übersicht!$C$14="Annuitätendarlehen",MAX(0,Übersicht!$C$28-$Z40),IF(Übersicht!$C$14="Ratendarlehen",Übersicht!$C$29,IF($A40&gt;=Übersicht!$C$30,$AB39,0)))))</f>
        <v>615.83999999999992</v>
      </c>
      <c r="AB40" s="38">
        <f>IF($AB39&lt;=0,0,ROUND($AB39-$AA40-IF($AB39-$AA40&lt;=0,0,IF(MOD($A40,Übersicht!$C$25)=0,MIN(Szenarien!$C$11,$AB39-$AA40),0)),2))</f>
        <v>216335.6</v>
      </c>
      <c r="AC40" s="38">
        <f>IF($AE39&lt;=0,0,ROUND($AE39*Übersicht!$C$26,2))</f>
        <v>593.79999999999995</v>
      </c>
      <c r="AD40" s="38">
        <f>IF($AE39&lt;=0,0,MIN($AE39,IF(Übersicht!$C$14="Annuitätendarlehen",MAX(0,Übersicht!$C$28-$AC40),IF(Übersicht!$C$14="Ratendarlehen",Übersicht!$C$29,IF($A40&gt;=Übersicht!$C$30,$AE39,0)))))</f>
        <v>645.78</v>
      </c>
      <c r="AE40" s="38">
        <f>IF($AE39&lt;=0,0,ROUND($AE39-$AD40-IF($AE39-$AD40&lt;=0,0,IF(MOD($A40,Übersicht!$C$25)=0,MIN(Szenarien!$C$12,$AE39-$AD40),0)),2))</f>
        <v>205894.02</v>
      </c>
    </row>
    <row r="41" spans="1:31" ht="15" customHeight="1" x14ac:dyDescent="0.25">
      <c r="A41" s="26">
        <v>34</v>
      </c>
      <c r="B41" s="39">
        <f>IF($D41&lt;=0,"",EDATE(Übersicht!$C$18,($A41-1)*12/Übersicht!$C$25))</f>
        <v>47057</v>
      </c>
      <c r="C41" s="26">
        <f t="shared" si="0"/>
        <v>2028</v>
      </c>
      <c r="D41" s="40">
        <f t="shared" si="4"/>
        <v>221556.38</v>
      </c>
      <c r="E41" s="28">
        <f t="shared" si="1"/>
        <v>1239.58</v>
      </c>
      <c r="F41" s="28">
        <f>IF($D41&lt;=0,0,ROUND($D41*Übersicht!$C$26,2))</f>
        <v>636.97</v>
      </c>
      <c r="G41" s="28">
        <f>IF($D41&lt;=0,0,MIN($D41,IF(Übersicht!$C$14="Annuitätendarlehen",MAX(0,Übersicht!$C$28-$F41),IF(Übersicht!$C$14="Ratendarlehen",Übersicht!$C$29,IF($A41&gt;=Übersicht!$C$30,$D41,0)))))</f>
        <v>602.6099999999999</v>
      </c>
      <c r="H41" s="28">
        <f>IF($D41-$G41&lt;=0,0,IF(MOD($A41,Übersicht!$C$25)=0,MIN(Übersicht!$C$31,$D41-$G41),0))</f>
        <v>0</v>
      </c>
      <c r="I41" s="28">
        <f t="shared" si="2"/>
        <v>1239.58</v>
      </c>
      <c r="J41" s="28">
        <f t="shared" si="3"/>
        <v>220953.77</v>
      </c>
      <c r="K41" s="28">
        <f t="shared" si="5"/>
        <v>23099.489999999998</v>
      </c>
      <c r="L41" s="28">
        <f t="shared" si="6"/>
        <v>29046.23</v>
      </c>
      <c r="M41" s="29">
        <f>IF($D41&lt;=0,"",IF(Übersicht!$C$11=0,0,$L41/Übersicht!$C$11))</f>
        <v>0.11618492</v>
      </c>
      <c r="N41" s="30" t="str">
        <f>IF($D41&lt;=0,"",IF($J41&lt;=0.005,"Volltilgung erreicht",IF($A41=Übersicht!$C$19*Übersicht!$C$25,"Ende der Zinsbindung",IF($H41&gt;0,"Sondertilgung verrechnet",""))))</f>
        <v/>
      </c>
      <c r="Q41" s="38">
        <f>IF($S40&lt;=0,0,ROUND($S40*Übersicht!$C$26,2))</f>
        <v>666.99</v>
      </c>
      <c r="R41" s="38">
        <f>IF($S40&lt;=0,0,MIN($S40,IF(Übersicht!$C$14="Annuitätendarlehen",MAX(0,Übersicht!$C$28-$Q41),IF(Übersicht!$C$14="Ratendarlehen",Übersicht!$C$29,IF($A41&gt;=Übersicht!$C$30,$S40,0)))))</f>
        <v>572.58999999999992</v>
      </c>
      <c r="S41" s="38">
        <f>IF($S40&lt;=0,0,ROUND($S40-$R41-IF($S40-$R41&lt;=0,0,IF(MOD($A41,Übersicht!$C$25)=0,MIN(Szenarien!$C$8,$S40-$R41),0)),2))</f>
        <v>231425.36</v>
      </c>
      <c r="T41" s="38">
        <f>IF($V40&lt;=0,0,ROUND($V40*Übersicht!$C$26,2))</f>
        <v>651.98</v>
      </c>
      <c r="U41" s="38">
        <f>IF($V40&lt;=0,0,MIN($V40,IF(Übersicht!$C$14="Annuitätendarlehen",MAX(0,Übersicht!$C$28-$T41),IF(Übersicht!$C$14="Ratendarlehen",Übersicht!$C$29,IF($A41&gt;=Übersicht!$C$30,$V40,0)))))</f>
        <v>587.59999999999991</v>
      </c>
      <c r="V41" s="38">
        <f>IF($V40&lt;=0,0,ROUND($V40-$U41-IF($V40-$U41&lt;=0,0,IF(MOD($A41,Übersicht!$C$25)=0,MIN(Szenarien!$C$9,$V40-$U41),0)),2))</f>
        <v>226189.61</v>
      </c>
      <c r="W41" s="38">
        <f>IF($Y40&lt;=0,0,ROUND($Y40*Übersicht!$C$26,2))</f>
        <v>636.97</v>
      </c>
      <c r="X41" s="38">
        <f>IF($Y40&lt;=0,0,MIN($Y40,IF(Übersicht!$C$14="Annuitätendarlehen",MAX(0,Übersicht!$C$28-$W41),IF(Übersicht!$C$14="Ratendarlehen",Übersicht!$C$29,IF($A41&gt;=Übersicht!$C$30,$Y40,0)))))</f>
        <v>602.6099999999999</v>
      </c>
      <c r="Y41" s="38">
        <f>IF($Y40&lt;=0,0,ROUND($Y40-$X41-IF($Y40-$X41&lt;=0,0,IF(MOD($A41,Übersicht!$C$25)=0,MIN(Szenarien!$C$10,$Y40-$X41),0)),2))</f>
        <v>220953.77</v>
      </c>
      <c r="Z41" s="38">
        <f>IF($AB40&lt;=0,0,ROUND($AB40*Übersicht!$C$26,2))</f>
        <v>621.96</v>
      </c>
      <c r="AA41" s="38">
        <f>IF($AB40&lt;=0,0,MIN($AB40,IF(Übersicht!$C$14="Annuitätendarlehen",MAX(0,Übersicht!$C$28-$Z41),IF(Übersicht!$C$14="Ratendarlehen",Übersicht!$C$29,IF($A41&gt;=Übersicht!$C$30,$AB40,0)))))</f>
        <v>617.61999999999989</v>
      </c>
      <c r="AB41" s="38">
        <f>IF($AB40&lt;=0,0,ROUND($AB40-$AA41-IF($AB40-$AA41&lt;=0,0,IF(MOD($A41,Übersicht!$C$25)=0,MIN(Szenarien!$C$11,$AB40-$AA41),0)),2))</f>
        <v>215717.98</v>
      </c>
      <c r="AC41" s="38">
        <f>IF($AE40&lt;=0,0,ROUND($AE40*Übersicht!$C$26,2))</f>
        <v>591.95000000000005</v>
      </c>
      <c r="AD41" s="38">
        <f>IF($AE40&lt;=0,0,MIN($AE40,IF(Übersicht!$C$14="Annuitätendarlehen",MAX(0,Übersicht!$C$28-$AC41),IF(Übersicht!$C$14="Ratendarlehen",Übersicht!$C$29,IF($A41&gt;=Übersicht!$C$30,$AE40,0)))))</f>
        <v>647.62999999999988</v>
      </c>
      <c r="AE41" s="38">
        <f>IF($AE40&lt;=0,0,ROUND($AE40-$AD41-IF($AE40-$AD41&lt;=0,0,IF(MOD($A41,Übersicht!$C$25)=0,MIN(Szenarien!$C$12,$AE40-$AD41),0)),2))</f>
        <v>205246.39</v>
      </c>
    </row>
    <row r="42" spans="1:31" ht="15" customHeight="1" x14ac:dyDescent="0.25">
      <c r="A42" s="21">
        <v>35</v>
      </c>
      <c r="B42" s="36">
        <f>IF($D42&lt;=0,"",EDATE(Übersicht!$C$18,($A42-1)*12/Übersicht!$C$25))</f>
        <v>47087</v>
      </c>
      <c r="C42" s="21">
        <f t="shared" si="0"/>
        <v>2028</v>
      </c>
      <c r="D42" s="37">
        <f t="shared" si="4"/>
        <v>220953.77</v>
      </c>
      <c r="E42" s="23">
        <f t="shared" si="1"/>
        <v>1239.58</v>
      </c>
      <c r="F42" s="23">
        <f>IF($D42&lt;=0,0,ROUND($D42*Übersicht!$C$26,2))</f>
        <v>635.24</v>
      </c>
      <c r="G42" s="23">
        <f>IF($D42&lt;=0,0,MIN($D42,IF(Übersicht!$C$14="Annuitätendarlehen",MAX(0,Übersicht!$C$28-$F42),IF(Übersicht!$C$14="Ratendarlehen",Übersicht!$C$29,IF($A42&gt;=Übersicht!$C$30,$D42,0)))))</f>
        <v>604.33999999999992</v>
      </c>
      <c r="H42" s="23">
        <f>IF($D42-$G42&lt;=0,0,IF(MOD($A42,Übersicht!$C$25)=0,MIN(Übersicht!$C$31,$D42-$G42),0))</f>
        <v>0</v>
      </c>
      <c r="I42" s="23">
        <f t="shared" si="2"/>
        <v>1239.58</v>
      </c>
      <c r="J42" s="23">
        <f t="shared" si="3"/>
        <v>220349.43</v>
      </c>
      <c r="K42" s="23">
        <f t="shared" si="5"/>
        <v>23734.73</v>
      </c>
      <c r="L42" s="23">
        <f t="shared" si="6"/>
        <v>29650.57</v>
      </c>
      <c r="M42" s="24">
        <f>IF($D42&lt;=0,"",IF(Übersicht!$C$11=0,0,$L42/Übersicht!$C$11))</f>
        <v>0.11860228</v>
      </c>
      <c r="N42" s="25" t="str">
        <f>IF($D42&lt;=0,"",IF($J42&lt;=0.005,"Volltilgung erreicht",IF($A42=Übersicht!$C$19*Übersicht!$C$25,"Ende der Zinsbindung",IF($H42&gt;0,"Sondertilgung verrechnet",""))))</f>
        <v/>
      </c>
      <c r="Q42" s="38">
        <f>IF($S41&lt;=0,0,ROUND($S41*Übersicht!$C$26,2))</f>
        <v>665.35</v>
      </c>
      <c r="R42" s="38">
        <f>IF($S41&lt;=0,0,MIN($S41,IF(Übersicht!$C$14="Annuitätendarlehen",MAX(0,Übersicht!$C$28-$Q42),IF(Übersicht!$C$14="Ratendarlehen",Übersicht!$C$29,IF($A42&gt;=Übersicht!$C$30,$S41,0)))))</f>
        <v>574.2299999999999</v>
      </c>
      <c r="S42" s="38">
        <f>IF($S41&lt;=0,0,ROUND($S41-$R42-IF($S41-$R42&lt;=0,0,IF(MOD($A42,Übersicht!$C$25)=0,MIN(Szenarien!$C$8,$S41-$R42),0)),2))</f>
        <v>230851.13</v>
      </c>
      <c r="T42" s="38">
        <f>IF($V41&lt;=0,0,ROUND($V41*Übersicht!$C$26,2))</f>
        <v>650.29999999999995</v>
      </c>
      <c r="U42" s="38">
        <f>IF($V41&lt;=0,0,MIN($V41,IF(Übersicht!$C$14="Annuitätendarlehen",MAX(0,Übersicht!$C$28-$T42),IF(Übersicht!$C$14="Ratendarlehen",Übersicht!$C$29,IF($A42&gt;=Übersicht!$C$30,$V41,0)))))</f>
        <v>589.28</v>
      </c>
      <c r="V42" s="38">
        <f>IF($V41&lt;=0,0,ROUND($V41-$U42-IF($V41-$U42&lt;=0,0,IF(MOD($A42,Übersicht!$C$25)=0,MIN(Szenarien!$C$9,$V41-$U42),0)),2))</f>
        <v>225600.33</v>
      </c>
      <c r="W42" s="38">
        <f>IF($Y41&lt;=0,0,ROUND($Y41*Übersicht!$C$26,2))</f>
        <v>635.24</v>
      </c>
      <c r="X42" s="38">
        <f>IF($Y41&lt;=0,0,MIN($Y41,IF(Übersicht!$C$14="Annuitätendarlehen",MAX(0,Übersicht!$C$28-$W42),IF(Übersicht!$C$14="Ratendarlehen",Übersicht!$C$29,IF($A42&gt;=Übersicht!$C$30,$Y41,0)))))</f>
        <v>604.33999999999992</v>
      </c>
      <c r="Y42" s="38">
        <f>IF($Y41&lt;=0,0,ROUND($Y41-$X42-IF($Y41-$X42&lt;=0,0,IF(MOD($A42,Übersicht!$C$25)=0,MIN(Szenarien!$C$10,$Y41-$X42),0)),2))</f>
        <v>220349.43</v>
      </c>
      <c r="Z42" s="38">
        <f>IF($AB41&lt;=0,0,ROUND($AB41*Übersicht!$C$26,2))</f>
        <v>620.19000000000005</v>
      </c>
      <c r="AA42" s="38">
        <f>IF($AB41&lt;=0,0,MIN($AB41,IF(Übersicht!$C$14="Annuitätendarlehen",MAX(0,Übersicht!$C$28-$Z42),IF(Übersicht!$C$14="Ratendarlehen",Übersicht!$C$29,IF($A42&gt;=Übersicht!$C$30,$AB41,0)))))</f>
        <v>619.38999999999987</v>
      </c>
      <c r="AB42" s="38">
        <f>IF($AB41&lt;=0,0,ROUND($AB41-$AA42-IF($AB41-$AA42&lt;=0,0,IF(MOD($A42,Übersicht!$C$25)=0,MIN(Szenarien!$C$11,$AB41-$AA42),0)),2))</f>
        <v>215098.59</v>
      </c>
      <c r="AC42" s="38">
        <f>IF($AE41&lt;=0,0,ROUND($AE41*Übersicht!$C$26,2))</f>
        <v>590.08000000000004</v>
      </c>
      <c r="AD42" s="38">
        <f>IF($AE41&lt;=0,0,MIN($AE41,IF(Übersicht!$C$14="Annuitätendarlehen",MAX(0,Übersicht!$C$28-$AC42),IF(Übersicht!$C$14="Ratendarlehen",Übersicht!$C$29,IF($A42&gt;=Übersicht!$C$30,$AE41,0)))))</f>
        <v>649.49999999999989</v>
      </c>
      <c r="AE42" s="38">
        <f>IF($AE41&lt;=0,0,ROUND($AE41-$AD42-IF($AE41-$AD42&lt;=0,0,IF(MOD($A42,Übersicht!$C$25)=0,MIN(Szenarien!$C$12,$AE41-$AD42),0)),2))</f>
        <v>204596.89</v>
      </c>
    </row>
    <row r="43" spans="1:31" ht="15" customHeight="1" x14ac:dyDescent="0.25">
      <c r="A43" s="26">
        <v>36</v>
      </c>
      <c r="B43" s="39">
        <f>IF($D43&lt;=0,"",EDATE(Übersicht!$C$18,($A43-1)*12/Übersicht!$C$25))</f>
        <v>47118</v>
      </c>
      <c r="C43" s="26">
        <f t="shared" si="0"/>
        <v>2028</v>
      </c>
      <c r="D43" s="40">
        <f t="shared" si="4"/>
        <v>220349.43</v>
      </c>
      <c r="E43" s="28">
        <f t="shared" si="1"/>
        <v>1239.58</v>
      </c>
      <c r="F43" s="28">
        <f>IF($D43&lt;=0,0,ROUND($D43*Übersicht!$C$26,2))</f>
        <v>633.5</v>
      </c>
      <c r="G43" s="28">
        <f>IF($D43&lt;=0,0,MIN($D43,IF(Übersicht!$C$14="Annuitätendarlehen",MAX(0,Übersicht!$C$28-$F43),IF(Übersicht!$C$14="Ratendarlehen",Übersicht!$C$29,IF($A43&gt;=Übersicht!$C$30,$D43,0)))))</f>
        <v>606.07999999999993</v>
      </c>
      <c r="H43" s="28">
        <f>IF($D43-$G43&lt;=0,0,IF(MOD($A43,Übersicht!$C$25)=0,MIN(Übersicht!$C$31,$D43-$G43),0))</f>
        <v>5000</v>
      </c>
      <c r="I43" s="28">
        <f t="shared" si="2"/>
        <v>6239.58</v>
      </c>
      <c r="J43" s="28">
        <f t="shared" si="3"/>
        <v>214743.35</v>
      </c>
      <c r="K43" s="28">
        <f t="shared" si="5"/>
        <v>24368.23</v>
      </c>
      <c r="L43" s="28">
        <f t="shared" si="6"/>
        <v>35256.65</v>
      </c>
      <c r="M43" s="29">
        <f>IF($D43&lt;=0,"",IF(Übersicht!$C$11=0,0,$L43/Übersicht!$C$11))</f>
        <v>0.1410266</v>
      </c>
      <c r="N43" s="30" t="str">
        <f>IF($D43&lt;=0,"",IF($J43&lt;=0.005,"Volltilgung erreicht",IF($A43=Übersicht!$C$19*Übersicht!$C$25,"Ende der Zinsbindung",IF($H43&gt;0,"Sondertilgung verrechnet",""))))</f>
        <v>Sondertilgung verrechnet</v>
      </c>
      <c r="Q43" s="38">
        <f>IF($S42&lt;=0,0,ROUND($S42*Übersicht!$C$26,2))</f>
        <v>663.7</v>
      </c>
      <c r="R43" s="38">
        <f>IF($S42&lt;=0,0,MIN($S42,IF(Übersicht!$C$14="Annuitätendarlehen",MAX(0,Übersicht!$C$28-$Q43),IF(Übersicht!$C$14="Ratendarlehen",Übersicht!$C$29,IF($A43&gt;=Übersicht!$C$30,$S42,0)))))</f>
        <v>575.87999999999988</v>
      </c>
      <c r="S43" s="38">
        <f>IF($S42&lt;=0,0,ROUND($S42-$R43-IF($S42-$R43&lt;=0,0,IF(MOD($A43,Übersicht!$C$25)=0,MIN(Szenarien!$C$8,$S42-$R43),0)),2))</f>
        <v>230275.25</v>
      </c>
      <c r="T43" s="38">
        <f>IF($V42&lt;=0,0,ROUND($V42*Übersicht!$C$26,2))</f>
        <v>648.6</v>
      </c>
      <c r="U43" s="38">
        <f>IF($V42&lt;=0,0,MIN($V42,IF(Übersicht!$C$14="Annuitätendarlehen",MAX(0,Übersicht!$C$28-$T43),IF(Übersicht!$C$14="Ratendarlehen",Übersicht!$C$29,IF($A43&gt;=Übersicht!$C$30,$V42,0)))))</f>
        <v>590.9799999999999</v>
      </c>
      <c r="V43" s="38">
        <f>IF($V42&lt;=0,0,ROUND($V42-$U43-IF($V42-$U43&lt;=0,0,IF(MOD($A43,Übersicht!$C$25)=0,MIN(Szenarien!$C$9,$V42-$U43),0)),2))</f>
        <v>222509.35</v>
      </c>
      <c r="W43" s="38">
        <f>IF($Y42&lt;=0,0,ROUND($Y42*Übersicht!$C$26,2))</f>
        <v>633.5</v>
      </c>
      <c r="X43" s="38">
        <f>IF($Y42&lt;=0,0,MIN($Y42,IF(Übersicht!$C$14="Annuitätendarlehen",MAX(0,Übersicht!$C$28-$W43),IF(Übersicht!$C$14="Ratendarlehen",Übersicht!$C$29,IF($A43&gt;=Übersicht!$C$30,$Y42,0)))))</f>
        <v>606.07999999999993</v>
      </c>
      <c r="Y43" s="38">
        <f>IF($Y42&lt;=0,0,ROUND($Y42-$X43-IF($Y42-$X43&lt;=0,0,IF(MOD($A43,Übersicht!$C$25)=0,MIN(Szenarien!$C$10,$Y42-$X43),0)),2))</f>
        <v>214743.35</v>
      </c>
      <c r="Z43" s="38">
        <f>IF($AB42&lt;=0,0,ROUND($AB42*Übersicht!$C$26,2))</f>
        <v>618.41</v>
      </c>
      <c r="AA43" s="38">
        <f>IF($AB42&lt;=0,0,MIN($AB42,IF(Übersicht!$C$14="Annuitätendarlehen",MAX(0,Übersicht!$C$28-$Z43),IF(Übersicht!$C$14="Ratendarlehen",Übersicht!$C$29,IF($A43&gt;=Übersicht!$C$30,$AB42,0)))))</f>
        <v>621.16999999999996</v>
      </c>
      <c r="AB43" s="38">
        <f>IF($AB42&lt;=0,0,ROUND($AB42-$AA43-IF($AB42-$AA43&lt;=0,0,IF(MOD($A43,Übersicht!$C$25)=0,MIN(Szenarien!$C$11,$AB42-$AA43),0)),2))</f>
        <v>206977.42</v>
      </c>
      <c r="AC43" s="38">
        <f>IF($AE42&lt;=0,0,ROUND($AE42*Übersicht!$C$26,2))</f>
        <v>588.22</v>
      </c>
      <c r="AD43" s="38">
        <f>IF($AE42&lt;=0,0,MIN($AE42,IF(Übersicht!$C$14="Annuitätendarlehen",MAX(0,Übersicht!$C$28-$AC43),IF(Übersicht!$C$14="Ratendarlehen",Übersicht!$C$29,IF($A43&gt;=Übersicht!$C$30,$AE42,0)))))</f>
        <v>651.3599999999999</v>
      </c>
      <c r="AE43" s="38">
        <f>IF($AE42&lt;=0,0,ROUND($AE42-$AD43-IF($AE42-$AD43&lt;=0,0,IF(MOD($A43,Übersicht!$C$25)=0,MIN(Szenarien!$C$12,$AE42-$AD43),0)),2))</f>
        <v>191445.53</v>
      </c>
    </row>
    <row r="44" spans="1:31" ht="15" customHeight="1" x14ac:dyDescent="0.25">
      <c r="A44" s="21">
        <v>37</v>
      </c>
      <c r="B44" s="36">
        <f>IF($D44&lt;=0,"",EDATE(Übersicht!$C$18,($A44-1)*12/Übersicht!$C$25))</f>
        <v>47149</v>
      </c>
      <c r="C44" s="21">
        <f t="shared" si="0"/>
        <v>2029</v>
      </c>
      <c r="D44" s="37">
        <f t="shared" si="4"/>
        <v>214743.35</v>
      </c>
      <c r="E44" s="23">
        <f t="shared" si="1"/>
        <v>1239.58</v>
      </c>
      <c r="F44" s="23">
        <f>IF($D44&lt;=0,0,ROUND($D44*Übersicht!$C$26,2))</f>
        <v>617.39</v>
      </c>
      <c r="G44" s="23">
        <f>IF($D44&lt;=0,0,MIN($D44,IF(Übersicht!$C$14="Annuitätendarlehen",MAX(0,Übersicht!$C$28-$F44),IF(Übersicht!$C$14="Ratendarlehen",Übersicht!$C$29,IF($A44&gt;=Übersicht!$C$30,$D44,0)))))</f>
        <v>622.18999999999994</v>
      </c>
      <c r="H44" s="23">
        <f>IF($D44-$G44&lt;=0,0,IF(MOD($A44,Übersicht!$C$25)=0,MIN(Übersicht!$C$31,$D44-$G44),0))</f>
        <v>0</v>
      </c>
      <c r="I44" s="23">
        <f t="shared" si="2"/>
        <v>1239.58</v>
      </c>
      <c r="J44" s="23">
        <f t="shared" si="3"/>
        <v>214121.16</v>
      </c>
      <c r="K44" s="23">
        <f t="shared" si="5"/>
        <v>24985.62</v>
      </c>
      <c r="L44" s="23">
        <f t="shared" si="6"/>
        <v>35878.839999999997</v>
      </c>
      <c r="M44" s="24">
        <f>IF($D44&lt;=0,"",IF(Übersicht!$C$11=0,0,$L44/Übersicht!$C$11))</f>
        <v>0.14351535999999998</v>
      </c>
      <c r="N44" s="25" t="str">
        <f>IF($D44&lt;=0,"",IF($J44&lt;=0.005,"Volltilgung erreicht",IF($A44=Übersicht!$C$19*Übersicht!$C$25,"Ende der Zinsbindung",IF($H44&gt;0,"Sondertilgung verrechnet",""))))</f>
        <v/>
      </c>
      <c r="Q44" s="38">
        <f>IF($S43&lt;=0,0,ROUND($S43*Übersicht!$C$26,2))</f>
        <v>662.04</v>
      </c>
      <c r="R44" s="38">
        <f>IF($S43&lt;=0,0,MIN($S43,IF(Übersicht!$C$14="Annuitätendarlehen",MAX(0,Übersicht!$C$28-$Q44),IF(Übersicht!$C$14="Ratendarlehen",Übersicht!$C$29,IF($A44&gt;=Übersicht!$C$30,$S43,0)))))</f>
        <v>577.54</v>
      </c>
      <c r="S44" s="38">
        <f>IF($S43&lt;=0,0,ROUND($S43-$R44-IF($S43-$R44&lt;=0,0,IF(MOD($A44,Übersicht!$C$25)=0,MIN(Szenarien!$C$8,$S43-$R44),0)),2))</f>
        <v>229697.71</v>
      </c>
      <c r="T44" s="38">
        <f>IF($V43&lt;=0,0,ROUND($V43*Übersicht!$C$26,2))</f>
        <v>639.71</v>
      </c>
      <c r="U44" s="38">
        <f>IF($V43&lt;=0,0,MIN($V43,IF(Übersicht!$C$14="Annuitätendarlehen",MAX(0,Übersicht!$C$28-$T44),IF(Übersicht!$C$14="Ratendarlehen",Übersicht!$C$29,IF($A44&gt;=Übersicht!$C$30,$V43,0)))))</f>
        <v>599.86999999999989</v>
      </c>
      <c r="V44" s="38">
        <f>IF($V43&lt;=0,0,ROUND($V43-$U44-IF($V43-$U44&lt;=0,0,IF(MOD($A44,Übersicht!$C$25)=0,MIN(Szenarien!$C$9,$V43-$U44),0)),2))</f>
        <v>221909.48</v>
      </c>
      <c r="W44" s="38">
        <f>IF($Y43&lt;=0,0,ROUND($Y43*Übersicht!$C$26,2))</f>
        <v>617.39</v>
      </c>
      <c r="X44" s="38">
        <f>IF($Y43&lt;=0,0,MIN($Y43,IF(Übersicht!$C$14="Annuitätendarlehen",MAX(0,Übersicht!$C$28-$W44),IF(Übersicht!$C$14="Ratendarlehen",Übersicht!$C$29,IF($A44&gt;=Übersicht!$C$30,$Y43,0)))))</f>
        <v>622.18999999999994</v>
      </c>
      <c r="Y44" s="38">
        <f>IF($Y43&lt;=0,0,ROUND($Y43-$X44-IF($Y43-$X44&lt;=0,0,IF(MOD($A44,Übersicht!$C$25)=0,MIN(Szenarien!$C$10,$Y43-$X44),0)),2))</f>
        <v>214121.16</v>
      </c>
      <c r="Z44" s="38">
        <f>IF($AB43&lt;=0,0,ROUND($AB43*Übersicht!$C$26,2))</f>
        <v>595.05999999999995</v>
      </c>
      <c r="AA44" s="38">
        <f>IF($AB43&lt;=0,0,MIN($AB43,IF(Übersicht!$C$14="Annuitätendarlehen",MAX(0,Übersicht!$C$28-$Z44),IF(Übersicht!$C$14="Ratendarlehen",Übersicht!$C$29,IF($A44&gt;=Übersicht!$C$30,$AB43,0)))))</f>
        <v>644.52</v>
      </c>
      <c r="AB44" s="38">
        <f>IF($AB43&lt;=0,0,ROUND($AB43-$AA44-IF($AB43-$AA44&lt;=0,0,IF(MOD($A44,Übersicht!$C$25)=0,MIN(Szenarien!$C$11,$AB43-$AA44),0)),2))</f>
        <v>206332.9</v>
      </c>
      <c r="AC44" s="38">
        <f>IF($AE43&lt;=0,0,ROUND($AE43*Übersicht!$C$26,2))</f>
        <v>550.41</v>
      </c>
      <c r="AD44" s="38">
        <f>IF($AE43&lt;=0,0,MIN($AE43,IF(Übersicht!$C$14="Annuitätendarlehen",MAX(0,Übersicht!$C$28-$AC44),IF(Übersicht!$C$14="Ratendarlehen",Übersicht!$C$29,IF($A44&gt;=Übersicht!$C$30,$AE43,0)))))</f>
        <v>689.17</v>
      </c>
      <c r="AE44" s="38">
        <f>IF($AE43&lt;=0,0,ROUND($AE43-$AD44-IF($AE43-$AD44&lt;=0,0,IF(MOD($A44,Übersicht!$C$25)=0,MIN(Szenarien!$C$12,$AE43-$AD44),0)),2))</f>
        <v>190756.36</v>
      </c>
    </row>
    <row r="45" spans="1:31" ht="15" customHeight="1" x14ac:dyDescent="0.25">
      <c r="A45" s="26">
        <v>38</v>
      </c>
      <c r="B45" s="39">
        <f>IF($D45&lt;=0,"",EDATE(Übersicht!$C$18,($A45-1)*12/Übersicht!$C$25))</f>
        <v>47177</v>
      </c>
      <c r="C45" s="26">
        <f t="shared" si="0"/>
        <v>2029</v>
      </c>
      <c r="D45" s="40">
        <f t="shared" si="4"/>
        <v>214121.16</v>
      </c>
      <c r="E45" s="28">
        <f t="shared" si="1"/>
        <v>1239.58</v>
      </c>
      <c r="F45" s="28">
        <f>IF($D45&lt;=0,0,ROUND($D45*Übersicht!$C$26,2))</f>
        <v>615.6</v>
      </c>
      <c r="G45" s="28">
        <f>IF($D45&lt;=0,0,MIN($D45,IF(Übersicht!$C$14="Annuitätendarlehen",MAX(0,Übersicht!$C$28-$F45),IF(Übersicht!$C$14="Ratendarlehen",Übersicht!$C$29,IF($A45&gt;=Übersicht!$C$30,$D45,0)))))</f>
        <v>623.9799999999999</v>
      </c>
      <c r="H45" s="28">
        <f>IF($D45-$G45&lt;=0,0,IF(MOD($A45,Übersicht!$C$25)=0,MIN(Übersicht!$C$31,$D45-$G45),0))</f>
        <v>0</v>
      </c>
      <c r="I45" s="28">
        <f t="shared" si="2"/>
        <v>1239.58</v>
      </c>
      <c r="J45" s="28">
        <f t="shared" si="3"/>
        <v>213497.18</v>
      </c>
      <c r="K45" s="28">
        <f t="shared" si="5"/>
        <v>25601.219999999998</v>
      </c>
      <c r="L45" s="28">
        <f t="shared" si="6"/>
        <v>36502.82</v>
      </c>
      <c r="M45" s="29">
        <f>IF($D45&lt;=0,"",IF(Übersicht!$C$11=0,0,$L45/Übersicht!$C$11))</f>
        <v>0.14601127999999999</v>
      </c>
      <c r="N45" s="30" t="str">
        <f>IF($D45&lt;=0,"",IF($J45&lt;=0.005,"Volltilgung erreicht",IF($A45=Übersicht!$C$19*Übersicht!$C$25,"Ende der Zinsbindung",IF($H45&gt;0,"Sondertilgung verrechnet",""))))</f>
        <v/>
      </c>
      <c r="Q45" s="38">
        <f>IF($S44&lt;=0,0,ROUND($S44*Übersicht!$C$26,2))</f>
        <v>660.38</v>
      </c>
      <c r="R45" s="38">
        <f>IF($S44&lt;=0,0,MIN($S44,IF(Übersicht!$C$14="Annuitätendarlehen",MAX(0,Übersicht!$C$28-$Q45),IF(Übersicht!$C$14="Ratendarlehen",Übersicht!$C$29,IF($A45&gt;=Übersicht!$C$30,$S44,0)))))</f>
        <v>579.19999999999993</v>
      </c>
      <c r="S45" s="38">
        <f>IF($S44&lt;=0,0,ROUND($S44-$R45-IF($S44-$R45&lt;=0,0,IF(MOD($A45,Übersicht!$C$25)=0,MIN(Szenarien!$C$8,$S44-$R45),0)),2))</f>
        <v>229118.51</v>
      </c>
      <c r="T45" s="38">
        <f>IF($V44&lt;=0,0,ROUND($V44*Übersicht!$C$26,2))</f>
        <v>637.99</v>
      </c>
      <c r="U45" s="38">
        <f>IF($V44&lt;=0,0,MIN($V44,IF(Übersicht!$C$14="Annuitätendarlehen",MAX(0,Übersicht!$C$28-$T45),IF(Übersicht!$C$14="Ratendarlehen",Übersicht!$C$29,IF($A45&gt;=Übersicht!$C$30,$V44,0)))))</f>
        <v>601.58999999999992</v>
      </c>
      <c r="V45" s="38">
        <f>IF($V44&lt;=0,0,ROUND($V44-$U45-IF($V44-$U45&lt;=0,0,IF(MOD($A45,Übersicht!$C$25)=0,MIN(Szenarien!$C$9,$V44-$U45),0)),2))</f>
        <v>221307.89</v>
      </c>
      <c r="W45" s="38">
        <f>IF($Y44&lt;=0,0,ROUND($Y44*Übersicht!$C$26,2))</f>
        <v>615.6</v>
      </c>
      <c r="X45" s="38">
        <f>IF($Y44&lt;=0,0,MIN($Y44,IF(Übersicht!$C$14="Annuitätendarlehen",MAX(0,Übersicht!$C$28-$W45),IF(Übersicht!$C$14="Ratendarlehen",Übersicht!$C$29,IF($A45&gt;=Übersicht!$C$30,$Y44,0)))))</f>
        <v>623.9799999999999</v>
      </c>
      <c r="Y45" s="38">
        <f>IF($Y44&lt;=0,0,ROUND($Y44-$X45-IF($Y44-$X45&lt;=0,0,IF(MOD($A45,Übersicht!$C$25)=0,MIN(Szenarien!$C$10,$Y44-$X45),0)),2))</f>
        <v>213497.18</v>
      </c>
      <c r="Z45" s="38">
        <f>IF($AB44&lt;=0,0,ROUND($AB44*Übersicht!$C$26,2))</f>
        <v>593.21</v>
      </c>
      <c r="AA45" s="38">
        <f>IF($AB44&lt;=0,0,MIN($AB44,IF(Übersicht!$C$14="Annuitätendarlehen",MAX(0,Übersicht!$C$28-$Z45),IF(Übersicht!$C$14="Ratendarlehen",Übersicht!$C$29,IF($A45&gt;=Übersicht!$C$30,$AB44,0)))))</f>
        <v>646.36999999999989</v>
      </c>
      <c r="AB45" s="38">
        <f>IF($AB44&lt;=0,0,ROUND($AB44-$AA45-IF($AB44-$AA45&lt;=0,0,IF(MOD($A45,Übersicht!$C$25)=0,MIN(Szenarien!$C$11,$AB44-$AA45),0)),2))</f>
        <v>205686.53</v>
      </c>
      <c r="AC45" s="38">
        <f>IF($AE44&lt;=0,0,ROUND($AE44*Übersicht!$C$26,2))</f>
        <v>548.41999999999996</v>
      </c>
      <c r="AD45" s="38">
        <f>IF($AE44&lt;=0,0,MIN($AE44,IF(Übersicht!$C$14="Annuitätendarlehen",MAX(0,Übersicht!$C$28-$AC45),IF(Übersicht!$C$14="Ratendarlehen",Übersicht!$C$29,IF($A45&gt;=Übersicht!$C$30,$AE44,0)))))</f>
        <v>691.16</v>
      </c>
      <c r="AE45" s="38">
        <f>IF($AE44&lt;=0,0,ROUND($AE44-$AD45-IF($AE44-$AD45&lt;=0,0,IF(MOD($A45,Übersicht!$C$25)=0,MIN(Szenarien!$C$12,$AE44-$AD45),0)),2))</f>
        <v>190065.2</v>
      </c>
    </row>
    <row r="46" spans="1:31" ht="15" customHeight="1" x14ac:dyDescent="0.25">
      <c r="A46" s="21">
        <v>39</v>
      </c>
      <c r="B46" s="36">
        <f>IF($D46&lt;=0,"",EDATE(Übersicht!$C$18,($A46-1)*12/Übersicht!$C$25))</f>
        <v>47208</v>
      </c>
      <c r="C46" s="21">
        <f t="shared" si="0"/>
        <v>2029</v>
      </c>
      <c r="D46" s="37">
        <f t="shared" si="4"/>
        <v>213497.18</v>
      </c>
      <c r="E46" s="23">
        <f t="shared" si="1"/>
        <v>1239.58</v>
      </c>
      <c r="F46" s="23">
        <f>IF($D46&lt;=0,0,ROUND($D46*Übersicht!$C$26,2))</f>
        <v>613.79999999999995</v>
      </c>
      <c r="G46" s="23">
        <f>IF($D46&lt;=0,0,MIN($D46,IF(Übersicht!$C$14="Annuitätendarlehen",MAX(0,Übersicht!$C$28-$F46),IF(Übersicht!$C$14="Ratendarlehen",Übersicht!$C$29,IF($A46&gt;=Übersicht!$C$30,$D46,0)))))</f>
        <v>625.78</v>
      </c>
      <c r="H46" s="23">
        <f>IF($D46-$G46&lt;=0,0,IF(MOD($A46,Übersicht!$C$25)=0,MIN(Übersicht!$C$31,$D46-$G46),0))</f>
        <v>0</v>
      </c>
      <c r="I46" s="23">
        <f t="shared" si="2"/>
        <v>1239.58</v>
      </c>
      <c r="J46" s="23">
        <f t="shared" si="3"/>
        <v>212871.4</v>
      </c>
      <c r="K46" s="23">
        <f t="shared" si="5"/>
        <v>26215.019999999997</v>
      </c>
      <c r="L46" s="23">
        <f t="shared" si="6"/>
        <v>37128.6</v>
      </c>
      <c r="M46" s="24">
        <f>IF($D46&lt;=0,"",IF(Übersicht!$C$11=0,0,$L46/Übersicht!$C$11))</f>
        <v>0.14851439999999999</v>
      </c>
      <c r="N46" s="25" t="str">
        <f>IF($D46&lt;=0,"",IF($J46&lt;=0.005,"Volltilgung erreicht",IF($A46=Übersicht!$C$19*Übersicht!$C$25,"Ende der Zinsbindung",IF($H46&gt;0,"Sondertilgung verrechnet",""))))</f>
        <v/>
      </c>
      <c r="Q46" s="38">
        <f>IF($S45&lt;=0,0,ROUND($S45*Übersicht!$C$26,2))</f>
        <v>658.72</v>
      </c>
      <c r="R46" s="38">
        <f>IF($S45&lt;=0,0,MIN($S45,IF(Übersicht!$C$14="Annuitätendarlehen",MAX(0,Übersicht!$C$28-$Q46),IF(Übersicht!$C$14="Ratendarlehen",Übersicht!$C$29,IF($A46&gt;=Übersicht!$C$30,$S45,0)))))</f>
        <v>580.8599999999999</v>
      </c>
      <c r="S46" s="38">
        <f>IF($S45&lt;=0,0,ROUND($S45-$R46-IF($S45-$R46&lt;=0,0,IF(MOD($A46,Übersicht!$C$25)=0,MIN(Szenarien!$C$8,$S45-$R46),0)),2))</f>
        <v>228537.65</v>
      </c>
      <c r="T46" s="38">
        <f>IF($V45&lt;=0,0,ROUND($V45*Übersicht!$C$26,2))</f>
        <v>636.26</v>
      </c>
      <c r="U46" s="38">
        <f>IF($V45&lt;=0,0,MIN($V45,IF(Übersicht!$C$14="Annuitätendarlehen",MAX(0,Übersicht!$C$28-$T46),IF(Übersicht!$C$14="Ratendarlehen",Übersicht!$C$29,IF($A46&gt;=Übersicht!$C$30,$V45,0)))))</f>
        <v>603.31999999999994</v>
      </c>
      <c r="V46" s="38">
        <f>IF($V45&lt;=0,0,ROUND($V45-$U46-IF($V45-$U46&lt;=0,0,IF(MOD($A46,Übersicht!$C$25)=0,MIN(Szenarien!$C$9,$V45-$U46),0)),2))</f>
        <v>220704.57</v>
      </c>
      <c r="W46" s="38">
        <f>IF($Y45&lt;=0,0,ROUND($Y45*Übersicht!$C$26,2))</f>
        <v>613.79999999999995</v>
      </c>
      <c r="X46" s="38">
        <f>IF($Y45&lt;=0,0,MIN($Y45,IF(Übersicht!$C$14="Annuitätendarlehen",MAX(0,Übersicht!$C$28-$W46),IF(Übersicht!$C$14="Ratendarlehen",Übersicht!$C$29,IF($A46&gt;=Übersicht!$C$30,$Y45,0)))))</f>
        <v>625.78</v>
      </c>
      <c r="Y46" s="38">
        <f>IF($Y45&lt;=0,0,ROUND($Y45-$X46-IF($Y45-$X46&lt;=0,0,IF(MOD($A46,Übersicht!$C$25)=0,MIN(Szenarien!$C$10,$Y45-$X46),0)),2))</f>
        <v>212871.4</v>
      </c>
      <c r="Z46" s="38">
        <f>IF($AB45&lt;=0,0,ROUND($AB45*Übersicht!$C$26,2))</f>
        <v>591.35</v>
      </c>
      <c r="AA46" s="38">
        <f>IF($AB45&lt;=0,0,MIN($AB45,IF(Übersicht!$C$14="Annuitätendarlehen",MAX(0,Übersicht!$C$28-$Z46),IF(Übersicht!$C$14="Ratendarlehen",Übersicht!$C$29,IF($A46&gt;=Übersicht!$C$30,$AB45,0)))))</f>
        <v>648.2299999999999</v>
      </c>
      <c r="AB46" s="38">
        <f>IF($AB45&lt;=0,0,ROUND($AB45-$AA46-IF($AB45-$AA46&lt;=0,0,IF(MOD($A46,Übersicht!$C$25)=0,MIN(Szenarien!$C$11,$AB45-$AA46),0)),2))</f>
        <v>205038.3</v>
      </c>
      <c r="AC46" s="38">
        <f>IF($AE45&lt;=0,0,ROUND($AE45*Übersicht!$C$26,2))</f>
        <v>546.44000000000005</v>
      </c>
      <c r="AD46" s="38">
        <f>IF($AE45&lt;=0,0,MIN($AE45,IF(Übersicht!$C$14="Annuitätendarlehen",MAX(0,Übersicht!$C$28-$AC46),IF(Übersicht!$C$14="Ratendarlehen",Übersicht!$C$29,IF($A46&gt;=Übersicht!$C$30,$AE45,0)))))</f>
        <v>693.13999999999987</v>
      </c>
      <c r="AE46" s="38">
        <f>IF($AE45&lt;=0,0,ROUND($AE45-$AD46-IF($AE45-$AD46&lt;=0,0,IF(MOD($A46,Übersicht!$C$25)=0,MIN(Szenarien!$C$12,$AE45-$AD46),0)),2))</f>
        <v>189372.06</v>
      </c>
    </row>
    <row r="47" spans="1:31" ht="15" customHeight="1" x14ac:dyDescent="0.25">
      <c r="A47" s="26">
        <v>40</v>
      </c>
      <c r="B47" s="39">
        <f>IF($D47&lt;=0,"",EDATE(Übersicht!$C$18,($A47-1)*12/Übersicht!$C$25))</f>
        <v>47238</v>
      </c>
      <c r="C47" s="26">
        <f t="shared" si="0"/>
        <v>2029</v>
      </c>
      <c r="D47" s="40">
        <f t="shared" si="4"/>
        <v>212871.4</v>
      </c>
      <c r="E47" s="28">
        <f t="shared" si="1"/>
        <v>1239.58</v>
      </c>
      <c r="F47" s="28">
        <f>IF($D47&lt;=0,0,ROUND($D47*Übersicht!$C$26,2))</f>
        <v>612.01</v>
      </c>
      <c r="G47" s="28">
        <f>IF($D47&lt;=0,0,MIN($D47,IF(Übersicht!$C$14="Annuitätendarlehen",MAX(0,Übersicht!$C$28-$F47),IF(Übersicht!$C$14="Ratendarlehen",Übersicht!$C$29,IF($A47&gt;=Übersicht!$C$30,$D47,0)))))</f>
        <v>627.56999999999994</v>
      </c>
      <c r="H47" s="28">
        <f>IF($D47-$G47&lt;=0,0,IF(MOD($A47,Übersicht!$C$25)=0,MIN(Übersicht!$C$31,$D47-$G47),0))</f>
        <v>0</v>
      </c>
      <c r="I47" s="28">
        <f t="shared" si="2"/>
        <v>1239.58</v>
      </c>
      <c r="J47" s="28">
        <f t="shared" si="3"/>
        <v>212243.83</v>
      </c>
      <c r="K47" s="28">
        <f t="shared" si="5"/>
        <v>26827.029999999995</v>
      </c>
      <c r="L47" s="28">
        <f t="shared" si="6"/>
        <v>37756.17</v>
      </c>
      <c r="M47" s="29">
        <f>IF($D47&lt;=0,"",IF(Übersicht!$C$11=0,0,$L47/Übersicht!$C$11))</f>
        <v>0.15102467999999999</v>
      </c>
      <c r="N47" s="30" t="str">
        <f>IF($D47&lt;=0,"",IF($J47&lt;=0.005,"Volltilgung erreicht",IF($A47=Übersicht!$C$19*Übersicht!$C$25,"Ende der Zinsbindung",IF($H47&gt;0,"Sondertilgung verrechnet",""))))</f>
        <v/>
      </c>
      <c r="Q47" s="38">
        <f>IF($S46&lt;=0,0,ROUND($S46*Übersicht!$C$26,2))</f>
        <v>657.05</v>
      </c>
      <c r="R47" s="38">
        <f>IF($S46&lt;=0,0,MIN($S46,IF(Übersicht!$C$14="Annuitätendarlehen",MAX(0,Übersicht!$C$28-$Q47),IF(Übersicht!$C$14="Ratendarlehen",Übersicht!$C$29,IF($A47&gt;=Übersicht!$C$30,$S46,0)))))</f>
        <v>582.53</v>
      </c>
      <c r="S47" s="38">
        <f>IF($S46&lt;=0,0,ROUND($S46-$R47-IF($S46-$R47&lt;=0,0,IF(MOD($A47,Übersicht!$C$25)=0,MIN(Szenarien!$C$8,$S46-$R47),0)),2))</f>
        <v>227955.12</v>
      </c>
      <c r="T47" s="38">
        <f>IF($V46&lt;=0,0,ROUND($V46*Übersicht!$C$26,2))</f>
        <v>634.53</v>
      </c>
      <c r="U47" s="38">
        <f>IF($V46&lt;=0,0,MIN($V46,IF(Übersicht!$C$14="Annuitätendarlehen",MAX(0,Übersicht!$C$28-$T47),IF(Übersicht!$C$14="Ratendarlehen",Übersicht!$C$29,IF($A47&gt;=Übersicht!$C$30,$V46,0)))))</f>
        <v>605.04999999999995</v>
      </c>
      <c r="V47" s="38">
        <f>IF($V46&lt;=0,0,ROUND($V46-$U47-IF($V46-$U47&lt;=0,0,IF(MOD($A47,Übersicht!$C$25)=0,MIN(Szenarien!$C$9,$V46-$U47),0)),2))</f>
        <v>220099.52</v>
      </c>
      <c r="W47" s="38">
        <f>IF($Y46&lt;=0,0,ROUND($Y46*Übersicht!$C$26,2))</f>
        <v>612.01</v>
      </c>
      <c r="X47" s="38">
        <f>IF($Y46&lt;=0,0,MIN($Y46,IF(Übersicht!$C$14="Annuitätendarlehen",MAX(0,Übersicht!$C$28-$W47),IF(Übersicht!$C$14="Ratendarlehen",Übersicht!$C$29,IF($A47&gt;=Übersicht!$C$30,$Y46,0)))))</f>
        <v>627.56999999999994</v>
      </c>
      <c r="Y47" s="38">
        <f>IF($Y46&lt;=0,0,ROUND($Y46-$X47-IF($Y46-$X47&lt;=0,0,IF(MOD($A47,Übersicht!$C$25)=0,MIN(Szenarien!$C$10,$Y46-$X47),0)),2))</f>
        <v>212243.83</v>
      </c>
      <c r="Z47" s="38">
        <f>IF($AB46&lt;=0,0,ROUND($AB46*Übersicht!$C$26,2))</f>
        <v>589.49</v>
      </c>
      <c r="AA47" s="38">
        <f>IF($AB46&lt;=0,0,MIN($AB46,IF(Übersicht!$C$14="Annuitätendarlehen",MAX(0,Übersicht!$C$28-$Z47),IF(Übersicht!$C$14="Ratendarlehen",Übersicht!$C$29,IF($A47&gt;=Übersicht!$C$30,$AB46,0)))))</f>
        <v>650.08999999999992</v>
      </c>
      <c r="AB47" s="38">
        <f>IF($AB46&lt;=0,0,ROUND($AB46-$AA47-IF($AB46-$AA47&lt;=0,0,IF(MOD($A47,Übersicht!$C$25)=0,MIN(Szenarien!$C$11,$AB46-$AA47),0)),2))</f>
        <v>204388.21</v>
      </c>
      <c r="AC47" s="38">
        <f>IF($AE46&lt;=0,0,ROUND($AE46*Übersicht!$C$26,2))</f>
        <v>544.44000000000005</v>
      </c>
      <c r="AD47" s="38">
        <f>IF($AE46&lt;=0,0,MIN($AE46,IF(Übersicht!$C$14="Annuitätendarlehen",MAX(0,Übersicht!$C$28-$AC47),IF(Übersicht!$C$14="Ratendarlehen",Übersicht!$C$29,IF($A47&gt;=Übersicht!$C$30,$AE46,0)))))</f>
        <v>695.13999999999987</v>
      </c>
      <c r="AE47" s="38">
        <f>IF($AE46&lt;=0,0,ROUND($AE46-$AD47-IF($AE46-$AD47&lt;=0,0,IF(MOD($A47,Übersicht!$C$25)=0,MIN(Szenarien!$C$12,$AE46-$AD47),0)),2))</f>
        <v>188676.92</v>
      </c>
    </row>
    <row r="48" spans="1:31" ht="15" customHeight="1" x14ac:dyDescent="0.25">
      <c r="A48" s="21">
        <v>41</v>
      </c>
      <c r="B48" s="36">
        <f>IF($D48&lt;=0,"",EDATE(Übersicht!$C$18,($A48-1)*12/Übersicht!$C$25))</f>
        <v>47269</v>
      </c>
      <c r="C48" s="21">
        <f t="shared" si="0"/>
        <v>2029</v>
      </c>
      <c r="D48" s="37">
        <f t="shared" si="4"/>
        <v>212243.83</v>
      </c>
      <c r="E48" s="23">
        <f t="shared" si="1"/>
        <v>1239.58</v>
      </c>
      <c r="F48" s="23">
        <f>IF($D48&lt;=0,0,ROUND($D48*Übersicht!$C$26,2))</f>
        <v>610.20000000000005</v>
      </c>
      <c r="G48" s="23">
        <f>IF($D48&lt;=0,0,MIN($D48,IF(Übersicht!$C$14="Annuitätendarlehen",MAX(0,Übersicht!$C$28-$F48),IF(Übersicht!$C$14="Ratendarlehen",Übersicht!$C$29,IF($A48&gt;=Übersicht!$C$30,$D48,0)))))</f>
        <v>629.37999999999988</v>
      </c>
      <c r="H48" s="23">
        <f>IF($D48-$G48&lt;=0,0,IF(MOD($A48,Übersicht!$C$25)=0,MIN(Übersicht!$C$31,$D48-$G48),0))</f>
        <v>0</v>
      </c>
      <c r="I48" s="23">
        <f t="shared" si="2"/>
        <v>1239.58</v>
      </c>
      <c r="J48" s="23">
        <f t="shared" si="3"/>
        <v>211614.45</v>
      </c>
      <c r="K48" s="23">
        <f t="shared" si="5"/>
        <v>27437.229999999996</v>
      </c>
      <c r="L48" s="23">
        <f t="shared" si="6"/>
        <v>38385.550000000003</v>
      </c>
      <c r="M48" s="24">
        <f>IF($D48&lt;=0,"",IF(Übersicht!$C$11=0,0,$L48/Übersicht!$C$11))</f>
        <v>0.15354220000000002</v>
      </c>
      <c r="N48" s="25" t="str">
        <f>IF($D48&lt;=0,"",IF($J48&lt;=0.005,"Volltilgung erreicht",IF($A48=Übersicht!$C$19*Übersicht!$C$25,"Ende der Zinsbindung",IF($H48&gt;0,"Sondertilgung verrechnet",""))))</f>
        <v/>
      </c>
      <c r="Q48" s="38">
        <f>IF($S47&lt;=0,0,ROUND($S47*Übersicht!$C$26,2))</f>
        <v>655.37</v>
      </c>
      <c r="R48" s="38">
        <f>IF($S47&lt;=0,0,MIN($S47,IF(Übersicht!$C$14="Annuitätendarlehen",MAX(0,Übersicht!$C$28-$Q48),IF(Übersicht!$C$14="Ratendarlehen",Übersicht!$C$29,IF($A48&gt;=Übersicht!$C$30,$S47,0)))))</f>
        <v>584.20999999999992</v>
      </c>
      <c r="S48" s="38">
        <f>IF($S47&lt;=0,0,ROUND($S47-$R48-IF($S47-$R48&lt;=0,0,IF(MOD($A48,Übersicht!$C$25)=0,MIN(Szenarien!$C$8,$S47-$R48),0)),2))</f>
        <v>227370.91</v>
      </c>
      <c r="T48" s="38">
        <f>IF($V47&lt;=0,0,ROUND($V47*Übersicht!$C$26,2))</f>
        <v>632.79</v>
      </c>
      <c r="U48" s="38">
        <f>IF($V47&lt;=0,0,MIN($V47,IF(Übersicht!$C$14="Annuitätendarlehen",MAX(0,Übersicht!$C$28-$T48),IF(Übersicht!$C$14="Ratendarlehen",Übersicht!$C$29,IF($A48&gt;=Übersicht!$C$30,$V47,0)))))</f>
        <v>606.79</v>
      </c>
      <c r="V48" s="38">
        <f>IF($V47&lt;=0,0,ROUND($V47-$U48-IF($V47-$U48&lt;=0,0,IF(MOD($A48,Übersicht!$C$25)=0,MIN(Szenarien!$C$9,$V47-$U48),0)),2))</f>
        <v>219492.73</v>
      </c>
      <c r="W48" s="38">
        <f>IF($Y47&lt;=0,0,ROUND($Y47*Übersicht!$C$26,2))</f>
        <v>610.20000000000005</v>
      </c>
      <c r="X48" s="38">
        <f>IF($Y47&lt;=0,0,MIN($Y47,IF(Übersicht!$C$14="Annuitätendarlehen",MAX(0,Übersicht!$C$28-$W48),IF(Übersicht!$C$14="Ratendarlehen",Übersicht!$C$29,IF($A48&gt;=Übersicht!$C$30,$Y47,0)))))</f>
        <v>629.37999999999988</v>
      </c>
      <c r="Y48" s="38">
        <f>IF($Y47&lt;=0,0,ROUND($Y47-$X48-IF($Y47-$X48&lt;=0,0,IF(MOD($A48,Übersicht!$C$25)=0,MIN(Szenarien!$C$10,$Y47-$X48),0)),2))</f>
        <v>211614.45</v>
      </c>
      <c r="Z48" s="38">
        <f>IF($AB47&lt;=0,0,ROUND($AB47*Übersicht!$C$26,2))</f>
        <v>587.62</v>
      </c>
      <c r="AA48" s="38">
        <f>IF($AB47&lt;=0,0,MIN($AB47,IF(Übersicht!$C$14="Annuitätendarlehen",MAX(0,Übersicht!$C$28-$Z48),IF(Übersicht!$C$14="Ratendarlehen",Übersicht!$C$29,IF($A48&gt;=Übersicht!$C$30,$AB47,0)))))</f>
        <v>651.95999999999992</v>
      </c>
      <c r="AB48" s="38">
        <f>IF($AB47&lt;=0,0,ROUND($AB47-$AA48-IF($AB47-$AA48&lt;=0,0,IF(MOD($A48,Übersicht!$C$25)=0,MIN(Szenarien!$C$11,$AB47-$AA48),0)),2))</f>
        <v>203736.25</v>
      </c>
      <c r="AC48" s="38">
        <f>IF($AE47&lt;=0,0,ROUND($AE47*Übersicht!$C$26,2))</f>
        <v>542.45000000000005</v>
      </c>
      <c r="AD48" s="38">
        <f>IF($AE47&lt;=0,0,MIN($AE47,IF(Übersicht!$C$14="Annuitätendarlehen",MAX(0,Übersicht!$C$28-$AC48),IF(Übersicht!$C$14="Ratendarlehen",Übersicht!$C$29,IF($A48&gt;=Übersicht!$C$30,$AE47,0)))))</f>
        <v>697.12999999999988</v>
      </c>
      <c r="AE48" s="38">
        <f>IF($AE47&lt;=0,0,ROUND($AE47-$AD48-IF($AE47-$AD48&lt;=0,0,IF(MOD($A48,Übersicht!$C$25)=0,MIN(Szenarien!$C$12,$AE47-$AD48),0)),2))</f>
        <v>187979.79</v>
      </c>
    </row>
    <row r="49" spans="1:31" ht="15" customHeight="1" x14ac:dyDescent="0.25">
      <c r="A49" s="26">
        <v>42</v>
      </c>
      <c r="B49" s="39">
        <f>IF($D49&lt;=0,"",EDATE(Übersicht!$C$18,($A49-1)*12/Übersicht!$C$25))</f>
        <v>47299</v>
      </c>
      <c r="C49" s="26">
        <f t="shared" si="0"/>
        <v>2029</v>
      </c>
      <c r="D49" s="40">
        <f t="shared" si="4"/>
        <v>211614.45</v>
      </c>
      <c r="E49" s="28">
        <f t="shared" si="1"/>
        <v>1239.58</v>
      </c>
      <c r="F49" s="28">
        <f>IF($D49&lt;=0,0,ROUND($D49*Übersicht!$C$26,2))</f>
        <v>608.39</v>
      </c>
      <c r="G49" s="28">
        <f>IF($D49&lt;=0,0,MIN($D49,IF(Übersicht!$C$14="Annuitätendarlehen",MAX(0,Übersicht!$C$28-$F49),IF(Übersicht!$C$14="Ratendarlehen",Übersicht!$C$29,IF($A49&gt;=Übersicht!$C$30,$D49,0)))))</f>
        <v>631.18999999999994</v>
      </c>
      <c r="H49" s="28">
        <f>IF($D49-$G49&lt;=0,0,IF(MOD($A49,Übersicht!$C$25)=0,MIN(Übersicht!$C$31,$D49-$G49),0))</f>
        <v>0</v>
      </c>
      <c r="I49" s="28">
        <f t="shared" si="2"/>
        <v>1239.58</v>
      </c>
      <c r="J49" s="28">
        <f t="shared" si="3"/>
        <v>210983.26</v>
      </c>
      <c r="K49" s="28">
        <f t="shared" si="5"/>
        <v>28045.619999999995</v>
      </c>
      <c r="L49" s="28">
        <f t="shared" si="6"/>
        <v>39016.74</v>
      </c>
      <c r="M49" s="29">
        <f>IF($D49&lt;=0,"",IF(Übersicht!$C$11=0,0,$L49/Übersicht!$C$11))</f>
        <v>0.15606696</v>
      </c>
      <c r="N49" s="30" t="str">
        <f>IF($D49&lt;=0,"",IF($J49&lt;=0.005,"Volltilgung erreicht",IF($A49=Übersicht!$C$19*Übersicht!$C$25,"Ende der Zinsbindung",IF($H49&gt;0,"Sondertilgung verrechnet",""))))</f>
        <v/>
      </c>
      <c r="Q49" s="38">
        <f>IF($S48&lt;=0,0,ROUND($S48*Übersicht!$C$26,2))</f>
        <v>653.69000000000005</v>
      </c>
      <c r="R49" s="38">
        <f>IF($S48&lt;=0,0,MIN($S48,IF(Übersicht!$C$14="Annuitätendarlehen",MAX(0,Übersicht!$C$28-$Q49),IF(Übersicht!$C$14="Ratendarlehen",Übersicht!$C$29,IF($A49&gt;=Übersicht!$C$30,$S48,0)))))</f>
        <v>585.88999999999987</v>
      </c>
      <c r="S49" s="38">
        <f>IF($S48&lt;=0,0,ROUND($S48-$R49-IF($S48-$R49&lt;=0,0,IF(MOD($A49,Übersicht!$C$25)=0,MIN(Szenarien!$C$8,$S48-$R49),0)),2))</f>
        <v>226785.02</v>
      </c>
      <c r="T49" s="38">
        <f>IF($V48&lt;=0,0,ROUND($V48*Übersicht!$C$26,2))</f>
        <v>631.04</v>
      </c>
      <c r="U49" s="38">
        <f>IF($V48&lt;=0,0,MIN($V48,IF(Übersicht!$C$14="Annuitätendarlehen",MAX(0,Übersicht!$C$28-$T49),IF(Übersicht!$C$14="Ratendarlehen",Übersicht!$C$29,IF($A49&gt;=Übersicht!$C$30,$V48,0)))))</f>
        <v>608.54</v>
      </c>
      <c r="V49" s="38">
        <f>IF($V48&lt;=0,0,ROUND($V48-$U49-IF($V48-$U49&lt;=0,0,IF(MOD($A49,Übersicht!$C$25)=0,MIN(Szenarien!$C$9,$V48-$U49),0)),2))</f>
        <v>218884.19</v>
      </c>
      <c r="W49" s="38">
        <f>IF($Y48&lt;=0,0,ROUND($Y48*Übersicht!$C$26,2))</f>
        <v>608.39</v>
      </c>
      <c r="X49" s="38">
        <f>IF($Y48&lt;=0,0,MIN($Y48,IF(Übersicht!$C$14="Annuitätendarlehen",MAX(0,Übersicht!$C$28-$W49),IF(Übersicht!$C$14="Ratendarlehen",Übersicht!$C$29,IF($A49&gt;=Übersicht!$C$30,$Y48,0)))))</f>
        <v>631.18999999999994</v>
      </c>
      <c r="Y49" s="38">
        <f>IF($Y48&lt;=0,0,ROUND($Y48-$X49-IF($Y48-$X49&lt;=0,0,IF(MOD($A49,Übersicht!$C$25)=0,MIN(Szenarien!$C$10,$Y48-$X49),0)),2))</f>
        <v>210983.26</v>
      </c>
      <c r="Z49" s="38">
        <f>IF($AB48&lt;=0,0,ROUND($AB48*Übersicht!$C$26,2))</f>
        <v>585.74</v>
      </c>
      <c r="AA49" s="38">
        <f>IF($AB48&lt;=0,0,MIN($AB48,IF(Übersicht!$C$14="Annuitätendarlehen",MAX(0,Übersicht!$C$28-$Z49),IF(Übersicht!$C$14="Ratendarlehen",Übersicht!$C$29,IF($A49&gt;=Übersicht!$C$30,$AB48,0)))))</f>
        <v>653.83999999999992</v>
      </c>
      <c r="AB49" s="38">
        <f>IF($AB48&lt;=0,0,ROUND($AB48-$AA49-IF($AB48-$AA49&lt;=0,0,IF(MOD($A49,Übersicht!$C$25)=0,MIN(Szenarien!$C$11,$AB48-$AA49),0)),2))</f>
        <v>203082.41</v>
      </c>
      <c r="AC49" s="38">
        <f>IF($AE48&lt;=0,0,ROUND($AE48*Übersicht!$C$26,2))</f>
        <v>540.44000000000005</v>
      </c>
      <c r="AD49" s="38">
        <f>IF($AE48&lt;=0,0,MIN($AE48,IF(Übersicht!$C$14="Annuitätendarlehen",MAX(0,Übersicht!$C$28-$AC49),IF(Übersicht!$C$14="Ratendarlehen",Übersicht!$C$29,IF($A49&gt;=Übersicht!$C$30,$AE48,0)))))</f>
        <v>699.13999999999987</v>
      </c>
      <c r="AE49" s="38">
        <f>IF($AE48&lt;=0,0,ROUND($AE48-$AD49-IF($AE48-$AD49&lt;=0,0,IF(MOD($A49,Übersicht!$C$25)=0,MIN(Szenarien!$C$12,$AE48-$AD49),0)),2))</f>
        <v>187280.65</v>
      </c>
    </row>
    <row r="50" spans="1:31" ht="15" customHeight="1" x14ac:dyDescent="0.25">
      <c r="A50" s="21">
        <v>43</v>
      </c>
      <c r="B50" s="36">
        <f>IF($D50&lt;=0,"",EDATE(Übersicht!$C$18,($A50-1)*12/Übersicht!$C$25))</f>
        <v>47330</v>
      </c>
      <c r="C50" s="21">
        <f t="shared" si="0"/>
        <v>2029</v>
      </c>
      <c r="D50" s="37">
        <f t="shared" si="4"/>
        <v>210983.26</v>
      </c>
      <c r="E50" s="23">
        <f t="shared" si="1"/>
        <v>1239.58</v>
      </c>
      <c r="F50" s="23">
        <f>IF($D50&lt;=0,0,ROUND($D50*Übersicht!$C$26,2))</f>
        <v>606.58000000000004</v>
      </c>
      <c r="G50" s="23">
        <f>IF($D50&lt;=0,0,MIN($D50,IF(Übersicht!$C$14="Annuitätendarlehen",MAX(0,Übersicht!$C$28-$F50),IF(Übersicht!$C$14="Ratendarlehen",Übersicht!$C$29,IF($A50&gt;=Übersicht!$C$30,$D50,0)))))</f>
        <v>632.99999999999989</v>
      </c>
      <c r="H50" s="23">
        <f>IF($D50-$G50&lt;=0,0,IF(MOD($A50,Übersicht!$C$25)=0,MIN(Übersicht!$C$31,$D50-$G50),0))</f>
        <v>0</v>
      </c>
      <c r="I50" s="23">
        <f t="shared" si="2"/>
        <v>1239.58</v>
      </c>
      <c r="J50" s="23">
        <f t="shared" si="3"/>
        <v>210350.26</v>
      </c>
      <c r="K50" s="23">
        <f t="shared" si="5"/>
        <v>28652.199999999997</v>
      </c>
      <c r="L50" s="23">
        <f t="shared" si="6"/>
        <v>39649.74</v>
      </c>
      <c r="M50" s="24">
        <f>IF($D50&lt;=0,"",IF(Übersicht!$C$11=0,0,$L50/Übersicht!$C$11))</f>
        <v>0.15859895999999998</v>
      </c>
      <c r="N50" s="25" t="str">
        <f>IF($D50&lt;=0,"",IF($J50&lt;=0.005,"Volltilgung erreicht",IF($A50=Übersicht!$C$19*Übersicht!$C$25,"Ende der Zinsbindung",IF($H50&gt;0,"Sondertilgung verrechnet",""))))</f>
        <v/>
      </c>
      <c r="Q50" s="38">
        <f>IF($S49&lt;=0,0,ROUND($S49*Übersicht!$C$26,2))</f>
        <v>652.01</v>
      </c>
      <c r="R50" s="38">
        <f>IF($S49&lt;=0,0,MIN($S49,IF(Übersicht!$C$14="Annuitätendarlehen",MAX(0,Übersicht!$C$28-$Q50),IF(Übersicht!$C$14="Ratendarlehen",Übersicht!$C$29,IF($A50&gt;=Übersicht!$C$30,$S49,0)))))</f>
        <v>587.56999999999994</v>
      </c>
      <c r="S50" s="38">
        <f>IF($S49&lt;=0,0,ROUND($S49-$R50-IF($S49-$R50&lt;=0,0,IF(MOD($A50,Übersicht!$C$25)=0,MIN(Szenarien!$C$8,$S49-$R50),0)),2))</f>
        <v>226197.45</v>
      </c>
      <c r="T50" s="38">
        <f>IF($V49&lt;=0,0,ROUND($V49*Übersicht!$C$26,2))</f>
        <v>629.29</v>
      </c>
      <c r="U50" s="38">
        <f>IF($V49&lt;=0,0,MIN($V49,IF(Übersicht!$C$14="Annuitätendarlehen",MAX(0,Übersicht!$C$28-$T50),IF(Übersicht!$C$14="Ratendarlehen",Übersicht!$C$29,IF($A50&gt;=Übersicht!$C$30,$V49,0)))))</f>
        <v>610.29</v>
      </c>
      <c r="V50" s="38">
        <f>IF($V49&lt;=0,0,ROUND($V49-$U50-IF($V49-$U50&lt;=0,0,IF(MOD($A50,Übersicht!$C$25)=0,MIN(Szenarien!$C$9,$V49-$U50),0)),2))</f>
        <v>218273.9</v>
      </c>
      <c r="W50" s="38">
        <f>IF($Y49&lt;=0,0,ROUND($Y49*Übersicht!$C$26,2))</f>
        <v>606.58000000000004</v>
      </c>
      <c r="X50" s="38">
        <f>IF($Y49&lt;=0,0,MIN($Y49,IF(Übersicht!$C$14="Annuitätendarlehen",MAX(0,Übersicht!$C$28-$W50),IF(Übersicht!$C$14="Ratendarlehen",Übersicht!$C$29,IF($A50&gt;=Übersicht!$C$30,$Y49,0)))))</f>
        <v>632.99999999999989</v>
      </c>
      <c r="Y50" s="38">
        <f>IF($Y49&lt;=0,0,ROUND($Y49-$X50-IF($Y49-$X50&lt;=0,0,IF(MOD($A50,Übersicht!$C$25)=0,MIN(Szenarien!$C$10,$Y49-$X50),0)),2))</f>
        <v>210350.26</v>
      </c>
      <c r="Z50" s="38">
        <f>IF($AB49&lt;=0,0,ROUND($AB49*Übersicht!$C$26,2))</f>
        <v>583.86</v>
      </c>
      <c r="AA50" s="38">
        <f>IF($AB49&lt;=0,0,MIN($AB49,IF(Übersicht!$C$14="Annuitätendarlehen",MAX(0,Übersicht!$C$28-$Z50),IF(Übersicht!$C$14="Ratendarlehen",Übersicht!$C$29,IF($A50&gt;=Übersicht!$C$30,$AB49,0)))))</f>
        <v>655.71999999999991</v>
      </c>
      <c r="AB50" s="38">
        <f>IF($AB49&lt;=0,0,ROUND($AB49-$AA50-IF($AB49-$AA50&lt;=0,0,IF(MOD($A50,Übersicht!$C$25)=0,MIN(Szenarien!$C$11,$AB49-$AA50),0)),2))</f>
        <v>202426.69</v>
      </c>
      <c r="AC50" s="38">
        <f>IF($AE49&lt;=0,0,ROUND($AE49*Übersicht!$C$26,2))</f>
        <v>538.42999999999995</v>
      </c>
      <c r="AD50" s="38">
        <f>IF($AE49&lt;=0,0,MIN($AE49,IF(Übersicht!$C$14="Annuitätendarlehen",MAX(0,Übersicht!$C$28-$AC50),IF(Übersicht!$C$14="Ratendarlehen",Übersicht!$C$29,IF($A50&gt;=Übersicht!$C$30,$AE49,0)))))</f>
        <v>701.15</v>
      </c>
      <c r="AE50" s="38">
        <f>IF($AE49&lt;=0,0,ROUND($AE49-$AD50-IF($AE49-$AD50&lt;=0,0,IF(MOD($A50,Übersicht!$C$25)=0,MIN(Szenarien!$C$12,$AE49-$AD50),0)),2))</f>
        <v>186579.5</v>
      </c>
    </row>
    <row r="51" spans="1:31" ht="15" customHeight="1" x14ac:dyDescent="0.25">
      <c r="A51" s="26">
        <v>44</v>
      </c>
      <c r="B51" s="39">
        <f>IF($D51&lt;=0,"",EDATE(Übersicht!$C$18,($A51-1)*12/Übersicht!$C$25))</f>
        <v>47361</v>
      </c>
      <c r="C51" s="26">
        <f t="shared" si="0"/>
        <v>2029</v>
      </c>
      <c r="D51" s="40">
        <f t="shared" si="4"/>
        <v>210350.26</v>
      </c>
      <c r="E51" s="28">
        <f t="shared" si="1"/>
        <v>1239.58</v>
      </c>
      <c r="F51" s="28">
        <f>IF($D51&lt;=0,0,ROUND($D51*Übersicht!$C$26,2))</f>
        <v>604.76</v>
      </c>
      <c r="G51" s="28">
        <f>IF($D51&lt;=0,0,MIN($D51,IF(Übersicht!$C$14="Annuitätendarlehen",MAX(0,Übersicht!$C$28-$F51),IF(Übersicht!$C$14="Ratendarlehen",Übersicht!$C$29,IF($A51&gt;=Übersicht!$C$30,$D51,0)))))</f>
        <v>634.81999999999994</v>
      </c>
      <c r="H51" s="28">
        <f>IF($D51-$G51&lt;=0,0,IF(MOD($A51,Übersicht!$C$25)=0,MIN(Übersicht!$C$31,$D51-$G51),0))</f>
        <v>0</v>
      </c>
      <c r="I51" s="28">
        <f t="shared" si="2"/>
        <v>1239.58</v>
      </c>
      <c r="J51" s="28">
        <f t="shared" si="3"/>
        <v>209715.44</v>
      </c>
      <c r="K51" s="28">
        <f t="shared" si="5"/>
        <v>29256.959999999995</v>
      </c>
      <c r="L51" s="28">
        <f t="shared" si="6"/>
        <v>40284.559999999998</v>
      </c>
      <c r="M51" s="29">
        <f>IF($D51&lt;=0,"",IF(Übersicht!$C$11=0,0,$L51/Übersicht!$C$11))</f>
        <v>0.16113823999999999</v>
      </c>
      <c r="N51" s="30" t="str">
        <f>IF($D51&lt;=0,"",IF($J51&lt;=0.005,"Volltilgung erreicht",IF($A51=Übersicht!$C$19*Übersicht!$C$25,"Ende der Zinsbindung",IF($H51&gt;0,"Sondertilgung verrechnet",""))))</f>
        <v/>
      </c>
      <c r="Q51" s="38">
        <f>IF($S50&lt;=0,0,ROUND($S50*Übersicht!$C$26,2))</f>
        <v>650.32000000000005</v>
      </c>
      <c r="R51" s="38">
        <f>IF($S50&lt;=0,0,MIN($S50,IF(Übersicht!$C$14="Annuitätendarlehen",MAX(0,Übersicht!$C$28-$Q51),IF(Übersicht!$C$14="Ratendarlehen",Übersicht!$C$29,IF($A51&gt;=Übersicht!$C$30,$S50,0)))))</f>
        <v>589.25999999999988</v>
      </c>
      <c r="S51" s="38">
        <f>IF($S50&lt;=0,0,ROUND($S50-$R51-IF($S50-$R51&lt;=0,0,IF(MOD($A51,Übersicht!$C$25)=0,MIN(Szenarien!$C$8,$S50-$R51),0)),2))</f>
        <v>225608.19</v>
      </c>
      <c r="T51" s="38">
        <f>IF($V50&lt;=0,0,ROUND($V50*Übersicht!$C$26,2))</f>
        <v>627.54</v>
      </c>
      <c r="U51" s="38">
        <f>IF($V50&lt;=0,0,MIN($V50,IF(Übersicht!$C$14="Annuitätendarlehen",MAX(0,Übersicht!$C$28-$T51),IF(Übersicht!$C$14="Ratendarlehen",Übersicht!$C$29,IF($A51&gt;=Übersicht!$C$30,$V50,0)))))</f>
        <v>612.04</v>
      </c>
      <c r="V51" s="38">
        <f>IF($V50&lt;=0,0,ROUND($V50-$U51-IF($V50-$U51&lt;=0,0,IF(MOD($A51,Übersicht!$C$25)=0,MIN(Szenarien!$C$9,$V50-$U51),0)),2))</f>
        <v>217661.86</v>
      </c>
      <c r="W51" s="38">
        <f>IF($Y50&lt;=0,0,ROUND($Y50*Übersicht!$C$26,2))</f>
        <v>604.76</v>
      </c>
      <c r="X51" s="38">
        <f>IF($Y50&lt;=0,0,MIN($Y50,IF(Übersicht!$C$14="Annuitätendarlehen",MAX(0,Übersicht!$C$28-$W51),IF(Übersicht!$C$14="Ratendarlehen",Übersicht!$C$29,IF($A51&gt;=Übersicht!$C$30,$Y50,0)))))</f>
        <v>634.81999999999994</v>
      </c>
      <c r="Y51" s="38">
        <f>IF($Y50&lt;=0,0,ROUND($Y50-$X51-IF($Y50-$X51&lt;=0,0,IF(MOD($A51,Übersicht!$C$25)=0,MIN(Szenarien!$C$10,$Y50-$X51),0)),2))</f>
        <v>209715.44</v>
      </c>
      <c r="Z51" s="38">
        <f>IF($AB50&lt;=0,0,ROUND($AB50*Übersicht!$C$26,2))</f>
        <v>581.98</v>
      </c>
      <c r="AA51" s="38">
        <f>IF($AB50&lt;=0,0,MIN($AB50,IF(Übersicht!$C$14="Annuitätendarlehen",MAX(0,Übersicht!$C$28-$Z51),IF(Übersicht!$C$14="Ratendarlehen",Übersicht!$C$29,IF($A51&gt;=Übersicht!$C$30,$AB50,0)))))</f>
        <v>657.59999999999991</v>
      </c>
      <c r="AB51" s="38">
        <f>IF($AB50&lt;=0,0,ROUND($AB50-$AA51-IF($AB50-$AA51&lt;=0,0,IF(MOD($A51,Übersicht!$C$25)=0,MIN(Szenarien!$C$11,$AB50-$AA51),0)),2))</f>
        <v>201769.09</v>
      </c>
      <c r="AC51" s="38">
        <f>IF($AE50&lt;=0,0,ROUND($AE50*Übersicht!$C$26,2))</f>
        <v>536.41999999999996</v>
      </c>
      <c r="AD51" s="38">
        <f>IF($AE50&lt;=0,0,MIN($AE50,IF(Übersicht!$C$14="Annuitätendarlehen",MAX(0,Übersicht!$C$28-$AC51),IF(Übersicht!$C$14="Ratendarlehen",Übersicht!$C$29,IF($A51&gt;=Übersicht!$C$30,$AE50,0)))))</f>
        <v>703.16</v>
      </c>
      <c r="AE51" s="38">
        <f>IF($AE50&lt;=0,0,ROUND($AE50-$AD51-IF($AE50-$AD51&lt;=0,0,IF(MOD($A51,Übersicht!$C$25)=0,MIN(Szenarien!$C$12,$AE50-$AD51),0)),2))</f>
        <v>185876.34</v>
      </c>
    </row>
    <row r="52" spans="1:31" ht="15" customHeight="1" x14ac:dyDescent="0.25">
      <c r="A52" s="21">
        <v>45</v>
      </c>
      <c r="B52" s="36">
        <f>IF($D52&lt;=0,"",EDATE(Übersicht!$C$18,($A52-1)*12/Übersicht!$C$25))</f>
        <v>47391</v>
      </c>
      <c r="C52" s="21">
        <f t="shared" si="0"/>
        <v>2029</v>
      </c>
      <c r="D52" s="37">
        <f t="shared" si="4"/>
        <v>209715.44</v>
      </c>
      <c r="E52" s="23">
        <f t="shared" si="1"/>
        <v>1239.58</v>
      </c>
      <c r="F52" s="23">
        <f>IF($D52&lt;=0,0,ROUND($D52*Übersicht!$C$26,2))</f>
        <v>602.92999999999995</v>
      </c>
      <c r="G52" s="23">
        <f>IF($D52&lt;=0,0,MIN($D52,IF(Übersicht!$C$14="Annuitätendarlehen",MAX(0,Übersicht!$C$28-$F52),IF(Übersicht!$C$14="Ratendarlehen",Übersicht!$C$29,IF($A52&gt;=Übersicht!$C$30,$D52,0)))))</f>
        <v>636.65</v>
      </c>
      <c r="H52" s="23">
        <f>IF($D52-$G52&lt;=0,0,IF(MOD($A52,Übersicht!$C$25)=0,MIN(Übersicht!$C$31,$D52-$G52),0))</f>
        <v>0</v>
      </c>
      <c r="I52" s="23">
        <f t="shared" si="2"/>
        <v>1239.58</v>
      </c>
      <c r="J52" s="23">
        <f t="shared" si="3"/>
        <v>209078.79</v>
      </c>
      <c r="K52" s="23">
        <f t="shared" si="5"/>
        <v>29859.889999999996</v>
      </c>
      <c r="L52" s="23">
        <f t="shared" si="6"/>
        <v>40921.21</v>
      </c>
      <c r="M52" s="24">
        <f>IF($D52&lt;=0,"",IF(Übersicht!$C$11=0,0,$L52/Übersicht!$C$11))</f>
        <v>0.16368484</v>
      </c>
      <c r="N52" s="25" t="str">
        <f>IF($D52&lt;=0,"",IF($J52&lt;=0.005,"Volltilgung erreicht",IF($A52=Übersicht!$C$19*Übersicht!$C$25,"Ende der Zinsbindung",IF($H52&gt;0,"Sondertilgung verrechnet",""))))</f>
        <v/>
      </c>
      <c r="Q52" s="38">
        <f>IF($S51&lt;=0,0,ROUND($S51*Übersicht!$C$26,2))</f>
        <v>648.62</v>
      </c>
      <c r="R52" s="38">
        <f>IF($S51&lt;=0,0,MIN($S51,IF(Übersicht!$C$14="Annuitätendarlehen",MAX(0,Übersicht!$C$28-$Q52),IF(Übersicht!$C$14="Ratendarlehen",Übersicht!$C$29,IF($A52&gt;=Übersicht!$C$30,$S51,0)))))</f>
        <v>590.95999999999992</v>
      </c>
      <c r="S52" s="38">
        <f>IF($S51&lt;=0,0,ROUND($S51-$R52-IF($S51-$R52&lt;=0,0,IF(MOD($A52,Übersicht!$C$25)=0,MIN(Szenarien!$C$8,$S51-$R52),0)),2))</f>
        <v>225017.23</v>
      </c>
      <c r="T52" s="38">
        <f>IF($V51&lt;=0,0,ROUND($V51*Übersicht!$C$26,2))</f>
        <v>625.78</v>
      </c>
      <c r="U52" s="38">
        <f>IF($V51&lt;=0,0,MIN($V51,IF(Übersicht!$C$14="Annuitätendarlehen",MAX(0,Übersicht!$C$28-$T52),IF(Übersicht!$C$14="Ratendarlehen",Übersicht!$C$29,IF($A52&gt;=Übersicht!$C$30,$V51,0)))))</f>
        <v>613.79999999999995</v>
      </c>
      <c r="V52" s="38">
        <f>IF($V51&lt;=0,0,ROUND($V51-$U52-IF($V51-$U52&lt;=0,0,IF(MOD($A52,Übersicht!$C$25)=0,MIN(Szenarien!$C$9,$V51-$U52),0)),2))</f>
        <v>217048.06</v>
      </c>
      <c r="W52" s="38">
        <f>IF($Y51&lt;=0,0,ROUND($Y51*Übersicht!$C$26,2))</f>
        <v>602.92999999999995</v>
      </c>
      <c r="X52" s="38">
        <f>IF($Y51&lt;=0,0,MIN($Y51,IF(Übersicht!$C$14="Annuitätendarlehen",MAX(0,Übersicht!$C$28-$W52),IF(Übersicht!$C$14="Ratendarlehen",Übersicht!$C$29,IF($A52&gt;=Übersicht!$C$30,$Y51,0)))))</f>
        <v>636.65</v>
      </c>
      <c r="Y52" s="38">
        <f>IF($Y51&lt;=0,0,ROUND($Y51-$X52-IF($Y51-$X52&lt;=0,0,IF(MOD($A52,Übersicht!$C$25)=0,MIN(Szenarien!$C$10,$Y51-$X52),0)),2))</f>
        <v>209078.79</v>
      </c>
      <c r="Z52" s="38">
        <f>IF($AB51&lt;=0,0,ROUND($AB51*Übersicht!$C$26,2))</f>
        <v>580.09</v>
      </c>
      <c r="AA52" s="38">
        <f>IF($AB51&lt;=0,0,MIN($AB51,IF(Übersicht!$C$14="Annuitätendarlehen",MAX(0,Übersicht!$C$28-$Z52),IF(Übersicht!$C$14="Ratendarlehen",Übersicht!$C$29,IF($A52&gt;=Übersicht!$C$30,$AB51,0)))))</f>
        <v>659.4899999999999</v>
      </c>
      <c r="AB52" s="38">
        <f>IF($AB51&lt;=0,0,ROUND($AB51-$AA52-IF($AB51-$AA52&lt;=0,0,IF(MOD($A52,Übersicht!$C$25)=0,MIN(Szenarien!$C$11,$AB51-$AA52),0)),2))</f>
        <v>201109.6</v>
      </c>
      <c r="AC52" s="38">
        <f>IF($AE51&lt;=0,0,ROUND($AE51*Übersicht!$C$26,2))</f>
        <v>534.39</v>
      </c>
      <c r="AD52" s="38">
        <f>IF($AE51&lt;=0,0,MIN($AE51,IF(Übersicht!$C$14="Annuitätendarlehen",MAX(0,Übersicht!$C$28-$AC52),IF(Übersicht!$C$14="Ratendarlehen",Übersicht!$C$29,IF($A52&gt;=Übersicht!$C$30,$AE51,0)))))</f>
        <v>705.18999999999994</v>
      </c>
      <c r="AE52" s="38">
        <f>IF($AE51&lt;=0,0,ROUND($AE51-$AD52-IF($AE51-$AD52&lt;=0,0,IF(MOD($A52,Übersicht!$C$25)=0,MIN(Szenarien!$C$12,$AE51-$AD52),0)),2))</f>
        <v>185171.15</v>
      </c>
    </row>
    <row r="53" spans="1:31" ht="15" customHeight="1" x14ac:dyDescent="0.25">
      <c r="A53" s="26">
        <v>46</v>
      </c>
      <c r="B53" s="39">
        <f>IF($D53&lt;=0,"",EDATE(Übersicht!$C$18,($A53-1)*12/Übersicht!$C$25))</f>
        <v>47422</v>
      </c>
      <c r="C53" s="26">
        <f t="shared" si="0"/>
        <v>2029</v>
      </c>
      <c r="D53" s="40">
        <f t="shared" si="4"/>
        <v>209078.79</v>
      </c>
      <c r="E53" s="28">
        <f t="shared" si="1"/>
        <v>1239.58</v>
      </c>
      <c r="F53" s="28">
        <f>IF($D53&lt;=0,0,ROUND($D53*Übersicht!$C$26,2))</f>
        <v>601.1</v>
      </c>
      <c r="G53" s="28">
        <f>IF($D53&lt;=0,0,MIN($D53,IF(Übersicht!$C$14="Annuitätendarlehen",MAX(0,Übersicht!$C$28-$F53),IF(Übersicht!$C$14="Ratendarlehen",Übersicht!$C$29,IF($A53&gt;=Übersicht!$C$30,$D53,0)))))</f>
        <v>638.4799999999999</v>
      </c>
      <c r="H53" s="28">
        <f>IF($D53-$G53&lt;=0,0,IF(MOD($A53,Übersicht!$C$25)=0,MIN(Übersicht!$C$31,$D53-$G53),0))</f>
        <v>0</v>
      </c>
      <c r="I53" s="28">
        <f t="shared" si="2"/>
        <v>1239.58</v>
      </c>
      <c r="J53" s="28">
        <f t="shared" si="3"/>
        <v>208440.31</v>
      </c>
      <c r="K53" s="28">
        <f t="shared" si="5"/>
        <v>30460.989999999994</v>
      </c>
      <c r="L53" s="28">
        <f t="shared" si="6"/>
        <v>41559.69</v>
      </c>
      <c r="M53" s="29">
        <f>IF($D53&lt;=0,"",IF(Übersicht!$C$11=0,0,$L53/Übersicht!$C$11))</f>
        <v>0.16623876000000001</v>
      </c>
      <c r="N53" s="30" t="str">
        <f>IF($D53&lt;=0,"",IF($J53&lt;=0.005,"Volltilgung erreicht",IF($A53=Übersicht!$C$19*Übersicht!$C$25,"Ende der Zinsbindung",IF($H53&gt;0,"Sondertilgung verrechnet",""))))</f>
        <v/>
      </c>
      <c r="Q53" s="38">
        <f>IF($S52&lt;=0,0,ROUND($S52*Übersicht!$C$26,2))</f>
        <v>646.91999999999996</v>
      </c>
      <c r="R53" s="38">
        <f>IF($S52&lt;=0,0,MIN($S52,IF(Übersicht!$C$14="Annuitätendarlehen",MAX(0,Übersicht!$C$28-$Q53),IF(Übersicht!$C$14="Ratendarlehen",Übersicht!$C$29,IF($A53&gt;=Übersicht!$C$30,$S52,0)))))</f>
        <v>592.66</v>
      </c>
      <c r="S53" s="38">
        <f>IF($S52&lt;=0,0,ROUND($S52-$R53-IF($S52-$R53&lt;=0,0,IF(MOD($A53,Übersicht!$C$25)=0,MIN(Szenarien!$C$8,$S52-$R53),0)),2))</f>
        <v>224424.57</v>
      </c>
      <c r="T53" s="38">
        <f>IF($V52&lt;=0,0,ROUND($V52*Übersicht!$C$26,2))</f>
        <v>624.01</v>
      </c>
      <c r="U53" s="38">
        <f>IF($V52&lt;=0,0,MIN($V52,IF(Übersicht!$C$14="Annuitätendarlehen",MAX(0,Übersicht!$C$28-$T53),IF(Übersicht!$C$14="Ratendarlehen",Übersicht!$C$29,IF($A53&gt;=Übersicht!$C$30,$V52,0)))))</f>
        <v>615.56999999999994</v>
      </c>
      <c r="V53" s="38">
        <f>IF($V52&lt;=0,0,ROUND($V52-$U53-IF($V52-$U53&lt;=0,0,IF(MOD($A53,Übersicht!$C$25)=0,MIN(Szenarien!$C$9,$V52-$U53),0)),2))</f>
        <v>216432.49</v>
      </c>
      <c r="W53" s="38">
        <f>IF($Y52&lt;=0,0,ROUND($Y52*Übersicht!$C$26,2))</f>
        <v>601.1</v>
      </c>
      <c r="X53" s="38">
        <f>IF($Y52&lt;=0,0,MIN($Y52,IF(Übersicht!$C$14="Annuitätendarlehen",MAX(0,Übersicht!$C$28-$W53),IF(Übersicht!$C$14="Ratendarlehen",Übersicht!$C$29,IF($A53&gt;=Übersicht!$C$30,$Y52,0)))))</f>
        <v>638.4799999999999</v>
      </c>
      <c r="Y53" s="38">
        <f>IF($Y52&lt;=0,0,ROUND($Y52-$X53-IF($Y52-$X53&lt;=0,0,IF(MOD($A53,Übersicht!$C$25)=0,MIN(Szenarien!$C$10,$Y52-$X53),0)),2))</f>
        <v>208440.31</v>
      </c>
      <c r="Z53" s="38">
        <f>IF($AB52&lt;=0,0,ROUND($AB52*Übersicht!$C$26,2))</f>
        <v>578.19000000000005</v>
      </c>
      <c r="AA53" s="38">
        <f>IF($AB52&lt;=0,0,MIN($AB52,IF(Übersicht!$C$14="Annuitätendarlehen",MAX(0,Übersicht!$C$28-$Z53),IF(Übersicht!$C$14="Ratendarlehen",Übersicht!$C$29,IF($A53&gt;=Übersicht!$C$30,$AB52,0)))))</f>
        <v>661.38999999999987</v>
      </c>
      <c r="AB53" s="38">
        <f>IF($AB52&lt;=0,0,ROUND($AB52-$AA53-IF($AB52-$AA53&lt;=0,0,IF(MOD($A53,Übersicht!$C$25)=0,MIN(Szenarien!$C$11,$AB52-$AA53),0)),2))</f>
        <v>200448.21</v>
      </c>
      <c r="AC53" s="38">
        <f>IF($AE52&lt;=0,0,ROUND($AE52*Übersicht!$C$26,2))</f>
        <v>532.37</v>
      </c>
      <c r="AD53" s="38">
        <f>IF($AE52&lt;=0,0,MIN($AE52,IF(Übersicht!$C$14="Annuitätendarlehen",MAX(0,Übersicht!$C$28-$AC53),IF(Übersicht!$C$14="Ratendarlehen",Übersicht!$C$29,IF($A53&gt;=Übersicht!$C$30,$AE52,0)))))</f>
        <v>707.20999999999992</v>
      </c>
      <c r="AE53" s="38">
        <f>IF($AE52&lt;=0,0,ROUND($AE52-$AD53-IF($AE52-$AD53&lt;=0,0,IF(MOD($A53,Übersicht!$C$25)=0,MIN(Szenarien!$C$12,$AE52-$AD53),0)),2))</f>
        <v>184463.94</v>
      </c>
    </row>
    <row r="54" spans="1:31" ht="15" customHeight="1" x14ac:dyDescent="0.25">
      <c r="A54" s="21">
        <v>47</v>
      </c>
      <c r="B54" s="36">
        <f>IF($D54&lt;=0,"",EDATE(Übersicht!$C$18,($A54-1)*12/Übersicht!$C$25))</f>
        <v>47452</v>
      </c>
      <c r="C54" s="21">
        <f t="shared" si="0"/>
        <v>2029</v>
      </c>
      <c r="D54" s="37">
        <f t="shared" si="4"/>
        <v>208440.31</v>
      </c>
      <c r="E54" s="23">
        <f t="shared" si="1"/>
        <v>1239.58</v>
      </c>
      <c r="F54" s="23">
        <f>IF($D54&lt;=0,0,ROUND($D54*Übersicht!$C$26,2))</f>
        <v>599.27</v>
      </c>
      <c r="G54" s="23">
        <f>IF($D54&lt;=0,0,MIN($D54,IF(Übersicht!$C$14="Annuitätendarlehen",MAX(0,Übersicht!$C$28-$F54),IF(Übersicht!$C$14="Ratendarlehen",Übersicht!$C$29,IF($A54&gt;=Übersicht!$C$30,$D54,0)))))</f>
        <v>640.30999999999995</v>
      </c>
      <c r="H54" s="23">
        <f>IF($D54-$G54&lt;=0,0,IF(MOD($A54,Übersicht!$C$25)=0,MIN(Übersicht!$C$31,$D54-$G54),0))</f>
        <v>0</v>
      </c>
      <c r="I54" s="23">
        <f t="shared" si="2"/>
        <v>1239.58</v>
      </c>
      <c r="J54" s="23">
        <f t="shared" si="3"/>
        <v>207800</v>
      </c>
      <c r="K54" s="23">
        <f t="shared" si="5"/>
        <v>31060.259999999995</v>
      </c>
      <c r="L54" s="23">
        <f t="shared" si="6"/>
        <v>42200</v>
      </c>
      <c r="M54" s="24">
        <f>IF($D54&lt;=0,"",IF(Übersicht!$C$11=0,0,$L54/Übersicht!$C$11))</f>
        <v>0.16880000000000001</v>
      </c>
      <c r="N54" s="25" t="str">
        <f>IF($D54&lt;=0,"",IF($J54&lt;=0.005,"Volltilgung erreicht",IF($A54=Übersicht!$C$19*Übersicht!$C$25,"Ende der Zinsbindung",IF($H54&gt;0,"Sondertilgung verrechnet",""))))</f>
        <v/>
      </c>
      <c r="Q54" s="38">
        <f>IF($S53&lt;=0,0,ROUND($S53*Übersicht!$C$26,2))</f>
        <v>645.22</v>
      </c>
      <c r="R54" s="38">
        <f>IF($S53&lt;=0,0,MIN($S53,IF(Übersicht!$C$14="Annuitätendarlehen",MAX(0,Übersicht!$C$28-$Q54),IF(Übersicht!$C$14="Ratendarlehen",Übersicht!$C$29,IF($A54&gt;=Übersicht!$C$30,$S53,0)))))</f>
        <v>594.3599999999999</v>
      </c>
      <c r="S54" s="38">
        <f>IF($S53&lt;=0,0,ROUND($S53-$R54-IF($S53-$R54&lt;=0,0,IF(MOD($A54,Übersicht!$C$25)=0,MIN(Szenarien!$C$8,$S53-$R54),0)),2))</f>
        <v>223830.21</v>
      </c>
      <c r="T54" s="38">
        <f>IF($V53&lt;=0,0,ROUND($V53*Übersicht!$C$26,2))</f>
        <v>622.24</v>
      </c>
      <c r="U54" s="38">
        <f>IF($V53&lt;=0,0,MIN($V53,IF(Übersicht!$C$14="Annuitätendarlehen",MAX(0,Übersicht!$C$28-$T54),IF(Übersicht!$C$14="Ratendarlehen",Übersicht!$C$29,IF($A54&gt;=Übersicht!$C$30,$V53,0)))))</f>
        <v>617.33999999999992</v>
      </c>
      <c r="V54" s="38">
        <f>IF($V53&lt;=0,0,ROUND($V53-$U54-IF($V53-$U54&lt;=0,0,IF(MOD($A54,Übersicht!$C$25)=0,MIN(Szenarien!$C$9,$V53-$U54),0)),2))</f>
        <v>215815.15</v>
      </c>
      <c r="W54" s="38">
        <f>IF($Y53&lt;=0,0,ROUND($Y53*Übersicht!$C$26,2))</f>
        <v>599.27</v>
      </c>
      <c r="X54" s="38">
        <f>IF($Y53&lt;=0,0,MIN($Y53,IF(Übersicht!$C$14="Annuitätendarlehen",MAX(0,Übersicht!$C$28-$W54),IF(Übersicht!$C$14="Ratendarlehen",Übersicht!$C$29,IF($A54&gt;=Übersicht!$C$30,$Y53,0)))))</f>
        <v>640.30999999999995</v>
      </c>
      <c r="Y54" s="38">
        <f>IF($Y53&lt;=0,0,ROUND($Y53-$X54-IF($Y53-$X54&lt;=0,0,IF(MOD($A54,Übersicht!$C$25)=0,MIN(Szenarien!$C$10,$Y53-$X54),0)),2))</f>
        <v>207800</v>
      </c>
      <c r="Z54" s="38">
        <f>IF($AB53&lt;=0,0,ROUND($AB53*Übersicht!$C$26,2))</f>
        <v>576.29</v>
      </c>
      <c r="AA54" s="38">
        <f>IF($AB53&lt;=0,0,MIN($AB53,IF(Übersicht!$C$14="Annuitätendarlehen",MAX(0,Übersicht!$C$28-$Z54),IF(Übersicht!$C$14="Ratendarlehen",Übersicht!$C$29,IF($A54&gt;=Übersicht!$C$30,$AB53,0)))))</f>
        <v>663.29</v>
      </c>
      <c r="AB54" s="38">
        <f>IF($AB53&lt;=0,0,ROUND($AB53-$AA54-IF($AB53-$AA54&lt;=0,0,IF(MOD($A54,Übersicht!$C$25)=0,MIN(Szenarien!$C$11,$AB53-$AA54),0)),2))</f>
        <v>199784.92</v>
      </c>
      <c r="AC54" s="38">
        <f>IF($AE53&lt;=0,0,ROUND($AE53*Übersicht!$C$26,2))</f>
        <v>530.33000000000004</v>
      </c>
      <c r="AD54" s="38">
        <f>IF($AE53&lt;=0,0,MIN($AE53,IF(Übersicht!$C$14="Annuitätendarlehen",MAX(0,Übersicht!$C$28-$AC54),IF(Übersicht!$C$14="Ratendarlehen",Übersicht!$C$29,IF($A54&gt;=Übersicht!$C$30,$AE53,0)))))</f>
        <v>709.24999999999989</v>
      </c>
      <c r="AE54" s="38">
        <f>IF($AE53&lt;=0,0,ROUND($AE53-$AD54-IF($AE53-$AD54&lt;=0,0,IF(MOD($A54,Übersicht!$C$25)=0,MIN(Szenarien!$C$12,$AE53-$AD54),0)),2))</f>
        <v>183754.69</v>
      </c>
    </row>
    <row r="55" spans="1:31" ht="15" customHeight="1" x14ac:dyDescent="0.25">
      <c r="A55" s="26">
        <v>48</v>
      </c>
      <c r="B55" s="39">
        <f>IF($D55&lt;=0,"",EDATE(Übersicht!$C$18,($A55-1)*12/Übersicht!$C$25))</f>
        <v>47483</v>
      </c>
      <c r="C55" s="26">
        <f t="shared" si="0"/>
        <v>2029</v>
      </c>
      <c r="D55" s="40">
        <f t="shared" si="4"/>
        <v>207800</v>
      </c>
      <c r="E55" s="28">
        <f t="shared" si="1"/>
        <v>1239.58</v>
      </c>
      <c r="F55" s="28">
        <f>IF($D55&lt;=0,0,ROUND($D55*Übersicht!$C$26,2))</f>
        <v>597.42999999999995</v>
      </c>
      <c r="G55" s="28">
        <f>IF($D55&lt;=0,0,MIN($D55,IF(Übersicht!$C$14="Annuitätendarlehen",MAX(0,Übersicht!$C$28-$F55),IF(Übersicht!$C$14="Ratendarlehen",Übersicht!$C$29,IF($A55&gt;=Übersicht!$C$30,$D55,0)))))</f>
        <v>642.15</v>
      </c>
      <c r="H55" s="28">
        <f>IF($D55-$G55&lt;=0,0,IF(MOD($A55,Übersicht!$C$25)=0,MIN(Übersicht!$C$31,$D55-$G55),0))</f>
        <v>5000</v>
      </c>
      <c r="I55" s="28">
        <f t="shared" si="2"/>
        <v>6239.58</v>
      </c>
      <c r="J55" s="28">
        <f t="shared" si="3"/>
        <v>202157.85</v>
      </c>
      <c r="K55" s="28">
        <f t="shared" si="5"/>
        <v>31657.689999999995</v>
      </c>
      <c r="L55" s="28">
        <f t="shared" si="6"/>
        <v>47842.15</v>
      </c>
      <c r="M55" s="29">
        <f>IF($D55&lt;=0,"",IF(Übersicht!$C$11=0,0,$L55/Übersicht!$C$11))</f>
        <v>0.1913686</v>
      </c>
      <c r="N55" s="30" t="str">
        <f>IF($D55&lt;=0,"",IF($J55&lt;=0.005,"Volltilgung erreicht",IF($A55=Übersicht!$C$19*Übersicht!$C$25,"Ende der Zinsbindung",IF($H55&gt;0,"Sondertilgung verrechnet",""))))</f>
        <v>Sondertilgung verrechnet</v>
      </c>
      <c r="Q55" s="38">
        <f>IF($S54&lt;=0,0,ROUND($S54*Übersicht!$C$26,2))</f>
        <v>643.51</v>
      </c>
      <c r="R55" s="38">
        <f>IF($S54&lt;=0,0,MIN($S54,IF(Übersicht!$C$14="Annuitätendarlehen",MAX(0,Übersicht!$C$28-$Q55),IF(Übersicht!$C$14="Ratendarlehen",Übersicht!$C$29,IF($A55&gt;=Übersicht!$C$30,$S54,0)))))</f>
        <v>596.06999999999994</v>
      </c>
      <c r="S55" s="38">
        <f>IF($S54&lt;=0,0,ROUND($S54-$R55-IF($S54-$R55&lt;=0,0,IF(MOD($A55,Übersicht!$C$25)=0,MIN(Szenarien!$C$8,$S54-$R55),0)),2))</f>
        <v>223234.14</v>
      </c>
      <c r="T55" s="38">
        <f>IF($V54&lt;=0,0,ROUND($V54*Übersicht!$C$26,2))</f>
        <v>620.47</v>
      </c>
      <c r="U55" s="38">
        <f>IF($V54&lt;=0,0,MIN($V54,IF(Übersicht!$C$14="Annuitätendarlehen",MAX(0,Übersicht!$C$28-$T55),IF(Übersicht!$C$14="Ratendarlehen",Übersicht!$C$29,IF($A55&gt;=Übersicht!$C$30,$V54,0)))))</f>
        <v>619.1099999999999</v>
      </c>
      <c r="V55" s="38">
        <f>IF($V54&lt;=0,0,ROUND($V54-$U55-IF($V54-$U55&lt;=0,0,IF(MOD($A55,Übersicht!$C$25)=0,MIN(Szenarien!$C$9,$V54-$U55),0)),2))</f>
        <v>212696.04</v>
      </c>
      <c r="W55" s="38">
        <f>IF($Y54&lt;=0,0,ROUND($Y54*Übersicht!$C$26,2))</f>
        <v>597.42999999999995</v>
      </c>
      <c r="X55" s="38">
        <f>IF($Y54&lt;=0,0,MIN($Y54,IF(Übersicht!$C$14="Annuitätendarlehen",MAX(0,Übersicht!$C$28-$W55),IF(Übersicht!$C$14="Ratendarlehen",Übersicht!$C$29,IF($A55&gt;=Übersicht!$C$30,$Y54,0)))))</f>
        <v>642.15</v>
      </c>
      <c r="Y55" s="38">
        <f>IF($Y54&lt;=0,0,ROUND($Y54-$X55-IF($Y54-$X55&lt;=0,0,IF(MOD($A55,Übersicht!$C$25)=0,MIN(Szenarien!$C$10,$Y54-$X55),0)),2))</f>
        <v>202157.85</v>
      </c>
      <c r="Z55" s="38">
        <f>IF($AB54&lt;=0,0,ROUND($AB54*Übersicht!$C$26,2))</f>
        <v>574.38</v>
      </c>
      <c r="AA55" s="38">
        <f>IF($AB54&lt;=0,0,MIN($AB54,IF(Übersicht!$C$14="Annuitätendarlehen",MAX(0,Übersicht!$C$28-$Z55),IF(Übersicht!$C$14="Ratendarlehen",Übersicht!$C$29,IF($A55&gt;=Übersicht!$C$30,$AB54,0)))))</f>
        <v>665.19999999999993</v>
      </c>
      <c r="AB55" s="38">
        <f>IF($AB54&lt;=0,0,ROUND($AB54-$AA55-IF($AB54-$AA55&lt;=0,0,IF(MOD($A55,Übersicht!$C$25)=0,MIN(Szenarien!$C$11,$AB54-$AA55),0)),2))</f>
        <v>191619.72</v>
      </c>
      <c r="AC55" s="38">
        <f>IF($AE54&lt;=0,0,ROUND($AE54*Übersicht!$C$26,2))</f>
        <v>528.29</v>
      </c>
      <c r="AD55" s="38">
        <f>IF($AE54&lt;=0,0,MIN($AE54,IF(Übersicht!$C$14="Annuitätendarlehen",MAX(0,Übersicht!$C$28-$AC55),IF(Übersicht!$C$14="Ratendarlehen",Übersicht!$C$29,IF($A55&gt;=Übersicht!$C$30,$AE54,0)))))</f>
        <v>711.29</v>
      </c>
      <c r="AE55" s="38">
        <f>IF($AE54&lt;=0,0,ROUND($AE54-$AD55-IF($AE54-$AD55&lt;=0,0,IF(MOD($A55,Übersicht!$C$25)=0,MIN(Szenarien!$C$12,$AE54-$AD55),0)),2))</f>
        <v>170543.4</v>
      </c>
    </row>
    <row r="56" spans="1:31" ht="15" customHeight="1" x14ac:dyDescent="0.25">
      <c r="A56" s="21">
        <v>49</v>
      </c>
      <c r="B56" s="36">
        <f>IF($D56&lt;=0,"",EDATE(Übersicht!$C$18,($A56-1)*12/Übersicht!$C$25))</f>
        <v>47514</v>
      </c>
      <c r="C56" s="21">
        <f t="shared" si="0"/>
        <v>2030</v>
      </c>
      <c r="D56" s="37">
        <f t="shared" si="4"/>
        <v>202157.85</v>
      </c>
      <c r="E56" s="23">
        <f t="shared" si="1"/>
        <v>1239.58</v>
      </c>
      <c r="F56" s="23">
        <f>IF($D56&lt;=0,0,ROUND($D56*Übersicht!$C$26,2))</f>
        <v>581.20000000000005</v>
      </c>
      <c r="G56" s="23">
        <f>IF($D56&lt;=0,0,MIN($D56,IF(Übersicht!$C$14="Annuitätendarlehen",MAX(0,Übersicht!$C$28-$F56),IF(Übersicht!$C$14="Ratendarlehen",Übersicht!$C$29,IF($A56&gt;=Übersicht!$C$30,$D56,0)))))</f>
        <v>658.37999999999988</v>
      </c>
      <c r="H56" s="23">
        <f>IF($D56-$G56&lt;=0,0,IF(MOD($A56,Übersicht!$C$25)=0,MIN(Übersicht!$C$31,$D56-$G56),0))</f>
        <v>0</v>
      </c>
      <c r="I56" s="23">
        <f t="shared" si="2"/>
        <v>1239.58</v>
      </c>
      <c r="J56" s="23">
        <f t="shared" si="3"/>
        <v>201499.47</v>
      </c>
      <c r="K56" s="23">
        <f t="shared" si="5"/>
        <v>32238.889999999996</v>
      </c>
      <c r="L56" s="23">
        <f t="shared" si="6"/>
        <v>48500.53</v>
      </c>
      <c r="M56" s="24">
        <f>IF($D56&lt;=0,"",IF(Übersicht!$C$11=0,0,$L56/Übersicht!$C$11))</f>
        <v>0.19400212</v>
      </c>
      <c r="N56" s="25" t="str">
        <f>IF($D56&lt;=0,"",IF($J56&lt;=0.005,"Volltilgung erreicht",IF($A56=Übersicht!$C$19*Übersicht!$C$25,"Ende der Zinsbindung",IF($H56&gt;0,"Sondertilgung verrechnet",""))))</f>
        <v/>
      </c>
      <c r="Q56" s="38">
        <f>IF($S55&lt;=0,0,ROUND($S55*Übersicht!$C$26,2))</f>
        <v>641.79999999999995</v>
      </c>
      <c r="R56" s="38">
        <f>IF($S55&lt;=0,0,MIN($S55,IF(Übersicht!$C$14="Annuitätendarlehen",MAX(0,Übersicht!$C$28-$Q56),IF(Übersicht!$C$14="Ratendarlehen",Übersicht!$C$29,IF($A56&gt;=Übersicht!$C$30,$S55,0)))))</f>
        <v>597.78</v>
      </c>
      <c r="S56" s="38">
        <f>IF($S55&lt;=0,0,ROUND($S55-$R56-IF($S55-$R56&lt;=0,0,IF(MOD($A56,Übersicht!$C$25)=0,MIN(Szenarien!$C$8,$S55-$R56),0)),2))</f>
        <v>222636.36</v>
      </c>
      <c r="T56" s="38">
        <f>IF($V55&lt;=0,0,ROUND($V55*Übersicht!$C$26,2))</f>
        <v>611.5</v>
      </c>
      <c r="U56" s="38">
        <f>IF($V55&lt;=0,0,MIN($V55,IF(Übersicht!$C$14="Annuitätendarlehen",MAX(0,Übersicht!$C$28-$T56),IF(Übersicht!$C$14="Ratendarlehen",Übersicht!$C$29,IF($A56&gt;=Übersicht!$C$30,$V55,0)))))</f>
        <v>628.07999999999993</v>
      </c>
      <c r="V56" s="38">
        <f>IF($V55&lt;=0,0,ROUND($V55-$U56-IF($V55-$U56&lt;=0,0,IF(MOD($A56,Übersicht!$C$25)=0,MIN(Szenarien!$C$9,$V55-$U56),0)),2))</f>
        <v>212067.96</v>
      </c>
      <c r="W56" s="38">
        <f>IF($Y55&lt;=0,0,ROUND($Y55*Übersicht!$C$26,2))</f>
        <v>581.20000000000005</v>
      </c>
      <c r="X56" s="38">
        <f>IF($Y55&lt;=0,0,MIN($Y55,IF(Übersicht!$C$14="Annuitätendarlehen",MAX(0,Übersicht!$C$28-$W56),IF(Übersicht!$C$14="Ratendarlehen",Übersicht!$C$29,IF($A56&gt;=Übersicht!$C$30,$Y55,0)))))</f>
        <v>658.37999999999988</v>
      </c>
      <c r="Y56" s="38">
        <f>IF($Y55&lt;=0,0,ROUND($Y55-$X56-IF($Y55-$X56&lt;=0,0,IF(MOD($A56,Übersicht!$C$25)=0,MIN(Szenarien!$C$10,$Y55-$X56),0)),2))</f>
        <v>201499.47</v>
      </c>
      <c r="Z56" s="38">
        <f>IF($AB55&lt;=0,0,ROUND($AB55*Übersicht!$C$26,2))</f>
        <v>550.91</v>
      </c>
      <c r="AA56" s="38">
        <f>IF($AB55&lt;=0,0,MIN($AB55,IF(Übersicht!$C$14="Annuitätendarlehen",MAX(0,Übersicht!$C$28-$Z56),IF(Übersicht!$C$14="Ratendarlehen",Übersicht!$C$29,IF($A56&gt;=Übersicht!$C$30,$AB55,0)))))</f>
        <v>688.67</v>
      </c>
      <c r="AB56" s="38">
        <f>IF($AB55&lt;=0,0,ROUND($AB55-$AA56-IF($AB55-$AA56&lt;=0,0,IF(MOD($A56,Übersicht!$C$25)=0,MIN(Szenarien!$C$11,$AB55-$AA56),0)),2))</f>
        <v>190931.05</v>
      </c>
      <c r="AC56" s="38">
        <f>IF($AE55&lt;=0,0,ROUND($AE55*Übersicht!$C$26,2))</f>
        <v>490.31</v>
      </c>
      <c r="AD56" s="38">
        <f>IF($AE55&lt;=0,0,MIN($AE55,IF(Übersicht!$C$14="Annuitätendarlehen",MAX(0,Übersicht!$C$28-$AC56),IF(Übersicht!$C$14="Ratendarlehen",Übersicht!$C$29,IF($A56&gt;=Übersicht!$C$30,$AE55,0)))))</f>
        <v>749.27</v>
      </c>
      <c r="AE56" s="38">
        <f>IF($AE55&lt;=0,0,ROUND($AE55-$AD56-IF($AE55-$AD56&lt;=0,0,IF(MOD($A56,Übersicht!$C$25)=0,MIN(Szenarien!$C$12,$AE55-$AD56),0)),2))</f>
        <v>169794.13</v>
      </c>
    </row>
    <row r="57" spans="1:31" ht="15" customHeight="1" x14ac:dyDescent="0.25">
      <c r="A57" s="26">
        <v>50</v>
      </c>
      <c r="B57" s="39">
        <f>IF($D57&lt;=0,"",EDATE(Übersicht!$C$18,($A57-1)*12/Übersicht!$C$25))</f>
        <v>47542</v>
      </c>
      <c r="C57" s="26">
        <f t="shared" si="0"/>
        <v>2030</v>
      </c>
      <c r="D57" s="40">
        <f t="shared" si="4"/>
        <v>201499.47</v>
      </c>
      <c r="E57" s="28">
        <f t="shared" si="1"/>
        <v>1239.58</v>
      </c>
      <c r="F57" s="28">
        <f>IF($D57&lt;=0,0,ROUND($D57*Übersicht!$C$26,2))</f>
        <v>579.30999999999995</v>
      </c>
      <c r="G57" s="28">
        <f>IF($D57&lt;=0,0,MIN($D57,IF(Übersicht!$C$14="Annuitätendarlehen",MAX(0,Übersicht!$C$28-$F57),IF(Übersicht!$C$14="Ratendarlehen",Übersicht!$C$29,IF($A57&gt;=Übersicht!$C$30,$D57,0)))))</f>
        <v>660.27</v>
      </c>
      <c r="H57" s="28">
        <f>IF($D57-$G57&lt;=0,0,IF(MOD($A57,Übersicht!$C$25)=0,MIN(Übersicht!$C$31,$D57-$G57),0))</f>
        <v>0</v>
      </c>
      <c r="I57" s="28">
        <f t="shared" si="2"/>
        <v>1239.58</v>
      </c>
      <c r="J57" s="28">
        <f t="shared" si="3"/>
        <v>200839.2</v>
      </c>
      <c r="K57" s="28">
        <f t="shared" si="5"/>
        <v>32818.199999999997</v>
      </c>
      <c r="L57" s="28">
        <f t="shared" si="6"/>
        <v>49160.800000000003</v>
      </c>
      <c r="M57" s="29">
        <f>IF($D57&lt;=0,"",IF(Übersicht!$C$11=0,0,$L57/Übersicht!$C$11))</f>
        <v>0.19664320000000002</v>
      </c>
      <c r="N57" s="30" t="str">
        <f>IF($D57&lt;=0,"",IF($J57&lt;=0.005,"Volltilgung erreicht",IF($A57=Übersicht!$C$19*Übersicht!$C$25,"Ende der Zinsbindung",IF($H57&gt;0,"Sondertilgung verrechnet",""))))</f>
        <v/>
      </c>
      <c r="Q57" s="38">
        <f>IF($S56&lt;=0,0,ROUND($S56*Übersicht!$C$26,2))</f>
        <v>640.08000000000004</v>
      </c>
      <c r="R57" s="38">
        <f>IF($S56&lt;=0,0,MIN($S56,IF(Übersicht!$C$14="Annuitätendarlehen",MAX(0,Übersicht!$C$28-$Q57),IF(Übersicht!$C$14="Ratendarlehen",Übersicht!$C$29,IF($A57&gt;=Übersicht!$C$30,$S56,0)))))</f>
        <v>599.49999999999989</v>
      </c>
      <c r="S57" s="38">
        <f>IF($S56&lt;=0,0,ROUND($S56-$R57-IF($S56-$R57&lt;=0,0,IF(MOD($A57,Übersicht!$C$25)=0,MIN(Szenarien!$C$8,$S56-$R57),0)),2))</f>
        <v>222036.86</v>
      </c>
      <c r="T57" s="38">
        <f>IF($V56&lt;=0,0,ROUND($V56*Übersicht!$C$26,2))</f>
        <v>609.70000000000005</v>
      </c>
      <c r="U57" s="38">
        <f>IF($V56&lt;=0,0,MIN($V56,IF(Übersicht!$C$14="Annuitätendarlehen",MAX(0,Übersicht!$C$28-$T57),IF(Übersicht!$C$14="Ratendarlehen",Übersicht!$C$29,IF($A57&gt;=Übersicht!$C$30,$V56,0)))))</f>
        <v>629.87999999999988</v>
      </c>
      <c r="V57" s="38">
        <f>IF($V56&lt;=0,0,ROUND($V56-$U57-IF($V56-$U57&lt;=0,0,IF(MOD($A57,Übersicht!$C$25)=0,MIN(Szenarien!$C$9,$V56-$U57),0)),2))</f>
        <v>211438.07999999999</v>
      </c>
      <c r="W57" s="38">
        <f>IF($Y56&lt;=0,0,ROUND($Y56*Übersicht!$C$26,2))</f>
        <v>579.30999999999995</v>
      </c>
      <c r="X57" s="38">
        <f>IF($Y56&lt;=0,0,MIN($Y56,IF(Übersicht!$C$14="Annuitätendarlehen",MAX(0,Übersicht!$C$28-$W57),IF(Übersicht!$C$14="Ratendarlehen",Übersicht!$C$29,IF($A57&gt;=Übersicht!$C$30,$Y56,0)))))</f>
        <v>660.27</v>
      </c>
      <c r="Y57" s="38">
        <f>IF($Y56&lt;=0,0,ROUND($Y56-$X57-IF($Y56-$X57&lt;=0,0,IF(MOD($A57,Übersicht!$C$25)=0,MIN(Szenarien!$C$10,$Y56-$X57),0)),2))</f>
        <v>200839.2</v>
      </c>
      <c r="Z57" s="38">
        <f>IF($AB56&lt;=0,0,ROUND($AB56*Übersicht!$C$26,2))</f>
        <v>548.92999999999995</v>
      </c>
      <c r="AA57" s="38">
        <f>IF($AB56&lt;=0,0,MIN($AB56,IF(Übersicht!$C$14="Annuitätendarlehen",MAX(0,Übersicht!$C$28-$Z57),IF(Übersicht!$C$14="Ratendarlehen",Übersicht!$C$29,IF($A57&gt;=Übersicht!$C$30,$AB56,0)))))</f>
        <v>690.65</v>
      </c>
      <c r="AB57" s="38">
        <f>IF($AB56&lt;=0,0,ROUND($AB56-$AA57-IF($AB56-$AA57&lt;=0,0,IF(MOD($A57,Übersicht!$C$25)=0,MIN(Szenarien!$C$11,$AB56-$AA57),0)),2))</f>
        <v>190240.4</v>
      </c>
      <c r="AC57" s="38">
        <f>IF($AE56&lt;=0,0,ROUND($AE56*Übersicht!$C$26,2))</f>
        <v>488.16</v>
      </c>
      <c r="AD57" s="38">
        <f>IF($AE56&lt;=0,0,MIN($AE56,IF(Übersicht!$C$14="Annuitätendarlehen",MAX(0,Übersicht!$C$28-$AC57),IF(Übersicht!$C$14="Ratendarlehen",Übersicht!$C$29,IF($A57&gt;=Übersicht!$C$30,$AE56,0)))))</f>
        <v>751.41999999999985</v>
      </c>
      <c r="AE57" s="38">
        <f>IF($AE56&lt;=0,0,ROUND($AE56-$AD57-IF($AE56-$AD57&lt;=0,0,IF(MOD($A57,Übersicht!$C$25)=0,MIN(Szenarien!$C$12,$AE56-$AD57),0)),2))</f>
        <v>169042.71</v>
      </c>
    </row>
    <row r="58" spans="1:31" ht="15" customHeight="1" x14ac:dyDescent="0.25">
      <c r="A58" s="21">
        <v>51</v>
      </c>
      <c r="B58" s="36">
        <f>IF($D58&lt;=0,"",EDATE(Übersicht!$C$18,($A58-1)*12/Übersicht!$C$25))</f>
        <v>47573</v>
      </c>
      <c r="C58" s="21">
        <f t="shared" si="0"/>
        <v>2030</v>
      </c>
      <c r="D58" s="37">
        <f t="shared" si="4"/>
        <v>200839.2</v>
      </c>
      <c r="E58" s="23">
        <f t="shared" si="1"/>
        <v>1239.58</v>
      </c>
      <c r="F58" s="23">
        <f>IF($D58&lt;=0,0,ROUND($D58*Übersicht!$C$26,2))</f>
        <v>577.41</v>
      </c>
      <c r="G58" s="23">
        <f>IF($D58&lt;=0,0,MIN($D58,IF(Übersicht!$C$14="Annuitätendarlehen",MAX(0,Übersicht!$C$28-$F58),IF(Übersicht!$C$14="Ratendarlehen",Übersicht!$C$29,IF($A58&gt;=Übersicht!$C$30,$D58,0)))))</f>
        <v>662.17</v>
      </c>
      <c r="H58" s="23">
        <f>IF($D58-$G58&lt;=0,0,IF(MOD($A58,Übersicht!$C$25)=0,MIN(Übersicht!$C$31,$D58-$G58),0))</f>
        <v>0</v>
      </c>
      <c r="I58" s="23">
        <f t="shared" si="2"/>
        <v>1239.58</v>
      </c>
      <c r="J58" s="23">
        <f t="shared" si="3"/>
        <v>200177.03</v>
      </c>
      <c r="K58" s="23">
        <f t="shared" si="5"/>
        <v>33395.61</v>
      </c>
      <c r="L58" s="23">
        <f t="shared" si="6"/>
        <v>49822.97</v>
      </c>
      <c r="M58" s="24">
        <f>IF($D58&lt;=0,"",IF(Übersicht!$C$11=0,0,$L58/Übersicht!$C$11))</f>
        <v>0.19929188</v>
      </c>
      <c r="N58" s="25" t="str">
        <f>IF($D58&lt;=0,"",IF($J58&lt;=0.005,"Volltilgung erreicht",IF($A58=Übersicht!$C$19*Übersicht!$C$25,"Ende der Zinsbindung",IF($H58&gt;0,"Sondertilgung verrechnet",""))))</f>
        <v/>
      </c>
      <c r="Q58" s="38">
        <f>IF($S57&lt;=0,0,ROUND($S57*Übersicht!$C$26,2))</f>
        <v>638.36</v>
      </c>
      <c r="R58" s="38">
        <f>IF($S57&lt;=0,0,MIN($S57,IF(Übersicht!$C$14="Annuitätendarlehen",MAX(0,Übersicht!$C$28-$Q58),IF(Übersicht!$C$14="Ratendarlehen",Übersicht!$C$29,IF($A58&gt;=Übersicht!$C$30,$S57,0)))))</f>
        <v>601.21999999999991</v>
      </c>
      <c r="S58" s="38">
        <f>IF($S57&lt;=0,0,ROUND($S57-$R58-IF($S57-$R58&lt;=0,0,IF(MOD($A58,Übersicht!$C$25)=0,MIN(Szenarien!$C$8,$S57-$R58),0)),2))</f>
        <v>221435.64</v>
      </c>
      <c r="T58" s="38">
        <f>IF($V57&lt;=0,0,ROUND($V57*Übersicht!$C$26,2))</f>
        <v>607.88</v>
      </c>
      <c r="U58" s="38">
        <f>IF($V57&lt;=0,0,MIN($V57,IF(Übersicht!$C$14="Annuitätendarlehen",MAX(0,Übersicht!$C$28-$T58),IF(Übersicht!$C$14="Ratendarlehen",Übersicht!$C$29,IF($A58&gt;=Übersicht!$C$30,$V57,0)))))</f>
        <v>631.69999999999993</v>
      </c>
      <c r="V58" s="38">
        <f>IF($V57&lt;=0,0,ROUND($V57-$U58-IF($V57-$U58&lt;=0,0,IF(MOD($A58,Übersicht!$C$25)=0,MIN(Szenarien!$C$9,$V57-$U58),0)),2))</f>
        <v>210806.38</v>
      </c>
      <c r="W58" s="38">
        <f>IF($Y57&lt;=0,0,ROUND($Y57*Übersicht!$C$26,2))</f>
        <v>577.41</v>
      </c>
      <c r="X58" s="38">
        <f>IF($Y57&lt;=0,0,MIN($Y57,IF(Übersicht!$C$14="Annuitätendarlehen",MAX(0,Übersicht!$C$28-$W58),IF(Übersicht!$C$14="Ratendarlehen",Übersicht!$C$29,IF($A58&gt;=Übersicht!$C$30,$Y57,0)))))</f>
        <v>662.17</v>
      </c>
      <c r="Y58" s="38">
        <f>IF($Y57&lt;=0,0,ROUND($Y57-$X58-IF($Y57-$X58&lt;=0,0,IF(MOD($A58,Übersicht!$C$25)=0,MIN(Szenarien!$C$10,$Y57-$X58),0)),2))</f>
        <v>200177.03</v>
      </c>
      <c r="Z58" s="38">
        <f>IF($AB57&lt;=0,0,ROUND($AB57*Übersicht!$C$26,2))</f>
        <v>546.94000000000005</v>
      </c>
      <c r="AA58" s="38">
        <f>IF($AB57&lt;=0,0,MIN($AB57,IF(Übersicht!$C$14="Annuitätendarlehen",MAX(0,Übersicht!$C$28-$Z58),IF(Übersicht!$C$14="Ratendarlehen",Übersicht!$C$29,IF($A58&gt;=Übersicht!$C$30,$AB57,0)))))</f>
        <v>692.63999999999987</v>
      </c>
      <c r="AB58" s="38">
        <f>IF($AB57&lt;=0,0,ROUND($AB57-$AA58-IF($AB57-$AA58&lt;=0,0,IF(MOD($A58,Übersicht!$C$25)=0,MIN(Szenarien!$C$11,$AB57-$AA58),0)),2))</f>
        <v>189547.76</v>
      </c>
      <c r="AC58" s="38">
        <f>IF($AE57&lt;=0,0,ROUND($AE57*Übersicht!$C$26,2))</f>
        <v>486</v>
      </c>
      <c r="AD58" s="38">
        <f>IF($AE57&lt;=0,0,MIN($AE57,IF(Übersicht!$C$14="Annuitätendarlehen",MAX(0,Übersicht!$C$28-$AC58),IF(Übersicht!$C$14="Ratendarlehen",Übersicht!$C$29,IF($A58&gt;=Übersicht!$C$30,$AE57,0)))))</f>
        <v>753.57999999999993</v>
      </c>
      <c r="AE58" s="38">
        <f>IF($AE57&lt;=0,0,ROUND($AE57-$AD58-IF($AE57-$AD58&lt;=0,0,IF(MOD($A58,Übersicht!$C$25)=0,MIN(Szenarien!$C$12,$AE57-$AD58),0)),2))</f>
        <v>168289.13</v>
      </c>
    </row>
    <row r="59" spans="1:31" ht="15" customHeight="1" x14ac:dyDescent="0.25">
      <c r="A59" s="26">
        <v>52</v>
      </c>
      <c r="B59" s="39">
        <f>IF($D59&lt;=0,"",EDATE(Übersicht!$C$18,($A59-1)*12/Übersicht!$C$25))</f>
        <v>47603</v>
      </c>
      <c r="C59" s="26">
        <f t="shared" si="0"/>
        <v>2030</v>
      </c>
      <c r="D59" s="40">
        <f t="shared" si="4"/>
        <v>200177.03</v>
      </c>
      <c r="E59" s="28">
        <f t="shared" si="1"/>
        <v>1239.58</v>
      </c>
      <c r="F59" s="28">
        <f>IF($D59&lt;=0,0,ROUND($D59*Übersicht!$C$26,2))</f>
        <v>575.51</v>
      </c>
      <c r="G59" s="28">
        <f>IF($D59&lt;=0,0,MIN($D59,IF(Übersicht!$C$14="Annuitätendarlehen",MAX(0,Übersicht!$C$28-$F59),IF(Übersicht!$C$14="Ratendarlehen",Übersicht!$C$29,IF($A59&gt;=Übersicht!$C$30,$D59,0)))))</f>
        <v>664.06999999999994</v>
      </c>
      <c r="H59" s="28">
        <f>IF($D59-$G59&lt;=0,0,IF(MOD($A59,Übersicht!$C$25)=0,MIN(Übersicht!$C$31,$D59-$G59),0))</f>
        <v>0</v>
      </c>
      <c r="I59" s="28">
        <f t="shared" si="2"/>
        <v>1239.58</v>
      </c>
      <c r="J59" s="28">
        <f t="shared" si="3"/>
        <v>199512.95999999999</v>
      </c>
      <c r="K59" s="28">
        <f t="shared" si="5"/>
        <v>33971.120000000003</v>
      </c>
      <c r="L59" s="28">
        <f t="shared" si="6"/>
        <v>50487.040000000001</v>
      </c>
      <c r="M59" s="29">
        <f>IF($D59&lt;=0,"",IF(Übersicht!$C$11=0,0,$L59/Übersicht!$C$11))</f>
        <v>0.20194816000000002</v>
      </c>
      <c r="N59" s="30" t="str">
        <f>IF($D59&lt;=0,"",IF($J59&lt;=0.005,"Volltilgung erreicht",IF($A59=Übersicht!$C$19*Übersicht!$C$25,"Ende der Zinsbindung",IF($H59&gt;0,"Sondertilgung verrechnet",""))))</f>
        <v/>
      </c>
      <c r="Q59" s="38">
        <f>IF($S58&lt;=0,0,ROUND($S58*Übersicht!$C$26,2))</f>
        <v>636.63</v>
      </c>
      <c r="R59" s="38">
        <f>IF($S58&lt;=0,0,MIN($S58,IF(Übersicht!$C$14="Annuitätendarlehen",MAX(0,Übersicht!$C$28-$Q59),IF(Übersicht!$C$14="Ratendarlehen",Übersicht!$C$29,IF($A59&gt;=Übersicht!$C$30,$S58,0)))))</f>
        <v>602.94999999999993</v>
      </c>
      <c r="S59" s="38">
        <f>IF($S58&lt;=0,0,ROUND($S58-$R59-IF($S58-$R59&lt;=0,0,IF(MOD($A59,Übersicht!$C$25)=0,MIN(Szenarien!$C$8,$S58-$R59),0)),2))</f>
        <v>220832.69</v>
      </c>
      <c r="T59" s="38">
        <f>IF($V58&lt;=0,0,ROUND($V58*Übersicht!$C$26,2))</f>
        <v>606.07000000000005</v>
      </c>
      <c r="U59" s="38">
        <f>IF($V58&lt;=0,0,MIN($V58,IF(Übersicht!$C$14="Annuitätendarlehen",MAX(0,Übersicht!$C$28-$T59),IF(Übersicht!$C$14="Ratendarlehen",Übersicht!$C$29,IF($A59&gt;=Übersicht!$C$30,$V58,0)))))</f>
        <v>633.50999999999988</v>
      </c>
      <c r="V59" s="38">
        <f>IF($V58&lt;=0,0,ROUND($V58-$U59-IF($V58-$U59&lt;=0,0,IF(MOD($A59,Übersicht!$C$25)=0,MIN(Szenarien!$C$9,$V58-$U59),0)),2))</f>
        <v>210172.87</v>
      </c>
      <c r="W59" s="38">
        <f>IF($Y58&lt;=0,0,ROUND($Y58*Übersicht!$C$26,2))</f>
        <v>575.51</v>
      </c>
      <c r="X59" s="38">
        <f>IF($Y58&lt;=0,0,MIN($Y58,IF(Übersicht!$C$14="Annuitätendarlehen",MAX(0,Übersicht!$C$28-$W59),IF(Übersicht!$C$14="Ratendarlehen",Übersicht!$C$29,IF($A59&gt;=Übersicht!$C$30,$Y58,0)))))</f>
        <v>664.06999999999994</v>
      </c>
      <c r="Y59" s="38">
        <f>IF($Y58&lt;=0,0,ROUND($Y58-$X59-IF($Y58-$X59&lt;=0,0,IF(MOD($A59,Übersicht!$C$25)=0,MIN(Szenarien!$C$10,$Y58-$X59),0)),2))</f>
        <v>199512.95999999999</v>
      </c>
      <c r="Z59" s="38">
        <f>IF($AB58&lt;=0,0,ROUND($AB58*Übersicht!$C$26,2))</f>
        <v>544.95000000000005</v>
      </c>
      <c r="AA59" s="38">
        <f>IF($AB58&lt;=0,0,MIN($AB58,IF(Übersicht!$C$14="Annuitätendarlehen",MAX(0,Übersicht!$C$28-$Z59),IF(Übersicht!$C$14="Ratendarlehen",Übersicht!$C$29,IF($A59&gt;=Übersicht!$C$30,$AB58,0)))))</f>
        <v>694.62999999999988</v>
      </c>
      <c r="AB59" s="38">
        <f>IF($AB58&lt;=0,0,ROUND($AB58-$AA59-IF($AB58-$AA59&lt;=0,0,IF(MOD($A59,Übersicht!$C$25)=0,MIN(Szenarien!$C$11,$AB58-$AA59),0)),2))</f>
        <v>188853.13</v>
      </c>
      <c r="AC59" s="38">
        <f>IF($AE58&lt;=0,0,ROUND($AE58*Übersicht!$C$26,2))</f>
        <v>483.83</v>
      </c>
      <c r="AD59" s="38">
        <f>IF($AE58&lt;=0,0,MIN($AE58,IF(Übersicht!$C$14="Annuitätendarlehen",MAX(0,Übersicht!$C$28-$AC59),IF(Übersicht!$C$14="Ratendarlehen",Übersicht!$C$29,IF($A59&gt;=Übersicht!$C$30,$AE58,0)))))</f>
        <v>755.75</v>
      </c>
      <c r="AE59" s="38">
        <f>IF($AE58&lt;=0,0,ROUND($AE58-$AD59-IF($AE58-$AD59&lt;=0,0,IF(MOD($A59,Übersicht!$C$25)=0,MIN(Szenarien!$C$12,$AE58-$AD59),0)),2))</f>
        <v>167533.38</v>
      </c>
    </row>
    <row r="60" spans="1:31" ht="15" customHeight="1" x14ac:dyDescent="0.25">
      <c r="A60" s="21">
        <v>53</v>
      </c>
      <c r="B60" s="36">
        <f>IF($D60&lt;=0,"",EDATE(Übersicht!$C$18,($A60-1)*12/Übersicht!$C$25))</f>
        <v>47634</v>
      </c>
      <c r="C60" s="21">
        <f t="shared" si="0"/>
        <v>2030</v>
      </c>
      <c r="D60" s="37">
        <f t="shared" si="4"/>
        <v>199512.95999999999</v>
      </c>
      <c r="E60" s="23">
        <f t="shared" si="1"/>
        <v>1239.58</v>
      </c>
      <c r="F60" s="23">
        <f>IF($D60&lt;=0,0,ROUND($D60*Übersicht!$C$26,2))</f>
        <v>573.6</v>
      </c>
      <c r="G60" s="23">
        <f>IF($D60&lt;=0,0,MIN($D60,IF(Übersicht!$C$14="Annuitätendarlehen",MAX(0,Übersicht!$C$28-$F60),IF(Übersicht!$C$14="Ratendarlehen",Übersicht!$C$29,IF($A60&gt;=Übersicht!$C$30,$D60,0)))))</f>
        <v>665.9799999999999</v>
      </c>
      <c r="H60" s="23">
        <f>IF($D60-$G60&lt;=0,0,IF(MOD($A60,Übersicht!$C$25)=0,MIN(Übersicht!$C$31,$D60-$G60),0))</f>
        <v>0</v>
      </c>
      <c r="I60" s="23">
        <f t="shared" si="2"/>
        <v>1239.58</v>
      </c>
      <c r="J60" s="23">
        <f t="shared" si="3"/>
        <v>198846.98</v>
      </c>
      <c r="K60" s="23">
        <f t="shared" si="5"/>
        <v>34544.720000000001</v>
      </c>
      <c r="L60" s="23">
        <f t="shared" si="6"/>
        <v>51153.02</v>
      </c>
      <c r="M60" s="24">
        <f>IF($D60&lt;=0,"",IF(Übersicht!$C$11=0,0,$L60/Übersicht!$C$11))</f>
        <v>0.20461207999999997</v>
      </c>
      <c r="N60" s="25" t="str">
        <f>IF($D60&lt;=0,"",IF($J60&lt;=0.005,"Volltilgung erreicht",IF($A60=Übersicht!$C$19*Übersicht!$C$25,"Ende der Zinsbindung",IF($H60&gt;0,"Sondertilgung verrechnet",""))))</f>
        <v/>
      </c>
      <c r="Q60" s="38">
        <f>IF($S59&lt;=0,0,ROUND($S59*Übersicht!$C$26,2))</f>
        <v>634.89</v>
      </c>
      <c r="R60" s="38">
        <f>IF($S59&lt;=0,0,MIN($S59,IF(Übersicht!$C$14="Annuitätendarlehen",MAX(0,Übersicht!$C$28-$Q60),IF(Übersicht!$C$14="Ratendarlehen",Übersicht!$C$29,IF($A60&gt;=Übersicht!$C$30,$S59,0)))))</f>
        <v>604.68999999999994</v>
      </c>
      <c r="S60" s="38">
        <f>IF($S59&lt;=0,0,ROUND($S59-$R60-IF($S59-$R60&lt;=0,0,IF(MOD($A60,Übersicht!$C$25)=0,MIN(Szenarien!$C$8,$S59-$R60),0)),2))</f>
        <v>220228</v>
      </c>
      <c r="T60" s="38">
        <f>IF($V59&lt;=0,0,ROUND($V59*Übersicht!$C$26,2))</f>
        <v>604.25</v>
      </c>
      <c r="U60" s="38">
        <f>IF($V59&lt;=0,0,MIN($V59,IF(Übersicht!$C$14="Annuitätendarlehen",MAX(0,Übersicht!$C$28-$T60),IF(Übersicht!$C$14="Ratendarlehen",Übersicht!$C$29,IF($A60&gt;=Übersicht!$C$30,$V59,0)))))</f>
        <v>635.32999999999993</v>
      </c>
      <c r="V60" s="38">
        <f>IF($V59&lt;=0,0,ROUND($V59-$U60-IF($V59-$U60&lt;=0,0,IF(MOD($A60,Übersicht!$C$25)=0,MIN(Szenarien!$C$9,$V59-$U60),0)),2))</f>
        <v>209537.54</v>
      </c>
      <c r="W60" s="38">
        <f>IF($Y59&lt;=0,0,ROUND($Y59*Übersicht!$C$26,2))</f>
        <v>573.6</v>
      </c>
      <c r="X60" s="38">
        <f>IF($Y59&lt;=0,0,MIN($Y59,IF(Übersicht!$C$14="Annuitätendarlehen",MAX(0,Übersicht!$C$28-$W60),IF(Übersicht!$C$14="Ratendarlehen",Übersicht!$C$29,IF($A60&gt;=Übersicht!$C$30,$Y59,0)))))</f>
        <v>665.9799999999999</v>
      </c>
      <c r="Y60" s="38">
        <f>IF($Y59&lt;=0,0,ROUND($Y59-$X60-IF($Y59-$X60&lt;=0,0,IF(MOD($A60,Übersicht!$C$25)=0,MIN(Szenarien!$C$10,$Y59-$X60),0)),2))</f>
        <v>198846.98</v>
      </c>
      <c r="Z60" s="38">
        <f>IF($AB59&lt;=0,0,ROUND($AB59*Übersicht!$C$26,2))</f>
        <v>542.95000000000005</v>
      </c>
      <c r="AA60" s="38">
        <f>IF($AB59&lt;=0,0,MIN($AB59,IF(Übersicht!$C$14="Annuitätendarlehen",MAX(0,Übersicht!$C$28-$Z60),IF(Übersicht!$C$14="Ratendarlehen",Übersicht!$C$29,IF($A60&gt;=Übersicht!$C$30,$AB59,0)))))</f>
        <v>696.62999999999988</v>
      </c>
      <c r="AB60" s="38">
        <f>IF($AB59&lt;=0,0,ROUND($AB59-$AA60-IF($AB59-$AA60&lt;=0,0,IF(MOD($A60,Übersicht!$C$25)=0,MIN(Szenarien!$C$11,$AB59-$AA60),0)),2))</f>
        <v>188156.5</v>
      </c>
      <c r="AC60" s="38">
        <f>IF($AE59&lt;=0,0,ROUND($AE59*Übersicht!$C$26,2))</f>
        <v>481.66</v>
      </c>
      <c r="AD60" s="38">
        <f>IF($AE59&lt;=0,0,MIN($AE59,IF(Übersicht!$C$14="Annuitätendarlehen",MAX(0,Übersicht!$C$28-$AC60),IF(Übersicht!$C$14="Ratendarlehen",Übersicht!$C$29,IF($A60&gt;=Übersicht!$C$30,$AE59,0)))))</f>
        <v>757.91999999999985</v>
      </c>
      <c r="AE60" s="38">
        <f>IF($AE59&lt;=0,0,ROUND($AE59-$AD60-IF($AE59-$AD60&lt;=0,0,IF(MOD($A60,Übersicht!$C$25)=0,MIN(Szenarien!$C$12,$AE59-$AD60),0)),2))</f>
        <v>166775.46</v>
      </c>
    </row>
    <row r="61" spans="1:31" ht="15" customHeight="1" x14ac:dyDescent="0.25">
      <c r="A61" s="26">
        <v>54</v>
      </c>
      <c r="B61" s="39">
        <f>IF($D61&lt;=0,"",EDATE(Übersicht!$C$18,($A61-1)*12/Übersicht!$C$25))</f>
        <v>47664</v>
      </c>
      <c r="C61" s="26">
        <f t="shared" si="0"/>
        <v>2030</v>
      </c>
      <c r="D61" s="40">
        <f t="shared" si="4"/>
        <v>198846.98</v>
      </c>
      <c r="E61" s="28">
        <f t="shared" si="1"/>
        <v>1239.58</v>
      </c>
      <c r="F61" s="28">
        <f>IF($D61&lt;=0,0,ROUND($D61*Übersicht!$C$26,2))</f>
        <v>571.69000000000005</v>
      </c>
      <c r="G61" s="28">
        <f>IF($D61&lt;=0,0,MIN($D61,IF(Übersicht!$C$14="Annuitätendarlehen",MAX(0,Übersicht!$C$28-$F61),IF(Übersicht!$C$14="Ratendarlehen",Übersicht!$C$29,IF($A61&gt;=Übersicht!$C$30,$D61,0)))))</f>
        <v>667.88999999999987</v>
      </c>
      <c r="H61" s="28">
        <f>IF($D61-$G61&lt;=0,0,IF(MOD($A61,Übersicht!$C$25)=0,MIN(Übersicht!$C$31,$D61-$G61),0))</f>
        <v>0</v>
      </c>
      <c r="I61" s="28">
        <f t="shared" si="2"/>
        <v>1239.58</v>
      </c>
      <c r="J61" s="28">
        <f t="shared" si="3"/>
        <v>198179.09</v>
      </c>
      <c r="K61" s="28">
        <f t="shared" si="5"/>
        <v>35116.410000000003</v>
      </c>
      <c r="L61" s="28">
        <f t="shared" si="6"/>
        <v>51820.91</v>
      </c>
      <c r="M61" s="29">
        <f>IF($D61&lt;=0,"",IF(Übersicht!$C$11=0,0,$L61/Übersicht!$C$11))</f>
        <v>0.20728364000000002</v>
      </c>
      <c r="N61" s="30" t="str">
        <f>IF($D61&lt;=0,"",IF($J61&lt;=0.005,"Volltilgung erreicht",IF($A61=Übersicht!$C$19*Übersicht!$C$25,"Ende der Zinsbindung",IF($H61&gt;0,"Sondertilgung verrechnet",""))))</f>
        <v/>
      </c>
      <c r="Q61" s="38">
        <f>IF($S60&lt;=0,0,ROUND($S60*Übersicht!$C$26,2))</f>
        <v>633.16</v>
      </c>
      <c r="R61" s="38">
        <f>IF($S60&lt;=0,0,MIN($S60,IF(Übersicht!$C$14="Annuitätendarlehen",MAX(0,Übersicht!$C$28-$Q61),IF(Übersicht!$C$14="Ratendarlehen",Übersicht!$C$29,IF($A61&gt;=Übersicht!$C$30,$S60,0)))))</f>
        <v>606.41999999999996</v>
      </c>
      <c r="S61" s="38">
        <f>IF($S60&lt;=0,0,ROUND($S60-$R61-IF($S60-$R61&lt;=0,0,IF(MOD($A61,Übersicht!$C$25)=0,MIN(Szenarien!$C$8,$S60-$R61),0)),2))</f>
        <v>219621.58</v>
      </c>
      <c r="T61" s="38">
        <f>IF($V60&lt;=0,0,ROUND($V60*Übersicht!$C$26,2))</f>
        <v>602.41999999999996</v>
      </c>
      <c r="U61" s="38">
        <f>IF($V60&lt;=0,0,MIN($V60,IF(Übersicht!$C$14="Annuitätendarlehen",MAX(0,Übersicht!$C$28-$T61),IF(Übersicht!$C$14="Ratendarlehen",Übersicht!$C$29,IF($A61&gt;=Übersicht!$C$30,$V60,0)))))</f>
        <v>637.16</v>
      </c>
      <c r="V61" s="38">
        <f>IF($V60&lt;=0,0,ROUND($V60-$U61-IF($V60-$U61&lt;=0,0,IF(MOD($A61,Übersicht!$C$25)=0,MIN(Szenarien!$C$9,$V60-$U61),0)),2))</f>
        <v>208900.38</v>
      </c>
      <c r="W61" s="38">
        <f>IF($Y60&lt;=0,0,ROUND($Y60*Übersicht!$C$26,2))</f>
        <v>571.69000000000005</v>
      </c>
      <c r="X61" s="38">
        <f>IF($Y60&lt;=0,0,MIN($Y60,IF(Übersicht!$C$14="Annuitätendarlehen",MAX(0,Übersicht!$C$28-$W61),IF(Übersicht!$C$14="Ratendarlehen",Übersicht!$C$29,IF($A61&gt;=Übersicht!$C$30,$Y60,0)))))</f>
        <v>667.88999999999987</v>
      </c>
      <c r="Y61" s="38">
        <f>IF($Y60&lt;=0,0,ROUND($Y60-$X61-IF($Y60-$X61&lt;=0,0,IF(MOD($A61,Übersicht!$C$25)=0,MIN(Szenarien!$C$10,$Y60-$X61),0)),2))</f>
        <v>198179.09</v>
      </c>
      <c r="Z61" s="38">
        <f>IF($AB60&lt;=0,0,ROUND($AB60*Übersicht!$C$26,2))</f>
        <v>540.95000000000005</v>
      </c>
      <c r="AA61" s="38">
        <f>IF($AB60&lt;=0,0,MIN($AB60,IF(Übersicht!$C$14="Annuitätendarlehen",MAX(0,Übersicht!$C$28-$Z61),IF(Übersicht!$C$14="Ratendarlehen",Übersicht!$C$29,IF($A61&gt;=Übersicht!$C$30,$AB60,0)))))</f>
        <v>698.62999999999988</v>
      </c>
      <c r="AB61" s="38">
        <f>IF($AB60&lt;=0,0,ROUND($AB60-$AA61-IF($AB60-$AA61&lt;=0,0,IF(MOD($A61,Übersicht!$C$25)=0,MIN(Szenarien!$C$11,$AB60-$AA61),0)),2))</f>
        <v>187457.87</v>
      </c>
      <c r="AC61" s="38">
        <f>IF($AE60&lt;=0,0,ROUND($AE60*Übersicht!$C$26,2))</f>
        <v>479.48</v>
      </c>
      <c r="AD61" s="38">
        <f>IF($AE60&lt;=0,0,MIN($AE60,IF(Übersicht!$C$14="Annuitätendarlehen",MAX(0,Übersicht!$C$28-$AC61),IF(Übersicht!$C$14="Ratendarlehen",Übersicht!$C$29,IF($A61&gt;=Übersicht!$C$30,$AE60,0)))))</f>
        <v>760.09999999999991</v>
      </c>
      <c r="AE61" s="38">
        <f>IF($AE60&lt;=0,0,ROUND($AE60-$AD61-IF($AE60-$AD61&lt;=0,0,IF(MOD($A61,Übersicht!$C$25)=0,MIN(Szenarien!$C$12,$AE60-$AD61),0)),2))</f>
        <v>166015.35999999999</v>
      </c>
    </row>
    <row r="62" spans="1:31" ht="15" customHeight="1" x14ac:dyDescent="0.25">
      <c r="A62" s="21">
        <v>55</v>
      </c>
      <c r="B62" s="36">
        <f>IF($D62&lt;=0,"",EDATE(Übersicht!$C$18,($A62-1)*12/Übersicht!$C$25))</f>
        <v>47695</v>
      </c>
      <c r="C62" s="21">
        <f t="shared" si="0"/>
        <v>2030</v>
      </c>
      <c r="D62" s="37">
        <f t="shared" si="4"/>
        <v>198179.09</v>
      </c>
      <c r="E62" s="23">
        <f t="shared" si="1"/>
        <v>1239.58</v>
      </c>
      <c r="F62" s="23">
        <f>IF($D62&lt;=0,0,ROUND($D62*Übersicht!$C$26,2))</f>
        <v>569.76</v>
      </c>
      <c r="G62" s="23">
        <f>IF($D62&lt;=0,0,MIN($D62,IF(Übersicht!$C$14="Annuitätendarlehen",MAX(0,Übersicht!$C$28-$F62),IF(Übersicht!$C$14="Ratendarlehen",Übersicht!$C$29,IF($A62&gt;=Übersicht!$C$30,$D62,0)))))</f>
        <v>669.81999999999994</v>
      </c>
      <c r="H62" s="23">
        <f>IF($D62-$G62&lt;=0,0,IF(MOD($A62,Übersicht!$C$25)=0,MIN(Übersicht!$C$31,$D62-$G62),0))</f>
        <v>0</v>
      </c>
      <c r="I62" s="23">
        <f t="shared" si="2"/>
        <v>1239.58</v>
      </c>
      <c r="J62" s="23">
        <f t="shared" si="3"/>
        <v>197509.27</v>
      </c>
      <c r="K62" s="23">
        <f t="shared" si="5"/>
        <v>35686.170000000006</v>
      </c>
      <c r="L62" s="23">
        <f t="shared" si="6"/>
        <v>52490.73</v>
      </c>
      <c r="M62" s="24">
        <f>IF($D62&lt;=0,"",IF(Übersicht!$C$11=0,0,$L62/Übersicht!$C$11))</f>
        <v>0.20996292000000003</v>
      </c>
      <c r="N62" s="25" t="str">
        <f>IF($D62&lt;=0,"",IF($J62&lt;=0.005,"Volltilgung erreicht",IF($A62=Übersicht!$C$19*Übersicht!$C$25,"Ende der Zinsbindung",IF($H62&gt;0,"Sondertilgung verrechnet",""))))</f>
        <v/>
      </c>
      <c r="Q62" s="38">
        <f>IF($S61&lt;=0,0,ROUND($S61*Übersicht!$C$26,2))</f>
        <v>631.41</v>
      </c>
      <c r="R62" s="38">
        <f>IF($S61&lt;=0,0,MIN($S61,IF(Übersicht!$C$14="Annuitätendarlehen",MAX(0,Übersicht!$C$28-$Q62),IF(Übersicht!$C$14="Ratendarlehen",Übersicht!$C$29,IF($A62&gt;=Übersicht!$C$30,$S61,0)))))</f>
        <v>608.16999999999996</v>
      </c>
      <c r="S62" s="38">
        <f>IF($S61&lt;=0,0,ROUND($S61-$R62-IF($S61-$R62&lt;=0,0,IF(MOD($A62,Übersicht!$C$25)=0,MIN(Szenarien!$C$8,$S61-$R62),0)),2))</f>
        <v>219013.41</v>
      </c>
      <c r="T62" s="38">
        <f>IF($V61&lt;=0,0,ROUND($V61*Übersicht!$C$26,2))</f>
        <v>600.59</v>
      </c>
      <c r="U62" s="38">
        <f>IF($V61&lt;=0,0,MIN($V61,IF(Übersicht!$C$14="Annuitätendarlehen",MAX(0,Übersicht!$C$28-$T62),IF(Übersicht!$C$14="Ratendarlehen",Übersicht!$C$29,IF($A62&gt;=Übersicht!$C$30,$V61,0)))))</f>
        <v>638.9899999999999</v>
      </c>
      <c r="V62" s="38">
        <f>IF($V61&lt;=0,0,ROUND($V61-$U62-IF($V61-$U62&lt;=0,0,IF(MOD($A62,Übersicht!$C$25)=0,MIN(Szenarien!$C$9,$V61-$U62),0)),2))</f>
        <v>208261.39</v>
      </c>
      <c r="W62" s="38">
        <f>IF($Y61&lt;=0,0,ROUND($Y61*Übersicht!$C$26,2))</f>
        <v>569.76</v>
      </c>
      <c r="X62" s="38">
        <f>IF($Y61&lt;=0,0,MIN($Y61,IF(Übersicht!$C$14="Annuitätendarlehen",MAX(0,Übersicht!$C$28-$W62),IF(Übersicht!$C$14="Ratendarlehen",Übersicht!$C$29,IF($A62&gt;=Übersicht!$C$30,$Y61,0)))))</f>
        <v>669.81999999999994</v>
      </c>
      <c r="Y62" s="38">
        <f>IF($Y61&lt;=0,0,ROUND($Y61-$X62-IF($Y61-$X62&lt;=0,0,IF(MOD($A62,Übersicht!$C$25)=0,MIN(Szenarien!$C$10,$Y61-$X62),0)),2))</f>
        <v>197509.27</v>
      </c>
      <c r="Z62" s="38">
        <f>IF($AB61&lt;=0,0,ROUND($AB61*Übersicht!$C$26,2))</f>
        <v>538.94000000000005</v>
      </c>
      <c r="AA62" s="38">
        <f>IF($AB61&lt;=0,0,MIN($AB61,IF(Übersicht!$C$14="Annuitätendarlehen",MAX(0,Übersicht!$C$28-$Z62),IF(Übersicht!$C$14="Ratendarlehen",Übersicht!$C$29,IF($A62&gt;=Übersicht!$C$30,$AB61,0)))))</f>
        <v>700.63999999999987</v>
      </c>
      <c r="AB62" s="38">
        <f>IF($AB61&lt;=0,0,ROUND($AB61-$AA62-IF($AB61-$AA62&lt;=0,0,IF(MOD($A62,Übersicht!$C$25)=0,MIN(Szenarien!$C$11,$AB61-$AA62),0)),2))</f>
        <v>186757.23</v>
      </c>
      <c r="AC62" s="38">
        <f>IF($AE61&lt;=0,0,ROUND($AE61*Übersicht!$C$26,2))</f>
        <v>477.29</v>
      </c>
      <c r="AD62" s="38">
        <f>IF($AE61&lt;=0,0,MIN($AE61,IF(Übersicht!$C$14="Annuitätendarlehen",MAX(0,Übersicht!$C$28-$AC62),IF(Übersicht!$C$14="Ratendarlehen",Übersicht!$C$29,IF($A62&gt;=Übersicht!$C$30,$AE61,0)))))</f>
        <v>762.29</v>
      </c>
      <c r="AE62" s="38">
        <f>IF($AE61&lt;=0,0,ROUND($AE61-$AD62-IF($AE61-$AD62&lt;=0,0,IF(MOD($A62,Übersicht!$C$25)=0,MIN(Szenarien!$C$12,$AE61-$AD62),0)),2))</f>
        <v>165253.07</v>
      </c>
    </row>
    <row r="63" spans="1:31" ht="15" customHeight="1" x14ac:dyDescent="0.25">
      <c r="A63" s="26">
        <v>56</v>
      </c>
      <c r="B63" s="39">
        <f>IF($D63&lt;=0,"",EDATE(Übersicht!$C$18,($A63-1)*12/Übersicht!$C$25))</f>
        <v>47726</v>
      </c>
      <c r="C63" s="26">
        <f t="shared" si="0"/>
        <v>2030</v>
      </c>
      <c r="D63" s="40">
        <f t="shared" si="4"/>
        <v>197509.27</v>
      </c>
      <c r="E63" s="28">
        <f t="shared" si="1"/>
        <v>1239.58</v>
      </c>
      <c r="F63" s="28">
        <f>IF($D63&lt;=0,0,ROUND($D63*Übersicht!$C$26,2))</f>
        <v>567.84</v>
      </c>
      <c r="G63" s="28">
        <f>IF($D63&lt;=0,0,MIN($D63,IF(Übersicht!$C$14="Annuitätendarlehen",MAX(0,Übersicht!$C$28-$F63),IF(Übersicht!$C$14="Ratendarlehen",Übersicht!$C$29,IF($A63&gt;=Übersicht!$C$30,$D63,0)))))</f>
        <v>671.7399999999999</v>
      </c>
      <c r="H63" s="28">
        <f>IF($D63-$G63&lt;=0,0,IF(MOD($A63,Übersicht!$C$25)=0,MIN(Übersicht!$C$31,$D63-$G63),0))</f>
        <v>0</v>
      </c>
      <c r="I63" s="28">
        <f t="shared" si="2"/>
        <v>1239.58</v>
      </c>
      <c r="J63" s="28">
        <f t="shared" si="3"/>
        <v>196837.53</v>
      </c>
      <c r="K63" s="28">
        <f t="shared" si="5"/>
        <v>36254.01</v>
      </c>
      <c r="L63" s="28">
        <f t="shared" si="6"/>
        <v>53162.47</v>
      </c>
      <c r="M63" s="29">
        <f>IF($D63&lt;=0,"",IF(Übersicht!$C$11=0,0,$L63/Übersicht!$C$11))</f>
        <v>0.21264988000000001</v>
      </c>
      <c r="N63" s="30" t="str">
        <f>IF($D63&lt;=0,"",IF($J63&lt;=0.005,"Volltilgung erreicht",IF($A63=Übersicht!$C$19*Übersicht!$C$25,"Ende der Zinsbindung",IF($H63&gt;0,"Sondertilgung verrechnet",""))))</f>
        <v/>
      </c>
      <c r="Q63" s="38">
        <f>IF($S62&lt;=0,0,ROUND($S62*Übersicht!$C$26,2))</f>
        <v>629.66</v>
      </c>
      <c r="R63" s="38">
        <f>IF($S62&lt;=0,0,MIN($S62,IF(Übersicht!$C$14="Annuitätendarlehen",MAX(0,Übersicht!$C$28-$Q63),IF(Übersicht!$C$14="Ratendarlehen",Übersicht!$C$29,IF($A63&gt;=Übersicht!$C$30,$S62,0)))))</f>
        <v>609.91999999999996</v>
      </c>
      <c r="S63" s="38">
        <f>IF($S62&lt;=0,0,ROUND($S62-$R63-IF($S62-$R63&lt;=0,0,IF(MOD($A63,Übersicht!$C$25)=0,MIN(Szenarien!$C$8,$S62-$R63),0)),2))</f>
        <v>218403.49</v>
      </c>
      <c r="T63" s="38">
        <f>IF($V62&lt;=0,0,ROUND($V62*Übersicht!$C$26,2))</f>
        <v>598.75</v>
      </c>
      <c r="U63" s="38">
        <f>IF($V62&lt;=0,0,MIN($V62,IF(Übersicht!$C$14="Annuitätendarlehen",MAX(0,Übersicht!$C$28-$T63),IF(Übersicht!$C$14="Ratendarlehen",Übersicht!$C$29,IF($A63&gt;=Übersicht!$C$30,$V62,0)))))</f>
        <v>640.82999999999993</v>
      </c>
      <c r="V63" s="38">
        <f>IF($V62&lt;=0,0,ROUND($V62-$U63-IF($V62-$U63&lt;=0,0,IF(MOD($A63,Übersicht!$C$25)=0,MIN(Szenarien!$C$9,$V62-$U63),0)),2))</f>
        <v>207620.56</v>
      </c>
      <c r="W63" s="38">
        <f>IF($Y62&lt;=0,0,ROUND($Y62*Übersicht!$C$26,2))</f>
        <v>567.84</v>
      </c>
      <c r="X63" s="38">
        <f>IF($Y62&lt;=0,0,MIN($Y62,IF(Übersicht!$C$14="Annuitätendarlehen",MAX(0,Übersicht!$C$28-$W63),IF(Übersicht!$C$14="Ratendarlehen",Übersicht!$C$29,IF($A63&gt;=Übersicht!$C$30,$Y62,0)))))</f>
        <v>671.7399999999999</v>
      </c>
      <c r="Y63" s="38">
        <f>IF($Y62&lt;=0,0,ROUND($Y62-$X63-IF($Y62-$X63&lt;=0,0,IF(MOD($A63,Übersicht!$C$25)=0,MIN(Szenarien!$C$10,$Y62-$X63),0)),2))</f>
        <v>196837.53</v>
      </c>
      <c r="Z63" s="38">
        <f>IF($AB62&lt;=0,0,ROUND($AB62*Übersicht!$C$26,2))</f>
        <v>536.92999999999995</v>
      </c>
      <c r="AA63" s="38">
        <f>IF($AB62&lt;=0,0,MIN($AB62,IF(Übersicht!$C$14="Annuitätendarlehen",MAX(0,Übersicht!$C$28-$Z63),IF(Übersicht!$C$14="Ratendarlehen",Übersicht!$C$29,IF($A63&gt;=Übersicht!$C$30,$AB62,0)))))</f>
        <v>702.65</v>
      </c>
      <c r="AB63" s="38">
        <f>IF($AB62&lt;=0,0,ROUND($AB62-$AA63-IF($AB62-$AA63&lt;=0,0,IF(MOD($A63,Übersicht!$C$25)=0,MIN(Szenarien!$C$11,$AB62-$AA63),0)),2))</f>
        <v>186054.58</v>
      </c>
      <c r="AC63" s="38">
        <f>IF($AE62&lt;=0,0,ROUND($AE62*Übersicht!$C$26,2))</f>
        <v>475.1</v>
      </c>
      <c r="AD63" s="38">
        <f>IF($AE62&lt;=0,0,MIN($AE62,IF(Übersicht!$C$14="Annuitätendarlehen",MAX(0,Übersicht!$C$28-$AC63),IF(Übersicht!$C$14="Ratendarlehen",Übersicht!$C$29,IF($A63&gt;=Übersicht!$C$30,$AE62,0)))))</f>
        <v>764.4799999999999</v>
      </c>
      <c r="AE63" s="38">
        <f>IF($AE62&lt;=0,0,ROUND($AE62-$AD63-IF($AE62-$AD63&lt;=0,0,IF(MOD($A63,Übersicht!$C$25)=0,MIN(Szenarien!$C$12,$AE62-$AD63),0)),2))</f>
        <v>164488.59</v>
      </c>
    </row>
    <row r="64" spans="1:31" ht="15" customHeight="1" x14ac:dyDescent="0.25">
      <c r="A64" s="21">
        <v>57</v>
      </c>
      <c r="B64" s="36">
        <f>IF($D64&lt;=0,"",EDATE(Übersicht!$C$18,($A64-1)*12/Übersicht!$C$25))</f>
        <v>47756</v>
      </c>
      <c r="C64" s="21">
        <f t="shared" si="0"/>
        <v>2030</v>
      </c>
      <c r="D64" s="37">
        <f t="shared" si="4"/>
        <v>196837.53</v>
      </c>
      <c r="E64" s="23">
        <f t="shared" si="1"/>
        <v>1239.58</v>
      </c>
      <c r="F64" s="23">
        <f>IF($D64&lt;=0,0,ROUND($D64*Übersicht!$C$26,2))</f>
        <v>565.91</v>
      </c>
      <c r="G64" s="23">
        <f>IF($D64&lt;=0,0,MIN($D64,IF(Übersicht!$C$14="Annuitätendarlehen",MAX(0,Übersicht!$C$28-$F64),IF(Übersicht!$C$14="Ratendarlehen",Übersicht!$C$29,IF($A64&gt;=Übersicht!$C$30,$D64,0)))))</f>
        <v>673.67</v>
      </c>
      <c r="H64" s="23">
        <f>IF($D64-$G64&lt;=0,0,IF(MOD($A64,Übersicht!$C$25)=0,MIN(Übersicht!$C$31,$D64-$G64),0))</f>
        <v>0</v>
      </c>
      <c r="I64" s="23">
        <f t="shared" si="2"/>
        <v>1239.58</v>
      </c>
      <c r="J64" s="23">
        <f t="shared" si="3"/>
        <v>196163.86</v>
      </c>
      <c r="K64" s="23">
        <f t="shared" si="5"/>
        <v>36819.920000000006</v>
      </c>
      <c r="L64" s="23">
        <f t="shared" si="6"/>
        <v>53836.14</v>
      </c>
      <c r="M64" s="24">
        <f>IF($D64&lt;=0,"",IF(Übersicht!$C$11=0,0,$L64/Übersicht!$C$11))</f>
        <v>0.21534455999999999</v>
      </c>
      <c r="N64" s="25" t="str">
        <f>IF($D64&lt;=0,"",IF($J64&lt;=0.005,"Volltilgung erreicht",IF($A64=Übersicht!$C$19*Übersicht!$C$25,"Ende der Zinsbindung",IF($H64&gt;0,"Sondertilgung verrechnet",""))))</f>
        <v/>
      </c>
      <c r="Q64" s="38">
        <f>IF($S63&lt;=0,0,ROUND($S63*Übersicht!$C$26,2))</f>
        <v>627.91</v>
      </c>
      <c r="R64" s="38">
        <f>IF($S63&lt;=0,0,MIN($S63,IF(Übersicht!$C$14="Annuitätendarlehen",MAX(0,Übersicht!$C$28-$Q64),IF(Übersicht!$C$14="Ratendarlehen",Übersicht!$C$29,IF($A64&gt;=Übersicht!$C$30,$S63,0)))))</f>
        <v>611.66999999999996</v>
      </c>
      <c r="S64" s="38">
        <f>IF($S63&lt;=0,0,ROUND($S63-$R64-IF($S63-$R64&lt;=0,0,IF(MOD($A64,Übersicht!$C$25)=0,MIN(Szenarien!$C$8,$S63-$R64),0)),2))</f>
        <v>217791.82</v>
      </c>
      <c r="T64" s="38">
        <f>IF($V63&lt;=0,0,ROUND($V63*Übersicht!$C$26,2))</f>
        <v>596.91</v>
      </c>
      <c r="U64" s="38">
        <f>IF($V63&lt;=0,0,MIN($V63,IF(Übersicht!$C$14="Annuitätendarlehen",MAX(0,Übersicht!$C$28-$T64),IF(Übersicht!$C$14="Ratendarlehen",Übersicht!$C$29,IF($A64&gt;=Übersicht!$C$30,$V63,0)))))</f>
        <v>642.66999999999996</v>
      </c>
      <c r="V64" s="38">
        <f>IF($V63&lt;=0,0,ROUND($V63-$U64-IF($V63-$U64&lt;=0,0,IF(MOD($A64,Übersicht!$C$25)=0,MIN(Szenarien!$C$9,$V63-$U64),0)),2))</f>
        <v>206977.89</v>
      </c>
      <c r="W64" s="38">
        <f>IF($Y63&lt;=0,0,ROUND($Y63*Übersicht!$C$26,2))</f>
        <v>565.91</v>
      </c>
      <c r="X64" s="38">
        <f>IF($Y63&lt;=0,0,MIN($Y63,IF(Übersicht!$C$14="Annuitätendarlehen",MAX(0,Übersicht!$C$28-$W64),IF(Übersicht!$C$14="Ratendarlehen",Übersicht!$C$29,IF($A64&gt;=Übersicht!$C$30,$Y63,0)))))</f>
        <v>673.67</v>
      </c>
      <c r="Y64" s="38">
        <f>IF($Y63&lt;=0,0,ROUND($Y63-$X64-IF($Y63-$X64&lt;=0,0,IF(MOD($A64,Übersicht!$C$25)=0,MIN(Szenarien!$C$10,$Y63-$X64),0)),2))</f>
        <v>196163.86</v>
      </c>
      <c r="Z64" s="38">
        <f>IF($AB63&lt;=0,0,ROUND($AB63*Übersicht!$C$26,2))</f>
        <v>534.91</v>
      </c>
      <c r="AA64" s="38">
        <f>IF($AB63&lt;=0,0,MIN($AB63,IF(Übersicht!$C$14="Annuitätendarlehen",MAX(0,Übersicht!$C$28-$Z64),IF(Übersicht!$C$14="Ratendarlehen",Übersicht!$C$29,IF($A64&gt;=Übersicht!$C$30,$AB63,0)))))</f>
        <v>704.67</v>
      </c>
      <c r="AB64" s="38">
        <f>IF($AB63&lt;=0,0,ROUND($AB63-$AA64-IF($AB63-$AA64&lt;=0,0,IF(MOD($A64,Übersicht!$C$25)=0,MIN(Szenarien!$C$11,$AB63-$AA64),0)),2))</f>
        <v>185349.91</v>
      </c>
      <c r="AC64" s="38">
        <f>IF($AE63&lt;=0,0,ROUND($AE63*Übersicht!$C$26,2))</f>
        <v>472.9</v>
      </c>
      <c r="AD64" s="38">
        <f>IF($AE63&lt;=0,0,MIN($AE63,IF(Übersicht!$C$14="Annuitätendarlehen",MAX(0,Übersicht!$C$28-$AC64),IF(Übersicht!$C$14="Ratendarlehen",Übersicht!$C$29,IF($A64&gt;=Übersicht!$C$30,$AE63,0)))))</f>
        <v>766.68</v>
      </c>
      <c r="AE64" s="38">
        <f>IF($AE63&lt;=0,0,ROUND($AE63-$AD64-IF($AE63-$AD64&lt;=0,0,IF(MOD($A64,Übersicht!$C$25)=0,MIN(Szenarien!$C$12,$AE63-$AD64),0)),2))</f>
        <v>163721.91</v>
      </c>
    </row>
    <row r="65" spans="1:31" ht="15" customHeight="1" x14ac:dyDescent="0.25">
      <c r="A65" s="26">
        <v>58</v>
      </c>
      <c r="B65" s="39">
        <f>IF($D65&lt;=0,"",EDATE(Übersicht!$C$18,($A65-1)*12/Übersicht!$C$25))</f>
        <v>47787</v>
      </c>
      <c r="C65" s="26">
        <f t="shared" si="0"/>
        <v>2030</v>
      </c>
      <c r="D65" s="40">
        <f t="shared" si="4"/>
        <v>196163.86</v>
      </c>
      <c r="E65" s="28">
        <f t="shared" si="1"/>
        <v>1239.58</v>
      </c>
      <c r="F65" s="28">
        <f>IF($D65&lt;=0,0,ROUND($D65*Übersicht!$C$26,2))</f>
        <v>563.97</v>
      </c>
      <c r="G65" s="28">
        <f>IF($D65&lt;=0,0,MIN($D65,IF(Übersicht!$C$14="Annuitätendarlehen",MAX(0,Übersicht!$C$28-$F65),IF(Übersicht!$C$14="Ratendarlehen",Übersicht!$C$29,IF($A65&gt;=Übersicht!$C$30,$D65,0)))))</f>
        <v>675.6099999999999</v>
      </c>
      <c r="H65" s="28">
        <f>IF($D65-$G65&lt;=0,0,IF(MOD($A65,Übersicht!$C$25)=0,MIN(Übersicht!$C$31,$D65-$G65),0))</f>
        <v>0</v>
      </c>
      <c r="I65" s="28">
        <f t="shared" si="2"/>
        <v>1239.58</v>
      </c>
      <c r="J65" s="28">
        <f t="shared" si="3"/>
        <v>195488.25</v>
      </c>
      <c r="K65" s="28">
        <f t="shared" si="5"/>
        <v>37383.890000000007</v>
      </c>
      <c r="L65" s="28">
        <f t="shared" si="6"/>
        <v>54511.75</v>
      </c>
      <c r="M65" s="29">
        <f>IF($D65&lt;=0,"",IF(Übersicht!$C$11=0,0,$L65/Übersicht!$C$11))</f>
        <v>0.21804699999999999</v>
      </c>
      <c r="N65" s="30" t="str">
        <f>IF($D65&lt;=0,"",IF($J65&lt;=0.005,"Volltilgung erreicht",IF($A65=Übersicht!$C$19*Übersicht!$C$25,"Ende der Zinsbindung",IF($H65&gt;0,"Sondertilgung verrechnet",""))))</f>
        <v/>
      </c>
      <c r="Q65" s="38">
        <f>IF($S64&lt;=0,0,ROUND($S64*Übersicht!$C$26,2))</f>
        <v>626.15</v>
      </c>
      <c r="R65" s="38">
        <f>IF($S64&lt;=0,0,MIN($S64,IF(Übersicht!$C$14="Annuitätendarlehen",MAX(0,Übersicht!$C$28-$Q65),IF(Übersicht!$C$14="Ratendarlehen",Übersicht!$C$29,IF($A65&gt;=Übersicht!$C$30,$S64,0)))))</f>
        <v>613.42999999999995</v>
      </c>
      <c r="S65" s="38">
        <f>IF($S64&lt;=0,0,ROUND($S64-$R65-IF($S64-$R65&lt;=0,0,IF(MOD($A65,Übersicht!$C$25)=0,MIN(Szenarien!$C$8,$S64-$R65),0)),2))</f>
        <v>217178.39</v>
      </c>
      <c r="T65" s="38">
        <f>IF($V64&lt;=0,0,ROUND($V64*Übersicht!$C$26,2))</f>
        <v>595.05999999999995</v>
      </c>
      <c r="U65" s="38">
        <f>IF($V64&lt;=0,0,MIN($V64,IF(Übersicht!$C$14="Annuitätendarlehen",MAX(0,Übersicht!$C$28-$T65),IF(Übersicht!$C$14="Ratendarlehen",Übersicht!$C$29,IF($A65&gt;=Übersicht!$C$30,$V64,0)))))</f>
        <v>644.52</v>
      </c>
      <c r="V65" s="38">
        <f>IF($V64&lt;=0,0,ROUND($V64-$U65-IF($V64-$U65&lt;=0,0,IF(MOD($A65,Übersicht!$C$25)=0,MIN(Szenarien!$C$9,$V64-$U65),0)),2))</f>
        <v>206333.37</v>
      </c>
      <c r="W65" s="38">
        <f>IF($Y64&lt;=0,0,ROUND($Y64*Übersicht!$C$26,2))</f>
        <v>563.97</v>
      </c>
      <c r="X65" s="38">
        <f>IF($Y64&lt;=0,0,MIN($Y64,IF(Übersicht!$C$14="Annuitätendarlehen",MAX(0,Übersicht!$C$28-$W65),IF(Übersicht!$C$14="Ratendarlehen",Übersicht!$C$29,IF($A65&gt;=Übersicht!$C$30,$Y64,0)))))</f>
        <v>675.6099999999999</v>
      </c>
      <c r="Y65" s="38">
        <f>IF($Y64&lt;=0,0,ROUND($Y64-$X65-IF($Y64-$X65&lt;=0,0,IF(MOD($A65,Übersicht!$C$25)=0,MIN(Szenarien!$C$10,$Y64-$X65),0)),2))</f>
        <v>195488.25</v>
      </c>
      <c r="Z65" s="38">
        <f>IF($AB64&lt;=0,0,ROUND($AB64*Übersicht!$C$26,2))</f>
        <v>532.88</v>
      </c>
      <c r="AA65" s="38">
        <f>IF($AB64&lt;=0,0,MIN($AB64,IF(Übersicht!$C$14="Annuitätendarlehen",MAX(0,Übersicht!$C$28-$Z65),IF(Übersicht!$C$14="Ratendarlehen",Übersicht!$C$29,IF($A65&gt;=Übersicht!$C$30,$AB64,0)))))</f>
        <v>706.69999999999993</v>
      </c>
      <c r="AB65" s="38">
        <f>IF($AB64&lt;=0,0,ROUND($AB64-$AA65-IF($AB64-$AA65&lt;=0,0,IF(MOD($A65,Übersicht!$C$25)=0,MIN(Szenarien!$C$11,$AB64-$AA65),0)),2))</f>
        <v>184643.21</v>
      </c>
      <c r="AC65" s="38">
        <f>IF($AE64&lt;=0,0,ROUND($AE64*Übersicht!$C$26,2))</f>
        <v>470.7</v>
      </c>
      <c r="AD65" s="38">
        <f>IF($AE64&lt;=0,0,MIN($AE64,IF(Übersicht!$C$14="Annuitätendarlehen",MAX(0,Übersicht!$C$28-$AC65),IF(Übersicht!$C$14="Ratendarlehen",Übersicht!$C$29,IF($A65&gt;=Übersicht!$C$30,$AE64,0)))))</f>
        <v>768.87999999999988</v>
      </c>
      <c r="AE65" s="38">
        <f>IF($AE64&lt;=0,0,ROUND($AE64-$AD65-IF($AE64-$AD65&lt;=0,0,IF(MOD($A65,Übersicht!$C$25)=0,MIN(Szenarien!$C$12,$AE64-$AD65),0)),2))</f>
        <v>162953.03</v>
      </c>
    </row>
    <row r="66" spans="1:31" ht="15" customHeight="1" x14ac:dyDescent="0.25">
      <c r="A66" s="21">
        <v>59</v>
      </c>
      <c r="B66" s="36">
        <f>IF($D66&lt;=0,"",EDATE(Übersicht!$C$18,($A66-1)*12/Übersicht!$C$25))</f>
        <v>47817</v>
      </c>
      <c r="C66" s="21">
        <f t="shared" si="0"/>
        <v>2030</v>
      </c>
      <c r="D66" s="37">
        <f t="shared" si="4"/>
        <v>195488.25</v>
      </c>
      <c r="E66" s="23">
        <f t="shared" si="1"/>
        <v>1239.58</v>
      </c>
      <c r="F66" s="23">
        <f>IF($D66&lt;=0,0,ROUND($D66*Übersicht!$C$26,2))</f>
        <v>562.03</v>
      </c>
      <c r="G66" s="23">
        <f>IF($D66&lt;=0,0,MIN($D66,IF(Übersicht!$C$14="Annuitätendarlehen",MAX(0,Übersicht!$C$28-$F66),IF(Übersicht!$C$14="Ratendarlehen",Übersicht!$C$29,IF($A66&gt;=Übersicht!$C$30,$D66,0)))))</f>
        <v>677.55</v>
      </c>
      <c r="H66" s="23">
        <f>IF($D66-$G66&lt;=0,0,IF(MOD($A66,Übersicht!$C$25)=0,MIN(Übersicht!$C$31,$D66-$G66),0))</f>
        <v>0</v>
      </c>
      <c r="I66" s="23">
        <f t="shared" si="2"/>
        <v>1239.58</v>
      </c>
      <c r="J66" s="23">
        <f t="shared" si="3"/>
        <v>194810.7</v>
      </c>
      <c r="K66" s="23">
        <f t="shared" si="5"/>
        <v>37945.920000000006</v>
      </c>
      <c r="L66" s="23">
        <f t="shared" si="6"/>
        <v>55189.3</v>
      </c>
      <c r="M66" s="24">
        <f>IF($D66&lt;=0,"",IF(Übersicht!$C$11=0,0,$L66/Übersicht!$C$11))</f>
        <v>0.22075720000000001</v>
      </c>
      <c r="N66" s="25" t="str">
        <f>IF($D66&lt;=0,"",IF($J66&lt;=0.005,"Volltilgung erreicht",IF($A66=Übersicht!$C$19*Übersicht!$C$25,"Ende der Zinsbindung",IF($H66&gt;0,"Sondertilgung verrechnet",""))))</f>
        <v/>
      </c>
      <c r="Q66" s="38">
        <f>IF($S65&lt;=0,0,ROUND($S65*Übersicht!$C$26,2))</f>
        <v>624.39</v>
      </c>
      <c r="R66" s="38">
        <f>IF($S65&lt;=0,0,MIN($S65,IF(Übersicht!$C$14="Annuitätendarlehen",MAX(0,Übersicht!$C$28-$Q66),IF(Übersicht!$C$14="Ratendarlehen",Übersicht!$C$29,IF($A66&gt;=Übersicht!$C$30,$S65,0)))))</f>
        <v>615.18999999999994</v>
      </c>
      <c r="S66" s="38">
        <f>IF($S65&lt;=0,0,ROUND($S65-$R66-IF($S65-$R66&lt;=0,0,IF(MOD($A66,Übersicht!$C$25)=0,MIN(Szenarien!$C$8,$S65-$R66),0)),2))</f>
        <v>216563.20000000001</v>
      </c>
      <c r="T66" s="38">
        <f>IF($V65&lt;=0,0,ROUND($V65*Übersicht!$C$26,2))</f>
        <v>593.21</v>
      </c>
      <c r="U66" s="38">
        <f>IF($V65&lt;=0,0,MIN($V65,IF(Übersicht!$C$14="Annuitätendarlehen",MAX(0,Übersicht!$C$28-$T66),IF(Übersicht!$C$14="Ratendarlehen",Übersicht!$C$29,IF($A66&gt;=Übersicht!$C$30,$V65,0)))))</f>
        <v>646.36999999999989</v>
      </c>
      <c r="V66" s="38">
        <f>IF($V65&lt;=0,0,ROUND($V65-$U66-IF($V65-$U66&lt;=0,0,IF(MOD($A66,Übersicht!$C$25)=0,MIN(Szenarien!$C$9,$V65-$U66),0)),2))</f>
        <v>205687</v>
      </c>
      <c r="W66" s="38">
        <f>IF($Y65&lt;=0,0,ROUND($Y65*Übersicht!$C$26,2))</f>
        <v>562.03</v>
      </c>
      <c r="X66" s="38">
        <f>IF($Y65&lt;=0,0,MIN($Y65,IF(Übersicht!$C$14="Annuitätendarlehen",MAX(0,Übersicht!$C$28-$W66),IF(Übersicht!$C$14="Ratendarlehen",Übersicht!$C$29,IF($A66&gt;=Übersicht!$C$30,$Y65,0)))))</f>
        <v>677.55</v>
      </c>
      <c r="Y66" s="38">
        <f>IF($Y65&lt;=0,0,ROUND($Y65-$X66-IF($Y65-$X66&lt;=0,0,IF(MOD($A66,Übersicht!$C$25)=0,MIN(Szenarien!$C$10,$Y65-$X66),0)),2))</f>
        <v>194810.7</v>
      </c>
      <c r="Z66" s="38">
        <f>IF($AB65&lt;=0,0,ROUND($AB65*Übersicht!$C$26,2))</f>
        <v>530.85</v>
      </c>
      <c r="AA66" s="38">
        <f>IF($AB65&lt;=0,0,MIN($AB65,IF(Übersicht!$C$14="Annuitätendarlehen",MAX(0,Übersicht!$C$28-$Z66),IF(Übersicht!$C$14="Ratendarlehen",Übersicht!$C$29,IF($A66&gt;=Übersicht!$C$30,$AB65,0)))))</f>
        <v>708.7299999999999</v>
      </c>
      <c r="AB66" s="38">
        <f>IF($AB65&lt;=0,0,ROUND($AB65-$AA66-IF($AB65-$AA66&lt;=0,0,IF(MOD($A66,Übersicht!$C$25)=0,MIN(Szenarien!$C$11,$AB65-$AA66),0)),2))</f>
        <v>183934.48</v>
      </c>
      <c r="AC66" s="38">
        <f>IF($AE65&lt;=0,0,ROUND($AE65*Übersicht!$C$26,2))</f>
        <v>468.49</v>
      </c>
      <c r="AD66" s="38">
        <f>IF($AE65&lt;=0,0,MIN($AE65,IF(Übersicht!$C$14="Annuitätendarlehen",MAX(0,Übersicht!$C$28-$AC66),IF(Übersicht!$C$14="Ratendarlehen",Übersicht!$C$29,IF($A66&gt;=Übersicht!$C$30,$AE65,0)))))</f>
        <v>771.08999999999992</v>
      </c>
      <c r="AE66" s="38">
        <f>IF($AE65&lt;=0,0,ROUND($AE65-$AD66-IF($AE65-$AD66&lt;=0,0,IF(MOD($A66,Übersicht!$C$25)=0,MIN(Szenarien!$C$12,$AE65-$AD66),0)),2))</f>
        <v>162181.94</v>
      </c>
    </row>
    <row r="67" spans="1:31" ht="15" customHeight="1" x14ac:dyDescent="0.25">
      <c r="A67" s="26">
        <v>60</v>
      </c>
      <c r="B67" s="39">
        <f>IF($D67&lt;=0,"",EDATE(Übersicht!$C$18,($A67-1)*12/Übersicht!$C$25))</f>
        <v>47848</v>
      </c>
      <c r="C67" s="26">
        <f t="shared" si="0"/>
        <v>2030</v>
      </c>
      <c r="D67" s="40">
        <f t="shared" si="4"/>
        <v>194810.7</v>
      </c>
      <c r="E67" s="28">
        <f t="shared" si="1"/>
        <v>1239.58</v>
      </c>
      <c r="F67" s="28">
        <f>IF($D67&lt;=0,0,ROUND($D67*Übersicht!$C$26,2))</f>
        <v>560.08000000000004</v>
      </c>
      <c r="G67" s="28">
        <f>IF($D67&lt;=0,0,MIN($D67,IF(Übersicht!$C$14="Annuitätendarlehen",MAX(0,Übersicht!$C$28-$F67),IF(Übersicht!$C$14="Ratendarlehen",Übersicht!$C$29,IF($A67&gt;=Übersicht!$C$30,$D67,0)))))</f>
        <v>679.49999999999989</v>
      </c>
      <c r="H67" s="28">
        <f>IF($D67-$G67&lt;=0,0,IF(MOD($A67,Übersicht!$C$25)=0,MIN(Übersicht!$C$31,$D67-$G67),0))</f>
        <v>5000</v>
      </c>
      <c r="I67" s="28">
        <f t="shared" si="2"/>
        <v>6239.58</v>
      </c>
      <c r="J67" s="28">
        <f t="shared" si="3"/>
        <v>189131.2</v>
      </c>
      <c r="K67" s="28">
        <f t="shared" si="5"/>
        <v>38506.000000000007</v>
      </c>
      <c r="L67" s="28">
        <f t="shared" si="6"/>
        <v>60868.800000000003</v>
      </c>
      <c r="M67" s="29">
        <f>IF($D67&lt;=0,"",IF(Übersicht!$C$11=0,0,$L67/Übersicht!$C$11))</f>
        <v>0.2434752</v>
      </c>
      <c r="N67" s="30" t="str">
        <f>IF($D67&lt;=0,"",IF($J67&lt;=0.005,"Volltilgung erreicht",IF($A67=Übersicht!$C$19*Übersicht!$C$25,"Ende der Zinsbindung",IF($H67&gt;0,"Sondertilgung verrechnet",""))))</f>
        <v>Sondertilgung verrechnet</v>
      </c>
      <c r="Q67" s="38">
        <f>IF($S66&lt;=0,0,ROUND($S66*Übersicht!$C$26,2))</f>
        <v>622.62</v>
      </c>
      <c r="R67" s="38">
        <f>IF($S66&lt;=0,0,MIN($S66,IF(Übersicht!$C$14="Annuitätendarlehen",MAX(0,Übersicht!$C$28-$Q67),IF(Übersicht!$C$14="Ratendarlehen",Übersicht!$C$29,IF($A67&gt;=Übersicht!$C$30,$S66,0)))))</f>
        <v>616.95999999999992</v>
      </c>
      <c r="S67" s="38">
        <f>IF($S66&lt;=0,0,ROUND($S66-$R67-IF($S66-$R67&lt;=0,0,IF(MOD($A67,Übersicht!$C$25)=0,MIN(Szenarien!$C$8,$S66-$R67),0)),2))</f>
        <v>215946.23999999999</v>
      </c>
      <c r="T67" s="38">
        <f>IF($V66&lt;=0,0,ROUND($V66*Übersicht!$C$26,2))</f>
        <v>591.35</v>
      </c>
      <c r="U67" s="38">
        <f>IF($V66&lt;=0,0,MIN($V66,IF(Übersicht!$C$14="Annuitätendarlehen",MAX(0,Übersicht!$C$28-$T67),IF(Übersicht!$C$14="Ratendarlehen",Übersicht!$C$29,IF($A67&gt;=Übersicht!$C$30,$V66,0)))))</f>
        <v>648.2299999999999</v>
      </c>
      <c r="V67" s="38">
        <f>IF($V66&lt;=0,0,ROUND($V66-$U67-IF($V66-$U67&lt;=0,0,IF(MOD($A67,Übersicht!$C$25)=0,MIN(Szenarien!$C$9,$V66-$U67),0)),2))</f>
        <v>202538.77</v>
      </c>
      <c r="W67" s="38">
        <f>IF($Y66&lt;=0,0,ROUND($Y66*Übersicht!$C$26,2))</f>
        <v>560.08000000000004</v>
      </c>
      <c r="X67" s="38">
        <f>IF($Y66&lt;=0,0,MIN($Y66,IF(Übersicht!$C$14="Annuitätendarlehen",MAX(0,Übersicht!$C$28-$W67),IF(Übersicht!$C$14="Ratendarlehen",Übersicht!$C$29,IF($A67&gt;=Übersicht!$C$30,$Y66,0)))))</f>
        <v>679.49999999999989</v>
      </c>
      <c r="Y67" s="38">
        <f>IF($Y66&lt;=0,0,ROUND($Y66-$X67-IF($Y66-$X67&lt;=0,0,IF(MOD($A67,Übersicht!$C$25)=0,MIN(Szenarien!$C$10,$Y66-$X67),0)),2))</f>
        <v>189131.2</v>
      </c>
      <c r="Z67" s="38">
        <f>IF($AB66&lt;=0,0,ROUND($AB66*Übersicht!$C$26,2))</f>
        <v>528.80999999999995</v>
      </c>
      <c r="AA67" s="38">
        <f>IF($AB66&lt;=0,0,MIN($AB66,IF(Übersicht!$C$14="Annuitätendarlehen",MAX(0,Übersicht!$C$28-$Z67),IF(Übersicht!$C$14="Ratendarlehen",Übersicht!$C$29,IF($A67&gt;=Übersicht!$C$30,$AB66,0)))))</f>
        <v>710.77</v>
      </c>
      <c r="AB67" s="38">
        <f>IF($AB66&lt;=0,0,ROUND($AB66-$AA67-IF($AB66-$AA67&lt;=0,0,IF(MOD($A67,Übersicht!$C$25)=0,MIN(Szenarien!$C$11,$AB66-$AA67),0)),2))</f>
        <v>175723.71</v>
      </c>
      <c r="AC67" s="38">
        <f>IF($AE66&lt;=0,0,ROUND($AE66*Übersicht!$C$26,2))</f>
        <v>466.27</v>
      </c>
      <c r="AD67" s="38">
        <f>IF($AE66&lt;=0,0,MIN($AE66,IF(Übersicht!$C$14="Annuitätendarlehen",MAX(0,Übersicht!$C$28-$AC67),IF(Übersicht!$C$14="Ratendarlehen",Übersicht!$C$29,IF($A67&gt;=Übersicht!$C$30,$AE66,0)))))</f>
        <v>773.31</v>
      </c>
      <c r="AE67" s="38">
        <f>IF($AE66&lt;=0,0,ROUND($AE66-$AD67-IF($AE66-$AD67&lt;=0,0,IF(MOD($A67,Übersicht!$C$25)=0,MIN(Szenarien!$C$12,$AE66-$AD67),0)),2))</f>
        <v>148908.63</v>
      </c>
    </row>
    <row r="68" spans="1:31" ht="15" customHeight="1" x14ac:dyDescent="0.25">
      <c r="A68" s="21">
        <v>61</v>
      </c>
      <c r="B68" s="36">
        <f>IF($D68&lt;=0,"",EDATE(Übersicht!$C$18,($A68-1)*12/Übersicht!$C$25))</f>
        <v>47879</v>
      </c>
      <c r="C68" s="21">
        <f t="shared" si="0"/>
        <v>2031</v>
      </c>
      <c r="D68" s="37">
        <f t="shared" si="4"/>
        <v>189131.2</v>
      </c>
      <c r="E68" s="23">
        <f t="shared" si="1"/>
        <v>1239.58</v>
      </c>
      <c r="F68" s="23">
        <f>IF($D68&lt;=0,0,ROUND($D68*Übersicht!$C$26,2))</f>
        <v>543.75</v>
      </c>
      <c r="G68" s="23">
        <f>IF($D68&lt;=0,0,MIN($D68,IF(Übersicht!$C$14="Annuitätendarlehen",MAX(0,Übersicht!$C$28-$F68),IF(Übersicht!$C$14="Ratendarlehen",Übersicht!$C$29,IF($A68&gt;=Übersicht!$C$30,$D68,0)))))</f>
        <v>695.82999999999993</v>
      </c>
      <c r="H68" s="23">
        <f>IF($D68-$G68&lt;=0,0,IF(MOD($A68,Übersicht!$C$25)=0,MIN(Übersicht!$C$31,$D68-$G68),0))</f>
        <v>0</v>
      </c>
      <c r="I68" s="23">
        <f t="shared" si="2"/>
        <v>1239.58</v>
      </c>
      <c r="J68" s="23">
        <f t="shared" si="3"/>
        <v>188435.37</v>
      </c>
      <c r="K68" s="23">
        <f t="shared" si="5"/>
        <v>39049.750000000007</v>
      </c>
      <c r="L68" s="23">
        <f t="shared" si="6"/>
        <v>61564.63</v>
      </c>
      <c r="M68" s="24">
        <f>IF($D68&lt;=0,"",IF(Übersicht!$C$11=0,0,$L68/Übersicht!$C$11))</f>
        <v>0.24625851999999998</v>
      </c>
      <c r="N68" s="25" t="str">
        <f>IF($D68&lt;=0,"",IF($J68&lt;=0.005,"Volltilgung erreicht",IF($A68=Übersicht!$C$19*Übersicht!$C$25,"Ende der Zinsbindung",IF($H68&gt;0,"Sondertilgung verrechnet",""))))</f>
        <v/>
      </c>
      <c r="Q68" s="38">
        <f>IF($S67&lt;=0,0,ROUND($S67*Übersicht!$C$26,2))</f>
        <v>620.85</v>
      </c>
      <c r="R68" s="38">
        <f>IF($S67&lt;=0,0,MIN($S67,IF(Übersicht!$C$14="Annuitätendarlehen",MAX(0,Übersicht!$C$28-$Q68),IF(Übersicht!$C$14="Ratendarlehen",Übersicht!$C$29,IF($A68&gt;=Übersicht!$C$30,$S67,0)))))</f>
        <v>618.7299999999999</v>
      </c>
      <c r="S68" s="38">
        <f>IF($S67&lt;=0,0,ROUND($S67-$R68-IF($S67-$R68&lt;=0,0,IF(MOD($A68,Übersicht!$C$25)=0,MIN(Szenarien!$C$8,$S67-$R68),0)),2))</f>
        <v>215327.51</v>
      </c>
      <c r="T68" s="38">
        <f>IF($V67&lt;=0,0,ROUND($V67*Übersicht!$C$26,2))</f>
        <v>582.29999999999995</v>
      </c>
      <c r="U68" s="38">
        <f>IF($V67&lt;=0,0,MIN($V67,IF(Übersicht!$C$14="Annuitätendarlehen",MAX(0,Übersicht!$C$28-$T68),IF(Übersicht!$C$14="Ratendarlehen",Übersicht!$C$29,IF($A68&gt;=Übersicht!$C$30,$V67,0)))))</f>
        <v>657.28</v>
      </c>
      <c r="V68" s="38">
        <f>IF($V67&lt;=0,0,ROUND($V67-$U68-IF($V67-$U68&lt;=0,0,IF(MOD($A68,Übersicht!$C$25)=0,MIN(Szenarien!$C$9,$V67-$U68),0)),2))</f>
        <v>201881.49</v>
      </c>
      <c r="W68" s="38">
        <f>IF($Y67&lt;=0,0,ROUND($Y67*Übersicht!$C$26,2))</f>
        <v>543.75</v>
      </c>
      <c r="X68" s="38">
        <f>IF($Y67&lt;=0,0,MIN($Y67,IF(Übersicht!$C$14="Annuitätendarlehen",MAX(0,Übersicht!$C$28-$W68),IF(Übersicht!$C$14="Ratendarlehen",Übersicht!$C$29,IF($A68&gt;=Übersicht!$C$30,$Y67,0)))))</f>
        <v>695.82999999999993</v>
      </c>
      <c r="Y68" s="38">
        <f>IF($Y67&lt;=0,0,ROUND($Y67-$X68-IF($Y67-$X68&lt;=0,0,IF(MOD($A68,Übersicht!$C$25)=0,MIN(Szenarien!$C$10,$Y67-$X68),0)),2))</f>
        <v>188435.37</v>
      </c>
      <c r="Z68" s="38">
        <f>IF($AB67&lt;=0,0,ROUND($AB67*Übersicht!$C$26,2))</f>
        <v>505.21</v>
      </c>
      <c r="AA68" s="38">
        <f>IF($AB67&lt;=0,0,MIN($AB67,IF(Übersicht!$C$14="Annuitätendarlehen",MAX(0,Übersicht!$C$28-$Z68),IF(Übersicht!$C$14="Ratendarlehen",Übersicht!$C$29,IF($A68&gt;=Übersicht!$C$30,$AB67,0)))))</f>
        <v>734.36999999999989</v>
      </c>
      <c r="AB68" s="38">
        <f>IF($AB67&lt;=0,0,ROUND($AB67-$AA68-IF($AB67-$AA68&lt;=0,0,IF(MOD($A68,Übersicht!$C$25)=0,MIN(Szenarien!$C$11,$AB67-$AA68),0)),2))</f>
        <v>174989.34</v>
      </c>
      <c r="AC68" s="38">
        <f>IF($AE67&lt;=0,0,ROUND($AE67*Übersicht!$C$26,2))</f>
        <v>428.11</v>
      </c>
      <c r="AD68" s="38">
        <f>IF($AE67&lt;=0,0,MIN($AE67,IF(Übersicht!$C$14="Annuitätendarlehen",MAX(0,Übersicht!$C$28-$AC68),IF(Übersicht!$C$14="Ratendarlehen",Übersicht!$C$29,IF($A68&gt;=Übersicht!$C$30,$AE67,0)))))</f>
        <v>811.46999999999991</v>
      </c>
      <c r="AE68" s="38">
        <f>IF($AE67&lt;=0,0,ROUND($AE67-$AD68-IF($AE67-$AD68&lt;=0,0,IF(MOD($A68,Übersicht!$C$25)=0,MIN(Szenarien!$C$12,$AE67-$AD68),0)),2))</f>
        <v>148097.16</v>
      </c>
    </row>
    <row r="69" spans="1:31" ht="15" customHeight="1" x14ac:dyDescent="0.25">
      <c r="A69" s="26">
        <v>62</v>
      </c>
      <c r="B69" s="39">
        <f>IF($D69&lt;=0,"",EDATE(Übersicht!$C$18,($A69-1)*12/Übersicht!$C$25))</f>
        <v>47907</v>
      </c>
      <c r="C69" s="26">
        <f t="shared" si="0"/>
        <v>2031</v>
      </c>
      <c r="D69" s="40">
        <f t="shared" si="4"/>
        <v>188435.37</v>
      </c>
      <c r="E69" s="28">
        <f t="shared" si="1"/>
        <v>1239.58</v>
      </c>
      <c r="F69" s="28">
        <f>IF($D69&lt;=0,0,ROUND($D69*Übersicht!$C$26,2))</f>
        <v>541.75</v>
      </c>
      <c r="G69" s="28">
        <f>IF($D69&lt;=0,0,MIN($D69,IF(Übersicht!$C$14="Annuitätendarlehen",MAX(0,Übersicht!$C$28-$F69),IF(Übersicht!$C$14="Ratendarlehen",Übersicht!$C$29,IF($A69&gt;=Übersicht!$C$30,$D69,0)))))</f>
        <v>697.82999999999993</v>
      </c>
      <c r="H69" s="28">
        <f>IF($D69-$G69&lt;=0,0,IF(MOD($A69,Übersicht!$C$25)=0,MIN(Übersicht!$C$31,$D69-$G69),0))</f>
        <v>0</v>
      </c>
      <c r="I69" s="28">
        <f t="shared" si="2"/>
        <v>1239.58</v>
      </c>
      <c r="J69" s="28">
        <f t="shared" si="3"/>
        <v>187737.54</v>
      </c>
      <c r="K69" s="28">
        <f t="shared" si="5"/>
        <v>39591.500000000007</v>
      </c>
      <c r="L69" s="28">
        <f t="shared" si="6"/>
        <v>62262.46</v>
      </c>
      <c r="M69" s="29">
        <f>IF($D69&lt;=0,"",IF(Übersicht!$C$11=0,0,$L69/Übersicht!$C$11))</f>
        <v>0.24904983999999999</v>
      </c>
      <c r="N69" s="30" t="str">
        <f>IF($D69&lt;=0,"",IF($J69&lt;=0.005,"Volltilgung erreicht",IF($A69=Übersicht!$C$19*Übersicht!$C$25,"Ende der Zinsbindung",IF($H69&gt;0,"Sondertilgung verrechnet",""))))</f>
        <v/>
      </c>
      <c r="Q69" s="38">
        <f>IF($S68&lt;=0,0,ROUND($S68*Übersicht!$C$26,2))</f>
        <v>619.07000000000005</v>
      </c>
      <c r="R69" s="38">
        <f>IF($S68&lt;=0,0,MIN($S68,IF(Übersicht!$C$14="Annuitätendarlehen",MAX(0,Übersicht!$C$28-$Q69),IF(Übersicht!$C$14="Ratendarlehen",Übersicht!$C$29,IF($A69&gt;=Übersicht!$C$30,$S68,0)))))</f>
        <v>620.50999999999988</v>
      </c>
      <c r="S69" s="38">
        <f>IF($S68&lt;=0,0,ROUND($S68-$R69-IF($S68-$R69&lt;=0,0,IF(MOD($A69,Übersicht!$C$25)=0,MIN(Szenarien!$C$8,$S68-$R69),0)),2))</f>
        <v>214707</v>
      </c>
      <c r="T69" s="38">
        <f>IF($V68&lt;=0,0,ROUND($V68*Übersicht!$C$26,2))</f>
        <v>580.41</v>
      </c>
      <c r="U69" s="38">
        <f>IF($V68&lt;=0,0,MIN($V68,IF(Übersicht!$C$14="Annuitätendarlehen",MAX(0,Übersicht!$C$28-$T69),IF(Übersicht!$C$14="Ratendarlehen",Übersicht!$C$29,IF($A69&gt;=Übersicht!$C$30,$V68,0)))))</f>
        <v>659.17</v>
      </c>
      <c r="V69" s="38">
        <f>IF($V68&lt;=0,0,ROUND($V68-$U69-IF($V68-$U69&lt;=0,0,IF(MOD($A69,Übersicht!$C$25)=0,MIN(Szenarien!$C$9,$V68-$U69),0)),2))</f>
        <v>201222.32</v>
      </c>
      <c r="W69" s="38">
        <f>IF($Y68&lt;=0,0,ROUND($Y68*Übersicht!$C$26,2))</f>
        <v>541.75</v>
      </c>
      <c r="X69" s="38">
        <f>IF($Y68&lt;=0,0,MIN($Y68,IF(Übersicht!$C$14="Annuitätendarlehen",MAX(0,Übersicht!$C$28-$W69),IF(Übersicht!$C$14="Ratendarlehen",Übersicht!$C$29,IF($A69&gt;=Übersicht!$C$30,$Y68,0)))))</f>
        <v>697.82999999999993</v>
      </c>
      <c r="Y69" s="38">
        <f>IF($Y68&lt;=0,0,ROUND($Y68-$X69-IF($Y68-$X69&lt;=0,0,IF(MOD($A69,Übersicht!$C$25)=0,MIN(Szenarien!$C$10,$Y68-$X69),0)),2))</f>
        <v>187737.54</v>
      </c>
      <c r="Z69" s="38">
        <f>IF($AB68&lt;=0,0,ROUND($AB68*Übersicht!$C$26,2))</f>
        <v>503.09</v>
      </c>
      <c r="AA69" s="38">
        <f>IF($AB68&lt;=0,0,MIN($AB68,IF(Übersicht!$C$14="Annuitätendarlehen",MAX(0,Übersicht!$C$28-$Z69),IF(Übersicht!$C$14="Ratendarlehen",Übersicht!$C$29,IF($A69&gt;=Übersicht!$C$30,$AB68,0)))))</f>
        <v>736.49</v>
      </c>
      <c r="AB69" s="38">
        <f>IF($AB68&lt;=0,0,ROUND($AB68-$AA69-IF($AB68-$AA69&lt;=0,0,IF(MOD($A69,Übersicht!$C$25)=0,MIN(Szenarien!$C$11,$AB68-$AA69),0)),2))</f>
        <v>174252.85</v>
      </c>
      <c r="AC69" s="38">
        <f>IF($AE68&lt;=0,0,ROUND($AE68*Übersicht!$C$26,2))</f>
        <v>425.78</v>
      </c>
      <c r="AD69" s="38">
        <f>IF($AE68&lt;=0,0,MIN($AE68,IF(Übersicht!$C$14="Annuitätendarlehen",MAX(0,Übersicht!$C$28-$AC69),IF(Übersicht!$C$14="Ratendarlehen",Übersicht!$C$29,IF($A69&gt;=Übersicht!$C$30,$AE68,0)))))</f>
        <v>813.8</v>
      </c>
      <c r="AE69" s="38">
        <f>IF($AE68&lt;=0,0,ROUND($AE68-$AD69-IF($AE68-$AD69&lt;=0,0,IF(MOD($A69,Übersicht!$C$25)=0,MIN(Szenarien!$C$12,$AE68-$AD69),0)),2))</f>
        <v>147283.35999999999</v>
      </c>
    </row>
    <row r="70" spans="1:31" ht="15" customHeight="1" x14ac:dyDescent="0.25">
      <c r="A70" s="21">
        <v>63</v>
      </c>
      <c r="B70" s="36">
        <f>IF($D70&lt;=0,"",EDATE(Übersicht!$C$18,($A70-1)*12/Übersicht!$C$25))</f>
        <v>47938</v>
      </c>
      <c r="C70" s="21">
        <f t="shared" si="0"/>
        <v>2031</v>
      </c>
      <c r="D70" s="37">
        <f t="shared" si="4"/>
        <v>187737.54</v>
      </c>
      <c r="E70" s="23">
        <f t="shared" si="1"/>
        <v>1239.58</v>
      </c>
      <c r="F70" s="23">
        <f>IF($D70&lt;=0,0,ROUND($D70*Übersicht!$C$26,2))</f>
        <v>539.75</v>
      </c>
      <c r="G70" s="23">
        <f>IF($D70&lt;=0,0,MIN($D70,IF(Übersicht!$C$14="Annuitätendarlehen",MAX(0,Übersicht!$C$28-$F70),IF(Übersicht!$C$14="Ratendarlehen",Übersicht!$C$29,IF($A70&gt;=Übersicht!$C$30,$D70,0)))))</f>
        <v>699.82999999999993</v>
      </c>
      <c r="H70" s="23">
        <f>IF($D70-$G70&lt;=0,0,IF(MOD($A70,Übersicht!$C$25)=0,MIN(Übersicht!$C$31,$D70-$G70),0))</f>
        <v>0</v>
      </c>
      <c r="I70" s="23">
        <f t="shared" si="2"/>
        <v>1239.58</v>
      </c>
      <c r="J70" s="23">
        <f t="shared" si="3"/>
        <v>187037.71</v>
      </c>
      <c r="K70" s="23">
        <f t="shared" si="5"/>
        <v>40131.250000000007</v>
      </c>
      <c r="L70" s="23">
        <f t="shared" si="6"/>
        <v>62962.29</v>
      </c>
      <c r="M70" s="24">
        <f>IF($D70&lt;=0,"",IF(Übersicht!$C$11=0,0,$L70/Übersicht!$C$11))</f>
        <v>0.25184916000000002</v>
      </c>
      <c r="N70" s="25" t="str">
        <f>IF($D70&lt;=0,"",IF($J70&lt;=0.005,"Volltilgung erreicht",IF($A70=Übersicht!$C$19*Übersicht!$C$25,"Ende der Zinsbindung",IF($H70&gt;0,"Sondertilgung verrechnet",""))))</f>
        <v/>
      </c>
      <c r="Q70" s="38">
        <f>IF($S69&lt;=0,0,ROUND($S69*Übersicht!$C$26,2))</f>
        <v>617.28</v>
      </c>
      <c r="R70" s="38">
        <f>IF($S69&lt;=0,0,MIN($S69,IF(Übersicht!$C$14="Annuitätendarlehen",MAX(0,Übersicht!$C$28-$Q70),IF(Übersicht!$C$14="Ratendarlehen",Übersicht!$C$29,IF($A70&gt;=Übersicht!$C$30,$S69,0)))))</f>
        <v>622.29999999999995</v>
      </c>
      <c r="S70" s="38">
        <f>IF($S69&lt;=0,0,ROUND($S69-$R70-IF($S69-$R70&lt;=0,0,IF(MOD($A70,Übersicht!$C$25)=0,MIN(Szenarien!$C$8,$S69-$R70),0)),2))</f>
        <v>214084.7</v>
      </c>
      <c r="T70" s="38">
        <f>IF($V69&lt;=0,0,ROUND($V69*Übersicht!$C$26,2))</f>
        <v>578.51</v>
      </c>
      <c r="U70" s="38">
        <f>IF($V69&lt;=0,0,MIN($V69,IF(Übersicht!$C$14="Annuitätendarlehen",MAX(0,Übersicht!$C$28-$T70),IF(Übersicht!$C$14="Ratendarlehen",Übersicht!$C$29,IF($A70&gt;=Übersicht!$C$30,$V69,0)))))</f>
        <v>661.06999999999994</v>
      </c>
      <c r="V70" s="38">
        <f>IF($V69&lt;=0,0,ROUND($V69-$U70-IF($V69-$U70&lt;=0,0,IF(MOD($A70,Übersicht!$C$25)=0,MIN(Szenarien!$C$9,$V69-$U70),0)),2))</f>
        <v>200561.25</v>
      </c>
      <c r="W70" s="38">
        <f>IF($Y69&lt;=0,0,ROUND($Y69*Übersicht!$C$26,2))</f>
        <v>539.75</v>
      </c>
      <c r="X70" s="38">
        <f>IF($Y69&lt;=0,0,MIN($Y69,IF(Übersicht!$C$14="Annuitätendarlehen",MAX(0,Übersicht!$C$28-$W70),IF(Übersicht!$C$14="Ratendarlehen",Übersicht!$C$29,IF($A70&gt;=Übersicht!$C$30,$Y69,0)))))</f>
        <v>699.82999999999993</v>
      </c>
      <c r="Y70" s="38">
        <f>IF($Y69&lt;=0,0,ROUND($Y69-$X70-IF($Y69-$X70&lt;=0,0,IF(MOD($A70,Übersicht!$C$25)=0,MIN(Szenarien!$C$10,$Y69-$X70),0)),2))</f>
        <v>187037.71</v>
      </c>
      <c r="Z70" s="38">
        <f>IF($AB69&lt;=0,0,ROUND($AB69*Übersicht!$C$26,2))</f>
        <v>500.98</v>
      </c>
      <c r="AA70" s="38">
        <f>IF($AB69&lt;=0,0,MIN($AB69,IF(Übersicht!$C$14="Annuitätendarlehen",MAX(0,Übersicht!$C$28-$Z70),IF(Übersicht!$C$14="Ratendarlehen",Übersicht!$C$29,IF($A70&gt;=Übersicht!$C$30,$AB69,0)))))</f>
        <v>738.59999999999991</v>
      </c>
      <c r="AB70" s="38">
        <f>IF($AB69&lt;=0,0,ROUND($AB69-$AA70-IF($AB69-$AA70&lt;=0,0,IF(MOD($A70,Übersicht!$C$25)=0,MIN(Szenarien!$C$11,$AB69-$AA70),0)),2))</f>
        <v>173514.25</v>
      </c>
      <c r="AC70" s="38">
        <f>IF($AE69&lt;=0,0,ROUND($AE69*Übersicht!$C$26,2))</f>
        <v>423.44</v>
      </c>
      <c r="AD70" s="38">
        <f>IF($AE69&lt;=0,0,MIN($AE69,IF(Übersicht!$C$14="Annuitätendarlehen",MAX(0,Übersicht!$C$28-$AC70),IF(Übersicht!$C$14="Ratendarlehen",Übersicht!$C$29,IF($A70&gt;=Übersicht!$C$30,$AE69,0)))))</f>
        <v>816.13999999999987</v>
      </c>
      <c r="AE70" s="38">
        <f>IF($AE69&lt;=0,0,ROUND($AE69-$AD70-IF($AE69-$AD70&lt;=0,0,IF(MOD($A70,Übersicht!$C$25)=0,MIN(Szenarien!$C$12,$AE69-$AD70),0)),2))</f>
        <v>146467.22</v>
      </c>
    </row>
    <row r="71" spans="1:31" ht="15" customHeight="1" x14ac:dyDescent="0.25">
      <c r="A71" s="26">
        <v>64</v>
      </c>
      <c r="B71" s="39">
        <f>IF($D71&lt;=0,"",EDATE(Übersicht!$C$18,($A71-1)*12/Übersicht!$C$25))</f>
        <v>47968</v>
      </c>
      <c r="C71" s="26">
        <f t="shared" si="0"/>
        <v>2031</v>
      </c>
      <c r="D71" s="40">
        <f t="shared" si="4"/>
        <v>187037.71</v>
      </c>
      <c r="E71" s="28">
        <f t="shared" si="1"/>
        <v>1239.58</v>
      </c>
      <c r="F71" s="28">
        <f>IF($D71&lt;=0,0,ROUND($D71*Übersicht!$C$26,2))</f>
        <v>537.73</v>
      </c>
      <c r="G71" s="28">
        <f>IF($D71&lt;=0,0,MIN($D71,IF(Übersicht!$C$14="Annuitätendarlehen",MAX(0,Übersicht!$C$28-$F71),IF(Übersicht!$C$14="Ratendarlehen",Übersicht!$C$29,IF($A71&gt;=Übersicht!$C$30,$D71,0)))))</f>
        <v>701.84999999999991</v>
      </c>
      <c r="H71" s="28">
        <f>IF($D71-$G71&lt;=0,0,IF(MOD($A71,Übersicht!$C$25)=0,MIN(Übersicht!$C$31,$D71-$G71),0))</f>
        <v>0</v>
      </c>
      <c r="I71" s="28">
        <f t="shared" si="2"/>
        <v>1239.58</v>
      </c>
      <c r="J71" s="28">
        <f t="shared" si="3"/>
        <v>186335.86</v>
      </c>
      <c r="K71" s="28">
        <f t="shared" si="5"/>
        <v>40668.98000000001</v>
      </c>
      <c r="L71" s="28">
        <f t="shared" si="6"/>
        <v>63664.14</v>
      </c>
      <c r="M71" s="29">
        <f>IF($D71&lt;=0,"",IF(Übersicht!$C$11=0,0,$L71/Übersicht!$C$11))</f>
        <v>0.25465655999999998</v>
      </c>
      <c r="N71" s="30" t="str">
        <f>IF($D71&lt;=0,"",IF($J71&lt;=0.005,"Volltilgung erreicht",IF($A71=Übersicht!$C$19*Übersicht!$C$25,"Ende der Zinsbindung",IF($H71&gt;0,"Sondertilgung verrechnet",""))))</f>
        <v/>
      </c>
      <c r="Q71" s="38">
        <f>IF($S70&lt;=0,0,ROUND($S70*Übersicht!$C$26,2))</f>
        <v>615.49</v>
      </c>
      <c r="R71" s="38">
        <f>IF($S70&lt;=0,0,MIN($S70,IF(Übersicht!$C$14="Annuitätendarlehen",MAX(0,Übersicht!$C$28-$Q71),IF(Übersicht!$C$14="Ratendarlehen",Übersicht!$C$29,IF($A71&gt;=Übersicht!$C$30,$S70,0)))))</f>
        <v>624.08999999999992</v>
      </c>
      <c r="S71" s="38">
        <f>IF($S70&lt;=0,0,ROUND($S70-$R71-IF($S70-$R71&lt;=0,0,IF(MOD($A71,Übersicht!$C$25)=0,MIN(Szenarien!$C$8,$S70-$R71),0)),2))</f>
        <v>213460.61</v>
      </c>
      <c r="T71" s="38">
        <f>IF($V70&lt;=0,0,ROUND($V70*Übersicht!$C$26,2))</f>
        <v>576.61</v>
      </c>
      <c r="U71" s="38">
        <f>IF($V70&lt;=0,0,MIN($V70,IF(Übersicht!$C$14="Annuitätendarlehen",MAX(0,Übersicht!$C$28-$T71),IF(Übersicht!$C$14="Ratendarlehen",Übersicht!$C$29,IF($A71&gt;=Übersicht!$C$30,$V70,0)))))</f>
        <v>662.96999999999991</v>
      </c>
      <c r="V71" s="38">
        <f>IF($V70&lt;=0,0,ROUND($V70-$U71-IF($V70-$U71&lt;=0,0,IF(MOD($A71,Übersicht!$C$25)=0,MIN(Szenarien!$C$9,$V70-$U71),0)),2))</f>
        <v>199898.28</v>
      </c>
      <c r="W71" s="38">
        <f>IF($Y70&lt;=0,0,ROUND($Y70*Übersicht!$C$26,2))</f>
        <v>537.73</v>
      </c>
      <c r="X71" s="38">
        <f>IF($Y70&lt;=0,0,MIN($Y70,IF(Übersicht!$C$14="Annuitätendarlehen",MAX(0,Übersicht!$C$28-$W71),IF(Übersicht!$C$14="Ratendarlehen",Übersicht!$C$29,IF($A71&gt;=Übersicht!$C$30,$Y70,0)))))</f>
        <v>701.84999999999991</v>
      </c>
      <c r="Y71" s="38">
        <f>IF($Y70&lt;=0,0,ROUND($Y70-$X71-IF($Y70-$X71&lt;=0,0,IF(MOD($A71,Übersicht!$C$25)=0,MIN(Szenarien!$C$10,$Y70-$X71),0)),2))</f>
        <v>186335.86</v>
      </c>
      <c r="Z71" s="38">
        <f>IF($AB70&lt;=0,0,ROUND($AB70*Übersicht!$C$26,2))</f>
        <v>498.85</v>
      </c>
      <c r="AA71" s="38">
        <f>IF($AB70&lt;=0,0,MIN($AB70,IF(Übersicht!$C$14="Annuitätendarlehen",MAX(0,Übersicht!$C$28-$Z71),IF(Übersicht!$C$14="Ratendarlehen",Übersicht!$C$29,IF($A71&gt;=Übersicht!$C$30,$AB70,0)))))</f>
        <v>740.7299999999999</v>
      </c>
      <c r="AB71" s="38">
        <f>IF($AB70&lt;=0,0,ROUND($AB70-$AA71-IF($AB70-$AA71&lt;=0,0,IF(MOD($A71,Übersicht!$C$25)=0,MIN(Szenarien!$C$11,$AB70-$AA71),0)),2))</f>
        <v>172773.52</v>
      </c>
      <c r="AC71" s="38">
        <f>IF($AE70&lt;=0,0,ROUND($AE70*Übersicht!$C$26,2))</f>
        <v>421.09</v>
      </c>
      <c r="AD71" s="38">
        <f>IF($AE70&lt;=0,0,MIN($AE70,IF(Übersicht!$C$14="Annuitätendarlehen",MAX(0,Übersicht!$C$28-$AC71),IF(Übersicht!$C$14="Ratendarlehen",Übersicht!$C$29,IF($A71&gt;=Übersicht!$C$30,$AE70,0)))))</f>
        <v>818.49</v>
      </c>
      <c r="AE71" s="38">
        <f>IF($AE70&lt;=0,0,ROUND($AE70-$AD71-IF($AE70-$AD71&lt;=0,0,IF(MOD($A71,Übersicht!$C$25)=0,MIN(Szenarien!$C$12,$AE70-$AD71),0)),2))</f>
        <v>145648.73000000001</v>
      </c>
    </row>
    <row r="72" spans="1:31" ht="15" customHeight="1" x14ac:dyDescent="0.25">
      <c r="A72" s="21">
        <v>65</v>
      </c>
      <c r="B72" s="36">
        <f>IF($D72&lt;=0,"",EDATE(Übersicht!$C$18,($A72-1)*12/Übersicht!$C$25))</f>
        <v>47999</v>
      </c>
      <c r="C72" s="21">
        <f t="shared" ref="C72:C135" si="7">IF($B72="","",YEAR($B72))</f>
        <v>2031</v>
      </c>
      <c r="D72" s="37">
        <f t="shared" si="4"/>
        <v>186335.86</v>
      </c>
      <c r="E72" s="23">
        <f t="shared" ref="E72:E135" si="8">IF($D72&lt;=0,0,$F72+$G72)</f>
        <v>1239.58</v>
      </c>
      <c r="F72" s="23">
        <f>IF($D72&lt;=0,0,ROUND($D72*Übersicht!$C$26,2))</f>
        <v>535.72</v>
      </c>
      <c r="G72" s="23">
        <f>IF($D72&lt;=0,0,MIN($D72,IF(Übersicht!$C$14="Annuitätendarlehen",MAX(0,Übersicht!$C$28-$F72),IF(Übersicht!$C$14="Ratendarlehen",Übersicht!$C$29,IF($A72&gt;=Übersicht!$C$30,$D72,0)))))</f>
        <v>703.8599999999999</v>
      </c>
      <c r="H72" s="23">
        <f>IF($D72-$G72&lt;=0,0,IF(MOD($A72,Übersicht!$C$25)=0,MIN(Übersicht!$C$31,$D72-$G72),0))</f>
        <v>0</v>
      </c>
      <c r="I72" s="23">
        <f t="shared" ref="I72:I135" si="9">IF($D72&lt;=0,0,$E72+$H72)</f>
        <v>1239.58</v>
      </c>
      <c r="J72" s="23">
        <f t="shared" ref="J72:J135" si="10">IF($D72&lt;=0,0,ROUND($D72-$G72-$H72,2))</f>
        <v>185632</v>
      </c>
      <c r="K72" s="23">
        <f t="shared" si="5"/>
        <v>41204.700000000012</v>
      </c>
      <c r="L72" s="23">
        <f t="shared" si="6"/>
        <v>64368</v>
      </c>
      <c r="M72" s="24">
        <f>IF($D72&lt;=0,"",IF(Übersicht!$C$11=0,0,$L72/Übersicht!$C$11))</f>
        <v>0.25747199999999998</v>
      </c>
      <c r="N72" s="25" t="str">
        <f>IF($D72&lt;=0,"",IF($J72&lt;=0.005,"Volltilgung erreicht",IF($A72=Übersicht!$C$19*Übersicht!$C$25,"Ende der Zinsbindung",IF($H72&gt;0,"Sondertilgung verrechnet",""))))</f>
        <v/>
      </c>
      <c r="Q72" s="38">
        <f>IF($S71&lt;=0,0,ROUND($S71*Übersicht!$C$26,2))</f>
        <v>613.70000000000005</v>
      </c>
      <c r="R72" s="38">
        <f>IF($S71&lt;=0,0,MIN($S71,IF(Übersicht!$C$14="Annuitätendarlehen",MAX(0,Übersicht!$C$28-$Q72),IF(Übersicht!$C$14="Ratendarlehen",Übersicht!$C$29,IF($A72&gt;=Übersicht!$C$30,$S71,0)))))</f>
        <v>625.87999999999988</v>
      </c>
      <c r="S72" s="38">
        <f>IF($S71&lt;=0,0,ROUND($S71-$R72-IF($S71-$R72&lt;=0,0,IF(MOD($A72,Übersicht!$C$25)=0,MIN(Szenarien!$C$8,$S71-$R72),0)),2))</f>
        <v>212834.73</v>
      </c>
      <c r="T72" s="38">
        <f>IF($V71&lt;=0,0,ROUND($V71*Übersicht!$C$26,2))</f>
        <v>574.71</v>
      </c>
      <c r="U72" s="38">
        <f>IF($V71&lt;=0,0,MIN($V71,IF(Übersicht!$C$14="Annuitätendarlehen",MAX(0,Übersicht!$C$28-$T72),IF(Übersicht!$C$14="Ratendarlehen",Übersicht!$C$29,IF($A72&gt;=Übersicht!$C$30,$V71,0)))))</f>
        <v>664.86999999999989</v>
      </c>
      <c r="V72" s="38">
        <f>IF($V71&lt;=0,0,ROUND($V71-$U72-IF($V71-$U72&lt;=0,0,IF(MOD($A72,Übersicht!$C$25)=0,MIN(Szenarien!$C$9,$V71-$U72),0)),2))</f>
        <v>199233.41</v>
      </c>
      <c r="W72" s="38">
        <f>IF($Y71&lt;=0,0,ROUND($Y71*Übersicht!$C$26,2))</f>
        <v>535.72</v>
      </c>
      <c r="X72" s="38">
        <f>IF($Y71&lt;=0,0,MIN($Y71,IF(Übersicht!$C$14="Annuitätendarlehen",MAX(0,Übersicht!$C$28-$W72),IF(Übersicht!$C$14="Ratendarlehen",Übersicht!$C$29,IF($A72&gt;=Übersicht!$C$30,$Y71,0)))))</f>
        <v>703.8599999999999</v>
      </c>
      <c r="Y72" s="38">
        <f>IF($Y71&lt;=0,0,ROUND($Y71-$X72-IF($Y71-$X72&lt;=0,0,IF(MOD($A72,Übersicht!$C$25)=0,MIN(Szenarien!$C$10,$Y71-$X72),0)),2))</f>
        <v>185632</v>
      </c>
      <c r="Z72" s="38">
        <f>IF($AB71&lt;=0,0,ROUND($AB71*Übersicht!$C$26,2))</f>
        <v>496.72</v>
      </c>
      <c r="AA72" s="38">
        <f>IF($AB71&lt;=0,0,MIN($AB71,IF(Übersicht!$C$14="Annuitätendarlehen",MAX(0,Übersicht!$C$28-$Z72),IF(Übersicht!$C$14="Ratendarlehen",Übersicht!$C$29,IF($A72&gt;=Übersicht!$C$30,$AB71,0)))))</f>
        <v>742.8599999999999</v>
      </c>
      <c r="AB72" s="38">
        <f>IF($AB71&lt;=0,0,ROUND($AB71-$AA72-IF($AB71-$AA72&lt;=0,0,IF(MOD($A72,Übersicht!$C$25)=0,MIN(Szenarien!$C$11,$AB71-$AA72),0)),2))</f>
        <v>172030.66</v>
      </c>
      <c r="AC72" s="38">
        <f>IF($AE71&lt;=0,0,ROUND($AE71*Übersicht!$C$26,2))</f>
        <v>418.74</v>
      </c>
      <c r="AD72" s="38">
        <f>IF($AE71&lt;=0,0,MIN($AE71,IF(Übersicht!$C$14="Annuitätendarlehen",MAX(0,Übersicht!$C$28-$AC72),IF(Übersicht!$C$14="Ratendarlehen",Übersicht!$C$29,IF($A72&gt;=Übersicht!$C$30,$AE71,0)))))</f>
        <v>820.83999999999992</v>
      </c>
      <c r="AE72" s="38">
        <f>IF($AE71&lt;=0,0,ROUND($AE71-$AD72-IF($AE71-$AD72&lt;=0,0,IF(MOD($A72,Übersicht!$C$25)=0,MIN(Szenarien!$C$12,$AE71-$AD72),0)),2))</f>
        <v>144827.89000000001</v>
      </c>
    </row>
    <row r="73" spans="1:31" ht="15" customHeight="1" x14ac:dyDescent="0.25">
      <c r="A73" s="26">
        <v>66</v>
      </c>
      <c r="B73" s="39">
        <f>IF($D73&lt;=0,"",EDATE(Übersicht!$C$18,($A73-1)*12/Übersicht!$C$25))</f>
        <v>48029</v>
      </c>
      <c r="C73" s="26">
        <f t="shared" si="7"/>
        <v>2031</v>
      </c>
      <c r="D73" s="40">
        <f t="shared" ref="D73:D136" si="11">$J72</f>
        <v>185632</v>
      </c>
      <c r="E73" s="28">
        <f t="shared" si="8"/>
        <v>1239.58</v>
      </c>
      <c r="F73" s="28">
        <f>IF($D73&lt;=0,0,ROUND($D73*Übersicht!$C$26,2))</f>
        <v>533.69000000000005</v>
      </c>
      <c r="G73" s="28">
        <f>IF($D73&lt;=0,0,MIN($D73,IF(Übersicht!$C$14="Annuitätendarlehen",MAX(0,Übersicht!$C$28-$F73),IF(Übersicht!$C$14="Ratendarlehen",Übersicht!$C$29,IF($A73&gt;=Übersicht!$C$30,$D73,0)))))</f>
        <v>705.88999999999987</v>
      </c>
      <c r="H73" s="28">
        <f>IF($D73-$G73&lt;=0,0,IF(MOD($A73,Übersicht!$C$25)=0,MIN(Übersicht!$C$31,$D73-$G73),0))</f>
        <v>0</v>
      </c>
      <c r="I73" s="28">
        <f t="shared" si="9"/>
        <v>1239.58</v>
      </c>
      <c r="J73" s="28">
        <f t="shared" si="10"/>
        <v>184926.11</v>
      </c>
      <c r="K73" s="28">
        <f t="shared" ref="K73:K136" si="12">$K72+$F73</f>
        <v>41738.390000000014</v>
      </c>
      <c r="L73" s="28">
        <f t="shared" ref="L73:L136" si="13">ROUND($L72+$G73+$H73,2)</f>
        <v>65073.89</v>
      </c>
      <c r="M73" s="29">
        <f>IF($D73&lt;=0,"",IF(Übersicht!$C$11=0,0,$L73/Übersicht!$C$11))</f>
        <v>0.26029555999999998</v>
      </c>
      <c r="N73" s="30" t="str">
        <f>IF($D73&lt;=0,"",IF($J73&lt;=0.005,"Volltilgung erreicht",IF($A73=Übersicht!$C$19*Übersicht!$C$25,"Ende der Zinsbindung",IF($H73&gt;0,"Sondertilgung verrechnet",""))))</f>
        <v/>
      </c>
      <c r="Q73" s="38">
        <f>IF($S72&lt;=0,0,ROUND($S72*Übersicht!$C$26,2))</f>
        <v>611.9</v>
      </c>
      <c r="R73" s="38">
        <f>IF($S72&lt;=0,0,MIN($S72,IF(Übersicht!$C$14="Annuitätendarlehen",MAX(0,Übersicht!$C$28-$Q73),IF(Übersicht!$C$14="Ratendarlehen",Übersicht!$C$29,IF($A73&gt;=Übersicht!$C$30,$S72,0)))))</f>
        <v>627.67999999999995</v>
      </c>
      <c r="S73" s="38">
        <f>IF($S72&lt;=0,0,ROUND($S72-$R73-IF($S72-$R73&lt;=0,0,IF(MOD($A73,Übersicht!$C$25)=0,MIN(Szenarien!$C$8,$S72-$R73),0)),2))</f>
        <v>212207.05</v>
      </c>
      <c r="T73" s="38">
        <f>IF($V72&lt;=0,0,ROUND($V72*Übersicht!$C$26,2))</f>
        <v>572.79999999999995</v>
      </c>
      <c r="U73" s="38">
        <f>IF($V72&lt;=0,0,MIN($V72,IF(Übersicht!$C$14="Annuitätendarlehen",MAX(0,Übersicht!$C$28-$T73),IF(Übersicht!$C$14="Ratendarlehen",Übersicht!$C$29,IF($A73&gt;=Übersicht!$C$30,$V72,0)))))</f>
        <v>666.78</v>
      </c>
      <c r="V73" s="38">
        <f>IF($V72&lt;=0,0,ROUND($V72-$U73-IF($V72-$U73&lt;=0,0,IF(MOD($A73,Übersicht!$C$25)=0,MIN(Szenarien!$C$9,$V72-$U73),0)),2))</f>
        <v>198566.63</v>
      </c>
      <c r="W73" s="38">
        <f>IF($Y72&lt;=0,0,ROUND($Y72*Übersicht!$C$26,2))</f>
        <v>533.69000000000005</v>
      </c>
      <c r="X73" s="38">
        <f>IF($Y72&lt;=0,0,MIN($Y72,IF(Übersicht!$C$14="Annuitätendarlehen",MAX(0,Übersicht!$C$28-$W73),IF(Übersicht!$C$14="Ratendarlehen",Übersicht!$C$29,IF($A73&gt;=Übersicht!$C$30,$Y72,0)))))</f>
        <v>705.88999999999987</v>
      </c>
      <c r="Y73" s="38">
        <f>IF($Y72&lt;=0,0,ROUND($Y72-$X73-IF($Y72-$X73&lt;=0,0,IF(MOD($A73,Übersicht!$C$25)=0,MIN(Szenarien!$C$10,$Y72-$X73),0)),2))</f>
        <v>184926.11</v>
      </c>
      <c r="Z73" s="38">
        <f>IF($AB72&lt;=0,0,ROUND($AB72*Übersicht!$C$26,2))</f>
        <v>494.59</v>
      </c>
      <c r="AA73" s="38">
        <f>IF($AB72&lt;=0,0,MIN($AB72,IF(Übersicht!$C$14="Annuitätendarlehen",MAX(0,Übersicht!$C$28-$Z73),IF(Übersicht!$C$14="Ratendarlehen",Übersicht!$C$29,IF($A73&gt;=Übersicht!$C$30,$AB72,0)))))</f>
        <v>744.99</v>
      </c>
      <c r="AB73" s="38">
        <f>IF($AB72&lt;=0,0,ROUND($AB72-$AA73-IF($AB72-$AA73&lt;=0,0,IF(MOD($A73,Übersicht!$C$25)=0,MIN(Szenarien!$C$11,$AB72-$AA73),0)),2))</f>
        <v>171285.67</v>
      </c>
      <c r="AC73" s="38">
        <f>IF($AE72&lt;=0,0,ROUND($AE72*Übersicht!$C$26,2))</f>
        <v>416.38</v>
      </c>
      <c r="AD73" s="38">
        <f>IF($AE72&lt;=0,0,MIN($AE72,IF(Übersicht!$C$14="Annuitätendarlehen",MAX(0,Übersicht!$C$28-$AC73),IF(Übersicht!$C$14="Ratendarlehen",Übersicht!$C$29,IF($A73&gt;=Übersicht!$C$30,$AE72,0)))))</f>
        <v>823.19999999999993</v>
      </c>
      <c r="AE73" s="38">
        <f>IF($AE72&lt;=0,0,ROUND($AE72-$AD73-IF($AE72-$AD73&lt;=0,0,IF(MOD($A73,Übersicht!$C$25)=0,MIN(Szenarien!$C$12,$AE72-$AD73),0)),2))</f>
        <v>144004.69</v>
      </c>
    </row>
    <row r="74" spans="1:31" ht="15" customHeight="1" x14ac:dyDescent="0.25">
      <c r="A74" s="21">
        <v>67</v>
      </c>
      <c r="B74" s="36">
        <f>IF($D74&lt;=0,"",EDATE(Übersicht!$C$18,($A74-1)*12/Übersicht!$C$25))</f>
        <v>48060</v>
      </c>
      <c r="C74" s="21">
        <f t="shared" si="7"/>
        <v>2031</v>
      </c>
      <c r="D74" s="37">
        <f t="shared" si="11"/>
        <v>184926.11</v>
      </c>
      <c r="E74" s="23">
        <f t="shared" si="8"/>
        <v>1239.58</v>
      </c>
      <c r="F74" s="23">
        <f>IF($D74&lt;=0,0,ROUND($D74*Übersicht!$C$26,2))</f>
        <v>531.66</v>
      </c>
      <c r="G74" s="23">
        <f>IF($D74&lt;=0,0,MIN($D74,IF(Übersicht!$C$14="Annuitätendarlehen",MAX(0,Übersicht!$C$28-$F74),IF(Übersicht!$C$14="Ratendarlehen",Übersicht!$C$29,IF($A74&gt;=Übersicht!$C$30,$D74,0)))))</f>
        <v>707.92</v>
      </c>
      <c r="H74" s="23">
        <f>IF($D74-$G74&lt;=0,0,IF(MOD($A74,Übersicht!$C$25)=0,MIN(Übersicht!$C$31,$D74-$G74),0))</f>
        <v>0</v>
      </c>
      <c r="I74" s="23">
        <f t="shared" si="9"/>
        <v>1239.58</v>
      </c>
      <c r="J74" s="23">
        <f t="shared" si="10"/>
        <v>184218.19</v>
      </c>
      <c r="K74" s="23">
        <f t="shared" si="12"/>
        <v>42270.050000000017</v>
      </c>
      <c r="L74" s="23">
        <f t="shared" si="13"/>
        <v>65781.81</v>
      </c>
      <c r="M74" s="24">
        <f>IF($D74&lt;=0,"",IF(Übersicht!$C$11=0,0,$L74/Übersicht!$C$11))</f>
        <v>0.26312723999999998</v>
      </c>
      <c r="N74" s="25" t="str">
        <f>IF($D74&lt;=0,"",IF($J74&lt;=0.005,"Volltilgung erreicht",IF($A74=Übersicht!$C$19*Übersicht!$C$25,"Ende der Zinsbindung",IF($H74&gt;0,"Sondertilgung verrechnet",""))))</f>
        <v/>
      </c>
      <c r="Q74" s="38">
        <f>IF($S73&lt;=0,0,ROUND($S73*Übersicht!$C$26,2))</f>
        <v>610.1</v>
      </c>
      <c r="R74" s="38">
        <f>IF($S73&lt;=0,0,MIN($S73,IF(Übersicht!$C$14="Annuitätendarlehen",MAX(0,Übersicht!$C$28-$Q74),IF(Übersicht!$C$14="Ratendarlehen",Übersicht!$C$29,IF($A74&gt;=Übersicht!$C$30,$S73,0)))))</f>
        <v>629.4799999999999</v>
      </c>
      <c r="S74" s="38">
        <f>IF($S73&lt;=0,0,ROUND($S73-$R74-IF($S73-$R74&lt;=0,0,IF(MOD($A74,Übersicht!$C$25)=0,MIN(Szenarien!$C$8,$S73-$R74),0)),2))</f>
        <v>211577.57</v>
      </c>
      <c r="T74" s="38">
        <f>IF($V73&lt;=0,0,ROUND($V73*Übersicht!$C$26,2))</f>
        <v>570.88</v>
      </c>
      <c r="U74" s="38">
        <f>IF($V73&lt;=0,0,MIN($V73,IF(Übersicht!$C$14="Annuitätendarlehen",MAX(0,Übersicht!$C$28-$T74),IF(Übersicht!$C$14="Ratendarlehen",Übersicht!$C$29,IF($A74&gt;=Übersicht!$C$30,$V73,0)))))</f>
        <v>668.69999999999993</v>
      </c>
      <c r="V74" s="38">
        <f>IF($V73&lt;=0,0,ROUND($V73-$U74-IF($V73-$U74&lt;=0,0,IF(MOD($A74,Übersicht!$C$25)=0,MIN(Szenarien!$C$9,$V73-$U74),0)),2))</f>
        <v>197897.93</v>
      </c>
      <c r="W74" s="38">
        <f>IF($Y73&lt;=0,0,ROUND($Y73*Übersicht!$C$26,2))</f>
        <v>531.66</v>
      </c>
      <c r="X74" s="38">
        <f>IF($Y73&lt;=0,0,MIN($Y73,IF(Übersicht!$C$14="Annuitätendarlehen",MAX(0,Übersicht!$C$28-$W74),IF(Übersicht!$C$14="Ratendarlehen",Übersicht!$C$29,IF($A74&gt;=Übersicht!$C$30,$Y73,0)))))</f>
        <v>707.92</v>
      </c>
      <c r="Y74" s="38">
        <f>IF($Y73&lt;=0,0,ROUND($Y73-$X74-IF($Y73-$X74&lt;=0,0,IF(MOD($A74,Übersicht!$C$25)=0,MIN(Szenarien!$C$10,$Y73-$X74),0)),2))</f>
        <v>184218.19</v>
      </c>
      <c r="Z74" s="38">
        <f>IF($AB73&lt;=0,0,ROUND($AB73*Übersicht!$C$26,2))</f>
        <v>492.45</v>
      </c>
      <c r="AA74" s="38">
        <f>IF($AB73&lt;=0,0,MIN($AB73,IF(Übersicht!$C$14="Annuitätendarlehen",MAX(0,Übersicht!$C$28-$Z74),IF(Übersicht!$C$14="Ratendarlehen",Übersicht!$C$29,IF($A74&gt;=Übersicht!$C$30,$AB73,0)))))</f>
        <v>747.12999999999988</v>
      </c>
      <c r="AB74" s="38">
        <f>IF($AB73&lt;=0,0,ROUND($AB73-$AA74-IF($AB73-$AA74&lt;=0,0,IF(MOD($A74,Übersicht!$C$25)=0,MIN(Szenarien!$C$11,$AB73-$AA74),0)),2))</f>
        <v>170538.54</v>
      </c>
      <c r="AC74" s="38">
        <f>IF($AE73&lt;=0,0,ROUND($AE73*Übersicht!$C$26,2))</f>
        <v>414.01</v>
      </c>
      <c r="AD74" s="38">
        <f>IF($AE73&lt;=0,0,MIN($AE73,IF(Übersicht!$C$14="Annuitätendarlehen",MAX(0,Übersicht!$C$28-$AC74),IF(Übersicht!$C$14="Ratendarlehen",Übersicht!$C$29,IF($A74&gt;=Übersicht!$C$30,$AE73,0)))))</f>
        <v>825.56999999999994</v>
      </c>
      <c r="AE74" s="38">
        <f>IF($AE73&lt;=0,0,ROUND($AE73-$AD74-IF($AE73-$AD74&lt;=0,0,IF(MOD($A74,Übersicht!$C$25)=0,MIN(Szenarien!$C$12,$AE73-$AD74),0)),2))</f>
        <v>143179.12</v>
      </c>
    </row>
    <row r="75" spans="1:31" ht="15" customHeight="1" x14ac:dyDescent="0.25">
      <c r="A75" s="26">
        <v>68</v>
      </c>
      <c r="B75" s="39">
        <f>IF($D75&lt;=0,"",EDATE(Übersicht!$C$18,($A75-1)*12/Übersicht!$C$25))</f>
        <v>48091</v>
      </c>
      <c r="C75" s="26">
        <f t="shared" si="7"/>
        <v>2031</v>
      </c>
      <c r="D75" s="40">
        <f t="shared" si="11"/>
        <v>184218.19</v>
      </c>
      <c r="E75" s="28">
        <f t="shared" si="8"/>
        <v>1239.58</v>
      </c>
      <c r="F75" s="28">
        <f>IF($D75&lt;=0,0,ROUND($D75*Übersicht!$C$26,2))</f>
        <v>529.63</v>
      </c>
      <c r="G75" s="28">
        <f>IF($D75&lt;=0,0,MIN($D75,IF(Übersicht!$C$14="Annuitätendarlehen",MAX(0,Übersicht!$C$28-$F75),IF(Übersicht!$C$14="Ratendarlehen",Übersicht!$C$29,IF($A75&gt;=Übersicht!$C$30,$D75,0)))))</f>
        <v>709.94999999999993</v>
      </c>
      <c r="H75" s="28">
        <f>IF($D75-$G75&lt;=0,0,IF(MOD($A75,Übersicht!$C$25)=0,MIN(Übersicht!$C$31,$D75-$G75),0))</f>
        <v>0</v>
      </c>
      <c r="I75" s="28">
        <f t="shared" si="9"/>
        <v>1239.58</v>
      </c>
      <c r="J75" s="28">
        <f t="shared" si="10"/>
        <v>183508.24</v>
      </c>
      <c r="K75" s="28">
        <f t="shared" si="12"/>
        <v>42799.680000000015</v>
      </c>
      <c r="L75" s="28">
        <f t="shared" si="13"/>
        <v>66491.759999999995</v>
      </c>
      <c r="M75" s="29">
        <f>IF($D75&lt;=0,"",IF(Übersicht!$C$11=0,0,$L75/Übersicht!$C$11))</f>
        <v>0.26596703999999999</v>
      </c>
      <c r="N75" s="30" t="str">
        <f>IF($D75&lt;=0,"",IF($J75&lt;=0.005,"Volltilgung erreicht",IF($A75=Übersicht!$C$19*Übersicht!$C$25,"Ende der Zinsbindung",IF($H75&gt;0,"Sondertilgung verrechnet",""))))</f>
        <v/>
      </c>
      <c r="Q75" s="38">
        <f>IF($S74&lt;=0,0,ROUND($S74*Übersicht!$C$26,2))</f>
        <v>608.29</v>
      </c>
      <c r="R75" s="38">
        <f>IF($S74&lt;=0,0,MIN($S74,IF(Übersicht!$C$14="Annuitätendarlehen",MAX(0,Übersicht!$C$28-$Q75),IF(Übersicht!$C$14="Ratendarlehen",Übersicht!$C$29,IF($A75&gt;=Übersicht!$C$30,$S74,0)))))</f>
        <v>631.29</v>
      </c>
      <c r="S75" s="38">
        <f>IF($S74&lt;=0,0,ROUND($S74-$R75-IF($S74-$R75&lt;=0,0,IF(MOD($A75,Übersicht!$C$25)=0,MIN(Szenarien!$C$8,$S74-$R75),0)),2))</f>
        <v>210946.28</v>
      </c>
      <c r="T75" s="38">
        <f>IF($V74&lt;=0,0,ROUND($V74*Übersicht!$C$26,2))</f>
        <v>568.96</v>
      </c>
      <c r="U75" s="38">
        <f>IF($V74&lt;=0,0,MIN($V74,IF(Übersicht!$C$14="Annuitätendarlehen",MAX(0,Übersicht!$C$28-$T75),IF(Übersicht!$C$14="Ratendarlehen",Übersicht!$C$29,IF($A75&gt;=Übersicht!$C$30,$V74,0)))))</f>
        <v>670.61999999999989</v>
      </c>
      <c r="V75" s="38">
        <f>IF($V74&lt;=0,0,ROUND($V74-$U75-IF($V74-$U75&lt;=0,0,IF(MOD($A75,Übersicht!$C$25)=0,MIN(Szenarien!$C$9,$V74-$U75),0)),2))</f>
        <v>197227.31</v>
      </c>
      <c r="W75" s="38">
        <f>IF($Y74&lt;=0,0,ROUND($Y74*Übersicht!$C$26,2))</f>
        <v>529.63</v>
      </c>
      <c r="X75" s="38">
        <f>IF($Y74&lt;=0,0,MIN($Y74,IF(Übersicht!$C$14="Annuitätendarlehen",MAX(0,Übersicht!$C$28-$W75),IF(Übersicht!$C$14="Ratendarlehen",Übersicht!$C$29,IF($A75&gt;=Übersicht!$C$30,$Y74,0)))))</f>
        <v>709.94999999999993</v>
      </c>
      <c r="Y75" s="38">
        <f>IF($Y74&lt;=0,0,ROUND($Y74-$X75-IF($Y74-$X75&lt;=0,0,IF(MOD($A75,Übersicht!$C$25)=0,MIN(Szenarien!$C$10,$Y74-$X75),0)),2))</f>
        <v>183508.24</v>
      </c>
      <c r="Z75" s="38">
        <f>IF($AB74&lt;=0,0,ROUND($AB74*Übersicht!$C$26,2))</f>
        <v>490.3</v>
      </c>
      <c r="AA75" s="38">
        <f>IF($AB74&lt;=0,0,MIN($AB74,IF(Übersicht!$C$14="Annuitätendarlehen",MAX(0,Übersicht!$C$28-$Z75),IF(Übersicht!$C$14="Ratendarlehen",Übersicht!$C$29,IF($A75&gt;=Übersicht!$C$30,$AB74,0)))))</f>
        <v>749.28</v>
      </c>
      <c r="AB75" s="38">
        <f>IF($AB74&lt;=0,0,ROUND($AB74-$AA75-IF($AB74-$AA75&lt;=0,0,IF(MOD($A75,Übersicht!$C$25)=0,MIN(Szenarien!$C$11,$AB74-$AA75),0)),2))</f>
        <v>169789.26</v>
      </c>
      <c r="AC75" s="38">
        <f>IF($AE74&lt;=0,0,ROUND($AE74*Übersicht!$C$26,2))</f>
        <v>411.64</v>
      </c>
      <c r="AD75" s="38">
        <f>IF($AE74&lt;=0,0,MIN($AE74,IF(Übersicht!$C$14="Annuitätendarlehen",MAX(0,Übersicht!$C$28-$AC75),IF(Übersicht!$C$14="Ratendarlehen",Übersicht!$C$29,IF($A75&gt;=Übersicht!$C$30,$AE74,0)))))</f>
        <v>827.93999999999994</v>
      </c>
      <c r="AE75" s="38">
        <f>IF($AE74&lt;=0,0,ROUND($AE74-$AD75-IF($AE74-$AD75&lt;=0,0,IF(MOD($A75,Übersicht!$C$25)=0,MIN(Szenarien!$C$12,$AE74-$AD75),0)),2))</f>
        <v>142351.18</v>
      </c>
    </row>
    <row r="76" spans="1:31" ht="15" customHeight="1" x14ac:dyDescent="0.25">
      <c r="A76" s="21">
        <v>69</v>
      </c>
      <c r="B76" s="36">
        <f>IF($D76&lt;=0,"",EDATE(Übersicht!$C$18,($A76-1)*12/Übersicht!$C$25))</f>
        <v>48121</v>
      </c>
      <c r="C76" s="21">
        <f t="shared" si="7"/>
        <v>2031</v>
      </c>
      <c r="D76" s="37">
        <f t="shared" si="11"/>
        <v>183508.24</v>
      </c>
      <c r="E76" s="23">
        <f t="shared" si="8"/>
        <v>1239.58</v>
      </c>
      <c r="F76" s="23">
        <f>IF($D76&lt;=0,0,ROUND($D76*Übersicht!$C$26,2))</f>
        <v>527.59</v>
      </c>
      <c r="G76" s="23">
        <f>IF($D76&lt;=0,0,MIN($D76,IF(Übersicht!$C$14="Annuitätendarlehen",MAX(0,Übersicht!$C$28-$F76),IF(Übersicht!$C$14="Ratendarlehen",Übersicht!$C$29,IF($A76&gt;=Übersicht!$C$30,$D76,0)))))</f>
        <v>711.9899999999999</v>
      </c>
      <c r="H76" s="23">
        <f>IF($D76-$G76&lt;=0,0,IF(MOD($A76,Übersicht!$C$25)=0,MIN(Übersicht!$C$31,$D76-$G76),0))</f>
        <v>0</v>
      </c>
      <c r="I76" s="23">
        <f t="shared" si="9"/>
        <v>1239.58</v>
      </c>
      <c r="J76" s="23">
        <f t="shared" si="10"/>
        <v>182796.25</v>
      </c>
      <c r="K76" s="23">
        <f t="shared" si="12"/>
        <v>43327.270000000011</v>
      </c>
      <c r="L76" s="23">
        <f t="shared" si="13"/>
        <v>67203.75</v>
      </c>
      <c r="M76" s="24">
        <f>IF($D76&lt;=0,"",IF(Übersicht!$C$11=0,0,$L76/Übersicht!$C$11))</f>
        <v>0.26881500000000003</v>
      </c>
      <c r="N76" s="25" t="str">
        <f>IF($D76&lt;=0,"",IF($J76&lt;=0.005,"Volltilgung erreicht",IF($A76=Übersicht!$C$19*Übersicht!$C$25,"Ende der Zinsbindung",IF($H76&gt;0,"Sondertilgung verrechnet",""))))</f>
        <v/>
      </c>
      <c r="Q76" s="38">
        <f>IF($S75&lt;=0,0,ROUND($S75*Übersicht!$C$26,2))</f>
        <v>606.47</v>
      </c>
      <c r="R76" s="38">
        <f>IF($S75&lt;=0,0,MIN($S75,IF(Übersicht!$C$14="Annuitätendarlehen",MAX(0,Übersicht!$C$28-$Q76),IF(Übersicht!$C$14="Ratendarlehen",Übersicht!$C$29,IF($A76&gt;=Übersicht!$C$30,$S75,0)))))</f>
        <v>633.1099999999999</v>
      </c>
      <c r="S76" s="38">
        <f>IF($S75&lt;=0,0,ROUND($S75-$R76-IF($S75-$R76&lt;=0,0,IF(MOD($A76,Übersicht!$C$25)=0,MIN(Szenarien!$C$8,$S75-$R76),0)),2))</f>
        <v>210313.17</v>
      </c>
      <c r="T76" s="38">
        <f>IF($V75&lt;=0,0,ROUND($V75*Übersicht!$C$26,2))</f>
        <v>567.03</v>
      </c>
      <c r="U76" s="38">
        <f>IF($V75&lt;=0,0,MIN($V75,IF(Übersicht!$C$14="Annuitätendarlehen",MAX(0,Übersicht!$C$28-$T76),IF(Übersicht!$C$14="Ratendarlehen",Übersicht!$C$29,IF($A76&gt;=Übersicht!$C$30,$V75,0)))))</f>
        <v>672.55</v>
      </c>
      <c r="V76" s="38">
        <f>IF($V75&lt;=0,0,ROUND($V75-$U76-IF($V75-$U76&lt;=0,0,IF(MOD($A76,Übersicht!$C$25)=0,MIN(Szenarien!$C$9,$V75-$U76),0)),2))</f>
        <v>196554.76</v>
      </c>
      <c r="W76" s="38">
        <f>IF($Y75&lt;=0,0,ROUND($Y75*Übersicht!$C$26,2))</f>
        <v>527.59</v>
      </c>
      <c r="X76" s="38">
        <f>IF($Y75&lt;=0,0,MIN($Y75,IF(Übersicht!$C$14="Annuitätendarlehen",MAX(0,Übersicht!$C$28-$W76),IF(Übersicht!$C$14="Ratendarlehen",Übersicht!$C$29,IF($A76&gt;=Übersicht!$C$30,$Y75,0)))))</f>
        <v>711.9899999999999</v>
      </c>
      <c r="Y76" s="38">
        <f>IF($Y75&lt;=0,0,ROUND($Y75-$X76-IF($Y75-$X76&lt;=0,0,IF(MOD($A76,Übersicht!$C$25)=0,MIN(Szenarien!$C$10,$Y75-$X76),0)),2))</f>
        <v>182796.25</v>
      </c>
      <c r="Z76" s="38">
        <f>IF($AB75&lt;=0,0,ROUND($AB75*Übersicht!$C$26,2))</f>
        <v>488.14</v>
      </c>
      <c r="AA76" s="38">
        <f>IF($AB75&lt;=0,0,MIN($AB75,IF(Übersicht!$C$14="Annuitätendarlehen",MAX(0,Übersicht!$C$28-$Z76),IF(Übersicht!$C$14="Ratendarlehen",Übersicht!$C$29,IF($A76&gt;=Übersicht!$C$30,$AB75,0)))))</f>
        <v>751.43999999999994</v>
      </c>
      <c r="AB76" s="38">
        <f>IF($AB75&lt;=0,0,ROUND($AB75-$AA76-IF($AB75-$AA76&lt;=0,0,IF(MOD($A76,Übersicht!$C$25)=0,MIN(Szenarien!$C$11,$AB75-$AA76),0)),2))</f>
        <v>169037.82</v>
      </c>
      <c r="AC76" s="38">
        <f>IF($AE75&lt;=0,0,ROUND($AE75*Übersicht!$C$26,2))</f>
        <v>409.26</v>
      </c>
      <c r="AD76" s="38">
        <f>IF($AE75&lt;=0,0,MIN($AE75,IF(Übersicht!$C$14="Annuitätendarlehen",MAX(0,Übersicht!$C$28-$AC76),IF(Übersicht!$C$14="Ratendarlehen",Übersicht!$C$29,IF($A76&gt;=Übersicht!$C$30,$AE75,0)))))</f>
        <v>830.31999999999994</v>
      </c>
      <c r="AE76" s="38">
        <f>IF($AE75&lt;=0,0,ROUND($AE75-$AD76-IF($AE75-$AD76&lt;=0,0,IF(MOD($A76,Übersicht!$C$25)=0,MIN(Szenarien!$C$12,$AE75-$AD76),0)),2))</f>
        <v>141520.85999999999</v>
      </c>
    </row>
    <row r="77" spans="1:31" ht="15" customHeight="1" x14ac:dyDescent="0.25">
      <c r="A77" s="26">
        <v>70</v>
      </c>
      <c r="B77" s="39">
        <f>IF($D77&lt;=0,"",EDATE(Übersicht!$C$18,($A77-1)*12/Übersicht!$C$25))</f>
        <v>48152</v>
      </c>
      <c r="C77" s="26">
        <f t="shared" si="7"/>
        <v>2031</v>
      </c>
      <c r="D77" s="40">
        <f t="shared" si="11"/>
        <v>182796.25</v>
      </c>
      <c r="E77" s="28">
        <f t="shared" si="8"/>
        <v>1239.58</v>
      </c>
      <c r="F77" s="28">
        <f>IF($D77&lt;=0,0,ROUND($D77*Übersicht!$C$26,2))</f>
        <v>525.54</v>
      </c>
      <c r="G77" s="28">
        <f>IF($D77&lt;=0,0,MIN($D77,IF(Übersicht!$C$14="Annuitätendarlehen",MAX(0,Übersicht!$C$28-$F77),IF(Übersicht!$C$14="Ratendarlehen",Übersicht!$C$29,IF($A77&gt;=Übersicht!$C$30,$D77,0)))))</f>
        <v>714.04</v>
      </c>
      <c r="H77" s="28">
        <f>IF($D77-$G77&lt;=0,0,IF(MOD($A77,Übersicht!$C$25)=0,MIN(Übersicht!$C$31,$D77-$G77),0))</f>
        <v>0</v>
      </c>
      <c r="I77" s="28">
        <f t="shared" si="9"/>
        <v>1239.58</v>
      </c>
      <c r="J77" s="28">
        <f t="shared" si="10"/>
        <v>182082.21</v>
      </c>
      <c r="K77" s="28">
        <f t="shared" si="12"/>
        <v>43852.810000000012</v>
      </c>
      <c r="L77" s="28">
        <f t="shared" si="13"/>
        <v>67917.789999999994</v>
      </c>
      <c r="M77" s="29">
        <f>IF($D77&lt;=0,"",IF(Übersicht!$C$11=0,0,$L77/Übersicht!$C$11))</f>
        <v>0.27167115999999997</v>
      </c>
      <c r="N77" s="30" t="str">
        <f>IF($D77&lt;=0,"",IF($J77&lt;=0.005,"Volltilgung erreicht",IF($A77=Übersicht!$C$19*Übersicht!$C$25,"Ende der Zinsbindung",IF($H77&gt;0,"Sondertilgung verrechnet",""))))</f>
        <v/>
      </c>
      <c r="Q77" s="38">
        <f>IF($S76&lt;=0,0,ROUND($S76*Übersicht!$C$26,2))</f>
        <v>604.65</v>
      </c>
      <c r="R77" s="38">
        <f>IF($S76&lt;=0,0,MIN($S76,IF(Übersicht!$C$14="Annuitätendarlehen",MAX(0,Übersicht!$C$28-$Q77),IF(Übersicht!$C$14="Ratendarlehen",Übersicht!$C$29,IF($A77&gt;=Übersicht!$C$30,$S76,0)))))</f>
        <v>634.92999999999995</v>
      </c>
      <c r="S77" s="38">
        <f>IF($S76&lt;=0,0,ROUND($S76-$R77-IF($S76-$R77&lt;=0,0,IF(MOD($A77,Übersicht!$C$25)=0,MIN(Szenarien!$C$8,$S76-$R77),0)),2))</f>
        <v>209678.24</v>
      </c>
      <c r="T77" s="38">
        <f>IF($V76&lt;=0,0,ROUND($V76*Übersicht!$C$26,2))</f>
        <v>565.09</v>
      </c>
      <c r="U77" s="38">
        <f>IF($V76&lt;=0,0,MIN($V76,IF(Übersicht!$C$14="Annuitätendarlehen",MAX(0,Übersicht!$C$28-$T77),IF(Übersicht!$C$14="Ratendarlehen",Übersicht!$C$29,IF($A77&gt;=Übersicht!$C$30,$V76,0)))))</f>
        <v>674.4899999999999</v>
      </c>
      <c r="V77" s="38">
        <f>IF($V76&lt;=0,0,ROUND($V76-$U77-IF($V76-$U77&lt;=0,0,IF(MOD($A77,Übersicht!$C$25)=0,MIN(Szenarien!$C$9,$V76-$U77),0)),2))</f>
        <v>195880.27</v>
      </c>
      <c r="W77" s="38">
        <f>IF($Y76&lt;=0,0,ROUND($Y76*Übersicht!$C$26,2))</f>
        <v>525.54</v>
      </c>
      <c r="X77" s="38">
        <f>IF($Y76&lt;=0,0,MIN($Y76,IF(Übersicht!$C$14="Annuitätendarlehen",MAX(0,Übersicht!$C$28-$W77),IF(Übersicht!$C$14="Ratendarlehen",Übersicht!$C$29,IF($A77&gt;=Übersicht!$C$30,$Y76,0)))))</f>
        <v>714.04</v>
      </c>
      <c r="Y77" s="38">
        <f>IF($Y76&lt;=0,0,ROUND($Y76-$X77-IF($Y76-$X77&lt;=0,0,IF(MOD($A77,Übersicht!$C$25)=0,MIN(Szenarien!$C$10,$Y76-$X77),0)),2))</f>
        <v>182082.21</v>
      </c>
      <c r="Z77" s="38">
        <f>IF($AB76&lt;=0,0,ROUND($AB76*Übersicht!$C$26,2))</f>
        <v>485.98</v>
      </c>
      <c r="AA77" s="38">
        <f>IF($AB76&lt;=0,0,MIN($AB76,IF(Übersicht!$C$14="Annuitätendarlehen",MAX(0,Übersicht!$C$28-$Z77),IF(Übersicht!$C$14="Ratendarlehen",Übersicht!$C$29,IF($A77&gt;=Übersicht!$C$30,$AB76,0)))))</f>
        <v>753.59999999999991</v>
      </c>
      <c r="AB77" s="38">
        <f>IF($AB76&lt;=0,0,ROUND($AB76-$AA77-IF($AB76-$AA77&lt;=0,0,IF(MOD($A77,Übersicht!$C$25)=0,MIN(Szenarien!$C$11,$AB76-$AA77),0)),2))</f>
        <v>168284.22</v>
      </c>
      <c r="AC77" s="38">
        <f>IF($AE76&lt;=0,0,ROUND($AE76*Übersicht!$C$26,2))</f>
        <v>406.87</v>
      </c>
      <c r="AD77" s="38">
        <f>IF($AE76&lt;=0,0,MIN($AE76,IF(Übersicht!$C$14="Annuitätendarlehen",MAX(0,Übersicht!$C$28-$AC77),IF(Übersicht!$C$14="Ratendarlehen",Übersicht!$C$29,IF($A77&gt;=Übersicht!$C$30,$AE76,0)))))</f>
        <v>832.70999999999992</v>
      </c>
      <c r="AE77" s="38">
        <f>IF($AE76&lt;=0,0,ROUND($AE76-$AD77-IF($AE76-$AD77&lt;=0,0,IF(MOD($A77,Übersicht!$C$25)=0,MIN(Szenarien!$C$12,$AE76-$AD77),0)),2))</f>
        <v>140688.15</v>
      </c>
    </row>
    <row r="78" spans="1:31" ht="15" customHeight="1" x14ac:dyDescent="0.25">
      <c r="A78" s="21">
        <v>71</v>
      </c>
      <c r="B78" s="36">
        <f>IF($D78&lt;=0,"",EDATE(Übersicht!$C$18,($A78-1)*12/Übersicht!$C$25))</f>
        <v>48182</v>
      </c>
      <c r="C78" s="21">
        <f t="shared" si="7"/>
        <v>2031</v>
      </c>
      <c r="D78" s="37">
        <f t="shared" si="11"/>
        <v>182082.21</v>
      </c>
      <c r="E78" s="23">
        <f t="shared" si="8"/>
        <v>1239.58</v>
      </c>
      <c r="F78" s="23">
        <f>IF($D78&lt;=0,0,ROUND($D78*Übersicht!$C$26,2))</f>
        <v>523.49</v>
      </c>
      <c r="G78" s="23">
        <f>IF($D78&lt;=0,0,MIN($D78,IF(Übersicht!$C$14="Annuitätendarlehen",MAX(0,Übersicht!$C$28-$F78),IF(Übersicht!$C$14="Ratendarlehen",Übersicht!$C$29,IF($A78&gt;=Übersicht!$C$30,$D78,0)))))</f>
        <v>716.08999999999992</v>
      </c>
      <c r="H78" s="23">
        <f>IF($D78-$G78&lt;=0,0,IF(MOD($A78,Übersicht!$C$25)=0,MIN(Übersicht!$C$31,$D78-$G78),0))</f>
        <v>0</v>
      </c>
      <c r="I78" s="23">
        <f t="shared" si="9"/>
        <v>1239.58</v>
      </c>
      <c r="J78" s="23">
        <f t="shared" si="10"/>
        <v>181366.12</v>
      </c>
      <c r="K78" s="23">
        <f t="shared" si="12"/>
        <v>44376.30000000001</v>
      </c>
      <c r="L78" s="23">
        <f t="shared" si="13"/>
        <v>68633.88</v>
      </c>
      <c r="M78" s="24">
        <f>IF($D78&lt;=0,"",IF(Übersicht!$C$11=0,0,$L78/Übersicht!$C$11))</f>
        <v>0.27453552000000003</v>
      </c>
      <c r="N78" s="25" t="str">
        <f>IF($D78&lt;=0,"",IF($J78&lt;=0.005,"Volltilgung erreicht",IF($A78=Übersicht!$C$19*Übersicht!$C$25,"Ende der Zinsbindung",IF($H78&gt;0,"Sondertilgung verrechnet",""))))</f>
        <v/>
      </c>
      <c r="Q78" s="38">
        <f>IF($S77&lt;=0,0,ROUND($S77*Übersicht!$C$26,2))</f>
        <v>602.82000000000005</v>
      </c>
      <c r="R78" s="38">
        <f>IF($S77&lt;=0,0,MIN($S77,IF(Übersicht!$C$14="Annuitätendarlehen",MAX(0,Übersicht!$C$28-$Q78),IF(Übersicht!$C$14="Ratendarlehen",Übersicht!$C$29,IF($A78&gt;=Übersicht!$C$30,$S77,0)))))</f>
        <v>636.75999999999988</v>
      </c>
      <c r="S78" s="38">
        <f>IF($S77&lt;=0,0,ROUND($S77-$R78-IF($S77-$R78&lt;=0,0,IF(MOD($A78,Übersicht!$C$25)=0,MIN(Szenarien!$C$8,$S77-$R78),0)),2))</f>
        <v>209041.48</v>
      </c>
      <c r="T78" s="38">
        <f>IF($V77&lt;=0,0,ROUND($V77*Übersicht!$C$26,2))</f>
        <v>563.16</v>
      </c>
      <c r="U78" s="38">
        <f>IF($V77&lt;=0,0,MIN($V77,IF(Übersicht!$C$14="Annuitätendarlehen",MAX(0,Übersicht!$C$28-$T78),IF(Übersicht!$C$14="Ratendarlehen",Übersicht!$C$29,IF($A78&gt;=Übersicht!$C$30,$V77,0)))))</f>
        <v>676.42</v>
      </c>
      <c r="V78" s="38">
        <f>IF($V77&lt;=0,0,ROUND($V77-$U78-IF($V77-$U78&lt;=0,0,IF(MOD($A78,Übersicht!$C$25)=0,MIN(Szenarien!$C$9,$V77-$U78),0)),2))</f>
        <v>195203.85</v>
      </c>
      <c r="W78" s="38">
        <f>IF($Y77&lt;=0,0,ROUND($Y77*Übersicht!$C$26,2))</f>
        <v>523.49</v>
      </c>
      <c r="X78" s="38">
        <f>IF($Y77&lt;=0,0,MIN($Y77,IF(Übersicht!$C$14="Annuitätendarlehen",MAX(0,Übersicht!$C$28-$W78),IF(Übersicht!$C$14="Ratendarlehen",Übersicht!$C$29,IF($A78&gt;=Übersicht!$C$30,$Y77,0)))))</f>
        <v>716.08999999999992</v>
      </c>
      <c r="Y78" s="38">
        <f>IF($Y77&lt;=0,0,ROUND($Y77-$X78-IF($Y77-$X78&lt;=0,0,IF(MOD($A78,Übersicht!$C$25)=0,MIN(Szenarien!$C$10,$Y77-$X78),0)),2))</f>
        <v>181366.12</v>
      </c>
      <c r="Z78" s="38">
        <f>IF($AB77&lt;=0,0,ROUND($AB77*Übersicht!$C$26,2))</f>
        <v>483.82</v>
      </c>
      <c r="AA78" s="38">
        <f>IF($AB77&lt;=0,0,MIN($AB77,IF(Übersicht!$C$14="Annuitätendarlehen",MAX(0,Übersicht!$C$28-$Z78),IF(Übersicht!$C$14="Ratendarlehen",Übersicht!$C$29,IF($A78&gt;=Übersicht!$C$30,$AB77,0)))))</f>
        <v>755.76</v>
      </c>
      <c r="AB78" s="38">
        <f>IF($AB77&lt;=0,0,ROUND($AB77-$AA78-IF($AB77-$AA78&lt;=0,0,IF(MOD($A78,Übersicht!$C$25)=0,MIN(Szenarien!$C$11,$AB77-$AA78),0)),2))</f>
        <v>167528.46</v>
      </c>
      <c r="AC78" s="38">
        <f>IF($AE77&lt;=0,0,ROUND($AE77*Übersicht!$C$26,2))</f>
        <v>404.48</v>
      </c>
      <c r="AD78" s="38">
        <f>IF($AE77&lt;=0,0,MIN($AE77,IF(Übersicht!$C$14="Annuitätendarlehen",MAX(0,Übersicht!$C$28-$AC78),IF(Übersicht!$C$14="Ratendarlehen",Übersicht!$C$29,IF($A78&gt;=Übersicht!$C$30,$AE77,0)))))</f>
        <v>835.09999999999991</v>
      </c>
      <c r="AE78" s="38">
        <f>IF($AE77&lt;=0,0,ROUND($AE77-$AD78-IF($AE77-$AD78&lt;=0,0,IF(MOD($A78,Übersicht!$C$25)=0,MIN(Szenarien!$C$12,$AE77-$AD78),0)),2))</f>
        <v>139853.04999999999</v>
      </c>
    </row>
    <row r="79" spans="1:31" ht="15" customHeight="1" x14ac:dyDescent="0.25">
      <c r="A79" s="26">
        <v>72</v>
      </c>
      <c r="B79" s="39">
        <f>IF($D79&lt;=0,"",EDATE(Übersicht!$C$18,($A79-1)*12/Übersicht!$C$25))</f>
        <v>48213</v>
      </c>
      <c r="C79" s="26">
        <f t="shared" si="7"/>
        <v>2031</v>
      </c>
      <c r="D79" s="40">
        <f t="shared" si="11"/>
        <v>181366.12</v>
      </c>
      <c r="E79" s="28">
        <f t="shared" si="8"/>
        <v>1239.58</v>
      </c>
      <c r="F79" s="28">
        <f>IF($D79&lt;=0,0,ROUND($D79*Übersicht!$C$26,2))</f>
        <v>521.42999999999995</v>
      </c>
      <c r="G79" s="28">
        <f>IF($D79&lt;=0,0,MIN($D79,IF(Übersicht!$C$14="Annuitätendarlehen",MAX(0,Übersicht!$C$28-$F79),IF(Übersicht!$C$14="Ratendarlehen",Übersicht!$C$29,IF($A79&gt;=Übersicht!$C$30,$D79,0)))))</f>
        <v>718.15</v>
      </c>
      <c r="H79" s="28">
        <f>IF($D79-$G79&lt;=0,0,IF(MOD($A79,Übersicht!$C$25)=0,MIN(Übersicht!$C$31,$D79-$G79),0))</f>
        <v>5000</v>
      </c>
      <c r="I79" s="28">
        <f t="shared" si="9"/>
        <v>6239.58</v>
      </c>
      <c r="J79" s="28">
        <f t="shared" si="10"/>
        <v>175647.97</v>
      </c>
      <c r="K79" s="28">
        <f t="shared" si="12"/>
        <v>44897.73000000001</v>
      </c>
      <c r="L79" s="28">
        <f t="shared" si="13"/>
        <v>74352.03</v>
      </c>
      <c r="M79" s="29">
        <f>IF($D79&lt;=0,"",IF(Übersicht!$C$11=0,0,$L79/Übersicht!$C$11))</f>
        <v>0.29740812</v>
      </c>
      <c r="N79" s="30" t="str">
        <f>IF($D79&lt;=0,"",IF($J79&lt;=0.005,"Volltilgung erreicht",IF($A79=Übersicht!$C$19*Übersicht!$C$25,"Ende der Zinsbindung",IF($H79&gt;0,"Sondertilgung verrechnet",""))))</f>
        <v>Sondertilgung verrechnet</v>
      </c>
      <c r="Q79" s="38">
        <f>IF($S78&lt;=0,0,ROUND($S78*Übersicht!$C$26,2))</f>
        <v>600.99</v>
      </c>
      <c r="R79" s="38">
        <f>IF($S78&lt;=0,0,MIN($S78,IF(Übersicht!$C$14="Annuitätendarlehen",MAX(0,Übersicht!$C$28-$Q79),IF(Übersicht!$C$14="Ratendarlehen",Übersicht!$C$29,IF($A79&gt;=Übersicht!$C$30,$S78,0)))))</f>
        <v>638.58999999999992</v>
      </c>
      <c r="S79" s="38">
        <f>IF($S78&lt;=0,0,ROUND($S78-$R79-IF($S78-$R79&lt;=0,0,IF(MOD($A79,Übersicht!$C$25)=0,MIN(Szenarien!$C$8,$S78-$R79),0)),2))</f>
        <v>208402.89</v>
      </c>
      <c r="T79" s="38">
        <f>IF($V78&lt;=0,0,ROUND($V78*Übersicht!$C$26,2))</f>
        <v>561.21</v>
      </c>
      <c r="U79" s="38">
        <f>IF($V78&lt;=0,0,MIN($V78,IF(Übersicht!$C$14="Annuitätendarlehen",MAX(0,Übersicht!$C$28-$T79),IF(Übersicht!$C$14="Ratendarlehen",Übersicht!$C$29,IF($A79&gt;=Übersicht!$C$30,$V78,0)))))</f>
        <v>678.36999999999989</v>
      </c>
      <c r="V79" s="38">
        <f>IF($V78&lt;=0,0,ROUND($V78-$U79-IF($V78-$U79&lt;=0,0,IF(MOD($A79,Übersicht!$C$25)=0,MIN(Szenarien!$C$9,$V78-$U79),0)),2))</f>
        <v>192025.48</v>
      </c>
      <c r="W79" s="38">
        <f>IF($Y78&lt;=0,0,ROUND($Y78*Übersicht!$C$26,2))</f>
        <v>521.42999999999995</v>
      </c>
      <c r="X79" s="38">
        <f>IF($Y78&lt;=0,0,MIN($Y78,IF(Übersicht!$C$14="Annuitätendarlehen",MAX(0,Übersicht!$C$28-$W79),IF(Übersicht!$C$14="Ratendarlehen",Übersicht!$C$29,IF($A79&gt;=Übersicht!$C$30,$Y78,0)))))</f>
        <v>718.15</v>
      </c>
      <c r="Y79" s="38">
        <f>IF($Y78&lt;=0,0,ROUND($Y78-$X79-IF($Y78-$X79&lt;=0,0,IF(MOD($A79,Übersicht!$C$25)=0,MIN(Szenarien!$C$10,$Y78-$X79),0)),2))</f>
        <v>175647.97</v>
      </c>
      <c r="Z79" s="38">
        <f>IF($AB78&lt;=0,0,ROUND($AB78*Übersicht!$C$26,2))</f>
        <v>481.64</v>
      </c>
      <c r="AA79" s="38">
        <f>IF($AB78&lt;=0,0,MIN($AB78,IF(Übersicht!$C$14="Annuitätendarlehen",MAX(0,Übersicht!$C$28-$Z79),IF(Übersicht!$C$14="Ratendarlehen",Übersicht!$C$29,IF($A79&gt;=Übersicht!$C$30,$AB78,0)))))</f>
        <v>757.93999999999994</v>
      </c>
      <c r="AB79" s="38">
        <f>IF($AB78&lt;=0,0,ROUND($AB78-$AA79-IF($AB78-$AA79&lt;=0,0,IF(MOD($A79,Übersicht!$C$25)=0,MIN(Szenarien!$C$11,$AB78-$AA79),0)),2))</f>
        <v>159270.51999999999</v>
      </c>
      <c r="AC79" s="38">
        <f>IF($AE78&lt;=0,0,ROUND($AE78*Übersicht!$C$26,2))</f>
        <v>402.08</v>
      </c>
      <c r="AD79" s="38">
        <f>IF($AE78&lt;=0,0,MIN($AE78,IF(Übersicht!$C$14="Annuitätendarlehen",MAX(0,Übersicht!$C$28-$AC79),IF(Übersicht!$C$14="Ratendarlehen",Übersicht!$C$29,IF($A79&gt;=Übersicht!$C$30,$AE78,0)))))</f>
        <v>837.5</v>
      </c>
      <c r="AE79" s="38">
        <f>IF($AE78&lt;=0,0,ROUND($AE78-$AD79-IF($AE78-$AD79&lt;=0,0,IF(MOD($A79,Übersicht!$C$25)=0,MIN(Szenarien!$C$12,$AE78-$AD79),0)),2))</f>
        <v>126515.55</v>
      </c>
    </row>
    <row r="80" spans="1:31" ht="15" customHeight="1" x14ac:dyDescent="0.25">
      <c r="A80" s="21">
        <v>73</v>
      </c>
      <c r="B80" s="36">
        <f>IF($D80&lt;=0,"",EDATE(Übersicht!$C$18,($A80-1)*12/Übersicht!$C$25))</f>
        <v>48244</v>
      </c>
      <c r="C80" s="21">
        <f t="shared" si="7"/>
        <v>2032</v>
      </c>
      <c r="D80" s="37">
        <f t="shared" si="11"/>
        <v>175647.97</v>
      </c>
      <c r="E80" s="23">
        <f t="shared" si="8"/>
        <v>1239.58</v>
      </c>
      <c r="F80" s="23">
        <f>IF($D80&lt;=0,0,ROUND($D80*Übersicht!$C$26,2))</f>
        <v>504.99</v>
      </c>
      <c r="G80" s="23">
        <f>IF($D80&lt;=0,0,MIN($D80,IF(Übersicht!$C$14="Annuitätendarlehen",MAX(0,Übersicht!$C$28-$F80),IF(Übersicht!$C$14="Ratendarlehen",Übersicht!$C$29,IF($A80&gt;=Übersicht!$C$30,$D80,0)))))</f>
        <v>734.58999999999992</v>
      </c>
      <c r="H80" s="23">
        <f>IF($D80-$G80&lt;=0,0,IF(MOD($A80,Übersicht!$C$25)=0,MIN(Übersicht!$C$31,$D80-$G80),0))</f>
        <v>0</v>
      </c>
      <c r="I80" s="23">
        <f t="shared" si="9"/>
        <v>1239.58</v>
      </c>
      <c r="J80" s="23">
        <f t="shared" si="10"/>
        <v>174913.38</v>
      </c>
      <c r="K80" s="23">
        <f t="shared" si="12"/>
        <v>45402.720000000008</v>
      </c>
      <c r="L80" s="23">
        <f t="shared" si="13"/>
        <v>75086.62</v>
      </c>
      <c r="M80" s="24">
        <f>IF($D80&lt;=0,"",IF(Übersicht!$C$11=0,0,$L80/Übersicht!$C$11))</f>
        <v>0.30034647999999997</v>
      </c>
      <c r="N80" s="25" t="str">
        <f>IF($D80&lt;=0,"",IF($J80&lt;=0.005,"Volltilgung erreicht",IF($A80=Übersicht!$C$19*Übersicht!$C$25,"Ende der Zinsbindung",IF($H80&gt;0,"Sondertilgung verrechnet",""))))</f>
        <v/>
      </c>
      <c r="Q80" s="38">
        <f>IF($S79&lt;=0,0,ROUND($S79*Übersicht!$C$26,2))</f>
        <v>599.16</v>
      </c>
      <c r="R80" s="38">
        <f>IF($S79&lt;=0,0,MIN($S79,IF(Übersicht!$C$14="Annuitätendarlehen",MAX(0,Übersicht!$C$28-$Q80),IF(Übersicht!$C$14="Ratendarlehen",Übersicht!$C$29,IF($A80&gt;=Übersicht!$C$30,$S79,0)))))</f>
        <v>640.41999999999996</v>
      </c>
      <c r="S80" s="38">
        <f>IF($S79&lt;=0,0,ROUND($S79-$R80-IF($S79-$R80&lt;=0,0,IF(MOD($A80,Übersicht!$C$25)=0,MIN(Szenarien!$C$8,$S79-$R80),0)),2))</f>
        <v>207762.47</v>
      </c>
      <c r="T80" s="38">
        <f>IF($V79&lt;=0,0,ROUND($V79*Übersicht!$C$26,2))</f>
        <v>552.07000000000005</v>
      </c>
      <c r="U80" s="38">
        <f>IF($V79&lt;=0,0,MIN($V79,IF(Übersicht!$C$14="Annuitätendarlehen",MAX(0,Übersicht!$C$28-$T80),IF(Übersicht!$C$14="Ratendarlehen",Übersicht!$C$29,IF($A80&gt;=Übersicht!$C$30,$V79,0)))))</f>
        <v>687.50999999999988</v>
      </c>
      <c r="V80" s="38">
        <f>IF($V79&lt;=0,0,ROUND($V79-$U80-IF($V79-$U80&lt;=0,0,IF(MOD($A80,Übersicht!$C$25)=0,MIN(Szenarien!$C$9,$V79-$U80),0)),2))</f>
        <v>191337.97</v>
      </c>
      <c r="W80" s="38">
        <f>IF($Y79&lt;=0,0,ROUND($Y79*Übersicht!$C$26,2))</f>
        <v>504.99</v>
      </c>
      <c r="X80" s="38">
        <f>IF($Y79&lt;=0,0,MIN($Y79,IF(Übersicht!$C$14="Annuitätendarlehen",MAX(0,Übersicht!$C$28-$W80),IF(Übersicht!$C$14="Ratendarlehen",Übersicht!$C$29,IF($A80&gt;=Übersicht!$C$30,$Y79,0)))))</f>
        <v>734.58999999999992</v>
      </c>
      <c r="Y80" s="38">
        <f>IF($Y79&lt;=0,0,ROUND($Y79-$X80-IF($Y79-$X80&lt;=0,0,IF(MOD($A80,Übersicht!$C$25)=0,MIN(Szenarien!$C$10,$Y79-$X80),0)),2))</f>
        <v>174913.38</v>
      </c>
      <c r="Z80" s="38">
        <f>IF($AB79&lt;=0,0,ROUND($AB79*Übersicht!$C$26,2))</f>
        <v>457.9</v>
      </c>
      <c r="AA80" s="38">
        <f>IF($AB79&lt;=0,0,MIN($AB79,IF(Übersicht!$C$14="Annuitätendarlehen",MAX(0,Übersicht!$C$28-$Z80),IF(Übersicht!$C$14="Ratendarlehen",Übersicht!$C$29,IF($A80&gt;=Übersicht!$C$30,$AB79,0)))))</f>
        <v>781.68</v>
      </c>
      <c r="AB80" s="38">
        <f>IF($AB79&lt;=0,0,ROUND($AB79-$AA80-IF($AB79-$AA80&lt;=0,0,IF(MOD($A80,Übersicht!$C$25)=0,MIN(Szenarien!$C$11,$AB79-$AA80),0)),2))</f>
        <v>158488.84</v>
      </c>
      <c r="AC80" s="38">
        <f>IF($AE79&lt;=0,0,ROUND($AE79*Übersicht!$C$26,2))</f>
        <v>363.73</v>
      </c>
      <c r="AD80" s="38">
        <f>IF($AE79&lt;=0,0,MIN($AE79,IF(Übersicht!$C$14="Annuitätendarlehen",MAX(0,Übersicht!$C$28-$AC80),IF(Übersicht!$C$14="Ratendarlehen",Übersicht!$C$29,IF($A80&gt;=Übersicht!$C$30,$AE79,0)))))</f>
        <v>875.84999999999991</v>
      </c>
      <c r="AE80" s="38">
        <f>IF($AE79&lt;=0,0,ROUND($AE79-$AD80-IF($AE79-$AD80&lt;=0,0,IF(MOD($A80,Übersicht!$C$25)=0,MIN(Szenarien!$C$12,$AE79-$AD80),0)),2))</f>
        <v>125639.7</v>
      </c>
    </row>
    <row r="81" spans="1:31" ht="15" customHeight="1" x14ac:dyDescent="0.25">
      <c r="A81" s="26">
        <v>74</v>
      </c>
      <c r="B81" s="39">
        <f>IF($D81&lt;=0,"",EDATE(Übersicht!$C$18,($A81-1)*12/Übersicht!$C$25))</f>
        <v>48273</v>
      </c>
      <c r="C81" s="26">
        <f t="shared" si="7"/>
        <v>2032</v>
      </c>
      <c r="D81" s="40">
        <f t="shared" si="11"/>
        <v>174913.38</v>
      </c>
      <c r="E81" s="28">
        <f t="shared" si="8"/>
        <v>1239.58</v>
      </c>
      <c r="F81" s="28">
        <f>IF($D81&lt;=0,0,ROUND($D81*Übersicht!$C$26,2))</f>
        <v>502.88</v>
      </c>
      <c r="G81" s="28">
        <f>IF($D81&lt;=0,0,MIN($D81,IF(Übersicht!$C$14="Annuitätendarlehen",MAX(0,Übersicht!$C$28-$F81),IF(Übersicht!$C$14="Ratendarlehen",Übersicht!$C$29,IF($A81&gt;=Übersicht!$C$30,$D81,0)))))</f>
        <v>736.69999999999993</v>
      </c>
      <c r="H81" s="28">
        <f>IF($D81-$G81&lt;=0,0,IF(MOD($A81,Übersicht!$C$25)=0,MIN(Übersicht!$C$31,$D81-$G81),0))</f>
        <v>0</v>
      </c>
      <c r="I81" s="28">
        <f t="shared" si="9"/>
        <v>1239.58</v>
      </c>
      <c r="J81" s="28">
        <f t="shared" si="10"/>
        <v>174176.68</v>
      </c>
      <c r="K81" s="28">
        <f t="shared" si="12"/>
        <v>45905.600000000006</v>
      </c>
      <c r="L81" s="28">
        <f t="shared" si="13"/>
        <v>75823.320000000007</v>
      </c>
      <c r="M81" s="29">
        <f>IF($D81&lt;=0,"",IF(Übersicht!$C$11=0,0,$L81/Übersicht!$C$11))</f>
        <v>0.30329328000000005</v>
      </c>
      <c r="N81" s="30" t="str">
        <f>IF($D81&lt;=0,"",IF($J81&lt;=0.005,"Volltilgung erreicht",IF($A81=Übersicht!$C$19*Übersicht!$C$25,"Ende der Zinsbindung",IF($H81&gt;0,"Sondertilgung verrechnet",""))))</f>
        <v/>
      </c>
      <c r="Q81" s="38">
        <f>IF($S80&lt;=0,0,ROUND($S80*Übersicht!$C$26,2))</f>
        <v>597.32000000000005</v>
      </c>
      <c r="R81" s="38">
        <f>IF($S80&lt;=0,0,MIN($S80,IF(Übersicht!$C$14="Annuitätendarlehen",MAX(0,Übersicht!$C$28-$Q81),IF(Übersicht!$C$14="Ratendarlehen",Übersicht!$C$29,IF($A81&gt;=Übersicht!$C$30,$S80,0)))))</f>
        <v>642.25999999999988</v>
      </c>
      <c r="S81" s="38">
        <f>IF($S80&lt;=0,0,ROUND($S80-$R81-IF($S80-$R81&lt;=0,0,IF(MOD($A81,Übersicht!$C$25)=0,MIN(Szenarien!$C$8,$S80-$R81),0)),2))</f>
        <v>207120.21</v>
      </c>
      <c r="T81" s="38">
        <f>IF($V80&lt;=0,0,ROUND($V80*Übersicht!$C$26,2))</f>
        <v>550.1</v>
      </c>
      <c r="U81" s="38">
        <f>IF($V80&lt;=0,0,MIN($V80,IF(Übersicht!$C$14="Annuitätendarlehen",MAX(0,Übersicht!$C$28-$T81),IF(Übersicht!$C$14="Ratendarlehen",Übersicht!$C$29,IF($A81&gt;=Übersicht!$C$30,$V80,0)))))</f>
        <v>689.4799999999999</v>
      </c>
      <c r="V81" s="38">
        <f>IF($V80&lt;=0,0,ROUND($V80-$U81-IF($V80-$U81&lt;=0,0,IF(MOD($A81,Übersicht!$C$25)=0,MIN(Szenarien!$C$9,$V80-$U81),0)),2))</f>
        <v>190648.49</v>
      </c>
      <c r="W81" s="38">
        <f>IF($Y80&lt;=0,0,ROUND($Y80*Übersicht!$C$26,2))</f>
        <v>502.88</v>
      </c>
      <c r="X81" s="38">
        <f>IF($Y80&lt;=0,0,MIN($Y80,IF(Übersicht!$C$14="Annuitätendarlehen",MAX(0,Übersicht!$C$28-$W81),IF(Übersicht!$C$14="Ratendarlehen",Übersicht!$C$29,IF($A81&gt;=Übersicht!$C$30,$Y80,0)))))</f>
        <v>736.69999999999993</v>
      </c>
      <c r="Y81" s="38">
        <f>IF($Y80&lt;=0,0,ROUND($Y80-$X81-IF($Y80-$X81&lt;=0,0,IF(MOD($A81,Übersicht!$C$25)=0,MIN(Szenarien!$C$10,$Y80-$X81),0)),2))</f>
        <v>174176.68</v>
      </c>
      <c r="Z81" s="38">
        <f>IF($AB80&lt;=0,0,ROUND($AB80*Übersicht!$C$26,2))</f>
        <v>455.66</v>
      </c>
      <c r="AA81" s="38">
        <f>IF($AB80&lt;=0,0,MIN($AB80,IF(Übersicht!$C$14="Annuitätendarlehen",MAX(0,Übersicht!$C$28-$Z81),IF(Übersicht!$C$14="Ratendarlehen",Übersicht!$C$29,IF($A81&gt;=Übersicht!$C$30,$AB80,0)))))</f>
        <v>783.91999999999985</v>
      </c>
      <c r="AB81" s="38">
        <f>IF($AB80&lt;=0,0,ROUND($AB80-$AA81-IF($AB80-$AA81&lt;=0,0,IF(MOD($A81,Übersicht!$C$25)=0,MIN(Szenarien!$C$11,$AB80-$AA81),0)),2))</f>
        <v>157704.92000000001</v>
      </c>
      <c r="AC81" s="38">
        <f>IF($AE80&lt;=0,0,ROUND($AE80*Übersicht!$C$26,2))</f>
        <v>361.21</v>
      </c>
      <c r="AD81" s="38">
        <f>IF($AE80&lt;=0,0,MIN($AE80,IF(Übersicht!$C$14="Annuitätendarlehen",MAX(0,Übersicht!$C$28-$AC81),IF(Übersicht!$C$14="Ratendarlehen",Übersicht!$C$29,IF($A81&gt;=Übersicht!$C$30,$AE80,0)))))</f>
        <v>878.36999999999989</v>
      </c>
      <c r="AE81" s="38">
        <f>IF($AE80&lt;=0,0,ROUND($AE80-$AD81-IF($AE80-$AD81&lt;=0,0,IF(MOD($A81,Übersicht!$C$25)=0,MIN(Szenarien!$C$12,$AE80-$AD81),0)),2))</f>
        <v>124761.33</v>
      </c>
    </row>
    <row r="82" spans="1:31" ht="15" customHeight="1" x14ac:dyDescent="0.25">
      <c r="A82" s="21">
        <v>75</v>
      </c>
      <c r="B82" s="36">
        <f>IF($D82&lt;=0,"",EDATE(Übersicht!$C$18,($A82-1)*12/Übersicht!$C$25))</f>
        <v>48304</v>
      </c>
      <c r="C82" s="21">
        <f t="shared" si="7"/>
        <v>2032</v>
      </c>
      <c r="D82" s="37">
        <f t="shared" si="11"/>
        <v>174176.68</v>
      </c>
      <c r="E82" s="23">
        <f t="shared" si="8"/>
        <v>1239.58</v>
      </c>
      <c r="F82" s="23">
        <f>IF($D82&lt;=0,0,ROUND($D82*Übersicht!$C$26,2))</f>
        <v>500.76</v>
      </c>
      <c r="G82" s="23">
        <f>IF($D82&lt;=0,0,MIN($D82,IF(Übersicht!$C$14="Annuitätendarlehen",MAX(0,Übersicht!$C$28-$F82),IF(Übersicht!$C$14="Ratendarlehen",Übersicht!$C$29,IF($A82&gt;=Übersicht!$C$30,$D82,0)))))</f>
        <v>738.81999999999994</v>
      </c>
      <c r="H82" s="23">
        <f>IF($D82-$G82&lt;=0,0,IF(MOD($A82,Übersicht!$C$25)=0,MIN(Übersicht!$C$31,$D82-$G82),0))</f>
        <v>0</v>
      </c>
      <c r="I82" s="23">
        <f t="shared" si="9"/>
        <v>1239.58</v>
      </c>
      <c r="J82" s="23">
        <f t="shared" si="10"/>
        <v>173437.86</v>
      </c>
      <c r="K82" s="23">
        <f t="shared" si="12"/>
        <v>46406.360000000008</v>
      </c>
      <c r="L82" s="23">
        <f t="shared" si="13"/>
        <v>76562.14</v>
      </c>
      <c r="M82" s="24">
        <f>IF($D82&lt;=0,"",IF(Übersicht!$C$11=0,0,$L82/Übersicht!$C$11))</f>
        <v>0.30624856</v>
      </c>
      <c r="N82" s="25" t="str">
        <f>IF($D82&lt;=0,"",IF($J82&lt;=0.005,"Volltilgung erreicht",IF($A82=Übersicht!$C$19*Übersicht!$C$25,"Ende der Zinsbindung",IF($H82&gt;0,"Sondertilgung verrechnet",""))))</f>
        <v/>
      </c>
      <c r="Q82" s="38">
        <f>IF($S81&lt;=0,0,ROUND($S81*Übersicht!$C$26,2))</f>
        <v>595.47</v>
      </c>
      <c r="R82" s="38">
        <f>IF($S81&lt;=0,0,MIN($S81,IF(Übersicht!$C$14="Annuitätendarlehen",MAX(0,Übersicht!$C$28-$Q82),IF(Übersicht!$C$14="Ratendarlehen",Übersicht!$C$29,IF($A82&gt;=Übersicht!$C$30,$S81,0)))))</f>
        <v>644.1099999999999</v>
      </c>
      <c r="S82" s="38">
        <f>IF($S81&lt;=0,0,ROUND($S81-$R82-IF($S81-$R82&lt;=0,0,IF(MOD($A82,Übersicht!$C$25)=0,MIN(Szenarien!$C$8,$S81-$R82),0)),2))</f>
        <v>206476.1</v>
      </c>
      <c r="T82" s="38">
        <f>IF($V81&lt;=0,0,ROUND($V81*Übersicht!$C$26,2))</f>
        <v>548.11</v>
      </c>
      <c r="U82" s="38">
        <f>IF($V81&lt;=0,0,MIN($V81,IF(Übersicht!$C$14="Annuitätendarlehen",MAX(0,Übersicht!$C$28-$T82),IF(Übersicht!$C$14="Ratendarlehen",Übersicht!$C$29,IF($A82&gt;=Übersicht!$C$30,$V81,0)))))</f>
        <v>691.46999999999991</v>
      </c>
      <c r="V82" s="38">
        <f>IF($V81&lt;=0,0,ROUND($V81-$U82-IF($V81-$U82&lt;=0,0,IF(MOD($A82,Übersicht!$C$25)=0,MIN(Szenarien!$C$9,$V81-$U82),0)),2))</f>
        <v>189957.02</v>
      </c>
      <c r="W82" s="38">
        <f>IF($Y81&lt;=0,0,ROUND($Y81*Übersicht!$C$26,2))</f>
        <v>500.76</v>
      </c>
      <c r="X82" s="38">
        <f>IF($Y81&lt;=0,0,MIN($Y81,IF(Übersicht!$C$14="Annuitätendarlehen",MAX(0,Übersicht!$C$28-$W82),IF(Übersicht!$C$14="Ratendarlehen",Übersicht!$C$29,IF($A82&gt;=Übersicht!$C$30,$Y81,0)))))</f>
        <v>738.81999999999994</v>
      </c>
      <c r="Y82" s="38">
        <f>IF($Y81&lt;=0,0,ROUND($Y81-$X82-IF($Y81-$X82&lt;=0,0,IF(MOD($A82,Übersicht!$C$25)=0,MIN(Szenarien!$C$10,$Y81-$X82),0)),2))</f>
        <v>173437.86</v>
      </c>
      <c r="Z82" s="38">
        <f>IF($AB81&lt;=0,0,ROUND($AB81*Übersicht!$C$26,2))</f>
        <v>453.4</v>
      </c>
      <c r="AA82" s="38">
        <f>IF($AB81&lt;=0,0,MIN($AB81,IF(Übersicht!$C$14="Annuitätendarlehen",MAX(0,Übersicht!$C$28-$Z82),IF(Übersicht!$C$14="Ratendarlehen",Übersicht!$C$29,IF($A82&gt;=Übersicht!$C$30,$AB81,0)))))</f>
        <v>786.18</v>
      </c>
      <c r="AB82" s="38">
        <f>IF($AB81&lt;=0,0,ROUND($AB81-$AA82-IF($AB81-$AA82&lt;=0,0,IF(MOD($A82,Übersicht!$C$25)=0,MIN(Szenarien!$C$11,$AB81-$AA82),0)),2))</f>
        <v>156918.74</v>
      </c>
      <c r="AC82" s="38">
        <f>IF($AE81&lt;=0,0,ROUND($AE81*Übersicht!$C$26,2))</f>
        <v>358.69</v>
      </c>
      <c r="AD82" s="38">
        <f>IF($AE81&lt;=0,0,MIN($AE81,IF(Übersicht!$C$14="Annuitätendarlehen",MAX(0,Übersicht!$C$28-$AC82),IF(Übersicht!$C$14="Ratendarlehen",Übersicht!$C$29,IF($A82&gt;=Übersicht!$C$30,$AE81,0)))))</f>
        <v>880.88999999999987</v>
      </c>
      <c r="AE82" s="38">
        <f>IF($AE81&lt;=0,0,ROUND($AE81-$AD82-IF($AE81-$AD82&lt;=0,0,IF(MOD($A82,Übersicht!$C$25)=0,MIN(Szenarien!$C$12,$AE81-$AD82),0)),2))</f>
        <v>123880.44</v>
      </c>
    </row>
    <row r="83" spans="1:31" ht="15" customHeight="1" x14ac:dyDescent="0.25">
      <c r="A83" s="26">
        <v>76</v>
      </c>
      <c r="B83" s="39">
        <f>IF($D83&lt;=0,"",EDATE(Übersicht!$C$18,($A83-1)*12/Übersicht!$C$25))</f>
        <v>48334</v>
      </c>
      <c r="C83" s="26">
        <f t="shared" si="7"/>
        <v>2032</v>
      </c>
      <c r="D83" s="40">
        <f t="shared" si="11"/>
        <v>173437.86</v>
      </c>
      <c r="E83" s="28">
        <f t="shared" si="8"/>
        <v>1239.58</v>
      </c>
      <c r="F83" s="28">
        <f>IF($D83&lt;=0,0,ROUND($D83*Übersicht!$C$26,2))</f>
        <v>498.63</v>
      </c>
      <c r="G83" s="28">
        <f>IF($D83&lt;=0,0,MIN($D83,IF(Übersicht!$C$14="Annuitätendarlehen",MAX(0,Übersicht!$C$28-$F83),IF(Übersicht!$C$14="Ratendarlehen",Übersicht!$C$29,IF($A83&gt;=Übersicht!$C$30,$D83,0)))))</f>
        <v>740.94999999999993</v>
      </c>
      <c r="H83" s="28">
        <f>IF($D83-$G83&lt;=0,0,IF(MOD($A83,Übersicht!$C$25)=0,MIN(Übersicht!$C$31,$D83-$G83),0))</f>
        <v>0</v>
      </c>
      <c r="I83" s="28">
        <f t="shared" si="9"/>
        <v>1239.58</v>
      </c>
      <c r="J83" s="28">
        <f t="shared" si="10"/>
        <v>172696.91</v>
      </c>
      <c r="K83" s="28">
        <f t="shared" si="12"/>
        <v>46904.990000000005</v>
      </c>
      <c r="L83" s="28">
        <f t="shared" si="13"/>
        <v>77303.09</v>
      </c>
      <c r="M83" s="29">
        <f>IF($D83&lt;=0,"",IF(Übersicht!$C$11=0,0,$L83/Übersicht!$C$11))</f>
        <v>0.30921235999999996</v>
      </c>
      <c r="N83" s="30" t="str">
        <f>IF($D83&lt;=0,"",IF($J83&lt;=0.005,"Volltilgung erreicht",IF($A83=Übersicht!$C$19*Übersicht!$C$25,"Ende der Zinsbindung",IF($H83&gt;0,"Sondertilgung verrechnet",""))))</f>
        <v/>
      </c>
      <c r="Q83" s="38">
        <f>IF($S82&lt;=0,0,ROUND($S82*Übersicht!$C$26,2))</f>
        <v>593.62</v>
      </c>
      <c r="R83" s="38">
        <f>IF($S82&lt;=0,0,MIN($S82,IF(Übersicht!$C$14="Annuitätendarlehen",MAX(0,Übersicht!$C$28-$Q83),IF(Übersicht!$C$14="Ratendarlehen",Übersicht!$C$29,IF($A83&gt;=Übersicht!$C$30,$S82,0)))))</f>
        <v>645.95999999999992</v>
      </c>
      <c r="S83" s="38">
        <f>IF($S82&lt;=0,0,ROUND($S82-$R83-IF($S82-$R83&lt;=0,0,IF(MOD($A83,Übersicht!$C$25)=0,MIN(Szenarien!$C$8,$S82-$R83),0)),2))</f>
        <v>205830.14</v>
      </c>
      <c r="T83" s="38">
        <f>IF($V82&lt;=0,0,ROUND($V82*Übersicht!$C$26,2))</f>
        <v>546.13</v>
      </c>
      <c r="U83" s="38">
        <f>IF($V82&lt;=0,0,MIN($V82,IF(Übersicht!$C$14="Annuitätendarlehen",MAX(0,Übersicht!$C$28-$T83),IF(Übersicht!$C$14="Ratendarlehen",Übersicht!$C$29,IF($A83&gt;=Übersicht!$C$30,$V82,0)))))</f>
        <v>693.44999999999993</v>
      </c>
      <c r="V83" s="38">
        <f>IF($V82&lt;=0,0,ROUND($V82-$U83-IF($V82-$U83&lt;=0,0,IF(MOD($A83,Übersicht!$C$25)=0,MIN(Szenarien!$C$9,$V82-$U83),0)),2))</f>
        <v>189263.57</v>
      </c>
      <c r="W83" s="38">
        <f>IF($Y82&lt;=0,0,ROUND($Y82*Übersicht!$C$26,2))</f>
        <v>498.63</v>
      </c>
      <c r="X83" s="38">
        <f>IF($Y82&lt;=0,0,MIN($Y82,IF(Übersicht!$C$14="Annuitätendarlehen",MAX(0,Übersicht!$C$28-$W83),IF(Übersicht!$C$14="Ratendarlehen",Übersicht!$C$29,IF($A83&gt;=Übersicht!$C$30,$Y82,0)))))</f>
        <v>740.94999999999993</v>
      </c>
      <c r="Y83" s="38">
        <f>IF($Y82&lt;=0,0,ROUND($Y82-$X83-IF($Y82-$X83&lt;=0,0,IF(MOD($A83,Übersicht!$C$25)=0,MIN(Szenarien!$C$10,$Y82-$X83),0)),2))</f>
        <v>172696.91</v>
      </c>
      <c r="Z83" s="38">
        <f>IF($AB82&lt;=0,0,ROUND($AB82*Übersicht!$C$26,2))</f>
        <v>451.14</v>
      </c>
      <c r="AA83" s="38">
        <f>IF($AB82&lt;=0,0,MIN($AB82,IF(Übersicht!$C$14="Annuitätendarlehen",MAX(0,Übersicht!$C$28-$Z83),IF(Übersicht!$C$14="Ratendarlehen",Übersicht!$C$29,IF($A83&gt;=Übersicht!$C$30,$AB82,0)))))</f>
        <v>788.43999999999994</v>
      </c>
      <c r="AB83" s="38">
        <f>IF($AB82&lt;=0,0,ROUND($AB82-$AA83-IF($AB82-$AA83&lt;=0,0,IF(MOD($A83,Übersicht!$C$25)=0,MIN(Szenarien!$C$11,$AB82-$AA83),0)),2))</f>
        <v>156130.29999999999</v>
      </c>
      <c r="AC83" s="38">
        <f>IF($AE82&lt;=0,0,ROUND($AE82*Übersicht!$C$26,2))</f>
        <v>356.16</v>
      </c>
      <c r="AD83" s="38">
        <f>IF($AE82&lt;=0,0,MIN($AE82,IF(Übersicht!$C$14="Annuitätendarlehen",MAX(0,Übersicht!$C$28-$AC83),IF(Übersicht!$C$14="Ratendarlehen",Übersicht!$C$29,IF($A83&gt;=Übersicht!$C$30,$AE82,0)))))</f>
        <v>883.41999999999985</v>
      </c>
      <c r="AE83" s="38">
        <f>IF($AE82&lt;=0,0,ROUND($AE82-$AD83-IF($AE82-$AD83&lt;=0,0,IF(MOD($A83,Übersicht!$C$25)=0,MIN(Szenarien!$C$12,$AE82-$AD83),0)),2))</f>
        <v>122997.02</v>
      </c>
    </row>
    <row r="84" spans="1:31" ht="15" customHeight="1" x14ac:dyDescent="0.25">
      <c r="A84" s="21">
        <v>77</v>
      </c>
      <c r="B84" s="36">
        <f>IF($D84&lt;=0,"",EDATE(Übersicht!$C$18,($A84-1)*12/Übersicht!$C$25))</f>
        <v>48365</v>
      </c>
      <c r="C84" s="21">
        <f t="shared" si="7"/>
        <v>2032</v>
      </c>
      <c r="D84" s="37">
        <f t="shared" si="11"/>
        <v>172696.91</v>
      </c>
      <c r="E84" s="23">
        <f t="shared" si="8"/>
        <v>1239.58</v>
      </c>
      <c r="F84" s="23">
        <f>IF($D84&lt;=0,0,ROUND($D84*Übersicht!$C$26,2))</f>
        <v>496.5</v>
      </c>
      <c r="G84" s="23">
        <f>IF($D84&lt;=0,0,MIN($D84,IF(Übersicht!$C$14="Annuitätendarlehen",MAX(0,Übersicht!$C$28-$F84),IF(Übersicht!$C$14="Ratendarlehen",Übersicht!$C$29,IF($A84&gt;=Übersicht!$C$30,$D84,0)))))</f>
        <v>743.07999999999993</v>
      </c>
      <c r="H84" s="23">
        <f>IF($D84-$G84&lt;=0,0,IF(MOD($A84,Übersicht!$C$25)=0,MIN(Übersicht!$C$31,$D84-$G84),0))</f>
        <v>0</v>
      </c>
      <c r="I84" s="23">
        <f t="shared" si="9"/>
        <v>1239.58</v>
      </c>
      <c r="J84" s="23">
        <f t="shared" si="10"/>
        <v>171953.83</v>
      </c>
      <c r="K84" s="23">
        <f t="shared" si="12"/>
        <v>47401.490000000005</v>
      </c>
      <c r="L84" s="23">
        <f t="shared" si="13"/>
        <v>78046.17</v>
      </c>
      <c r="M84" s="24">
        <f>IF($D84&lt;=0,"",IF(Übersicht!$C$11=0,0,$L84/Übersicht!$C$11))</f>
        <v>0.31218467999999999</v>
      </c>
      <c r="N84" s="25" t="str">
        <f>IF($D84&lt;=0,"",IF($J84&lt;=0.005,"Volltilgung erreicht",IF($A84=Übersicht!$C$19*Übersicht!$C$25,"Ende der Zinsbindung",IF($H84&gt;0,"Sondertilgung verrechnet",""))))</f>
        <v/>
      </c>
      <c r="Q84" s="38">
        <f>IF($S83&lt;=0,0,ROUND($S83*Übersicht!$C$26,2))</f>
        <v>591.76</v>
      </c>
      <c r="R84" s="38">
        <f>IF($S83&lt;=0,0,MIN($S83,IF(Übersicht!$C$14="Annuitätendarlehen",MAX(0,Übersicht!$C$28-$Q84),IF(Übersicht!$C$14="Ratendarlehen",Übersicht!$C$29,IF($A84&gt;=Übersicht!$C$30,$S83,0)))))</f>
        <v>647.81999999999994</v>
      </c>
      <c r="S84" s="38">
        <f>IF($S83&lt;=0,0,ROUND($S83-$R84-IF($S83-$R84&lt;=0,0,IF(MOD($A84,Übersicht!$C$25)=0,MIN(Szenarien!$C$8,$S83-$R84),0)),2))</f>
        <v>205182.32</v>
      </c>
      <c r="T84" s="38">
        <f>IF($V83&lt;=0,0,ROUND($V83*Übersicht!$C$26,2))</f>
        <v>544.13</v>
      </c>
      <c r="U84" s="38">
        <f>IF($V83&lt;=0,0,MIN($V83,IF(Übersicht!$C$14="Annuitätendarlehen",MAX(0,Übersicht!$C$28-$T84),IF(Übersicht!$C$14="Ratendarlehen",Übersicht!$C$29,IF($A84&gt;=Übersicht!$C$30,$V83,0)))))</f>
        <v>695.44999999999993</v>
      </c>
      <c r="V84" s="38">
        <f>IF($V83&lt;=0,0,ROUND($V83-$U84-IF($V83-$U84&lt;=0,0,IF(MOD($A84,Übersicht!$C$25)=0,MIN(Szenarien!$C$9,$V83-$U84),0)),2))</f>
        <v>188568.12</v>
      </c>
      <c r="W84" s="38">
        <f>IF($Y83&lt;=0,0,ROUND($Y83*Übersicht!$C$26,2))</f>
        <v>496.5</v>
      </c>
      <c r="X84" s="38">
        <f>IF($Y83&lt;=0,0,MIN($Y83,IF(Übersicht!$C$14="Annuitätendarlehen",MAX(0,Übersicht!$C$28-$W84),IF(Übersicht!$C$14="Ratendarlehen",Übersicht!$C$29,IF($A84&gt;=Übersicht!$C$30,$Y83,0)))))</f>
        <v>743.07999999999993</v>
      </c>
      <c r="Y84" s="38">
        <f>IF($Y83&lt;=0,0,ROUND($Y83-$X84-IF($Y83-$X84&lt;=0,0,IF(MOD($A84,Übersicht!$C$25)=0,MIN(Szenarien!$C$10,$Y83-$X84),0)),2))</f>
        <v>171953.83</v>
      </c>
      <c r="Z84" s="38">
        <f>IF($AB83&lt;=0,0,ROUND($AB83*Übersicht!$C$26,2))</f>
        <v>448.87</v>
      </c>
      <c r="AA84" s="38">
        <f>IF($AB83&lt;=0,0,MIN($AB83,IF(Übersicht!$C$14="Annuitätendarlehen",MAX(0,Übersicht!$C$28-$Z84),IF(Übersicht!$C$14="Ratendarlehen",Übersicht!$C$29,IF($A84&gt;=Übersicht!$C$30,$AB83,0)))))</f>
        <v>790.70999999999992</v>
      </c>
      <c r="AB84" s="38">
        <f>IF($AB83&lt;=0,0,ROUND($AB83-$AA84-IF($AB83-$AA84&lt;=0,0,IF(MOD($A84,Übersicht!$C$25)=0,MIN(Szenarien!$C$11,$AB83-$AA84),0)),2))</f>
        <v>155339.59</v>
      </c>
      <c r="AC84" s="38">
        <f>IF($AE83&lt;=0,0,ROUND($AE83*Übersicht!$C$26,2))</f>
        <v>353.62</v>
      </c>
      <c r="AD84" s="38">
        <f>IF($AE83&lt;=0,0,MIN($AE83,IF(Übersicht!$C$14="Annuitätendarlehen",MAX(0,Übersicht!$C$28-$AC84),IF(Übersicht!$C$14="Ratendarlehen",Übersicht!$C$29,IF($A84&gt;=Übersicht!$C$30,$AE83,0)))))</f>
        <v>885.95999999999992</v>
      </c>
      <c r="AE84" s="38">
        <f>IF($AE83&lt;=0,0,ROUND($AE83-$AD84-IF($AE83-$AD84&lt;=0,0,IF(MOD($A84,Übersicht!$C$25)=0,MIN(Szenarien!$C$12,$AE83-$AD84),0)),2))</f>
        <v>122111.06</v>
      </c>
    </row>
    <row r="85" spans="1:31" ht="15" customHeight="1" x14ac:dyDescent="0.25">
      <c r="A85" s="26">
        <v>78</v>
      </c>
      <c r="B85" s="39">
        <f>IF($D85&lt;=0,"",EDATE(Übersicht!$C$18,($A85-1)*12/Übersicht!$C$25))</f>
        <v>48395</v>
      </c>
      <c r="C85" s="26">
        <f t="shared" si="7"/>
        <v>2032</v>
      </c>
      <c r="D85" s="40">
        <f t="shared" si="11"/>
        <v>171953.83</v>
      </c>
      <c r="E85" s="28">
        <f t="shared" si="8"/>
        <v>1239.58</v>
      </c>
      <c r="F85" s="28">
        <f>IF($D85&lt;=0,0,ROUND($D85*Übersicht!$C$26,2))</f>
        <v>494.37</v>
      </c>
      <c r="G85" s="28">
        <f>IF($D85&lt;=0,0,MIN($D85,IF(Übersicht!$C$14="Annuitätendarlehen",MAX(0,Übersicht!$C$28-$F85),IF(Übersicht!$C$14="Ratendarlehen",Übersicht!$C$29,IF($A85&gt;=Übersicht!$C$30,$D85,0)))))</f>
        <v>745.20999999999992</v>
      </c>
      <c r="H85" s="28">
        <f>IF($D85-$G85&lt;=0,0,IF(MOD($A85,Übersicht!$C$25)=0,MIN(Übersicht!$C$31,$D85-$G85),0))</f>
        <v>0</v>
      </c>
      <c r="I85" s="28">
        <f t="shared" si="9"/>
        <v>1239.58</v>
      </c>
      <c r="J85" s="28">
        <f t="shared" si="10"/>
        <v>171208.62</v>
      </c>
      <c r="K85" s="28">
        <f t="shared" si="12"/>
        <v>47895.860000000008</v>
      </c>
      <c r="L85" s="28">
        <f t="shared" si="13"/>
        <v>78791.38</v>
      </c>
      <c r="M85" s="29">
        <f>IF($D85&lt;=0,"",IF(Übersicht!$C$11=0,0,$L85/Übersicht!$C$11))</f>
        <v>0.31516552000000003</v>
      </c>
      <c r="N85" s="30" t="str">
        <f>IF($D85&lt;=0,"",IF($J85&lt;=0.005,"Volltilgung erreicht",IF($A85=Übersicht!$C$19*Übersicht!$C$25,"Ende der Zinsbindung",IF($H85&gt;0,"Sondertilgung verrechnet",""))))</f>
        <v/>
      </c>
      <c r="Q85" s="38">
        <f>IF($S84&lt;=0,0,ROUND($S84*Übersicht!$C$26,2))</f>
        <v>589.9</v>
      </c>
      <c r="R85" s="38">
        <f>IF($S84&lt;=0,0,MIN($S84,IF(Übersicht!$C$14="Annuitätendarlehen",MAX(0,Übersicht!$C$28-$Q85),IF(Übersicht!$C$14="Ratendarlehen",Übersicht!$C$29,IF($A85&gt;=Übersicht!$C$30,$S84,0)))))</f>
        <v>649.67999999999995</v>
      </c>
      <c r="S85" s="38">
        <f>IF($S84&lt;=0,0,ROUND($S84-$R85-IF($S84-$R85&lt;=0,0,IF(MOD($A85,Übersicht!$C$25)=0,MIN(Szenarien!$C$8,$S84-$R85),0)),2))</f>
        <v>204532.64</v>
      </c>
      <c r="T85" s="38">
        <f>IF($V84&lt;=0,0,ROUND($V84*Übersicht!$C$26,2))</f>
        <v>542.13</v>
      </c>
      <c r="U85" s="38">
        <f>IF($V84&lt;=0,0,MIN($V84,IF(Übersicht!$C$14="Annuitätendarlehen",MAX(0,Übersicht!$C$28-$T85),IF(Übersicht!$C$14="Ratendarlehen",Übersicht!$C$29,IF($A85&gt;=Übersicht!$C$30,$V84,0)))))</f>
        <v>697.44999999999993</v>
      </c>
      <c r="V85" s="38">
        <f>IF($V84&lt;=0,0,ROUND($V84-$U85-IF($V84-$U85&lt;=0,0,IF(MOD($A85,Übersicht!$C$25)=0,MIN(Szenarien!$C$9,$V84-$U85),0)),2))</f>
        <v>187870.67</v>
      </c>
      <c r="W85" s="38">
        <f>IF($Y84&lt;=0,0,ROUND($Y84*Übersicht!$C$26,2))</f>
        <v>494.37</v>
      </c>
      <c r="X85" s="38">
        <f>IF($Y84&lt;=0,0,MIN($Y84,IF(Übersicht!$C$14="Annuitätendarlehen",MAX(0,Übersicht!$C$28-$W85),IF(Übersicht!$C$14="Ratendarlehen",Übersicht!$C$29,IF($A85&gt;=Übersicht!$C$30,$Y84,0)))))</f>
        <v>745.20999999999992</v>
      </c>
      <c r="Y85" s="38">
        <f>IF($Y84&lt;=0,0,ROUND($Y84-$X85-IF($Y84-$X85&lt;=0,0,IF(MOD($A85,Übersicht!$C$25)=0,MIN(Szenarien!$C$10,$Y84-$X85),0)),2))</f>
        <v>171208.62</v>
      </c>
      <c r="Z85" s="38">
        <f>IF($AB84&lt;=0,0,ROUND($AB84*Übersicht!$C$26,2))</f>
        <v>446.6</v>
      </c>
      <c r="AA85" s="38">
        <f>IF($AB84&lt;=0,0,MIN($AB84,IF(Übersicht!$C$14="Annuitätendarlehen",MAX(0,Übersicht!$C$28-$Z85),IF(Übersicht!$C$14="Ratendarlehen",Übersicht!$C$29,IF($A85&gt;=Übersicht!$C$30,$AB84,0)))))</f>
        <v>792.9799999999999</v>
      </c>
      <c r="AB85" s="38">
        <f>IF($AB84&lt;=0,0,ROUND($AB84-$AA85-IF($AB84-$AA85&lt;=0,0,IF(MOD($A85,Übersicht!$C$25)=0,MIN(Szenarien!$C$11,$AB84-$AA85),0)),2))</f>
        <v>154546.60999999999</v>
      </c>
      <c r="AC85" s="38">
        <f>IF($AE84&lt;=0,0,ROUND($AE84*Übersicht!$C$26,2))</f>
        <v>351.07</v>
      </c>
      <c r="AD85" s="38">
        <f>IF($AE84&lt;=0,0,MIN($AE84,IF(Übersicht!$C$14="Annuitätendarlehen",MAX(0,Übersicht!$C$28-$AC85),IF(Übersicht!$C$14="Ratendarlehen",Übersicht!$C$29,IF($A85&gt;=Übersicht!$C$30,$AE84,0)))))</f>
        <v>888.51</v>
      </c>
      <c r="AE85" s="38">
        <f>IF($AE84&lt;=0,0,ROUND($AE84-$AD85-IF($AE84-$AD85&lt;=0,0,IF(MOD($A85,Übersicht!$C$25)=0,MIN(Szenarien!$C$12,$AE84-$AD85),0)),2))</f>
        <v>121222.55</v>
      </c>
    </row>
    <row r="86" spans="1:31" ht="15" customHeight="1" x14ac:dyDescent="0.25">
      <c r="A86" s="21">
        <v>79</v>
      </c>
      <c r="B86" s="36">
        <f>IF($D86&lt;=0,"",EDATE(Übersicht!$C$18,($A86-1)*12/Übersicht!$C$25))</f>
        <v>48426</v>
      </c>
      <c r="C86" s="21">
        <f t="shared" si="7"/>
        <v>2032</v>
      </c>
      <c r="D86" s="37">
        <f t="shared" si="11"/>
        <v>171208.62</v>
      </c>
      <c r="E86" s="23">
        <f t="shared" si="8"/>
        <v>1239.58</v>
      </c>
      <c r="F86" s="23">
        <f>IF($D86&lt;=0,0,ROUND($D86*Übersicht!$C$26,2))</f>
        <v>492.22</v>
      </c>
      <c r="G86" s="23">
        <f>IF($D86&lt;=0,0,MIN($D86,IF(Übersicht!$C$14="Annuitätendarlehen",MAX(0,Übersicht!$C$28-$F86),IF(Übersicht!$C$14="Ratendarlehen",Übersicht!$C$29,IF($A86&gt;=Übersicht!$C$30,$D86,0)))))</f>
        <v>747.3599999999999</v>
      </c>
      <c r="H86" s="23">
        <f>IF($D86-$G86&lt;=0,0,IF(MOD($A86,Übersicht!$C$25)=0,MIN(Übersicht!$C$31,$D86-$G86),0))</f>
        <v>0</v>
      </c>
      <c r="I86" s="23">
        <f t="shared" si="9"/>
        <v>1239.58</v>
      </c>
      <c r="J86" s="23">
        <f t="shared" si="10"/>
        <v>170461.26</v>
      </c>
      <c r="K86" s="23">
        <f t="shared" si="12"/>
        <v>48388.080000000009</v>
      </c>
      <c r="L86" s="23">
        <f t="shared" si="13"/>
        <v>79538.740000000005</v>
      </c>
      <c r="M86" s="24">
        <f>IF($D86&lt;=0,"",IF(Übersicht!$C$11=0,0,$L86/Übersicht!$C$11))</f>
        <v>0.31815496000000004</v>
      </c>
      <c r="N86" s="25" t="str">
        <f>IF($D86&lt;=0,"",IF($J86&lt;=0.005,"Volltilgung erreicht",IF($A86=Übersicht!$C$19*Übersicht!$C$25,"Ende der Zinsbindung",IF($H86&gt;0,"Sondertilgung verrechnet",""))))</f>
        <v/>
      </c>
      <c r="Q86" s="38">
        <f>IF($S85&lt;=0,0,ROUND($S85*Übersicht!$C$26,2))</f>
        <v>588.03</v>
      </c>
      <c r="R86" s="38">
        <f>IF($S85&lt;=0,0,MIN($S85,IF(Übersicht!$C$14="Annuitätendarlehen",MAX(0,Übersicht!$C$28-$Q86),IF(Übersicht!$C$14="Ratendarlehen",Übersicht!$C$29,IF($A86&gt;=Übersicht!$C$30,$S85,0)))))</f>
        <v>651.54999999999995</v>
      </c>
      <c r="S86" s="38">
        <f>IF($S85&lt;=0,0,ROUND($S85-$R86-IF($S85-$R86&lt;=0,0,IF(MOD($A86,Übersicht!$C$25)=0,MIN(Szenarien!$C$8,$S85-$R86),0)),2))</f>
        <v>203881.09</v>
      </c>
      <c r="T86" s="38">
        <f>IF($V85&lt;=0,0,ROUND($V85*Übersicht!$C$26,2))</f>
        <v>540.13</v>
      </c>
      <c r="U86" s="38">
        <f>IF($V85&lt;=0,0,MIN($V85,IF(Übersicht!$C$14="Annuitätendarlehen",MAX(0,Übersicht!$C$28-$T86),IF(Übersicht!$C$14="Ratendarlehen",Übersicht!$C$29,IF($A86&gt;=Übersicht!$C$30,$V85,0)))))</f>
        <v>699.44999999999993</v>
      </c>
      <c r="V86" s="38">
        <f>IF($V85&lt;=0,0,ROUND($V85-$U86-IF($V85-$U86&lt;=0,0,IF(MOD($A86,Übersicht!$C$25)=0,MIN(Szenarien!$C$9,$V85-$U86),0)),2))</f>
        <v>187171.22</v>
      </c>
      <c r="W86" s="38">
        <f>IF($Y85&lt;=0,0,ROUND($Y85*Übersicht!$C$26,2))</f>
        <v>492.22</v>
      </c>
      <c r="X86" s="38">
        <f>IF($Y85&lt;=0,0,MIN($Y85,IF(Übersicht!$C$14="Annuitätendarlehen",MAX(0,Übersicht!$C$28-$W86),IF(Übersicht!$C$14="Ratendarlehen",Übersicht!$C$29,IF($A86&gt;=Übersicht!$C$30,$Y85,0)))))</f>
        <v>747.3599999999999</v>
      </c>
      <c r="Y86" s="38">
        <f>IF($Y85&lt;=0,0,ROUND($Y85-$X86-IF($Y85-$X86&lt;=0,0,IF(MOD($A86,Übersicht!$C$25)=0,MIN(Szenarien!$C$10,$Y85-$X86),0)),2))</f>
        <v>170461.26</v>
      </c>
      <c r="Z86" s="38">
        <f>IF($AB85&lt;=0,0,ROUND($AB85*Übersicht!$C$26,2))</f>
        <v>444.32</v>
      </c>
      <c r="AA86" s="38">
        <f>IF($AB85&lt;=0,0,MIN($AB85,IF(Übersicht!$C$14="Annuitätendarlehen",MAX(0,Übersicht!$C$28-$Z86),IF(Übersicht!$C$14="Ratendarlehen",Übersicht!$C$29,IF($A86&gt;=Übersicht!$C$30,$AB85,0)))))</f>
        <v>795.26</v>
      </c>
      <c r="AB86" s="38">
        <f>IF($AB85&lt;=0,0,ROUND($AB85-$AA86-IF($AB85-$AA86&lt;=0,0,IF(MOD($A86,Übersicht!$C$25)=0,MIN(Szenarien!$C$11,$AB85-$AA86),0)),2))</f>
        <v>153751.35</v>
      </c>
      <c r="AC86" s="38">
        <f>IF($AE85&lt;=0,0,ROUND($AE85*Übersicht!$C$26,2))</f>
        <v>348.51</v>
      </c>
      <c r="AD86" s="38">
        <f>IF($AE85&lt;=0,0,MIN($AE85,IF(Übersicht!$C$14="Annuitätendarlehen",MAX(0,Übersicht!$C$28-$AC86),IF(Übersicht!$C$14="Ratendarlehen",Übersicht!$C$29,IF($A86&gt;=Übersicht!$C$30,$AE85,0)))))</f>
        <v>891.06999999999994</v>
      </c>
      <c r="AE86" s="38">
        <f>IF($AE85&lt;=0,0,ROUND($AE85-$AD86-IF($AE85-$AD86&lt;=0,0,IF(MOD($A86,Übersicht!$C$25)=0,MIN(Szenarien!$C$12,$AE85-$AD86),0)),2))</f>
        <v>120331.48</v>
      </c>
    </row>
    <row r="87" spans="1:31" ht="15" customHeight="1" x14ac:dyDescent="0.25">
      <c r="A87" s="26">
        <v>80</v>
      </c>
      <c r="B87" s="39">
        <f>IF($D87&lt;=0,"",EDATE(Übersicht!$C$18,($A87-1)*12/Übersicht!$C$25))</f>
        <v>48457</v>
      </c>
      <c r="C87" s="26">
        <f t="shared" si="7"/>
        <v>2032</v>
      </c>
      <c r="D87" s="40">
        <f t="shared" si="11"/>
        <v>170461.26</v>
      </c>
      <c r="E87" s="28">
        <f t="shared" si="8"/>
        <v>1239.58</v>
      </c>
      <c r="F87" s="28">
        <f>IF($D87&lt;=0,0,ROUND($D87*Übersicht!$C$26,2))</f>
        <v>490.08</v>
      </c>
      <c r="G87" s="28">
        <f>IF($D87&lt;=0,0,MIN($D87,IF(Übersicht!$C$14="Annuitätendarlehen",MAX(0,Übersicht!$C$28-$F87),IF(Übersicht!$C$14="Ratendarlehen",Übersicht!$C$29,IF($A87&gt;=Übersicht!$C$30,$D87,0)))))</f>
        <v>749.5</v>
      </c>
      <c r="H87" s="28">
        <f>IF($D87-$G87&lt;=0,0,IF(MOD($A87,Übersicht!$C$25)=0,MIN(Übersicht!$C$31,$D87-$G87),0))</f>
        <v>0</v>
      </c>
      <c r="I87" s="28">
        <f t="shared" si="9"/>
        <v>1239.58</v>
      </c>
      <c r="J87" s="28">
        <f t="shared" si="10"/>
        <v>169711.76</v>
      </c>
      <c r="K87" s="28">
        <f t="shared" si="12"/>
        <v>48878.160000000011</v>
      </c>
      <c r="L87" s="28">
        <f t="shared" si="13"/>
        <v>80288.240000000005</v>
      </c>
      <c r="M87" s="29">
        <f>IF($D87&lt;=0,"",IF(Übersicht!$C$11=0,0,$L87/Übersicht!$C$11))</f>
        <v>0.32115296000000004</v>
      </c>
      <c r="N87" s="30" t="str">
        <f>IF($D87&lt;=0,"",IF($J87&lt;=0.005,"Volltilgung erreicht",IF($A87=Übersicht!$C$19*Übersicht!$C$25,"Ende der Zinsbindung",IF($H87&gt;0,"Sondertilgung verrechnet",""))))</f>
        <v/>
      </c>
      <c r="Q87" s="38">
        <f>IF($S86&lt;=0,0,ROUND($S86*Übersicht!$C$26,2))</f>
        <v>586.16</v>
      </c>
      <c r="R87" s="38">
        <f>IF($S86&lt;=0,0,MIN($S86,IF(Übersicht!$C$14="Annuitätendarlehen",MAX(0,Übersicht!$C$28-$Q87),IF(Übersicht!$C$14="Ratendarlehen",Übersicht!$C$29,IF($A87&gt;=Übersicht!$C$30,$S86,0)))))</f>
        <v>653.41999999999996</v>
      </c>
      <c r="S87" s="38">
        <f>IF($S86&lt;=0,0,ROUND($S86-$R87-IF($S86-$R87&lt;=0,0,IF(MOD($A87,Übersicht!$C$25)=0,MIN(Szenarien!$C$8,$S86-$R87),0)),2))</f>
        <v>203227.67</v>
      </c>
      <c r="T87" s="38">
        <f>IF($V86&lt;=0,0,ROUND($V86*Übersicht!$C$26,2))</f>
        <v>538.12</v>
      </c>
      <c r="U87" s="38">
        <f>IF($V86&lt;=0,0,MIN($V86,IF(Übersicht!$C$14="Annuitätendarlehen",MAX(0,Übersicht!$C$28-$T87),IF(Übersicht!$C$14="Ratendarlehen",Übersicht!$C$29,IF($A87&gt;=Übersicht!$C$30,$V86,0)))))</f>
        <v>701.45999999999992</v>
      </c>
      <c r="V87" s="38">
        <f>IF($V86&lt;=0,0,ROUND($V86-$U87-IF($V86-$U87&lt;=0,0,IF(MOD($A87,Übersicht!$C$25)=0,MIN(Szenarien!$C$9,$V86-$U87),0)),2))</f>
        <v>186469.76000000001</v>
      </c>
      <c r="W87" s="38">
        <f>IF($Y86&lt;=0,0,ROUND($Y86*Übersicht!$C$26,2))</f>
        <v>490.08</v>
      </c>
      <c r="X87" s="38">
        <f>IF($Y86&lt;=0,0,MIN($Y86,IF(Übersicht!$C$14="Annuitätendarlehen",MAX(0,Übersicht!$C$28-$W87),IF(Übersicht!$C$14="Ratendarlehen",Übersicht!$C$29,IF($A87&gt;=Übersicht!$C$30,$Y86,0)))))</f>
        <v>749.5</v>
      </c>
      <c r="Y87" s="38">
        <f>IF($Y86&lt;=0,0,ROUND($Y86-$X87-IF($Y86-$X87&lt;=0,0,IF(MOD($A87,Übersicht!$C$25)=0,MIN(Szenarien!$C$10,$Y86-$X87),0)),2))</f>
        <v>169711.76</v>
      </c>
      <c r="Z87" s="38">
        <f>IF($AB86&lt;=0,0,ROUND($AB86*Übersicht!$C$26,2))</f>
        <v>442.04</v>
      </c>
      <c r="AA87" s="38">
        <f>IF($AB86&lt;=0,0,MIN($AB86,IF(Übersicht!$C$14="Annuitätendarlehen",MAX(0,Übersicht!$C$28-$Z87),IF(Übersicht!$C$14="Ratendarlehen",Übersicht!$C$29,IF($A87&gt;=Übersicht!$C$30,$AB86,0)))))</f>
        <v>797.54</v>
      </c>
      <c r="AB87" s="38">
        <f>IF($AB86&lt;=0,0,ROUND($AB86-$AA87-IF($AB86-$AA87&lt;=0,0,IF(MOD($A87,Übersicht!$C$25)=0,MIN(Szenarien!$C$11,$AB86-$AA87),0)),2))</f>
        <v>152953.81</v>
      </c>
      <c r="AC87" s="38">
        <f>IF($AE86&lt;=0,0,ROUND($AE86*Übersicht!$C$26,2))</f>
        <v>345.95</v>
      </c>
      <c r="AD87" s="38">
        <f>IF($AE86&lt;=0,0,MIN($AE86,IF(Übersicht!$C$14="Annuitätendarlehen",MAX(0,Übersicht!$C$28-$AC87),IF(Übersicht!$C$14="Ratendarlehen",Übersicht!$C$29,IF($A87&gt;=Übersicht!$C$30,$AE86,0)))))</f>
        <v>893.62999999999988</v>
      </c>
      <c r="AE87" s="38">
        <f>IF($AE86&lt;=0,0,ROUND($AE86-$AD87-IF($AE86-$AD87&lt;=0,0,IF(MOD($A87,Übersicht!$C$25)=0,MIN(Szenarien!$C$12,$AE86-$AD87),0)),2))</f>
        <v>119437.85</v>
      </c>
    </row>
    <row r="88" spans="1:31" ht="15" customHeight="1" x14ac:dyDescent="0.25">
      <c r="A88" s="21">
        <v>81</v>
      </c>
      <c r="B88" s="36">
        <f>IF($D88&lt;=0,"",EDATE(Übersicht!$C$18,($A88-1)*12/Übersicht!$C$25))</f>
        <v>48487</v>
      </c>
      <c r="C88" s="21">
        <f t="shared" si="7"/>
        <v>2032</v>
      </c>
      <c r="D88" s="37">
        <f t="shared" si="11"/>
        <v>169711.76</v>
      </c>
      <c r="E88" s="23">
        <f t="shared" si="8"/>
        <v>1239.58</v>
      </c>
      <c r="F88" s="23">
        <f>IF($D88&lt;=0,0,ROUND($D88*Übersicht!$C$26,2))</f>
        <v>487.92</v>
      </c>
      <c r="G88" s="23">
        <f>IF($D88&lt;=0,0,MIN($D88,IF(Übersicht!$C$14="Annuitätendarlehen",MAX(0,Übersicht!$C$28-$F88),IF(Übersicht!$C$14="Ratendarlehen",Übersicht!$C$29,IF($A88&gt;=Übersicht!$C$30,$D88,0)))))</f>
        <v>751.65999999999985</v>
      </c>
      <c r="H88" s="23">
        <f>IF($D88-$G88&lt;=0,0,IF(MOD($A88,Übersicht!$C$25)=0,MIN(Übersicht!$C$31,$D88-$G88),0))</f>
        <v>0</v>
      </c>
      <c r="I88" s="23">
        <f t="shared" si="9"/>
        <v>1239.58</v>
      </c>
      <c r="J88" s="23">
        <f t="shared" si="10"/>
        <v>168960.1</v>
      </c>
      <c r="K88" s="23">
        <f t="shared" si="12"/>
        <v>49366.080000000009</v>
      </c>
      <c r="L88" s="23">
        <f t="shared" si="13"/>
        <v>81039.899999999994</v>
      </c>
      <c r="M88" s="24">
        <f>IF($D88&lt;=0,"",IF(Übersicht!$C$11=0,0,$L88/Übersicht!$C$11))</f>
        <v>0.32415959999999999</v>
      </c>
      <c r="N88" s="25" t="str">
        <f>IF($D88&lt;=0,"",IF($J88&lt;=0.005,"Volltilgung erreicht",IF($A88=Übersicht!$C$19*Übersicht!$C$25,"Ende der Zinsbindung",IF($H88&gt;0,"Sondertilgung verrechnet",""))))</f>
        <v/>
      </c>
      <c r="Q88" s="38">
        <f>IF($S87&lt;=0,0,ROUND($S87*Übersicht!$C$26,2))</f>
        <v>584.28</v>
      </c>
      <c r="R88" s="38">
        <f>IF($S87&lt;=0,0,MIN($S87,IF(Übersicht!$C$14="Annuitätendarlehen",MAX(0,Übersicht!$C$28-$Q88),IF(Übersicht!$C$14="Ratendarlehen",Übersicht!$C$29,IF($A88&gt;=Übersicht!$C$30,$S87,0)))))</f>
        <v>655.29999999999995</v>
      </c>
      <c r="S88" s="38">
        <f>IF($S87&lt;=0,0,ROUND($S87-$R88-IF($S87-$R88&lt;=0,0,IF(MOD($A88,Übersicht!$C$25)=0,MIN(Szenarien!$C$8,$S87-$R88),0)),2))</f>
        <v>202572.37</v>
      </c>
      <c r="T88" s="38">
        <f>IF($V87&lt;=0,0,ROUND($V87*Übersicht!$C$26,2))</f>
        <v>536.1</v>
      </c>
      <c r="U88" s="38">
        <f>IF($V87&lt;=0,0,MIN($V87,IF(Übersicht!$C$14="Annuitätendarlehen",MAX(0,Übersicht!$C$28-$T88),IF(Übersicht!$C$14="Ratendarlehen",Übersicht!$C$29,IF($A88&gt;=Übersicht!$C$30,$V87,0)))))</f>
        <v>703.4799999999999</v>
      </c>
      <c r="V88" s="38">
        <f>IF($V87&lt;=0,0,ROUND($V87-$U88-IF($V87-$U88&lt;=0,0,IF(MOD($A88,Übersicht!$C$25)=0,MIN(Szenarien!$C$9,$V87-$U88),0)),2))</f>
        <v>185766.28</v>
      </c>
      <c r="W88" s="38">
        <f>IF($Y87&lt;=0,0,ROUND($Y87*Übersicht!$C$26,2))</f>
        <v>487.92</v>
      </c>
      <c r="X88" s="38">
        <f>IF($Y87&lt;=0,0,MIN($Y87,IF(Übersicht!$C$14="Annuitätendarlehen",MAX(0,Übersicht!$C$28-$W88),IF(Übersicht!$C$14="Ratendarlehen",Übersicht!$C$29,IF($A88&gt;=Übersicht!$C$30,$Y87,0)))))</f>
        <v>751.65999999999985</v>
      </c>
      <c r="Y88" s="38">
        <f>IF($Y87&lt;=0,0,ROUND($Y87-$X88-IF($Y87-$X88&lt;=0,0,IF(MOD($A88,Übersicht!$C$25)=0,MIN(Szenarien!$C$10,$Y87-$X88),0)),2))</f>
        <v>168960.1</v>
      </c>
      <c r="Z88" s="38">
        <f>IF($AB87&lt;=0,0,ROUND($AB87*Übersicht!$C$26,2))</f>
        <v>439.74</v>
      </c>
      <c r="AA88" s="38">
        <f>IF($AB87&lt;=0,0,MIN($AB87,IF(Übersicht!$C$14="Annuitätendarlehen",MAX(0,Übersicht!$C$28-$Z88),IF(Übersicht!$C$14="Ratendarlehen",Übersicht!$C$29,IF($A88&gt;=Übersicht!$C$30,$AB87,0)))))</f>
        <v>799.83999999999992</v>
      </c>
      <c r="AB88" s="38">
        <f>IF($AB87&lt;=0,0,ROUND($AB87-$AA88-IF($AB87-$AA88&lt;=0,0,IF(MOD($A88,Übersicht!$C$25)=0,MIN(Szenarien!$C$11,$AB87-$AA88),0)),2))</f>
        <v>152153.97</v>
      </c>
      <c r="AC88" s="38">
        <f>IF($AE87&lt;=0,0,ROUND($AE87*Übersicht!$C$26,2))</f>
        <v>343.38</v>
      </c>
      <c r="AD88" s="38">
        <f>IF($AE87&lt;=0,0,MIN($AE87,IF(Übersicht!$C$14="Annuitätendarlehen",MAX(0,Übersicht!$C$28-$AC88),IF(Übersicht!$C$14="Ratendarlehen",Übersicht!$C$29,IF($A88&gt;=Übersicht!$C$30,$AE87,0)))))</f>
        <v>896.19999999999993</v>
      </c>
      <c r="AE88" s="38">
        <f>IF($AE87&lt;=0,0,ROUND($AE87-$AD88-IF($AE87-$AD88&lt;=0,0,IF(MOD($A88,Übersicht!$C$25)=0,MIN(Szenarien!$C$12,$AE87-$AD88),0)),2))</f>
        <v>118541.65</v>
      </c>
    </row>
    <row r="89" spans="1:31" ht="15" customHeight="1" x14ac:dyDescent="0.25">
      <c r="A89" s="26">
        <v>82</v>
      </c>
      <c r="B89" s="39">
        <f>IF($D89&lt;=0,"",EDATE(Übersicht!$C$18,($A89-1)*12/Übersicht!$C$25))</f>
        <v>48518</v>
      </c>
      <c r="C89" s="26">
        <f t="shared" si="7"/>
        <v>2032</v>
      </c>
      <c r="D89" s="40">
        <f t="shared" si="11"/>
        <v>168960.1</v>
      </c>
      <c r="E89" s="28">
        <f t="shared" si="8"/>
        <v>1239.58</v>
      </c>
      <c r="F89" s="28">
        <f>IF($D89&lt;=0,0,ROUND($D89*Übersicht!$C$26,2))</f>
        <v>485.76</v>
      </c>
      <c r="G89" s="28">
        <f>IF($D89&lt;=0,0,MIN($D89,IF(Übersicht!$C$14="Annuitätendarlehen",MAX(0,Übersicht!$C$28-$F89),IF(Übersicht!$C$14="Ratendarlehen",Übersicht!$C$29,IF($A89&gt;=Übersicht!$C$30,$D89,0)))))</f>
        <v>753.81999999999994</v>
      </c>
      <c r="H89" s="28">
        <f>IF($D89-$G89&lt;=0,0,IF(MOD($A89,Übersicht!$C$25)=0,MIN(Übersicht!$C$31,$D89-$G89),0))</f>
        <v>0</v>
      </c>
      <c r="I89" s="28">
        <f t="shared" si="9"/>
        <v>1239.58</v>
      </c>
      <c r="J89" s="28">
        <f t="shared" si="10"/>
        <v>168206.28</v>
      </c>
      <c r="K89" s="28">
        <f t="shared" si="12"/>
        <v>49851.840000000011</v>
      </c>
      <c r="L89" s="28">
        <f t="shared" si="13"/>
        <v>81793.72</v>
      </c>
      <c r="M89" s="29">
        <f>IF($D89&lt;=0,"",IF(Übersicht!$C$11=0,0,$L89/Übersicht!$C$11))</f>
        <v>0.32717488</v>
      </c>
      <c r="N89" s="30" t="str">
        <f>IF($D89&lt;=0,"",IF($J89&lt;=0.005,"Volltilgung erreicht",IF($A89=Übersicht!$C$19*Übersicht!$C$25,"Ende der Zinsbindung",IF($H89&gt;0,"Sondertilgung verrechnet",""))))</f>
        <v/>
      </c>
      <c r="Q89" s="38">
        <f>IF($S88&lt;=0,0,ROUND($S88*Übersicht!$C$26,2))</f>
        <v>582.4</v>
      </c>
      <c r="R89" s="38">
        <f>IF($S88&lt;=0,0,MIN($S88,IF(Übersicht!$C$14="Annuitätendarlehen",MAX(0,Übersicht!$C$28-$Q89),IF(Übersicht!$C$14="Ratendarlehen",Übersicht!$C$29,IF($A89&gt;=Übersicht!$C$30,$S88,0)))))</f>
        <v>657.18</v>
      </c>
      <c r="S89" s="38">
        <f>IF($S88&lt;=0,0,ROUND($S88-$R89-IF($S88-$R89&lt;=0,0,IF(MOD($A89,Übersicht!$C$25)=0,MIN(Szenarien!$C$8,$S88-$R89),0)),2))</f>
        <v>201915.19</v>
      </c>
      <c r="T89" s="38">
        <f>IF($V88&lt;=0,0,ROUND($V88*Übersicht!$C$26,2))</f>
        <v>534.08000000000004</v>
      </c>
      <c r="U89" s="38">
        <f>IF($V88&lt;=0,0,MIN($V88,IF(Übersicht!$C$14="Annuitätendarlehen",MAX(0,Übersicht!$C$28-$T89),IF(Übersicht!$C$14="Ratendarlehen",Übersicht!$C$29,IF($A89&gt;=Übersicht!$C$30,$V88,0)))))</f>
        <v>705.49999999999989</v>
      </c>
      <c r="V89" s="38">
        <f>IF($V88&lt;=0,0,ROUND($V88-$U89-IF($V88-$U89&lt;=0,0,IF(MOD($A89,Übersicht!$C$25)=0,MIN(Szenarien!$C$9,$V88-$U89),0)),2))</f>
        <v>185060.78</v>
      </c>
      <c r="W89" s="38">
        <f>IF($Y88&lt;=0,0,ROUND($Y88*Übersicht!$C$26,2))</f>
        <v>485.76</v>
      </c>
      <c r="X89" s="38">
        <f>IF($Y88&lt;=0,0,MIN($Y88,IF(Übersicht!$C$14="Annuitätendarlehen",MAX(0,Übersicht!$C$28-$W89),IF(Übersicht!$C$14="Ratendarlehen",Übersicht!$C$29,IF($A89&gt;=Übersicht!$C$30,$Y88,0)))))</f>
        <v>753.81999999999994</v>
      </c>
      <c r="Y89" s="38">
        <f>IF($Y88&lt;=0,0,ROUND($Y88-$X89-IF($Y88-$X89&lt;=0,0,IF(MOD($A89,Übersicht!$C$25)=0,MIN(Szenarien!$C$10,$Y88-$X89),0)),2))</f>
        <v>168206.28</v>
      </c>
      <c r="Z89" s="38">
        <f>IF($AB88&lt;=0,0,ROUND($AB88*Übersicht!$C$26,2))</f>
        <v>437.44</v>
      </c>
      <c r="AA89" s="38">
        <f>IF($AB88&lt;=0,0,MIN($AB88,IF(Übersicht!$C$14="Annuitätendarlehen",MAX(0,Übersicht!$C$28-$Z89),IF(Übersicht!$C$14="Ratendarlehen",Übersicht!$C$29,IF($A89&gt;=Übersicht!$C$30,$AB88,0)))))</f>
        <v>802.13999999999987</v>
      </c>
      <c r="AB89" s="38">
        <f>IF($AB88&lt;=0,0,ROUND($AB88-$AA89-IF($AB88-$AA89&lt;=0,0,IF(MOD($A89,Übersicht!$C$25)=0,MIN(Szenarien!$C$11,$AB88-$AA89),0)),2))</f>
        <v>151351.82999999999</v>
      </c>
      <c r="AC89" s="38">
        <f>IF($AE88&lt;=0,0,ROUND($AE88*Übersicht!$C$26,2))</f>
        <v>340.81</v>
      </c>
      <c r="AD89" s="38">
        <f>IF($AE88&lt;=0,0,MIN($AE88,IF(Übersicht!$C$14="Annuitätendarlehen",MAX(0,Übersicht!$C$28-$AC89),IF(Übersicht!$C$14="Ratendarlehen",Übersicht!$C$29,IF($A89&gt;=Übersicht!$C$30,$AE88,0)))))</f>
        <v>898.77</v>
      </c>
      <c r="AE89" s="38">
        <f>IF($AE88&lt;=0,0,ROUND($AE88-$AD89-IF($AE88-$AD89&lt;=0,0,IF(MOD($A89,Übersicht!$C$25)=0,MIN(Szenarien!$C$12,$AE88-$AD89),0)),2))</f>
        <v>117642.88</v>
      </c>
    </row>
    <row r="90" spans="1:31" ht="15" customHeight="1" x14ac:dyDescent="0.25">
      <c r="A90" s="21">
        <v>83</v>
      </c>
      <c r="B90" s="36">
        <f>IF($D90&lt;=0,"",EDATE(Übersicht!$C$18,($A90-1)*12/Übersicht!$C$25))</f>
        <v>48548</v>
      </c>
      <c r="C90" s="21">
        <f t="shared" si="7"/>
        <v>2032</v>
      </c>
      <c r="D90" s="37">
        <f t="shared" si="11"/>
        <v>168206.28</v>
      </c>
      <c r="E90" s="23">
        <f t="shared" si="8"/>
        <v>1239.58</v>
      </c>
      <c r="F90" s="23">
        <f>IF($D90&lt;=0,0,ROUND($D90*Übersicht!$C$26,2))</f>
        <v>483.59</v>
      </c>
      <c r="G90" s="23">
        <f>IF($D90&lt;=0,0,MIN($D90,IF(Übersicht!$C$14="Annuitätendarlehen",MAX(0,Übersicht!$C$28-$F90),IF(Übersicht!$C$14="Ratendarlehen",Übersicht!$C$29,IF($A90&gt;=Übersicht!$C$30,$D90,0)))))</f>
        <v>755.99</v>
      </c>
      <c r="H90" s="23">
        <f>IF($D90-$G90&lt;=0,0,IF(MOD($A90,Übersicht!$C$25)=0,MIN(Übersicht!$C$31,$D90-$G90),0))</f>
        <v>0</v>
      </c>
      <c r="I90" s="23">
        <f t="shared" si="9"/>
        <v>1239.58</v>
      </c>
      <c r="J90" s="23">
        <f t="shared" si="10"/>
        <v>167450.29</v>
      </c>
      <c r="K90" s="23">
        <f t="shared" si="12"/>
        <v>50335.430000000008</v>
      </c>
      <c r="L90" s="23">
        <f t="shared" si="13"/>
        <v>82549.710000000006</v>
      </c>
      <c r="M90" s="24">
        <f>IF($D90&lt;=0,"",IF(Übersicht!$C$11=0,0,$L90/Übersicht!$C$11))</f>
        <v>0.33019884000000005</v>
      </c>
      <c r="N90" s="25" t="str">
        <f>IF($D90&lt;=0,"",IF($J90&lt;=0.005,"Volltilgung erreicht",IF($A90=Übersicht!$C$19*Übersicht!$C$25,"Ende der Zinsbindung",IF($H90&gt;0,"Sondertilgung verrechnet",""))))</f>
        <v/>
      </c>
      <c r="Q90" s="38">
        <f>IF($S89&lt;=0,0,ROUND($S89*Übersicht!$C$26,2))</f>
        <v>580.51</v>
      </c>
      <c r="R90" s="38">
        <f>IF($S89&lt;=0,0,MIN($S89,IF(Übersicht!$C$14="Annuitätendarlehen",MAX(0,Übersicht!$C$28-$Q90),IF(Übersicht!$C$14="Ratendarlehen",Übersicht!$C$29,IF($A90&gt;=Übersicht!$C$30,$S89,0)))))</f>
        <v>659.06999999999994</v>
      </c>
      <c r="S90" s="38">
        <f>IF($S89&lt;=0,0,ROUND($S89-$R90-IF($S89-$R90&lt;=0,0,IF(MOD($A90,Übersicht!$C$25)=0,MIN(Szenarien!$C$8,$S89-$R90),0)),2))</f>
        <v>201256.12</v>
      </c>
      <c r="T90" s="38">
        <f>IF($V89&lt;=0,0,ROUND($V89*Übersicht!$C$26,2))</f>
        <v>532.04999999999995</v>
      </c>
      <c r="U90" s="38">
        <f>IF($V89&lt;=0,0,MIN($V89,IF(Übersicht!$C$14="Annuitätendarlehen",MAX(0,Übersicht!$C$28-$T90),IF(Übersicht!$C$14="Ratendarlehen",Übersicht!$C$29,IF($A90&gt;=Übersicht!$C$30,$V89,0)))))</f>
        <v>707.53</v>
      </c>
      <c r="V90" s="38">
        <f>IF($V89&lt;=0,0,ROUND($V89-$U90-IF($V89-$U90&lt;=0,0,IF(MOD($A90,Übersicht!$C$25)=0,MIN(Szenarien!$C$9,$V89-$U90),0)),2))</f>
        <v>184353.25</v>
      </c>
      <c r="W90" s="38">
        <f>IF($Y89&lt;=0,0,ROUND($Y89*Übersicht!$C$26,2))</f>
        <v>483.59</v>
      </c>
      <c r="X90" s="38">
        <f>IF($Y89&lt;=0,0,MIN($Y89,IF(Übersicht!$C$14="Annuitätendarlehen",MAX(0,Übersicht!$C$28-$W90),IF(Übersicht!$C$14="Ratendarlehen",Übersicht!$C$29,IF($A90&gt;=Übersicht!$C$30,$Y89,0)))))</f>
        <v>755.99</v>
      </c>
      <c r="Y90" s="38">
        <f>IF($Y89&lt;=0,0,ROUND($Y89-$X90-IF($Y89-$X90&lt;=0,0,IF(MOD($A90,Übersicht!$C$25)=0,MIN(Szenarien!$C$10,$Y89-$X90),0)),2))</f>
        <v>167450.29</v>
      </c>
      <c r="Z90" s="38">
        <f>IF($AB89&lt;=0,0,ROUND($AB89*Übersicht!$C$26,2))</f>
        <v>435.14</v>
      </c>
      <c r="AA90" s="38">
        <f>IF($AB89&lt;=0,0,MIN($AB89,IF(Übersicht!$C$14="Annuitätendarlehen",MAX(0,Übersicht!$C$28-$Z90),IF(Übersicht!$C$14="Ratendarlehen",Übersicht!$C$29,IF($A90&gt;=Übersicht!$C$30,$AB89,0)))))</f>
        <v>804.43999999999994</v>
      </c>
      <c r="AB90" s="38">
        <f>IF($AB89&lt;=0,0,ROUND($AB89-$AA90-IF($AB89-$AA90&lt;=0,0,IF(MOD($A90,Übersicht!$C$25)=0,MIN(Szenarien!$C$11,$AB89-$AA90),0)),2))</f>
        <v>150547.39000000001</v>
      </c>
      <c r="AC90" s="38">
        <f>IF($AE89&lt;=0,0,ROUND($AE89*Übersicht!$C$26,2))</f>
        <v>338.22</v>
      </c>
      <c r="AD90" s="38">
        <f>IF($AE89&lt;=0,0,MIN($AE89,IF(Übersicht!$C$14="Annuitätendarlehen",MAX(0,Übersicht!$C$28-$AC90),IF(Übersicht!$C$14="Ratendarlehen",Übersicht!$C$29,IF($A90&gt;=Übersicht!$C$30,$AE89,0)))))</f>
        <v>901.3599999999999</v>
      </c>
      <c r="AE90" s="38">
        <f>IF($AE89&lt;=0,0,ROUND($AE89-$AD90-IF($AE89-$AD90&lt;=0,0,IF(MOD($A90,Übersicht!$C$25)=0,MIN(Szenarien!$C$12,$AE89-$AD90),0)),2))</f>
        <v>116741.52</v>
      </c>
    </row>
    <row r="91" spans="1:31" ht="15" customHeight="1" x14ac:dyDescent="0.25">
      <c r="A91" s="26">
        <v>84</v>
      </c>
      <c r="B91" s="39">
        <f>IF($D91&lt;=0,"",EDATE(Übersicht!$C$18,($A91-1)*12/Übersicht!$C$25))</f>
        <v>48579</v>
      </c>
      <c r="C91" s="26">
        <f t="shared" si="7"/>
        <v>2032</v>
      </c>
      <c r="D91" s="40">
        <f t="shared" si="11"/>
        <v>167450.29</v>
      </c>
      <c r="E91" s="28">
        <f t="shared" si="8"/>
        <v>1239.58</v>
      </c>
      <c r="F91" s="28">
        <f>IF($D91&lt;=0,0,ROUND($D91*Übersicht!$C$26,2))</f>
        <v>481.42</v>
      </c>
      <c r="G91" s="28">
        <f>IF($D91&lt;=0,0,MIN($D91,IF(Übersicht!$C$14="Annuitätendarlehen",MAX(0,Übersicht!$C$28-$F91),IF(Übersicht!$C$14="Ratendarlehen",Übersicht!$C$29,IF($A91&gt;=Übersicht!$C$30,$D91,0)))))</f>
        <v>758.15999999999985</v>
      </c>
      <c r="H91" s="28">
        <f>IF($D91-$G91&lt;=0,0,IF(MOD($A91,Übersicht!$C$25)=0,MIN(Übersicht!$C$31,$D91-$G91),0))</f>
        <v>5000</v>
      </c>
      <c r="I91" s="28">
        <f t="shared" si="9"/>
        <v>6239.58</v>
      </c>
      <c r="J91" s="28">
        <f t="shared" si="10"/>
        <v>161692.13</v>
      </c>
      <c r="K91" s="28">
        <f t="shared" si="12"/>
        <v>50816.850000000006</v>
      </c>
      <c r="L91" s="28">
        <f t="shared" si="13"/>
        <v>88307.87</v>
      </c>
      <c r="M91" s="29">
        <f>IF($D91&lt;=0,"",IF(Übersicht!$C$11=0,0,$L91/Übersicht!$C$11))</f>
        <v>0.35323147999999999</v>
      </c>
      <c r="N91" s="30" t="str">
        <f>IF($D91&lt;=0,"",IF($J91&lt;=0.005,"Volltilgung erreicht",IF($A91=Übersicht!$C$19*Übersicht!$C$25,"Ende der Zinsbindung",IF($H91&gt;0,"Sondertilgung verrechnet",""))))</f>
        <v>Sondertilgung verrechnet</v>
      </c>
      <c r="Q91" s="38">
        <f>IF($S90&lt;=0,0,ROUND($S90*Übersicht!$C$26,2))</f>
        <v>578.61</v>
      </c>
      <c r="R91" s="38">
        <f>IF($S90&lt;=0,0,MIN($S90,IF(Übersicht!$C$14="Annuitätendarlehen",MAX(0,Übersicht!$C$28-$Q91),IF(Übersicht!$C$14="Ratendarlehen",Übersicht!$C$29,IF($A91&gt;=Übersicht!$C$30,$S90,0)))))</f>
        <v>660.96999999999991</v>
      </c>
      <c r="S91" s="38">
        <f>IF($S90&lt;=0,0,ROUND($S90-$R91-IF($S90-$R91&lt;=0,0,IF(MOD($A91,Übersicht!$C$25)=0,MIN(Szenarien!$C$8,$S90-$R91),0)),2))</f>
        <v>200595.15</v>
      </c>
      <c r="T91" s="38">
        <f>IF($V90&lt;=0,0,ROUND($V90*Übersicht!$C$26,2))</f>
        <v>530.02</v>
      </c>
      <c r="U91" s="38">
        <f>IF($V90&lt;=0,0,MIN($V90,IF(Übersicht!$C$14="Annuitätendarlehen",MAX(0,Übersicht!$C$28-$T91),IF(Übersicht!$C$14="Ratendarlehen",Übersicht!$C$29,IF($A91&gt;=Übersicht!$C$30,$V90,0)))))</f>
        <v>709.56</v>
      </c>
      <c r="V91" s="38">
        <f>IF($V90&lt;=0,0,ROUND($V90-$U91-IF($V90-$U91&lt;=0,0,IF(MOD($A91,Übersicht!$C$25)=0,MIN(Szenarien!$C$9,$V90-$U91),0)),2))</f>
        <v>181143.69</v>
      </c>
      <c r="W91" s="38">
        <f>IF($Y90&lt;=0,0,ROUND($Y90*Übersicht!$C$26,2))</f>
        <v>481.42</v>
      </c>
      <c r="X91" s="38">
        <f>IF($Y90&lt;=0,0,MIN($Y90,IF(Übersicht!$C$14="Annuitätendarlehen",MAX(0,Übersicht!$C$28-$W91),IF(Übersicht!$C$14="Ratendarlehen",Übersicht!$C$29,IF($A91&gt;=Übersicht!$C$30,$Y90,0)))))</f>
        <v>758.15999999999985</v>
      </c>
      <c r="Y91" s="38">
        <f>IF($Y90&lt;=0,0,ROUND($Y90-$X91-IF($Y90-$X91&lt;=0,0,IF(MOD($A91,Übersicht!$C$25)=0,MIN(Szenarien!$C$10,$Y90-$X91),0)),2))</f>
        <v>161692.13</v>
      </c>
      <c r="Z91" s="38">
        <f>IF($AB90&lt;=0,0,ROUND($AB90*Übersicht!$C$26,2))</f>
        <v>432.82</v>
      </c>
      <c r="AA91" s="38">
        <f>IF($AB90&lt;=0,0,MIN($AB90,IF(Übersicht!$C$14="Annuitätendarlehen",MAX(0,Übersicht!$C$28-$Z91),IF(Übersicht!$C$14="Ratendarlehen",Übersicht!$C$29,IF($A91&gt;=Übersicht!$C$30,$AB90,0)))))</f>
        <v>806.76</v>
      </c>
      <c r="AB91" s="38">
        <f>IF($AB90&lt;=0,0,ROUND($AB90-$AA91-IF($AB90-$AA91&lt;=0,0,IF(MOD($A91,Übersicht!$C$25)=0,MIN(Szenarien!$C$11,$AB90-$AA91),0)),2))</f>
        <v>142240.63</v>
      </c>
      <c r="AC91" s="38">
        <f>IF($AE90&lt;=0,0,ROUND($AE90*Übersicht!$C$26,2))</f>
        <v>335.63</v>
      </c>
      <c r="AD91" s="38">
        <f>IF($AE90&lt;=0,0,MIN($AE90,IF(Übersicht!$C$14="Annuitätendarlehen",MAX(0,Übersicht!$C$28-$AC91),IF(Übersicht!$C$14="Ratendarlehen",Übersicht!$C$29,IF($A91&gt;=Übersicht!$C$30,$AE90,0)))))</f>
        <v>903.94999999999993</v>
      </c>
      <c r="AE91" s="38">
        <f>IF($AE90&lt;=0,0,ROUND($AE90-$AD91-IF($AE90-$AD91&lt;=0,0,IF(MOD($A91,Übersicht!$C$25)=0,MIN(Szenarien!$C$12,$AE90-$AD91),0)),2))</f>
        <v>103337.57</v>
      </c>
    </row>
    <row r="92" spans="1:31" ht="15" customHeight="1" x14ac:dyDescent="0.25">
      <c r="A92" s="21">
        <v>85</v>
      </c>
      <c r="B92" s="36">
        <f>IF($D92&lt;=0,"",EDATE(Übersicht!$C$18,($A92-1)*12/Übersicht!$C$25))</f>
        <v>48610</v>
      </c>
      <c r="C92" s="21">
        <f t="shared" si="7"/>
        <v>2033</v>
      </c>
      <c r="D92" s="37">
        <f t="shared" si="11"/>
        <v>161692.13</v>
      </c>
      <c r="E92" s="23">
        <f t="shared" si="8"/>
        <v>1239.58</v>
      </c>
      <c r="F92" s="23">
        <f>IF($D92&lt;=0,0,ROUND($D92*Übersicht!$C$26,2))</f>
        <v>464.86</v>
      </c>
      <c r="G92" s="23">
        <f>IF($D92&lt;=0,0,MIN($D92,IF(Übersicht!$C$14="Annuitätendarlehen",MAX(0,Übersicht!$C$28-$F92),IF(Übersicht!$C$14="Ratendarlehen",Übersicht!$C$29,IF($A92&gt;=Übersicht!$C$30,$D92,0)))))</f>
        <v>774.71999999999991</v>
      </c>
      <c r="H92" s="23">
        <f>IF($D92-$G92&lt;=0,0,IF(MOD($A92,Übersicht!$C$25)=0,MIN(Übersicht!$C$31,$D92-$G92),0))</f>
        <v>0</v>
      </c>
      <c r="I92" s="23">
        <f t="shared" si="9"/>
        <v>1239.58</v>
      </c>
      <c r="J92" s="23">
        <f t="shared" si="10"/>
        <v>160917.41</v>
      </c>
      <c r="K92" s="23">
        <f t="shared" si="12"/>
        <v>51281.710000000006</v>
      </c>
      <c r="L92" s="23">
        <f t="shared" si="13"/>
        <v>89082.59</v>
      </c>
      <c r="M92" s="24">
        <f>IF($D92&lt;=0,"",IF(Übersicht!$C$11=0,0,$L92/Übersicht!$C$11))</f>
        <v>0.35633036000000001</v>
      </c>
      <c r="N92" s="25" t="str">
        <f>IF($D92&lt;=0,"",IF($J92&lt;=0.005,"Volltilgung erreicht",IF($A92=Übersicht!$C$19*Übersicht!$C$25,"Ende der Zinsbindung",IF($H92&gt;0,"Sondertilgung verrechnet",""))))</f>
        <v/>
      </c>
      <c r="Q92" s="38">
        <f>IF($S91&lt;=0,0,ROUND($S91*Übersicht!$C$26,2))</f>
        <v>576.71</v>
      </c>
      <c r="R92" s="38">
        <f>IF($S91&lt;=0,0,MIN($S91,IF(Übersicht!$C$14="Annuitätendarlehen",MAX(0,Übersicht!$C$28-$Q92),IF(Übersicht!$C$14="Ratendarlehen",Übersicht!$C$29,IF($A92&gt;=Übersicht!$C$30,$S91,0)))))</f>
        <v>662.86999999999989</v>
      </c>
      <c r="S92" s="38">
        <f>IF($S91&lt;=0,0,ROUND($S91-$R92-IF($S91-$R92&lt;=0,0,IF(MOD($A92,Übersicht!$C$25)=0,MIN(Szenarien!$C$8,$S91-$R92),0)),2))</f>
        <v>199932.28</v>
      </c>
      <c r="T92" s="38">
        <f>IF($V91&lt;=0,0,ROUND($V91*Übersicht!$C$26,2))</f>
        <v>520.79</v>
      </c>
      <c r="U92" s="38">
        <f>IF($V91&lt;=0,0,MIN($V91,IF(Übersicht!$C$14="Annuitätendarlehen",MAX(0,Übersicht!$C$28-$T92),IF(Übersicht!$C$14="Ratendarlehen",Übersicht!$C$29,IF($A92&gt;=Übersicht!$C$30,$V91,0)))))</f>
        <v>718.79</v>
      </c>
      <c r="V92" s="38">
        <f>IF($V91&lt;=0,0,ROUND($V91-$U92-IF($V91-$U92&lt;=0,0,IF(MOD($A92,Übersicht!$C$25)=0,MIN(Szenarien!$C$9,$V91-$U92),0)),2))</f>
        <v>180424.9</v>
      </c>
      <c r="W92" s="38">
        <f>IF($Y91&lt;=0,0,ROUND($Y91*Übersicht!$C$26,2))</f>
        <v>464.86</v>
      </c>
      <c r="X92" s="38">
        <f>IF($Y91&lt;=0,0,MIN($Y91,IF(Übersicht!$C$14="Annuitätendarlehen",MAX(0,Übersicht!$C$28-$W92),IF(Übersicht!$C$14="Ratendarlehen",Übersicht!$C$29,IF($A92&gt;=Übersicht!$C$30,$Y91,0)))))</f>
        <v>774.71999999999991</v>
      </c>
      <c r="Y92" s="38">
        <f>IF($Y91&lt;=0,0,ROUND($Y91-$X92-IF($Y91-$X92&lt;=0,0,IF(MOD($A92,Übersicht!$C$25)=0,MIN(Szenarien!$C$10,$Y91-$X92),0)),2))</f>
        <v>160917.41</v>
      </c>
      <c r="Z92" s="38">
        <f>IF($AB91&lt;=0,0,ROUND($AB91*Übersicht!$C$26,2))</f>
        <v>408.94</v>
      </c>
      <c r="AA92" s="38">
        <f>IF($AB91&lt;=0,0,MIN($AB91,IF(Übersicht!$C$14="Annuitätendarlehen",MAX(0,Übersicht!$C$28-$Z92),IF(Übersicht!$C$14="Ratendarlehen",Übersicht!$C$29,IF($A92&gt;=Übersicht!$C$30,$AB91,0)))))</f>
        <v>830.63999999999987</v>
      </c>
      <c r="AB92" s="38">
        <f>IF($AB91&lt;=0,0,ROUND($AB91-$AA92-IF($AB91-$AA92&lt;=0,0,IF(MOD($A92,Übersicht!$C$25)=0,MIN(Szenarien!$C$11,$AB91-$AA92),0)),2))</f>
        <v>141409.99</v>
      </c>
      <c r="AC92" s="38">
        <f>IF($AE91&lt;=0,0,ROUND($AE91*Übersicht!$C$26,2))</f>
        <v>297.10000000000002</v>
      </c>
      <c r="AD92" s="38">
        <f>IF($AE91&lt;=0,0,MIN($AE91,IF(Übersicht!$C$14="Annuitätendarlehen",MAX(0,Übersicht!$C$28-$AC92),IF(Übersicht!$C$14="Ratendarlehen",Übersicht!$C$29,IF($A92&gt;=Übersicht!$C$30,$AE91,0)))))</f>
        <v>942.4799999999999</v>
      </c>
      <c r="AE92" s="38">
        <f>IF($AE91&lt;=0,0,ROUND($AE91-$AD92-IF($AE91-$AD92&lt;=0,0,IF(MOD($A92,Übersicht!$C$25)=0,MIN(Szenarien!$C$12,$AE91-$AD92),0)),2))</f>
        <v>102395.09</v>
      </c>
    </row>
    <row r="93" spans="1:31" ht="15" customHeight="1" x14ac:dyDescent="0.25">
      <c r="A93" s="26">
        <v>86</v>
      </c>
      <c r="B93" s="39">
        <f>IF($D93&lt;=0,"",EDATE(Übersicht!$C$18,($A93-1)*12/Übersicht!$C$25))</f>
        <v>48638</v>
      </c>
      <c r="C93" s="26">
        <f t="shared" si="7"/>
        <v>2033</v>
      </c>
      <c r="D93" s="40">
        <f t="shared" si="11"/>
        <v>160917.41</v>
      </c>
      <c r="E93" s="28">
        <f t="shared" si="8"/>
        <v>1239.58</v>
      </c>
      <c r="F93" s="28">
        <f>IF($D93&lt;=0,0,ROUND($D93*Übersicht!$C$26,2))</f>
        <v>462.64</v>
      </c>
      <c r="G93" s="28">
        <f>IF($D93&lt;=0,0,MIN($D93,IF(Übersicht!$C$14="Annuitätendarlehen",MAX(0,Übersicht!$C$28-$F93),IF(Übersicht!$C$14="Ratendarlehen",Übersicht!$C$29,IF($A93&gt;=Übersicht!$C$30,$D93,0)))))</f>
        <v>776.93999999999994</v>
      </c>
      <c r="H93" s="28">
        <f>IF($D93-$G93&lt;=0,0,IF(MOD($A93,Übersicht!$C$25)=0,MIN(Übersicht!$C$31,$D93-$G93),0))</f>
        <v>0</v>
      </c>
      <c r="I93" s="28">
        <f t="shared" si="9"/>
        <v>1239.58</v>
      </c>
      <c r="J93" s="28">
        <f t="shared" si="10"/>
        <v>160140.47</v>
      </c>
      <c r="K93" s="28">
        <f t="shared" si="12"/>
        <v>51744.350000000006</v>
      </c>
      <c r="L93" s="28">
        <f t="shared" si="13"/>
        <v>89859.53</v>
      </c>
      <c r="M93" s="29">
        <f>IF($D93&lt;=0,"",IF(Übersicht!$C$11=0,0,$L93/Übersicht!$C$11))</f>
        <v>0.35943811999999997</v>
      </c>
      <c r="N93" s="30" t="str">
        <f>IF($D93&lt;=0,"",IF($J93&lt;=0.005,"Volltilgung erreicht",IF($A93=Übersicht!$C$19*Übersicht!$C$25,"Ende der Zinsbindung",IF($H93&gt;0,"Sondertilgung verrechnet",""))))</f>
        <v/>
      </c>
      <c r="Q93" s="38">
        <f>IF($S92&lt;=0,0,ROUND($S92*Übersicht!$C$26,2))</f>
        <v>574.80999999999995</v>
      </c>
      <c r="R93" s="38">
        <f>IF($S92&lt;=0,0,MIN($S92,IF(Übersicht!$C$14="Annuitätendarlehen",MAX(0,Übersicht!$C$28-$Q93),IF(Übersicht!$C$14="Ratendarlehen",Übersicht!$C$29,IF($A93&gt;=Übersicht!$C$30,$S92,0)))))</f>
        <v>664.77</v>
      </c>
      <c r="S93" s="38">
        <f>IF($S92&lt;=0,0,ROUND($S92-$R93-IF($S92-$R93&lt;=0,0,IF(MOD($A93,Übersicht!$C$25)=0,MIN(Szenarien!$C$8,$S92-$R93),0)),2))</f>
        <v>199267.51</v>
      </c>
      <c r="T93" s="38">
        <f>IF($V92&lt;=0,0,ROUND($V92*Übersicht!$C$26,2))</f>
        <v>518.72</v>
      </c>
      <c r="U93" s="38">
        <f>IF($V92&lt;=0,0,MIN($V92,IF(Übersicht!$C$14="Annuitätendarlehen",MAX(0,Übersicht!$C$28-$T93),IF(Übersicht!$C$14="Ratendarlehen",Übersicht!$C$29,IF($A93&gt;=Übersicht!$C$30,$V92,0)))))</f>
        <v>720.8599999999999</v>
      </c>
      <c r="V93" s="38">
        <f>IF($V92&lt;=0,0,ROUND($V92-$U93-IF($V92-$U93&lt;=0,0,IF(MOD($A93,Übersicht!$C$25)=0,MIN(Szenarien!$C$9,$V92-$U93),0)),2))</f>
        <v>179704.04</v>
      </c>
      <c r="W93" s="38">
        <f>IF($Y92&lt;=0,0,ROUND($Y92*Übersicht!$C$26,2))</f>
        <v>462.64</v>
      </c>
      <c r="X93" s="38">
        <f>IF($Y92&lt;=0,0,MIN($Y92,IF(Übersicht!$C$14="Annuitätendarlehen",MAX(0,Übersicht!$C$28-$W93),IF(Übersicht!$C$14="Ratendarlehen",Übersicht!$C$29,IF($A93&gt;=Übersicht!$C$30,$Y92,0)))))</f>
        <v>776.93999999999994</v>
      </c>
      <c r="Y93" s="38">
        <f>IF($Y92&lt;=0,0,ROUND($Y92-$X93-IF($Y92-$X93&lt;=0,0,IF(MOD($A93,Übersicht!$C$25)=0,MIN(Szenarien!$C$10,$Y92-$X93),0)),2))</f>
        <v>160140.47</v>
      </c>
      <c r="Z93" s="38">
        <f>IF($AB92&lt;=0,0,ROUND($AB92*Übersicht!$C$26,2))</f>
        <v>406.55</v>
      </c>
      <c r="AA93" s="38">
        <f>IF($AB92&lt;=0,0,MIN($AB92,IF(Übersicht!$C$14="Annuitätendarlehen",MAX(0,Übersicht!$C$28-$Z93),IF(Übersicht!$C$14="Ratendarlehen",Übersicht!$C$29,IF($A93&gt;=Übersicht!$C$30,$AB92,0)))))</f>
        <v>833.03</v>
      </c>
      <c r="AB93" s="38">
        <f>IF($AB92&lt;=0,0,ROUND($AB92-$AA93-IF($AB92-$AA93&lt;=0,0,IF(MOD($A93,Übersicht!$C$25)=0,MIN(Szenarien!$C$11,$AB92-$AA93),0)),2))</f>
        <v>140576.95999999999</v>
      </c>
      <c r="AC93" s="38">
        <f>IF($AE92&lt;=0,0,ROUND($AE92*Übersicht!$C$26,2))</f>
        <v>294.39</v>
      </c>
      <c r="AD93" s="38">
        <f>IF($AE92&lt;=0,0,MIN($AE92,IF(Übersicht!$C$14="Annuitätendarlehen",MAX(0,Übersicht!$C$28-$AC93),IF(Übersicht!$C$14="Ratendarlehen",Übersicht!$C$29,IF($A93&gt;=Übersicht!$C$30,$AE92,0)))))</f>
        <v>945.18999999999994</v>
      </c>
      <c r="AE93" s="38">
        <f>IF($AE92&lt;=0,0,ROUND($AE92-$AD93-IF($AE92-$AD93&lt;=0,0,IF(MOD($A93,Übersicht!$C$25)=0,MIN(Szenarien!$C$12,$AE92-$AD93),0)),2))</f>
        <v>101449.9</v>
      </c>
    </row>
    <row r="94" spans="1:31" ht="15" customHeight="1" x14ac:dyDescent="0.25">
      <c r="A94" s="21">
        <v>87</v>
      </c>
      <c r="B94" s="36">
        <f>IF($D94&lt;=0,"",EDATE(Übersicht!$C$18,($A94-1)*12/Übersicht!$C$25))</f>
        <v>48669</v>
      </c>
      <c r="C94" s="21">
        <f t="shared" si="7"/>
        <v>2033</v>
      </c>
      <c r="D94" s="37">
        <f t="shared" si="11"/>
        <v>160140.47</v>
      </c>
      <c r="E94" s="23">
        <f t="shared" si="8"/>
        <v>1239.58</v>
      </c>
      <c r="F94" s="23">
        <f>IF($D94&lt;=0,0,ROUND($D94*Übersicht!$C$26,2))</f>
        <v>460.4</v>
      </c>
      <c r="G94" s="23">
        <f>IF($D94&lt;=0,0,MIN($D94,IF(Übersicht!$C$14="Annuitätendarlehen",MAX(0,Übersicht!$C$28-$F94),IF(Übersicht!$C$14="Ratendarlehen",Übersicht!$C$29,IF($A94&gt;=Übersicht!$C$30,$D94,0)))))</f>
        <v>779.18</v>
      </c>
      <c r="H94" s="23">
        <f>IF($D94-$G94&lt;=0,0,IF(MOD($A94,Übersicht!$C$25)=0,MIN(Übersicht!$C$31,$D94-$G94),0))</f>
        <v>0</v>
      </c>
      <c r="I94" s="23">
        <f t="shared" si="9"/>
        <v>1239.58</v>
      </c>
      <c r="J94" s="23">
        <f t="shared" si="10"/>
        <v>159361.29</v>
      </c>
      <c r="K94" s="23">
        <f t="shared" si="12"/>
        <v>52204.750000000007</v>
      </c>
      <c r="L94" s="23">
        <f t="shared" si="13"/>
        <v>90638.71</v>
      </c>
      <c r="M94" s="24">
        <f>IF($D94&lt;=0,"",IF(Übersicht!$C$11=0,0,$L94/Übersicht!$C$11))</f>
        <v>0.36255484000000004</v>
      </c>
      <c r="N94" s="25" t="str">
        <f>IF($D94&lt;=0,"",IF($J94&lt;=0.005,"Volltilgung erreicht",IF($A94=Übersicht!$C$19*Übersicht!$C$25,"Ende der Zinsbindung",IF($H94&gt;0,"Sondertilgung verrechnet",""))))</f>
        <v/>
      </c>
      <c r="Q94" s="38">
        <f>IF($S93&lt;=0,0,ROUND($S93*Übersicht!$C$26,2))</f>
        <v>572.89</v>
      </c>
      <c r="R94" s="38">
        <f>IF($S93&lt;=0,0,MIN($S93,IF(Übersicht!$C$14="Annuitätendarlehen",MAX(0,Übersicht!$C$28-$Q94),IF(Übersicht!$C$14="Ratendarlehen",Übersicht!$C$29,IF($A94&gt;=Übersicht!$C$30,$S93,0)))))</f>
        <v>666.68999999999994</v>
      </c>
      <c r="S94" s="38">
        <f>IF($S93&lt;=0,0,ROUND($S93-$R94-IF($S93-$R94&lt;=0,0,IF(MOD($A94,Übersicht!$C$25)=0,MIN(Szenarien!$C$8,$S93-$R94),0)),2))</f>
        <v>198600.82</v>
      </c>
      <c r="T94" s="38">
        <f>IF($V93&lt;=0,0,ROUND($V93*Übersicht!$C$26,2))</f>
        <v>516.65</v>
      </c>
      <c r="U94" s="38">
        <f>IF($V93&lt;=0,0,MIN($V93,IF(Übersicht!$C$14="Annuitätendarlehen",MAX(0,Übersicht!$C$28-$T94),IF(Übersicht!$C$14="Ratendarlehen",Übersicht!$C$29,IF($A94&gt;=Übersicht!$C$30,$V93,0)))))</f>
        <v>722.93</v>
      </c>
      <c r="V94" s="38">
        <f>IF($V93&lt;=0,0,ROUND($V93-$U94-IF($V93-$U94&lt;=0,0,IF(MOD($A94,Übersicht!$C$25)=0,MIN(Szenarien!$C$9,$V93-$U94),0)),2))</f>
        <v>178981.11</v>
      </c>
      <c r="W94" s="38">
        <f>IF($Y93&lt;=0,0,ROUND($Y93*Übersicht!$C$26,2))</f>
        <v>460.4</v>
      </c>
      <c r="X94" s="38">
        <f>IF($Y93&lt;=0,0,MIN($Y93,IF(Übersicht!$C$14="Annuitätendarlehen",MAX(0,Übersicht!$C$28-$W94),IF(Übersicht!$C$14="Ratendarlehen",Übersicht!$C$29,IF($A94&gt;=Übersicht!$C$30,$Y93,0)))))</f>
        <v>779.18</v>
      </c>
      <c r="Y94" s="38">
        <f>IF($Y93&lt;=0,0,ROUND($Y93-$X94-IF($Y93-$X94&lt;=0,0,IF(MOD($A94,Übersicht!$C$25)=0,MIN(Szenarien!$C$10,$Y93-$X94),0)),2))</f>
        <v>159361.29</v>
      </c>
      <c r="Z94" s="38">
        <f>IF($AB93&lt;=0,0,ROUND($AB93*Übersicht!$C$26,2))</f>
        <v>404.16</v>
      </c>
      <c r="AA94" s="38">
        <f>IF($AB93&lt;=0,0,MIN($AB93,IF(Übersicht!$C$14="Annuitätendarlehen",MAX(0,Übersicht!$C$28-$Z94),IF(Übersicht!$C$14="Ratendarlehen",Übersicht!$C$29,IF($A94&gt;=Übersicht!$C$30,$AB93,0)))))</f>
        <v>835.41999999999985</v>
      </c>
      <c r="AB94" s="38">
        <f>IF($AB93&lt;=0,0,ROUND($AB93-$AA94-IF($AB93-$AA94&lt;=0,0,IF(MOD($A94,Übersicht!$C$25)=0,MIN(Szenarien!$C$11,$AB93-$AA94),0)),2))</f>
        <v>139741.54</v>
      </c>
      <c r="AC94" s="38">
        <f>IF($AE93&lt;=0,0,ROUND($AE93*Übersicht!$C$26,2))</f>
        <v>291.67</v>
      </c>
      <c r="AD94" s="38">
        <f>IF($AE93&lt;=0,0,MIN($AE93,IF(Übersicht!$C$14="Annuitätendarlehen",MAX(0,Übersicht!$C$28-$AC94),IF(Übersicht!$C$14="Ratendarlehen",Übersicht!$C$29,IF($A94&gt;=Übersicht!$C$30,$AE93,0)))))</f>
        <v>947.90999999999985</v>
      </c>
      <c r="AE94" s="38">
        <f>IF($AE93&lt;=0,0,ROUND($AE93-$AD94-IF($AE93-$AD94&lt;=0,0,IF(MOD($A94,Übersicht!$C$25)=0,MIN(Szenarien!$C$12,$AE93-$AD94),0)),2))</f>
        <v>100501.99</v>
      </c>
    </row>
    <row r="95" spans="1:31" ht="15" customHeight="1" x14ac:dyDescent="0.25">
      <c r="A95" s="26">
        <v>88</v>
      </c>
      <c r="B95" s="39">
        <f>IF($D95&lt;=0,"",EDATE(Übersicht!$C$18,($A95-1)*12/Übersicht!$C$25))</f>
        <v>48699</v>
      </c>
      <c r="C95" s="26">
        <f t="shared" si="7"/>
        <v>2033</v>
      </c>
      <c r="D95" s="40">
        <f t="shared" si="11"/>
        <v>159361.29</v>
      </c>
      <c r="E95" s="28">
        <f t="shared" si="8"/>
        <v>1239.58</v>
      </c>
      <c r="F95" s="28">
        <f>IF($D95&lt;=0,0,ROUND($D95*Übersicht!$C$26,2))</f>
        <v>458.16</v>
      </c>
      <c r="G95" s="28">
        <f>IF($D95&lt;=0,0,MIN($D95,IF(Übersicht!$C$14="Annuitätendarlehen",MAX(0,Übersicht!$C$28-$F95),IF(Übersicht!$C$14="Ratendarlehen",Übersicht!$C$29,IF($A95&gt;=Übersicht!$C$30,$D95,0)))))</f>
        <v>781.41999999999985</v>
      </c>
      <c r="H95" s="28">
        <f>IF($D95-$G95&lt;=0,0,IF(MOD($A95,Übersicht!$C$25)=0,MIN(Übersicht!$C$31,$D95-$G95),0))</f>
        <v>0</v>
      </c>
      <c r="I95" s="28">
        <f t="shared" si="9"/>
        <v>1239.58</v>
      </c>
      <c r="J95" s="28">
        <f t="shared" si="10"/>
        <v>158579.87</v>
      </c>
      <c r="K95" s="28">
        <f t="shared" si="12"/>
        <v>52662.910000000011</v>
      </c>
      <c r="L95" s="28">
        <f t="shared" si="13"/>
        <v>91420.13</v>
      </c>
      <c r="M95" s="29">
        <f>IF($D95&lt;=0,"",IF(Übersicht!$C$11=0,0,$L95/Übersicht!$C$11))</f>
        <v>0.36568052000000001</v>
      </c>
      <c r="N95" s="30" t="str">
        <f>IF($D95&lt;=0,"",IF($J95&lt;=0.005,"Volltilgung erreicht",IF($A95=Übersicht!$C$19*Übersicht!$C$25,"Ende der Zinsbindung",IF($H95&gt;0,"Sondertilgung verrechnet",""))))</f>
        <v/>
      </c>
      <c r="Q95" s="38">
        <f>IF($S94&lt;=0,0,ROUND($S94*Übersicht!$C$26,2))</f>
        <v>570.98</v>
      </c>
      <c r="R95" s="38">
        <f>IF($S94&lt;=0,0,MIN($S94,IF(Übersicht!$C$14="Annuitätendarlehen",MAX(0,Übersicht!$C$28-$Q95),IF(Übersicht!$C$14="Ratendarlehen",Übersicht!$C$29,IF($A95&gt;=Übersicht!$C$30,$S94,0)))))</f>
        <v>668.59999999999991</v>
      </c>
      <c r="S95" s="38">
        <f>IF($S94&lt;=0,0,ROUND($S94-$R95-IF($S94-$R95&lt;=0,0,IF(MOD($A95,Übersicht!$C$25)=0,MIN(Szenarien!$C$8,$S94-$R95),0)),2))</f>
        <v>197932.22</v>
      </c>
      <c r="T95" s="38">
        <f>IF($V94&lt;=0,0,ROUND($V94*Übersicht!$C$26,2))</f>
        <v>514.57000000000005</v>
      </c>
      <c r="U95" s="38">
        <f>IF($V94&lt;=0,0,MIN($V94,IF(Übersicht!$C$14="Annuitätendarlehen",MAX(0,Übersicht!$C$28-$T95),IF(Übersicht!$C$14="Ratendarlehen",Übersicht!$C$29,IF($A95&gt;=Übersicht!$C$30,$V94,0)))))</f>
        <v>725.00999999999988</v>
      </c>
      <c r="V95" s="38">
        <f>IF($V94&lt;=0,0,ROUND($V94-$U95-IF($V94-$U95&lt;=0,0,IF(MOD($A95,Übersicht!$C$25)=0,MIN(Szenarien!$C$9,$V94-$U95),0)),2))</f>
        <v>178256.1</v>
      </c>
      <c r="W95" s="38">
        <f>IF($Y94&lt;=0,0,ROUND($Y94*Übersicht!$C$26,2))</f>
        <v>458.16</v>
      </c>
      <c r="X95" s="38">
        <f>IF($Y94&lt;=0,0,MIN($Y94,IF(Übersicht!$C$14="Annuitätendarlehen",MAX(0,Übersicht!$C$28-$W95),IF(Übersicht!$C$14="Ratendarlehen",Übersicht!$C$29,IF($A95&gt;=Übersicht!$C$30,$Y94,0)))))</f>
        <v>781.41999999999985</v>
      </c>
      <c r="Y95" s="38">
        <f>IF($Y94&lt;=0,0,ROUND($Y94-$X95-IF($Y94-$X95&lt;=0,0,IF(MOD($A95,Übersicht!$C$25)=0,MIN(Szenarien!$C$10,$Y94-$X95),0)),2))</f>
        <v>158579.87</v>
      </c>
      <c r="Z95" s="38">
        <f>IF($AB94&lt;=0,0,ROUND($AB94*Übersicht!$C$26,2))</f>
        <v>401.76</v>
      </c>
      <c r="AA95" s="38">
        <f>IF($AB94&lt;=0,0,MIN($AB94,IF(Übersicht!$C$14="Annuitätendarlehen",MAX(0,Übersicht!$C$28-$Z95),IF(Übersicht!$C$14="Ratendarlehen",Übersicht!$C$29,IF($A95&gt;=Übersicht!$C$30,$AB94,0)))))</f>
        <v>837.81999999999994</v>
      </c>
      <c r="AB95" s="38">
        <f>IF($AB94&lt;=0,0,ROUND($AB94-$AA95-IF($AB94-$AA95&lt;=0,0,IF(MOD($A95,Übersicht!$C$25)=0,MIN(Szenarien!$C$11,$AB94-$AA95),0)),2))</f>
        <v>138903.72</v>
      </c>
      <c r="AC95" s="38">
        <f>IF($AE94&lt;=0,0,ROUND($AE94*Übersicht!$C$26,2))</f>
        <v>288.94</v>
      </c>
      <c r="AD95" s="38">
        <f>IF($AE94&lt;=0,0,MIN($AE94,IF(Übersicht!$C$14="Annuitätendarlehen",MAX(0,Übersicht!$C$28-$AC95),IF(Übersicht!$C$14="Ratendarlehen",Übersicht!$C$29,IF($A95&gt;=Übersicht!$C$30,$AE94,0)))))</f>
        <v>950.63999999999987</v>
      </c>
      <c r="AE95" s="38">
        <f>IF($AE94&lt;=0,0,ROUND($AE94-$AD95-IF($AE94-$AD95&lt;=0,0,IF(MOD($A95,Übersicht!$C$25)=0,MIN(Szenarien!$C$12,$AE94-$AD95),0)),2))</f>
        <v>99551.35</v>
      </c>
    </row>
    <row r="96" spans="1:31" ht="15" customHeight="1" x14ac:dyDescent="0.25">
      <c r="A96" s="21">
        <v>89</v>
      </c>
      <c r="B96" s="36">
        <f>IF($D96&lt;=0,"",EDATE(Übersicht!$C$18,($A96-1)*12/Übersicht!$C$25))</f>
        <v>48730</v>
      </c>
      <c r="C96" s="21">
        <f t="shared" si="7"/>
        <v>2033</v>
      </c>
      <c r="D96" s="37">
        <f t="shared" si="11"/>
        <v>158579.87</v>
      </c>
      <c r="E96" s="23">
        <f t="shared" si="8"/>
        <v>1239.58</v>
      </c>
      <c r="F96" s="23">
        <f>IF($D96&lt;=0,0,ROUND($D96*Übersicht!$C$26,2))</f>
        <v>455.92</v>
      </c>
      <c r="G96" s="23">
        <f>IF($D96&lt;=0,0,MIN($D96,IF(Übersicht!$C$14="Annuitätendarlehen",MAX(0,Übersicht!$C$28-$F96),IF(Übersicht!$C$14="Ratendarlehen",Übersicht!$C$29,IF($A96&gt;=Übersicht!$C$30,$D96,0)))))</f>
        <v>783.65999999999985</v>
      </c>
      <c r="H96" s="23">
        <f>IF($D96-$G96&lt;=0,0,IF(MOD($A96,Übersicht!$C$25)=0,MIN(Übersicht!$C$31,$D96-$G96),0))</f>
        <v>0</v>
      </c>
      <c r="I96" s="23">
        <f t="shared" si="9"/>
        <v>1239.58</v>
      </c>
      <c r="J96" s="23">
        <f t="shared" si="10"/>
        <v>157796.21</v>
      </c>
      <c r="K96" s="23">
        <f t="shared" si="12"/>
        <v>53118.830000000009</v>
      </c>
      <c r="L96" s="23">
        <f t="shared" si="13"/>
        <v>92203.79</v>
      </c>
      <c r="M96" s="24">
        <f>IF($D96&lt;=0,"",IF(Übersicht!$C$11=0,0,$L96/Übersicht!$C$11))</f>
        <v>0.36881515999999998</v>
      </c>
      <c r="N96" s="25" t="str">
        <f>IF($D96&lt;=0,"",IF($J96&lt;=0.005,"Volltilgung erreicht",IF($A96=Übersicht!$C$19*Übersicht!$C$25,"Ende der Zinsbindung",IF($H96&gt;0,"Sondertilgung verrechnet",""))))</f>
        <v/>
      </c>
      <c r="Q96" s="38">
        <f>IF($S95&lt;=0,0,ROUND($S95*Übersicht!$C$26,2))</f>
        <v>569.05999999999995</v>
      </c>
      <c r="R96" s="38">
        <f>IF($S95&lt;=0,0,MIN($S95,IF(Übersicht!$C$14="Annuitätendarlehen",MAX(0,Übersicht!$C$28-$Q96),IF(Übersicht!$C$14="Ratendarlehen",Übersicht!$C$29,IF($A96&gt;=Übersicht!$C$30,$S95,0)))))</f>
        <v>670.52</v>
      </c>
      <c r="S96" s="38">
        <f>IF($S95&lt;=0,0,ROUND($S95-$R96-IF($S95-$R96&lt;=0,0,IF(MOD($A96,Übersicht!$C$25)=0,MIN(Szenarien!$C$8,$S95-$R96),0)),2))</f>
        <v>197261.7</v>
      </c>
      <c r="T96" s="38">
        <f>IF($V95&lt;=0,0,ROUND($V95*Übersicht!$C$26,2))</f>
        <v>512.49</v>
      </c>
      <c r="U96" s="38">
        <f>IF($V95&lt;=0,0,MIN($V95,IF(Übersicht!$C$14="Annuitätendarlehen",MAX(0,Übersicht!$C$28-$T96),IF(Übersicht!$C$14="Ratendarlehen",Übersicht!$C$29,IF($A96&gt;=Übersicht!$C$30,$V95,0)))))</f>
        <v>727.08999999999992</v>
      </c>
      <c r="V96" s="38">
        <f>IF($V95&lt;=0,0,ROUND($V95-$U96-IF($V95-$U96&lt;=0,0,IF(MOD($A96,Übersicht!$C$25)=0,MIN(Szenarien!$C$9,$V95-$U96),0)),2))</f>
        <v>177529.01</v>
      </c>
      <c r="W96" s="38">
        <f>IF($Y95&lt;=0,0,ROUND($Y95*Übersicht!$C$26,2))</f>
        <v>455.92</v>
      </c>
      <c r="X96" s="38">
        <f>IF($Y95&lt;=0,0,MIN($Y95,IF(Übersicht!$C$14="Annuitätendarlehen",MAX(0,Übersicht!$C$28-$W96),IF(Übersicht!$C$14="Ratendarlehen",Übersicht!$C$29,IF($A96&gt;=Übersicht!$C$30,$Y95,0)))))</f>
        <v>783.65999999999985</v>
      </c>
      <c r="Y96" s="38">
        <f>IF($Y95&lt;=0,0,ROUND($Y95-$X96-IF($Y95-$X96&lt;=0,0,IF(MOD($A96,Übersicht!$C$25)=0,MIN(Szenarien!$C$10,$Y95-$X96),0)),2))</f>
        <v>157796.21</v>
      </c>
      <c r="Z96" s="38">
        <f>IF($AB95&lt;=0,0,ROUND($AB95*Übersicht!$C$26,2))</f>
        <v>399.35</v>
      </c>
      <c r="AA96" s="38">
        <f>IF($AB95&lt;=0,0,MIN($AB95,IF(Übersicht!$C$14="Annuitätendarlehen",MAX(0,Übersicht!$C$28-$Z96),IF(Übersicht!$C$14="Ratendarlehen",Übersicht!$C$29,IF($A96&gt;=Übersicht!$C$30,$AB95,0)))))</f>
        <v>840.2299999999999</v>
      </c>
      <c r="AB96" s="38">
        <f>IF($AB95&lt;=0,0,ROUND($AB95-$AA96-IF($AB95-$AA96&lt;=0,0,IF(MOD($A96,Übersicht!$C$25)=0,MIN(Szenarien!$C$11,$AB95-$AA96),0)),2))</f>
        <v>138063.49</v>
      </c>
      <c r="AC96" s="38">
        <f>IF($AE95&lt;=0,0,ROUND($AE95*Übersicht!$C$26,2))</f>
        <v>286.20999999999998</v>
      </c>
      <c r="AD96" s="38">
        <f>IF($AE95&lt;=0,0,MIN($AE95,IF(Übersicht!$C$14="Annuitätendarlehen",MAX(0,Übersicht!$C$28-$AC96),IF(Übersicht!$C$14="Ratendarlehen",Übersicht!$C$29,IF($A96&gt;=Übersicht!$C$30,$AE95,0)))))</f>
        <v>953.36999999999989</v>
      </c>
      <c r="AE96" s="38">
        <f>IF($AE95&lt;=0,0,ROUND($AE95-$AD96-IF($AE95-$AD96&lt;=0,0,IF(MOD($A96,Übersicht!$C$25)=0,MIN(Szenarien!$C$12,$AE95-$AD96),0)),2))</f>
        <v>98597.98</v>
      </c>
    </row>
    <row r="97" spans="1:31" ht="15" customHeight="1" x14ac:dyDescent="0.25">
      <c r="A97" s="26">
        <v>90</v>
      </c>
      <c r="B97" s="39">
        <f>IF($D97&lt;=0,"",EDATE(Übersicht!$C$18,($A97-1)*12/Übersicht!$C$25))</f>
        <v>48760</v>
      </c>
      <c r="C97" s="26">
        <f t="shared" si="7"/>
        <v>2033</v>
      </c>
      <c r="D97" s="40">
        <f t="shared" si="11"/>
        <v>157796.21</v>
      </c>
      <c r="E97" s="28">
        <f t="shared" si="8"/>
        <v>1239.58</v>
      </c>
      <c r="F97" s="28">
        <f>IF($D97&lt;=0,0,ROUND($D97*Übersicht!$C$26,2))</f>
        <v>453.66</v>
      </c>
      <c r="G97" s="28">
        <f>IF($D97&lt;=0,0,MIN($D97,IF(Übersicht!$C$14="Annuitätendarlehen",MAX(0,Übersicht!$C$28-$F97),IF(Übersicht!$C$14="Ratendarlehen",Übersicht!$C$29,IF($A97&gt;=Übersicht!$C$30,$D97,0)))))</f>
        <v>785.91999999999985</v>
      </c>
      <c r="H97" s="28">
        <f>IF($D97-$G97&lt;=0,0,IF(MOD($A97,Übersicht!$C$25)=0,MIN(Übersicht!$C$31,$D97-$G97),0))</f>
        <v>0</v>
      </c>
      <c r="I97" s="28">
        <f t="shared" si="9"/>
        <v>1239.58</v>
      </c>
      <c r="J97" s="28">
        <f t="shared" si="10"/>
        <v>157010.29</v>
      </c>
      <c r="K97" s="28">
        <f t="shared" si="12"/>
        <v>53572.490000000013</v>
      </c>
      <c r="L97" s="28">
        <f t="shared" si="13"/>
        <v>92989.71</v>
      </c>
      <c r="M97" s="29">
        <f>IF($D97&lt;=0,"",IF(Übersicht!$C$11=0,0,$L97/Übersicht!$C$11))</f>
        <v>0.37195884000000001</v>
      </c>
      <c r="N97" s="30" t="str">
        <f>IF($D97&lt;=0,"",IF($J97&lt;=0.005,"Volltilgung erreicht",IF($A97=Übersicht!$C$19*Übersicht!$C$25,"Ende der Zinsbindung",IF($H97&gt;0,"Sondertilgung verrechnet",""))))</f>
        <v/>
      </c>
      <c r="Q97" s="38">
        <f>IF($S96&lt;=0,0,ROUND($S96*Übersicht!$C$26,2))</f>
        <v>567.13</v>
      </c>
      <c r="R97" s="38">
        <f>IF($S96&lt;=0,0,MIN($S96,IF(Übersicht!$C$14="Annuitätendarlehen",MAX(0,Übersicht!$C$28-$Q97),IF(Übersicht!$C$14="Ratendarlehen",Übersicht!$C$29,IF($A97&gt;=Übersicht!$C$30,$S96,0)))))</f>
        <v>672.44999999999993</v>
      </c>
      <c r="S97" s="38">
        <f>IF($S96&lt;=0,0,ROUND($S96-$R97-IF($S96-$R97&lt;=0,0,IF(MOD($A97,Übersicht!$C$25)=0,MIN(Szenarien!$C$8,$S96-$R97),0)),2))</f>
        <v>196589.25</v>
      </c>
      <c r="T97" s="38">
        <f>IF($V96&lt;=0,0,ROUND($V96*Übersicht!$C$26,2))</f>
        <v>510.4</v>
      </c>
      <c r="U97" s="38">
        <f>IF($V96&lt;=0,0,MIN($V96,IF(Übersicht!$C$14="Annuitätendarlehen",MAX(0,Übersicht!$C$28-$T97),IF(Übersicht!$C$14="Ratendarlehen",Übersicht!$C$29,IF($A97&gt;=Übersicht!$C$30,$V96,0)))))</f>
        <v>729.18</v>
      </c>
      <c r="V97" s="38">
        <f>IF($V96&lt;=0,0,ROUND($V96-$U97-IF($V96-$U97&lt;=0,0,IF(MOD($A97,Übersicht!$C$25)=0,MIN(Szenarien!$C$9,$V96-$U97),0)),2))</f>
        <v>176799.83</v>
      </c>
      <c r="W97" s="38">
        <f>IF($Y96&lt;=0,0,ROUND($Y96*Übersicht!$C$26,2))</f>
        <v>453.66</v>
      </c>
      <c r="X97" s="38">
        <f>IF($Y96&lt;=0,0,MIN($Y96,IF(Übersicht!$C$14="Annuitätendarlehen",MAX(0,Übersicht!$C$28-$W97),IF(Übersicht!$C$14="Ratendarlehen",Übersicht!$C$29,IF($A97&gt;=Übersicht!$C$30,$Y96,0)))))</f>
        <v>785.91999999999985</v>
      </c>
      <c r="Y97" s="38">
        <f>IF($Y96&lt;=0,0,ROUND($Y96-$X97-IF($Y96-$X97&lt;=0,0,IF(MOD($A97,Übersicht!$C$25)=0,MIN(Szenarien!$C$10,$Y96-$X97),0)),2))</f>
        <v>157010.29</v>
      </c>
      <c r="Z97" s="38">
        <f>IF($AB96&lt;=0,0,ROUND($AB96*Übersicht!$C$26,2))</f>
        <v>396.93</v>
      </c>
      <c r="AA97" s="38">
        <f>IF($AB96&lt;=0,0,MIN($AB96,IF(Übersicht!$C$14="Annuitätendarlehen",MAX(0,Übersicht!$C$28-$Z97),IF(Übersicht!$C$14="Ratendarlehen",Übersicht!$C$29,IF($A97&gt;=Übersicht!$C$30,$AB96,0)))))</f>
        <v>842.64999999999986</v>
      </c>
      <c r="AB97" s="38">
        <f>IF($AB96&lt;=0,0,ROUND($AB96-$AA97-IF($AB96-$AA97&lt;=0,0,IF(MOD($A97,Übersicht!$C$25)=0,MIN(Szenarien!$C$11,$AB96-$AA97),0)),2))</f>
        <v>137220.84</v>
      </c>
      <c r="AC97" s="38">
        <f>IF($AE96&lt;=0,0,ROUND($AE96*Übersicht!$C$26,2))</f>
        <v>283.47000000000003</v>
      </c>
      <c r="AD97" s="38">
        <f>IF($AE96&lt;=0,0,MIN($AE96,IF(Übersicht!$C$14="Annuitätendarlehen",MAX(0,Übersicht!$C$28-$AC97),IF(Übersicht!$C$14="Ratendarlehen",Übersicht!$C$29,IF($A97&gt;=Übersicht!$C$30,$AE96,0)))))</f>
        <v>956.1099999999999</v>
      </c>
      <c r="AE97" s="38">
        <f>IF($AE96&lt;=0,0,ROUND($AE96-$AD97-IF($AE96-$AD97&lt;=0,0,IF(MOD($A97,Übersicht!$C$25)=0,MIN(Szenarien!$C$12,$AE96-$AD97),0)),2))</f>
        <v>97641.87</v>
      </c>
    </row>
    <row r="98" spans="1:31" ht="15" customHeight="1" x14ac:dyDescent="0.25">
      <c r="A98" s="21">
        <v>91</v>
      </c>
      <c r="B98" s="36">
        <f>IF($D98&lt;=0,"",EDATE(Übersicht!$C$18,($A98-1)*12/Übersicht!$C$25))</f>
        <v>48791</v>
      </c>
      <c r="C98" s="21">
        <f t="shared" si="7"/>
        <v>2033</v>
      </c>
      <c r="D98" s="37">
        <f t="shared" si="11"/>
        <v>157010.29</v>
      </c>
      <c r="E98" s="23">
        <f t="shared" si="8"/>
        <v>1239.58</v>
      </c>
      <c r="F98" s="23">
        <f>IF($D98&lt;=0,0,ROUND($D98*Übersicht!$C$26,2))</f>
        <v>451.4</v>
      </c>
      <c r="G98" s="23">
        <f>IF($D98&lt;=0,0,MIN($D98,IF(Übersicht!$C$14="Annuitätendarlehen",MAX(0,Übersicht!$C$28-$F98),IF(Übersicht!$C$14="Ratendarlehen",Übersicht!$C$29,IF($A98&gt;=Übersicht!$C$30,$D98,0)))))</f>
        <v>788.18</v>
      </c>
      <c r="H98" s="23">
        <f>IF($D98-$G98&lt;=0,0,IF(MOD($A98,Übersicht!$C$25)=0,MIN(Übersicht!$C$31,$D98-$G98),0))</f>
        <v>0</v>
      </c>
      <c r="I98" s="23">
        <f t="shared" si="9"/>
        <v>1239.58</v>
      </c>
      <c r="J98" s="23">
        <f t="shared" si="10"/>
        <v>156222.10999999999</v>
      </c>
      <c r="K98" s="23">
        <f t="shared" si="12"/>
        <v>54023.890000000014</v>
      </c>
      <c r="L98" s="23">
        <f t="shared" si="13"/>
        <v>93777.89</v>
      </c>
      <c r="M98" s="24">
        <f>IF($D98&lt;=0,"",IF(Übersicht!$C$11=0,0,$L98/Übersicht!$C$11))</f>
        <v>0.37511156000000001</v>
      </c>
      <c r="N98" s="25" t="str">
        <f>IF($D98&lt;=0,"",IF($J98&lt;=0.005,"Volltilgung erreicht",IF($A98=Übersicht!$C$19*Übersicht!$C$25,"Ende der Zinsbindung",IF($H98&gt;0,"Sondertilgung verrechnet",""))))</f>
        <v/>
      </c>
      <c r="Q98" s="38">
        <f>IF($S97&lt;=0,0,ROUND($S97*Übersicht!$C$26,2))</f>
        <v>565.19000000000005</v>
      </c>
      <c r="R98" s="38">
        <f>IF($S97&lt;=0,0,MIN($S97,IF(Übersicht!$C$14="Annuitätendarlehen",MAX(0,Übersicht!$C$28-$Q98),IF(Übersicht!$C$14="Ratendarlehen",Übersicht!$C$29,IF($A98&gt;=Übersicht!$C$30,$S97,0)))))</f>
        <v>674.38999999999987</v>
      </c>
      <c r="S98" s="38">
        <f>IF($S97&lt;=0,0,ROUND($S97-$R98-IF($S97-$R98&lt;=0,0,IF(MOD($A98,Übersicht!$C$25)=0,MIN(Szenarien!$C$8,$S97-$R98),0)),2))</f>
        <v>195914.86</v>
      </c>
      <c r="T98" s="38">
        <f>IF($V97&lt;=0,0,ROUND($V97*Übersicht!$C$26,2))</f>
        <v>508.3</v>
      </c>
      <c r="U98" s="38">
        <f>IF($V97&lt;=0,0,MIN($V97,IF(Übersicht!$C$14="Annuitätendarlehen",MAX(0,Übersicht!$C$28-$T98),IF(Übersicht!$C$14="Ratendarlehen",Übersicht!$C$29,IF($A98&gt;=Übersicht!$C$30,$V97,0)))))</f>
        <v>731.28</v>
      </c>
      <c r="V98" s="38">
        <f>IF($V97&lt;=0,0,ROUND($V97-$U98-IF($V97-$U98&lt;=0,0,IF(MOD($A98,Übersicht!$C$25)=0,MIN(Szenarien!$C$9,$V97-$U98),0)),2))</f>
        <v>176068.55</v>
      </c>
      <c r="W98" s="38">
        <f>IF($Y97&lt;=0,0,ROUND($Y97*Übersicht!$C$26,2))</f>
        <v>451.4</v>
      </c>
      <c r="X98" s="38">
        <f>IF($Y97&lt;=0,0,MIN($Y97,IF(Übersicht!$C$14="Annuitätendarlehen",MAX(0,Übersicht!$C$28-$W98),IF(Übersicht!$C$14="Ratendarlehen",Übersicht!$C$29,IF($A98&gt;=Übersicht!$C$30,$Y97,0)))))</f>
        <v>788.18</v>
      </c>
      <c r="Y98" s="38">
        <f>IF($Y97&lt;=0,0,ROUND($Y97-$X98-IF($Y97-$X98&lt;=0,0,IF(MOD($A98,Übersicht!$C$25)=0,MIN(Szenarien!$C$10,$Y97-$X98),0)),2))</f>
        <v>156222.10999999999</v>
      </c>
      <c r="Z98" s="38">
        <f>IF($AB97&lt;=0,0,ROUND($AB97*Übersicht!$C$26,2))</f>
        <v>394.51</v>
      </c>
      <c r="AA98" s="38">
        <f>IF($AB97&lt;=0,0,MIN($AB97,IF(Übersicht!$C$14="Annuitätendarlehen",MAX(0,Übersicht!$C$28-$Z98),IF(Übersicht!$C$14="Ratendarlehen",Übersicht!$C$29,IF($A98&gt;=Übersicht!$C$30,$AB97,0)))))</f>
        <v>845.06999999999994</v>
      </c>
      <c r="AB98" s="38">
        <f>IF($AB97&lt;=0,0,ROUND($AB97-$AA98-IF($AB97-$AA98&lt;=0,0,IF(MOD($A98,Übersicht!$C$25)=0,MIN(Szenarien!$C$11,$AB97-$AA98),0)),2))</f>
        <v>136375.76999999999</v>
      </c>
      <c r="AC98" s="38">
        <f>IF($AE97&lt;=0,0,ROUND($AE97*Übersicht!$C$26,2))</f>
        <v>280.72000000000003</v>
      </c>
      <c r="AD98" s="38">
        <f>IF($AE97&lt;=0,0,MIN($AE97,IF(Übersicht!$C$14="Annuitätendarlehen",MAX(0,Übersicht!$C$28-$AC98),IF(Übersicht!$C$14="Ratendarlehen",Übersicht!$C$29,IF($A98&gt;=Übersicht!$C$30,$AE97,0)))))</f>
        <v>958.8599999999999</v>
      </c>
      <c r="AE98" s="38">
        <f>IF($AE97&lt;=0,0,ROUND($AE97-$AD98-IF($AE97-$AD98&lt;=0,0,IF(MOD($A98,Übersicht!$C$25)=0,MIN(Szenarien!$C$12,$AE97-$AD98),0)),2))</f>
        <v>96683.01</v>
      </c>
    </row>
    <row r="99" spans="1:31" ht="15" customHeight="1" x14ac:dyDescent="0.25">
      <c r="A99" s="26">
        <v>92</v>
      </c>
      <c r="B99" s="39">
        <f>IF($D99&lt;=0,"",EDATE(Übersicht!$C$18,($A99-1)*12/Übersicht!$C$25))</f>
        <v>48822</v>
      </c>
      <c r="C99" s="26">
        <f t="shared" si="7"/>
        <v>2033</v>
      </c>
      <c r="D99" s="40">
        <f t="shared" si="11"/>
        <v>156222.10999999999</v>
      </c>
      <c r="E99" s="28">
        <f t="shared" si="8"/>
        <v>1239.58</v>
      </c>
      <c r="F99" s="28">
        <f>IF($D99&lt;=0,0,ROUND($D99*Übersicht!$C$26,2))</f>
        <v>449.14</v>
      </c>
      <c r="G99" s="28">
        <f>IF($D99&lt;=0,0,MIN($D99,IF(Übersicht!$C$14="Annuitätendarlehen",MAX(0,Übersicht!$C$28-$F99),IF(Übersicht!$C$14="Ratendarlehen",Übersicht!$C$29,IF($A99&gt;=Übersicht!$C$30,$D99,0)))))</f>
        <v>790.43999999999994</v>
      </c>
      <c r="H99" s="28">
        <f>IF($D99-$G99&lt;=0,0,IF(MOD($A99,Übersicht!$C$25)=0,MIN(Übersicht!$C$31,$D99-$G99),0))</f>
        <v>0</v>
      </c>
      <c r="I99" s="28">
        <f t="shared" si="9"/>
        <v>1239.58</v>
      </c>
      <c r="J99" s="28">
        <f t="shared" si="10"/>
        <v>155431.67000000001</v>
      </c>
      <c r="K99" s="28">
        <f t="shared" si="12"/>
        <v>54473.030000000013</v>
      </c>
      <c r="L99" s="28">
        <f t="shared" si="13"/>
        <v>94568.33</v>
      </c>
      <c r="M99" s="29">
        <f>IF($D99&lt;=0,"",IF(Übersicht!$C$11=0,0,$L99/Übersicht!$C$11))</f>
        <v>0.37827332000000002</v>
      </c>
      <c r="N99" s="30" t="str">
        <f>IF($D99&lt;=0,"",IF($J99&lt;=0.005,"Volltilgung erreicht",IF($A99=Übersicht!$C$19*Übersicht!$C$25,"Ende der Zinsbindung",IF($H99&gt;0,"Sondertilgung verrechnet",""))))</f>
        <v/>
      </c>
      <c r="Q99" s="38">
        <f>IF($S98&lt;=0,0,ROUND($S98*Übersicht!$C$26,2))</f>
        <v>563.26</v>
      </c>
      <c r="R99" s="38">
        <f>IF($S98&lt;=0,0,MIN($S98,IF(Übersicht!$C$14="Annuitätendarlehen",MAX(0,Übersicht!$C$28-$Q99),IF(Übersicht!$C$14="Ratendarlehen",Übersicht!$C$29,IF($A99&gt;=Übersicht!$C$30,$S98,0)))))</f>
        <v>676.31999999999994</v>
      </c>
      <c r="S99" s="38">
        <f>IF($S98&lt;=0,0,ROUND($S98-$R99-IF($S98-$R99&lt;=0,0,IF(MOD($A99,Übersicht!$C$25)=0,MIN(Szenarien!$C$8,$S98-$R99),0)),2))</f>
        <v>195238.54</v>
      </c>
      <c r="T99" s="38">
        <f>IF($V98&lt;=0,0,ROUND($V98*Übersicht!$C$26,2))</f>
        <v>506.2</v>
      </c>
      <c r="U99" s="38">
        <f>IF($V98&lt;=0,0,MIN($V98,IF(Übersicht!$C$14="Annuitätendarlehen",MAX(0,Übersicht!$C$28-$T99),IF(Übersicht!$C$14="Ratendarlehen",Übersicht!$C$29,IF($A99&gt;=Übersicht!$C$30,$V98,0)))))</f>
        <v>733.37999999999988</v>
      </c>
      <c r="V99" s="38">
        <f>IF($V98&lt;=0,0,ROUND($V98-$U99-IF($V98-$U99&lt;=0,0,IF(MOD($A99,Übersicht!$C$25)=0,MIN(Szenarien!$C$9,$V98-$U99),0)),2))</f>
        <v>175335.17</v>
      </c>
      <c r="W99" s="38">
        <f>IF($Y98&lt;=0,0,ROUND($Y98*Übersicht!$C$26,2))</f>
        <v>449.14</v>
      </c>
      <c r="X99" s="38">
        <f>IF($Y98&lt;=0,0,MIN($Y98,IF(Übersicht!$C$14="Annuitätendarlehen",MAX(0,Übersicht!$C$28-$W99),IF(Übersicht!$C$14="Ratendarlehen",Übersicht!$C$29,IF($A99&gt;=Übersicht!$C$30,$Y98,0)))))</f>
        <v>790.43999999999994</v>
      </c>
      <c r="Y99" s="38">
        <f>IF($Y98&lt;=0,0,ROUND($Y98-$X99-IF($Y98-$X99&lt;=0,0,IF(MOD($A99,Übersicht!$C$25)=0,MIN(Szenarien!$C$10,$Y98-$X99),0)),2))</f>
        <v>155431.67000000001</v>
      </c>
      <c r="Z99" s="38">
        <f>IF($AB98&lt;=0,0,ROUND($AB98*Übersicht!$C$26,2))</f>
        <v>392.08</v>
      </c>
      <c r="AA99" s="38">
        <f>IF($AB98&lt;=0,0,MIN($AB98,IF(Übersicht!$C$14="Annuitätendarlehen",MAX(0,Übersicht!$C$28-$Z99),IF(Übersicht!$C$14="Ratendarlehen",Übersicht!$C$29,IF($A99&gt;=Übersicht!$C$30,$AB98,0)))))</f>
        <v>847.5</v>
      </c>
      <c r="AB99" s="38">
        <f>IF($AB98&lt;=0,0,ROUND($AB98-$AA99-IF($AB98-$AA99&lt;=0,0,IF(MOD($A99,Übersicht!$C$25)=0,MIN(Szenarien!$C$11,$AB98-$AA99),0)),2))</f>
        <v>135528.26999999999</v>
      </c>
      <c r="AC99" s="38">
        <f>IF($AE98&lt;=0,0,ROUND($AE98*Übersicht!$C$26,2))</f>
        <v>277.95999999999998</v>
      </c>
      <c r="AD99" s="38">
        <f>IF($AE98&lt;=0,0,MIN($AE98,IF(Übersicht!$C$14="Annuitätendarlehen",MAX(0,Übersicht!$C$28-$AC99),IF(Übersicht!$C$14="Ratendarlehen",Übersicht!$C$29,IF($A99&gt;=Übersicht!$C$30,$AE98,0)))))</f>
        <v>961.61999999999989</v>
      </c>
      <c r="AE99" s="38">
        <f>IF($AE98&lt;=0,0,ROUND($AE98-$AD99-IF($AE98-$AD99&lt;=0,0,IF(MOD($A99,Übersicht!$C$25)=0,MIN(Szenarien!$C$12,$AE98-$AD99),0)),2))</f>
        <v>95721.39</v>
      </c>
    </row>
    <row r="100" spans="1:31" ht="15" customHeight="1" x14ac:dyDescent="0.25">
      <c r="A100" s="21">
        <v>93</v>
      </c>
      <c r="B100" s="36">
        <f>IF($D100&lt;=0,"",EDATE(Übersicht!$C$18,($A100-1)*12/Übersicht!$C$25))</f>
        <v>48852</v>
      </c>
      <c r="C100" s="21">
        <f t="shared" si="7"/>
        <v>2033</v>
      </c>
      <c r="D100" s="37">
        <f t="shared" si="11"/>
        <v>155431.67000000001</v>
      </c>
      <c r="E100" s="23">
        <f t="shared" si="8"/>
        <v>1239.58</v>
      </c>
      <c r="F100" s="23">
        <f>IF($D100&lt;=0,0,ROUND($D100*Übersicht!$C$26,2))</f>
        <v>446.87</v>
      </c>
      <c r="G100" s="23">
        <f>IF($D100&lt;=0,0,MIN($D100,IF(Übersicht!$C$14="Annuitätendarlehen",MAX(0,Übersicht!$C$28-$F100),IF(Übersicht!$C$14="Ratendarlehen",Übersicht!$C$29,IF($A100&gt;=Übersicht!$C$30,$D100,0)))))</f>
        <v>792.70999999999992</v>
      </c>
      <c r="H100" s="23">
        <f>IF($D100-$G100&lt;=0,0,IF(MOD($A100,Übersicht!$C$25)=0,MIN(Übersicht!$C$31,$D100-$G100),0))</f>
        <v>0</v>
      </c>
      <c r="I100" s="23">
        <f t="shared" si="9"/>
        <v>1239.58</v>
      </c>
      <c r="J100" s="23">
        <f t="shared" si="10"/>
        <v>154638.96</v>
      </c>
      <c r="K100" s="23">
        <f t="shared" si="12"/>
        <v>54919.900000000016</v>
      </c>
      <c r="L100" s="23">
        <f t="shared" si="13"/>
        <v>95361.04</v>
      </c>
      <c r="M100" s="24">
        <f>IF($D100&lt;=0,"",IF(Übersicht!$C$11=0,0,$L100/Übersicht!$C$11))</f>
        <v>0.38144415999999998</v>
      </c>
      <c r="N100" s="25" t="str">
        <f>IF($D100&lt;=0,"",IF($J100&lt;=0.005,"Volltilgung erreicht",IF($A100=Übersicht!$C$19*Übersicht!$C$25,"Ende der Zinsbindung",IF($H100&gt;0,"Sondertilgung verrechnet",""))))</f>
        <v/>
      </c>
      <c r="Q100" s="38">
        <f>IF($S99&lt;=0,0,ROUND($S99*Übersicht!$C$26,2))</f>
        <v>561.30999999999995</v>
      </c>
      <c r="R100" s="38">
        <f>IF($S99&lt;=0,0,MIN($S99,IF(Übersicht!$C$14="Annuitätendarlehen",MAX(0,Übersicht!$C$28-$Q100),IF(Übersicht!$C$14="Ratendarlehen",Übersicht!$C$29,IF($A100&gt;=Übersicht!$C$30,$S99,0)))))</f>
        <v>678.27</v>
      </c>
      <c r="S100" s="38">
        <f>IF($S99&lt;=0,0,ROUND($S99-$R100-IF($S99-$R100&lt;=0,0,IF(MOD($A100,Übersicht!$C$25)=0,MIN(Szenarien!$C$8,$S99-$R100),0)),2))</f>
        <v>194560.27</v>
      </c>
      <c r="T100" s="38">
        <f>IF($V99&lt;=0,0,ROUND($V99*Übersicht!$C$26,2))</f>
        <v>504.09</v>
      </c>
      <c r="U100" s="38">
        <f>IF($V99&lt;=0,0,MIN($V99,IF(Übersicht!$C$14="Annuitätendarlehen",MAX(0,Übersicht!$C$28-$T100),IF(Übersicht!$C$14="Ratendarlehen",Übersicht!$C$29,IF($A100&gt;=Übersicht!$C$30,$V99,0)))))</f>
        <v>735.49</v>
      </c>
      <c r="V100" s="38">
        <f>IF($V99&lt;=0,0,ROUND($V99-$U100-IF($V99-$U100&lt;=0,0,IF(MOD($A100,Übersicht!$C$25)=0,MIN(Szenarien!$C$9,$V99-$U100),0)),2))</f>
        <v>174599.67999999999</v>
      </c>
      <c r="W100" s="38">
        <f>IF($Y99&lt;=0,0,ROUND($Y99*Übersicht!$C$26,2))</f>
        <v>446.87</v>
      </c>
      <c r="X100" s="38">
        <f>IF($Y99&lt;=0,0,MIN($Y99,IF(Übersicht!$C$14="Annuitätendarlehen",MAX(0,Übersicht!$C$28-$W100),IF(Übersicht!$C$14="Ratendarlehen",Übersicht!$C$29,IF($A100&gt;=Übersicht!$C$30,$Y99,0)))))</f>
        <v>792.70999999999992</v>
      </c>
      <c r="Y100" s="38">
        <f>IF($Y99&lt;=0,0,ROUND($Y99-$X100-IF($Y99-$X100&lt;=0,0,IF(MOD($A100,Übersicht!$C$25)=0,MIN(Szenarien!$C$10,$Y99-$X100),0)),2))</f>
        <v>154638.96</v>
      </c>
      <c r="Z100" s="38">
        <f>IF($AB99&lt;=0,0,ROUND($AB99*Übersicht!$C$26,2))</f>
        <v>389.64</v>
      </c>
      <c r="AA100" s="38">
        <f>IF($AB99&lt;=0,0,MIN($AB99,IF(Übersicht!$C$14="Annuitätendarlehen",MAX(0,Übersicht!$C$28-$Z100),IF(Übersicht!$C$14="Ratendarlehen",Übersicht!$C$29,IF($A100&gt;=Übersicht!$C$30,$AB99,0)))))</f>
        <v>849.93999999999994</v>
      </c>
      <c r="AB100" s="38">
        <f>IF($AB99&lt;=0,0,ROUND($AB99-$AA100-IF($AB99-$AA100&lt;=0,0,IF(MOD($A100,Übersicht!$C$25)=0,MIN(Szenarien!$C$11,$AB99-$AA100),0)),2))</f>
        <v>134678.32999999999</v>
      </c>
      <c r="AC100" s="38">
        <f>IF($AE99&lt;=0,0,ROUND($AE99*Übersicht!$C$26,2))</f>
        <v>275.2</v>
      </c>
      <c r="AD100" s="38">
        <f>IF($AE99&lt;=0,0,MIN($AE99,IF(Übersicht!$C$14="Annuitätendarlehen",MAX(0,Übersicht!$C$28-$AC100),IF(Übersicht!$C$14="Ratendarlehen",Übersicht!$C$29,IF($A100&gt;=Übersicht!$C$30,$AE99,0)))))</f>
        <v>964.37999999999988</v>
      </c>
      <c r="AE100" s="38">
        <f>IF($AE99&lt;=0,0,ROUND($AE99-$AD100-IF($AE99-$AD100&lt;=0,0,IF(MOD($A100,Übersicht!$C$25)=0,MIN(Szenarien!$C$12,$AE99-$AD100),0)),2))</f>
        <v>94757.01</v>
      </c>
    </row>
    <row r="101" spans="1:31" ht="15" customHeight="1" x14ac:dyDescent="0.25">
      <c r="A101" s="26">
        <v>94</v>
      </c>
      <c r="B101" s="39">
        <f>IF($D101&lt;=0,"",EDATE(Übersicht!$C$18,($A101-1)*12/Übersicht!$C$25))</f>
        <v>48883</v>
      </c>
      <c r="C101" s="26">
        <f t="shared" si="7"/>
        <v>2033</v>
      </c>
      <c r="D101" s="40">
        <f t="shared" si="11"/>
        <v>154638.96</v>
      </c>
      <c r="E101" s="28">
        <f t="shared" si="8"/>
        <v>1239.58</v>
      </c>
      <c r="F101" s="28">
        <f>IF($D101&lt;=0,0,ROUND($D101*Übersicht!$C$26,2))</f>
        <v>444.59</v>
      </c>
      <c r="G101" s="28">
        <f>IF($D101&lt;=0,0,MIN($D101,IF(Übersicht!$C$14="Annuitätendarlehen",MAX(0,Übersicht!$C$28-$F101),IF(Übersicht!$C$14="Ratendarlehen",Übersicht!$C$29,IF($A101&gt;=Übersicht!$C$30,$D101,0)))))</f>
        <v>794.99</v>
      </c>
      <c r="H101" s="28">
        <f>IF($D101-$G101&lt;=0,0,IF(MOD($A101,Übersicht!$C$25)=0,MIN(Übersicht!$C$31,$D101-$G101),0))</f>
        <v>0</v>
      </c>
      <c r="I101" s="28">
        <f t="shared" si="9"/>
        <v>1239.58</v>
      </c>
      <c r="J101" s="28">
        <f t="shared" si="10"/>
        <v>153843.97</v>
      </c>
      <c r="K101" s="28">
        <f t="shared" si="12"/>
        <v>55364.490000000013</v>
      </c>
      <c r="L101" s="28">
        <f t="shared" si="13"/>
        <v>96156.03</v>
      </c>
      <c r="M101" s="29">
        <f>IF($D101&lt;=0,"",IF(Übersicht!$C$11=0,0,$L101/Übersicht!$C$11))</f>
        <v>0.38462412000000001</v>
      </c>
      <c r="N101" s="30" t="str">
        <f>IF($D101&lt;=0,"",IF($J101&lt;=0.005,"Volltilgung erreicht",IF($A101=Übersicht!$C$19*Übersicht!$C$25,"Ende der Zinsbindung",IF($H101&gt;0,"Sondertilgung verrechnet",""))))</f>
        <v/>
      </c>
      <c r="Q101" s="38">
        <f>IF($S100&lt;=0,0,ROUND($S100*Übersicht!$C$26,2))</f>
        <v>559.36</v>
      </c>
      <c r="R101" s="38">
        <f>IF($S100&lt;=0,0,MIN($S100,IF(Übersicht!$C$14="Annuitätendarlehen",MAX(0,Übersicht!$C$28-$Q101),IF(Übersicht!$C$14="Ratendarlehen",Übersicht!$C$29,IF($A101&gt;=Übersicht!$C$30,$S100,0)))))</f>
        <v>680.21999999999991</v>
      </c>
      <c r="S101" s="38">
        <f>IF($S100&lt;=0,0,ROUND($S100-$R101-IF($S100-$R101&lt;=0,0,IF(MOD($A101,Übersicht!$C$25)=0,MIN(Szenarien!$C$8,$S100-$R101),0)),2))</f>
        <v>193880.05</v>
      </c>
      <c r="T101" s="38">
        <f>IF($V100&lt;=0,0,ROUND($V100*Übersicht!$C$26,2))</f>
        <v>501.97</v>
      </c>
      <c r="U101" s="38">
        <f>IF($V100&lt;=0,0,MIN($V100,IF(Übersicht!$C$14="Annuitätendarlehen",MAX(0,Übersicht!$C$28-$T101),IF(Übersicht!$C$14="Ratendarlehen",Übersicht!$C$29,IF($A101&gt;=Übersicht!$C$30,$V100,0)))))</f>
        <v>737.6099999999999</v>
      </c>
      <c r="V101" s="38">
        <f>IF($V100&lt;=0,0,ROUND($V100-$U101-IF($V100-$U101&lt;=0,0,IF(MOD($A101,Übersicht!$C$25)=0,MIN(Szenarien!$C$9,$V100-$U101),0)),2))</f>
        <v>173862.07</v>
      </c>
      <c r="W101" s="38">
        <f>IF($Y100&lt;=0,0,ROUND($Y100*Übersicht!$C$26,2))</f>
        <v>444.59</v>
      </c>
      <c r="X101" s="38">
        <f>IF($Y100&lt;=0,0,MIN($Y100,IF(Übersicht!$C$14="Annuitätendarlehen",MAX(0,Übersicht!$C$28-$W101),IF(Übersicht!$C$14="Ratendarlehen",Übersicht!$C$29,IF($A101&gt;=Übersicht!$C$30,$Y100,0)))))</f>
        <v>794.99</v>
      </c>
      <c r="Y101" s="38">
        <f>IF($Y100&lt;=0,0,ROUND($Y100-$X101-IF($Y100-$X101&lt;=0,0,IF(MOD($A101,Übersicht!$C$25)=0,MIN(Szenarien!$C$10,$Y100-$X101),0)),2))</f>
        <v>153843.97</v>
      </c>
      <c r="Z101" s="38">
        <f>IF($AB100&lt;=0,0,ROUND($AB100*Übersicht!$C$26,2))</f>
        <v>387.2</v>
      </c>
      <c r="AA101" s="38">
        <f>IF($AB100&lt;=0,0,MIN($AB100,IF(Übersicht!$C$14="Annuitätendarlehen",MAX(0,Übersicht!$C$28-$Z101),IF(Übersicht!$C$14="Ratendarlehen",Übersicht!$C$29,IF($A101&gt;=Übersicht!$C$30,$AB100,0)))))</f>
        <v>852.37999999999988</v>
      </c>
      <c r="AB101" s="38">
        <f>IF($AB100&lt;=0,0,ROUND($AB100-$AA101-IF($AB100-$AA101&lt;=0,0,IF(MOD($A101,Übersicht!$C$25)=0,MIN(Szenarien!$C$11,$AB100-$AA101),0)),2))</f>
        <v>133825.95000000001</v>
      </c>
      <c r="AC101" s="38">
        <f>IF($AE100&lt;=0,0,ROUND($AE100*Übersicht!$C$26,2))</f>
        <v>272.43</v>
      </c>
      <c r="AD101" s="38">
        <f>IF($AE100&lt;=0,0,MIN($AE100,IF(Übersicht!$C$14="Annuitätendarlehen",MAX(0,Übersicht!$C$28-$AC101),IF(Übersicht!$C$14="Ratendarlehen",Übersicht!$C$29,IF($A101&gt;=Übersicht!$C$30,$AE100,0)))))</f>
        <v>967.14999999999986</v>
      </c>
      <c r="AE101" s="38">
        <f>IF($AE100&lt;=0,0,ROUND($AE100-$AD101-IF($AE100-$AD101&lt;=0,0,IF(MOD($A101,Übersicht!$C$25)=0,MIN(Szenarien!$C$12,$AE100-$AD101),0)),2))</f>
        <v>93789.86</v>
      </c>
    </row>
    <row r="102" spans="1:31" ht="15" customHeight="1" x14ac:dyDescent="0.25">
      <c r="A102" s="21">
        <v>95</v>
      </c>
      <c r="B102" s="36">
        <f>IF($D102&lt;=0,"",EDATE(Übersicht!$C$18,($A102-1)*12/Übersicht!$C$25))</f>
        <v>48913</v>
      </c>
      <c r="C102" s="21">
        <f t="shared" si="7"/>
        <v>2033</v>
      </c>
      <c r="D102" s="37">
        <f t="shared" si="11"/>
        <v>153843.97</v>
      </c>
      <c r="E102" s="23">
        <f t="shared" si="8"/>
        <v>1239.58</v>
      </c>
      <c r="F102" s="23">
        <f>IF($D102&lt;=0,0,ROUND($D102*Übersicht!$C$26,2))</f>
        <v>442.3</v>
      </c>
      <c r="G102" s="23">
        <f>IF($D102&lt;=0,0,MIN($D102,IF(Übersicht!$C$14="Annuitätendarlehen",MAX(0,Übersicht!$C$28-$F102),IF(Übersicht!$C$14="Ratendarlehen",Übersicht!$C$29,IF($A102&gt;=Übersicht!$C$30,$D102,0)))))</f>
        <v>797.28</v>
      </c>
      <c r="H102" s="23">
        <f>IF($D102-$G102&lt;=0,0,IF(MOD($A102,Übersicht!$C$25)=0,MIN(Übersicht!$C$31,$D102-$G102),0))</f>
        <v>0</v>
      </c>
      <c r="I102" s="23">
        <f t="shared" si="9"/>
        <v>1239.58</v>
      </c>
      <c r="J102" s="23">
        <f t="shared" si="10"/>
        <v>153046.69</v>
      </c>
      <c r="K102" s="23">
        <f t="shared" si="12"/>
        <v>55806.790000000015</v>
      </c>
      <c r="L102" s="23">
        <f t="shared" si="13"/>
        <v>96953.31</v>
      </c>
      <c r="M102" s="24">
        <f>IF($D102&lt;=0,"",IF(Übersicht!$C$11=0,0,$L102/Übersicht!$C$11))</f>
        <v>0.38781324</v>
      </c>
      <c r="N102" s="25" t="str">
        <f>IF($D102&lt;=0,"",IF($J102&lt;=0.005,"Volltilgung erreicht",IF($A102=Übersicht!$C$19*Übersicht!$C$25,"Ende der Zinsbindung",IF($H102&gt;0,"Sondertilgung verrechnet",""))))</f>
        <v/>
      </c>
      <c r="Q102" s="38">
        <f>IF($S101&lt;=0,0,ROUND($S101*Übersicht!$C$26,2))</f>
        <v>557.41</v>
      </c>
      <c r="R102" s="38">
        <f>IF($S101&lt;=0,0,MIN($S101,IF(Übersicht!$C$14="Annuitätendarlehen",MAX(0,Übersicht!$C$28-$Q102),IF(Übersicht!$C$14="Ratendarlehen",Übersicht!$C$29,IF($A102&gt;=Übersicht!$C$30,$S101,0)))))</f>
        <v>682.17</v>
      </c>
      <c r="S102" s="38">
        <f>IF($S101&lt;=0,0,ROUND($S101-$R102-IF($S101-$R102&lt;=0,0,IF(MOD($A102,Übersicht!$C$25)=0,MIN(Szenarien!$C$8,$S101-$R102),0)),2))</f>
        <v>193197.88</v>
      </c>
      <c r="T102" s="38">
        <f>IF($V101&lt;=0,0,ROUND($V101*Übersicht!$C$26,2))</f>
        <v>499.85</v>
      </c>
      <c r="U102" s="38">
        <f>IF($V101&lt;=0,0,MIN($V101,IF(Übersicht!$C$14="Annuitätendarlehen",MAX(0,Übersicht!$C$28-$T102),IF(Übersicht!$C$14="Ratendarlehen",Übersicht!$C$29,IF($A102&gt;=Übersicht!$C$30,$V101,0)))))</f>
        <v>739.7299999999999</v>
      </c>
      <c r="V102" s="38">
        <f>IF($V101&lt;=0,0,ROUND($V101-$U102-IF($V101-$U102&lt;=0,0,IF(MOD($A102,Übersicht!$C$25)=0,MIN(Szenarien!$C$9,$V101-$U102),0)),2))</f>
        <v>173122.34</v>
      </c>
      <c r="W102" s="38">
        <f>IF($Y101&lt;=0,0,ROUND($Y101*Übersicht!$C$26,2))</f>
        <v>442.3</v>
      </c>
      <c r="X102" s="38">
        <f>IF($Y101&lt;=0,0,MIN($Y101,IF(Übersicht!$C$14="Annuitätendarlehen",MAX(0,Übersicht!$C$28-$W102),IF(Übersicht!$C$14="Ratendarlehen",Übersicht!$C$29,IF($A102&gt;=Übersicht!$C$30,$Y101,0)))))</f>
        <v>797.28</v>
      </c>
      <c r="Y102" s="38">
        <f>IF($Y101&lt;=0,0,ROUND($Y101-$X102-IF($Y101-$X102&lt;=0,0,IF(MOD($A102,Übersicht!$C$25)=0,MIN(Szenarien!$C$10,$Y101-$X102),0)),2))</f>
        <v>153046.69</v>
      </c>
      <c r="Z102" s="38">
        <f>IF($AB101&lt;=0,0,ROUND($AB101*Übersicht!$C$26,2))</f>
        <v>384.75</v>
      </c>
      <c r="AA102" s="38">
        <f>IF($AB101&lt;=0,0,MIN($AB101,IF(Übersicht!$C$14="Annuitätendarlehen",MAX(0,Übersicht!$C$28-$Z102),IF(Übersicht!$C$14="Ratendarlehen",Übersicht!$C$29,IF($A102&gt;=Übersicht!$C$30,$AB101,0)))))</f>
        <v>854.82999999999993</v>
      </c>
      <c r="AB102" s="38">
        <f>IF($AB101&lt;=0,0,ROUND($AB101-$AA102-IF($AB101-$AA102&lt;=0,0,IF(MOD($A102,Übersicht!$C$25)=0,MIN(Szenarien!$C$11,$AB101-$AA102),0)),2))</f>
        <v>132971.12</v>
      </c>
      <c r="AC102" s="38">
        <f>IF($AE101&lt;=0,0,ROUND($AE101*Übersicht!$C$26,2))</f>
        <v>269.64999999999998</v>
      </c>
      <c r="AD102" s="38">
        <f>IF($AE101&lt;=0,0,MIN($AE101,IF(Übersicht!$C$14="Annuitätendarlehen",MAX(0,Übersicht!$C$28-$AC102),IF(Übersicht!$C$14="Ratendarlehen",Übersicht!$C$29,IF($A102&gt;=Übersicht!$C$30,$AE101,0)))))</f>
        <v>969.93</v>
      </c>
      <c r="AE102" s="38">
        <f>IF($AE101&lt;=0,0,ROUND($AE101-$AD102-IF($AE101-$AD102&lt;=0,0,IF(MOD($A102,Übersicht!$C$25)=0,MIN(Szenarien!$C$12,$AE101-$AD102),0)),2))</f>
        <v>92819.93</v>
      </c>
    </row>
    <row r="103" spans="1:31" ht="15" customHeight="1" x14ac:dyDescent="0.25">
      <c r="A103" s="26">
        <v>96</v>
      </c>
      <c r="B103" s="39">
        <f>IF($D103&lt;=0,"",EDATE(Übersicht!$C$18,($A103-1)*12/Übersicht!$C$25))</f>
        <v>48944</v>
      </c>
      <c r="C103" s="26">
        <f t="shared" si="7"/>
        <v>2033</v>
      </c>
      <c r="D103" s="40">
        <f t="shared" si="11"/>
        <v>153046.69</v>
      </c>
      <c r="E103" s="28">
        <f t="shared" si="8"/>
        <v>1239.58</v>
      </c>
      <c r="F103" s="28">
        <f>IF($D103&lt;=0,0,ROUND($D103*Übersicht!$C$26,2))</f>
        <v>440.01</v>
      </c>
      <c r="G103" s="28">
        <f>IF($D103&lt;=0,0,MIN($D103,IF(Übersicht!$C$14="Annuitätendarlehen",MAX(0,Übersicht!$C$28-$F103),IF(Übersicht!$C$14="Ratendarlehen",Übersicht!$C$29,IF($A103&gt;=Übersicht!$C$30,$D103,0)))))</f>
        <v>799.56999999999994</v>
      </c>
      <c r="H103" s="28">
        <f>IF($D103-$G103&lt;=0,0,IF(MOD($A103,Übersicht!$C$25)=0,MIN(Übersicht!$C$31,$D103-$G103),0))</f>
        <v>5000</v>
      </c>
      <c r="I103" s="28">
        <f t="shared" si="9"/>
        <v>6239.58</v>
      </c>
      <c r="J103" s="28">
        <f t="shared" si="10"/>
        <v>147247.12</v>
      </c>
      <c r="K103" s="28">
        <f t="shared" si="12"/>
        <v>56246.800000000017</v>
      </c>
      <c r="L103" s="28">
        <f t="shared" si="13"/>
        <v>102752.88</v>
      </c>
      <c r="M103" s="29">
        <f>IF($D103&lt;=0,"",IF(Übersicht!$C$11=0,0,$L103/Übersicht!$C$11))</f>
        <v>0.41101152000000002</v>
      </c>
      <c r="N103" s="30" t="str">
        <f>IF($D103&lt;=0,"",IF($J103&lt;=0.005,"Volltilgung erreicht",IF($A103=Übersicht!$C$19*Übersicht!$C$25,"Ende der Zinsbindung",IF($H103&gt;0,"Sondertilgung verrechnet",""))))</f>
        <v>Sondertilgung verrechnet</v>
      </c>
      <c r="Q103" s="38">
        <f>IF($S102&lt;=0,0,ROUND($S102*Übersicht!$C$26,2))</f>
        <v>555.44000000000005</v>
      </c>
      <c r="R103" s="38">
        <f>IF($S102&lt;=0,0,MIN($S102,IF(Übersicht!$C$14="Annuitätendarlehen",MAX(0,Übersicht!$C$28-$Q103),IF(Übersicht!$C$14="Ratendarlehen",Übersicht!$C$29,IF($A103&gt;=Übersicht!$C$30,$S102,0)))))</f>
        <v>684.13999999999987</v>
      </c>
      <c r="S103" s="38">
        <f>IF($S102&lt;=0,0,ROUND($S102-$R103-IF($S102-$R103&lt;=0,0,IF(MOD($A103,Übersicht!$C$25)=0,MIN(Szenarien!$C$8,$S102-$R103),0)),2))</f>
        <v>192513.74</v>
      </c>
      <c r="T103" s="38">
        <f>IF($V102&lt;=0,0,ROUND($V102*Übersicht!$C$26,2))</f>
        <v>497.73</v>
      </c>
      <c r="U103" s="38">
        <f>IF($V102&lt;=0,0,MIN($V102,IF(Übersicht!$C$14="Annuitätendarlehen",MAX(0,Übersicht!$C$28-$T103),IF(Übersicht!$C$14="Ratendarlehen",Übersicht!$C$29,IF($A103&gt;=Übersicht!$C$30,$V102,0)))))</f>
        <v>741.84999999999991</v>
      </c>
      <c r="V103" s="38">
        <f>IF($V102&lt;=0,0,ROUND($V102-$U103-IF($V102-$U103&lt;=0,0,IF(MOD($A103,Übersicht!$C$25)=0,MIN(Szenarien!$C$9,$V102-$U103),0)),2))</f>
        <v>169880.49</v>
      </c>
      <c r="W103" s="38">
        <f>IF($Y102&lt;=0,0,ROUND($Y102*Übersicht!$C$26,2))</f>
        <v>440.01</v>
      </c>
      <c r="X103" s="38">
        <f>IF($Y102&lt;=0,0,MIN($Y102,IF(Übersicht!$C$14="Annuitätendarlehen",MAX(0,Übersicht!$C$28-$W103),IF(Übersicht!$C$14="Ratendarlehen",Übersicht!$C$29,IF($A103&gt;=Übersicht!$C$30,$Y102,0)))))</f>
        <v>799.56999999999994</v>
      </c>
      <c r="Y103" s="38">
        <f>IF($Y102&lt;=0,0,ROUND($Y102-$X103-IF($Y102-$X103&lt;=0,0,IF(MOD($A103,Übersicht!$C$25)=0,MIN(Szenarien!$C$10,$Y102-$X103),0)),2))</f>
        <v>147247.12</v>
      </c>
      <c r="Z103" s="38">
        <f>IF($AB102&lt;=0,0,ROUND($AB102*Übersicht!$C$26,2))</f>
        <v>382.29</v>
      </c>
      <c r="AA103" s="38">
        <f>IF($AB102&lt;=0,0,MIN($AB102,IF(Übersicht!$C$14="Annuitätendarlehen",MAX(0,Übersicht!$C$28-$Z103),IF(Übersicht!$C$14="Ratendarlehen",Übersicht!$C$29,IF($A103&gt;=Übersicht!$C$30,$AB102,0)))))</f>
        <v>857.29</v>
      </c>
      <c r="AB103" s="38">
        <f>IF($AB102&lt;=0,0,ROUND($AB102-$AA103-IF($AB102-$AA103&lt;=0,0,IF(MOD($A103,Übersicht!$C$25)=0,MIN(Szenarien!$C$11,$AB102-$AA103),0)),2))</f>
        <v>124613.83</v>
      </c>
      <c r="AC103" s="38">
        <f>IF($AE102&lt;=0,0,ROUND($AE102*Übersicht!$C$26,2))</f>
        <v>266.86</v>
      </c>
      <c r="AD103" s="38">
        <f>IF($AE102&lt;=0,0,MIN($AE102,IF(Übersicht!$C$14="Annuitätendarlehen",MAX(0,Übersicht!$C$28-$AC103),IF(Übersicht!$C$14="Ratendarlehen",Übersicht!$C$29,IF($A103&gt;=Übersicht!$C$30,$AE102,0)))))</f>
        <v>972.71999999999991</v>
      </c>
      <c r="AE103" s="38">
        <f>IF($AE102&lt;=0,0,ROUND($AE102-$AD103-IF($AE102-$AD103&lt;=0,0,IF(MOD($A103,Übersicht!$C$25)=0,MIN(Szenarien!$C$12,$AE102-$AD103),0)),2))</f>
        <v>79347.210000000006</v>
      </c>
    </row>
    <row r="104" spans="1:31" ht="15" customHeight="1" x14ac:dyDescent="0.25">
      <c r="A104" s="21">
        <v>97</v>
      </c>
      <c r="B104" s="36">
        <f>IF($D104&lt;=0,"",EDATE(Übersicht!$C$18,($A104-1)*12/Übersicht!$C$25))</f>
        <v>48975</v>
      </c>
      <c r="C104" s="21">
        <f t="shared" si="7"/>
        <v>2034</v>
      </c>
      <c r="D104" s="37">
        <f t="shared" si="11"/>
        <v>147247.12</v>
      </c>
      <c r="E104" s="23">
        <f t="shared" si="8"/>
        <v>1239.58</v>
      </c>
      <c r="F104" s="23">
        <f>IF($D104&lt;=0,0,ROUND($D104*Übersicht!$C$26,2))</f>
        <v>423.34</v>
      </c>
      <c r="G104" s="23">
        <f>IF($D104&lt;=0,0,MIN($D104,IF(Übersicht!$C$14="Annuitätendarlehen",MAX(0,Übersicht!$C$28-$F104),IF(Übersicht!$C$14="Ratendarlehen",Übersicht!$C$29,IF($A104&gt;=Übersicht!$C$30,$D104,0)))))</f>
        <v>816.24</v>
      </c>
      <c r="H104" s="23">
        <f>IF($D104-$G104&lt;=0,0,IF(MOD($A104,Übersicht!$C$25)=0,MIN(Übersicht!$C$31,$D104-$G104),0))</f>
        <v>0</v>
      </c>
      <c r="I104" s="23">
        <f t="shared" si="9"/>
        <v>1239.58</v>
      </c>
      <c r="J104" s="23">
        <f t="shared" si="10"/>
        <v>146430.88</v>
      </c>
      <c r="K104" s="23">
        <f t="shared" si="12"/>
        <v>56670.140000000014</v>
      </c>
      <c r="L104" s="23">
        <f t="shared" si="13"/>
        <v>103569.12</v>
      </c>
      <c r="M104" s="24">
        <f>IF($D104&lt;=0,"",IF(Übersicht!$C$11=0,0,$L104/Übersicht!$C$11))</f>
        <v>0.41427648</v>
      </c>
      <c r="N104" s="25" t="str">
        <f>IF($D104&lt;=0,"",IF($J104&lt;=0.005,"Volltilgung erreicht",IF($A104=Übersicht!$C$19*Übersicht!$C$25,"Ende der Zinsbindung",IF($H104&gt;0,"Sondertilgung verrechnet",""))))</f>
        <v/>
      </c>
      <c r="Q104" s="38">
        <f>IF($S103&lt;=0,0,ROUND($S103*Übersicht!$C$26,2))</f>
        <v>553.48</v>
      </c>
      <c r="R104" s="38">
        <f>IF($S103&lt;=0,0,MIN($S103,IF(Übersicht!$C$14="Annuitätendarlehen",MAX(0,Übersicht!$C$28-$Q104),IF(Übersicht!$C$14="Ratendarlehen",Übersicht!$C$29,IF($A104&gt;=Übersicht!$C$30,$S103,0)))))</f>
        <v>686.09999999999991</v>
      </c>
      <c r="S104" s="38">
        <f>IF($S103&lt;=0,0,ROUND($S103-$R104-IF($S103-$R104&lt;=0,0,IF(MOD($A104,Übersicht!$C$25)=0,MIN(Szenarien!$C$8,$S103-$R104),0)),2))</f>
        <v>191827.64</v>
      </c>
      <c r="T104" s="38">
        <f>IF($V103&lt;=0,0,ROUND($V103*Übersicht!$C$26,2))</f>
        <v>488.41</v>
      </c>
      <c r="U104" s="38">
        <f>IF($V103&lt;=0,0,MIN($V103,IF(Übersicht!$C$14="Annuitätendarlehen",MAX(0,Übersicht!$C$28-$T104),IF(Übersicht!$C$14="Ratendarlehen",Übersicht!$C$29,IF($A104&gt;=Übersicht!$C$30,$V103,0)))))</f>
        <v>751.16999999999985</v>
      </c>
      <c r="V104" s="38">
        <f>IF($V103&lt;=0,0,ROUND($V103-$U104-IF($V103-$U104&lt;=0,0,IF(MOD($A104,Übersicht!$C$25)=0,MIN(Szenarien!$C$9,$V103-$U104),0)),2))</f>
        <v>169129.32</v>
      </c>
      <c r="W104" s="38">
        <f>IF($Y103&lt;=0,0,ROUND($Y103*Übersicht!$C$26,2))</f>
        <v>423.34</v>
      </c>
      <c r="X104" s="38">
        <f>IF($Y103&lt;=0,0,MIN($Y103,IF(Übersicht!$C$14="Annuitätendarlehen",MAX(0,Übersicht!$C$28-$W104),IF(Übersicht!$C$14="Ratendarlehen",Übersicht!$C$29,IF($A104&gt;=Übersicht!$C$30,$Y103,0)))))</f>
        <v>816.24</v>
      </c>
      <c r="Y104" s="38">
        <f>IF($Y103&lt;=0,0,ROUND($Y103-$X104-IF($Y103-$X104&lt;=0,0,IF(MOD($A104,Übersicht!$C$25)=0,MIN(Szenarien!$C$10,$Y103-$X104),0)),2))</f>
        <v>146430.88</v>
      </c>
      <c r="Z104" s="38">
        <f>IF($AB103&lt;=0,0,ROUND($AB103*Übersicht!$C$26,2))</f>
        <v>358.26</v>
      </c>
      <c r="AA104" s="38">
        <f>IF($AB103&lt;=0,0,MIN($AB103,IF(Übersicht!$C$14="Annuitätendarlehen",MAX(0,Übersicht!$C$28-$Z104),IF(Übersicht!$C$14="Ratendarlehen",Übersicht!$C$29,IF($A104&gt;=Übersicht!$C$30,$AB103,0)))))</f>
        <v>881.31999999999994</v>
      </c>
      <c r="AB104" s="38">
        <f>IF($AB103&lt;=0,0,ROUND($AB103-$AA104-IF($AB103-$AA104&lt;=0,0,IF(MOD($A104,Übersicht!$C$25)=0,MIN(Szenarien!$C$11,$AB103-$AA104),0)),2))</f>
        <v>123732.51</v>
      </c>
      <c r="AC104" s="38">
        <f>IF($AE103&lt;=0,0,ROUND($AE103*Übersicht!$C$26,2))</f>
        <v>228.12</v>
      </c>
      <c r="AD104" s="38">
        <f>IF($AE103&lt;=0,0,MIN($AE103,IF(Übersicht!$C$14="Annuitätendarlehen",MAX(0,Übersicht!$C$28-$AC104),IF(Übersicht!$C$14="Ratendarlehen",Übersicht!$C$29,IF($A104&gt;=Übersicht!$C$30,$AE103,0)))))</f>
        <v>1011.4599999999999</v>
      </c>
      <c r="AE104" s="38">
        <f>IF($AE103&lt;=0,0,ROUND($AE103-$AD104-IF($AE103-$AD104&lt;=0,0,IF(MOD($A104,Übersicht!$C$25)=0,MIN(Szenarien!$C$12,$AE103-$AD104),0)),2))</f>
        <v>78335.75</v>
      </c>
    </row>
    <row r="105" spans="1:31" ht="15" customHeight="1" x14ac:dyDescent="0.25">
      <c r="A105" s="26">
        <v>98</v>
      </c>
      <c r="B105" s="39">
        <f>IF($D105&lt;=0,"",EDATE(Übersicht!$C$18,($A105-1)*12/Übersicht!$C$25))</f>
        <v>49003</v>
      </c>
      <c r="C105" s="26">
        <f t="shared" si="7"/>
        <v>2034</v>
      </c>
      <c r="D105" s="40">
        <f t="shared" si="11"/>
        <v>146430.88</v>
      </c>
      <c r="E105" s="28">
        <f t="shared" si="8"/>
        <v>1239.58</v>
      </c>
      <c r="F105" s="28">
        <f>IF($D105&lt;=0,0,ROUND($D105*Übersicht!$C$26,2))</f>
        <v>420.99</v>
      </c>
      <c r="G105" s="28">
        <f>IF($D105&lt;=0,0,MIN($D105,IF(Übersicht!$C$14="Annuitätendarlehen",MAX(0,Übersicht!$C$28-$F105),IF(Übersicht!$C$14="Ratendarlehen",Übersicht!$C$29,IF($A105&gt;=Übersicht!$C$30,$D105,0)))))</f>
        <v>818.58999999999992</v>
      </c>
      <c r="H105" s="28">
        <f>IF($D105-$G105&lt;=0,0,IF(MOD($A105,Übersicht!$C$25)=0,MIN(Übersicht!$C$31,$D105-$G105),0))</f>
        <v>0</v>
      </c>
      <c r="I105" s="28">
        <f t="shared" si="9"/>
        <v>1239.58</v>
      </c>
      <c r="J105" s="28">
        <f t="shared" si="10"/>
        <v>145612.29</v>
      </c>
      <c r="K105" s="28">
        <f t="shared" si="12"/>
        <v>57091.130000000012</v>
      </c>
      <c r="L105" s="28">
        <f t="shared" si="13"/>
        <v>104387.71</v>
      </c>
      <c r="M105" s="29">
        <f>IF($D105&lt;=0,"",IF(Übersicht!$C$11=0,0,$L105/Übersicht!$C$11))</f>
        <v>0.41755084000000003</v>
      </c>
      <c r="N105" s="30" t="str">
        <f>IF($D105&lt;=0,"",IF($J105&lt;=0.005,"Volltilgung erreicht",IF($A105=Übersicht!$C$19*Übersicht!$C$25,"Ende der Zinsbindung",IF($H105&gt;0,"Sondertilgung verrechnet",""))))</f>
        <v/>
      </c>
      <c r="Q105" s="38">
        <f>IF($S104&lt;=0,0,ROUND($S104*Übersicht!$C$26,2))</f>
        <v>551.5</v>
      </c>
      <c r="R105" s="38">
        <f>IF($S104&lt;=0,0,MIN($S104,IF(Übersicht!$C$14="Annuitätendarlehen",MAX(0,Übersicht!$C$28-$Q105),IF(Übersicht!$C$14="Ratendarlehen",Übersicht!$C$29,IF($A105&gt;=Übersicht!$C$30,$S104,0)))))</f>
        <v>688.07999999999993</v>
      </c>
      <c r="S105" s="38">
        <f>IF($S104&lt;=0,0,ROUND($S104-$R105-IF($S104-$R105&lt;=0,0,IF(MOD($A105,Übersicht!$C$25)=0,MIN(Szenarien!$C$8,$S104-$R105),0)),2))</f>
        <v>191139.56</v>
      </c>
      <c r="T105" s="38">
        <f>IF($V104&lt;=0,0,ROUND($V104*Übersicht!$C$26,2))</f>
        <v>486.25</v>
      </c>
      <c r="U105" s="38">
        <f>IF($V104&lt;=0,0,MIN($V104,IF(Übersicht!$C$14="Annuitätendarlehen",MAX(0,Übersicht!$C$28-$T105),IF(Übersicht!$C$14="Ratendarlehen",Übersicht!$C$29,IF($A105&gt;=Übersicht!$C$30,$V104,0)))))</f>
        <v>753.32999999999993</v>
      </c>
      <c r="V105" s="38">
        <f>IF($V104&lt;=0,0,ROUND($V104-$U105-IF($V104-$U105&lt;=0,0,IF(MOD($A105,Übersicht!$C$25)=0,MIN(Szenarien!$C$9,$V104-$U105),0)),2))</f>
        <v>168375.99</v>
      </c>
      <c r="W105" s="38">
        <f>IF($Y104&lt;=0,0,ROUND($Y104*Übersicht!$C$26,2))</f>
        <v>420.99</v>
      </c>
      <c r="X105" s="38">
        <f>IF($Y104&lt;=0,0,MIN($Y104,IF(Übersicht!$C$14="Annuitätendarlehen",MAX(0,Übersicht!$C$28-$W105),IF(Übersicht!$C$14="Ratendarlehen",Übersicht!$C$29,IF($A105&gt;=Übersicht!$C$30,$Y104,0)))))</f>
        <v>818.58999999999992</v>
      </c>
      <c r="Y105" s="38">
        <f>IF($Y104&lt;=0,0,ROUND($Y104-$X105-IF($Y104-$X105&lt;=0,0,IF(MOD($A105,Übersicht!$C$25)=0,MIN(Szenarien!$C$10,$Y104-$X105),0)),2))</f>
        <v>145612.29</v>
      </c>
      <c r="Z105" s="38">
        <f>IF($AB104&lt;=0,0,ROUND($AB104*Übersicht!$C$26,2))</f>
        <v>355.73</v>
      </c>
      <c r="AA105" s="38">
        <f>IF($AB104&lt;=0,0,MIN($AB104,IF(Übersicht!$C$14="Annuitätendarlehen",MAX(0,Übersicht!$C$28-$Z105),IF(Übersicht!$C$14="Ratendarlehen",Übersicht!$C$29,IF($A105&gt;=Übersicht!$C$30,$AB104,0)))))</f>
        <v>883.84999999999991</v>
      </c>
      <c r="AB105" s="38">
        <f>IF($AB104&lt;=0,0,ROUND($AB104-$AA105-IF($AB104-$AA105&lt;=0,0,IF(MOD($A105,Übersicht!$C$25)=0,MIN(Szenarien!$C$11,$AB104-$AA105),0)),2))</f>
        <v>122848.66</v>
      </c>
      <c r="AC105" s="38">
        <f>IF($AE104&lt;=0,0,ROUND($AE104*Übersicht!$C$26,2))</f>
        <v>225.22</v>
      </c>
      <c r="AD105" s="38">
        <f>IF($AE104&lt;=0,0,MIN($AE104,IF(Übersicht!$C$14="Annuitätendarlehen",MAX(0,Übersicht!$C$28-$AC105),IF(Übersicht!$C$14="Ratendarlehen",Übersicht!$C$29,IF($A105&gt;=Übersicht!$C$30,$AE104,0)))))</f>
        <v>1014.3599999999999</v>
      </c>
      <c r="AE105" s="38">
        <f>IF($AE104&lt;=0,0,ROUND($AE104-$AD105-IF($AE104-$AD105&lt;=0,0,IF(MOD($A105,Übersicht!$C$25)=0,MIN(Szenarien!$C$12,$AE104-$AD105),0)),2))</f>
        <v>77321.39</v>
      </c>
    </row>
    <row r="106" spans="1:31" ht="15" customHeight="1" x14ac:dyDescent="0.25">
      <c r="A106" s="21">
        <v>99</v>
      </c>
      <c r="B106" s="36">
        <f>IF($D106&lt;=0,"",EDATE(Übersicht!$C$18,($A106-1)*12/Übersicht!$C$25))</f>
        <v>49034</v>
      </c>
      <c r="C106" s="21">
        <f t="shared" si="7"/>
        <v>2034</v>
      </c>
      <c r="D106" s="37">
        <f t="shared" si="11"/>
        <v>145612.29</v>
      </c>
      <c r="E106" s="23">
        <f t="shared" si="8"/>
        <v>1239.58</v>
      </c>
      <c r="F106" s="23">
        <f>IF($D106&lt;=0,0,ROUND($D106*Übersicht!$C$26,2))</f>
        <v>418.64</v>
      </c>
      <c r="G106" s="23">
        <f>IF($D106&lt;=0,0,MIN($D106,IF(Übersicht!$C$14="Annuitätendarlehen",MAX(0,Übersicht!$C$28-$F106),IF(Übersicht!$C$14="Ratendarlehen",Übersicht!$C$29,IF($A106&gt;=Übersicht!$C$30,$D106,0)))))</f>
        <v>820.93999999999994</v>
      </c>
      <c r="H106" s="23">
        <f>IF($D106-$G106&lt;=0,0,IF(MOD($A106,Übersicht!$C$25)=0,MIN(Übersicht!$C$31,$D106-$G106),0))</f>
        <v>0</v>
      </c>
      <c r="I106" s="23">
        <f t="shared" si="9"/>
        <v>1239.58</v>
      </c>
      <c r="J106" s="23">
        <f t="shared" si="10"/>
        <v>144791.35</v>
      </c>
      <c r="K106" s="23">
        <f t="shared" si="12"/>
        <v>57509.770000000011</v>
      </c>
      <c r="L106" s="23">
        <f t="shared" si="13"/>
        <v>105208.65</v>
      </c>
      <c r="M106" s="24">
        <f>IF($D106&lt;=0,"",IF(Übersicht!$C$11=0,0,$L106/Übersicht!$C$11))</f>
        <v>0.4208346</v>
      </c>
      <c r="N106" s="25" t="str">
        <f>IF($D106&lt;=0,"",IF($J106&lt;=0.005,"Volltilgung erreicht",IF($A106=Übersicht!$C$19*Übersicht!$C$25,"Ende der Zinsbindung",IF($H106&gt;0,"Sondertilgung verrechnet",""))))</f>
        <v/>
      </c>
      <c r="Q106" s="38">
        <f>IF($S105&lt;=0,0,ROUND($S105*Übersicht!$C$26,2))</f>
        <v>549.53</v>
      </c>
      <c r="R106" s="38">
        <f>IF($S105&lt;=0,0,MIN($S105,IF(Übersicht!$C$14="Annuitätendarlehen",MAX(0,Übersicht!$C$28-$Q106),IF(Übersicht!$C$14="Ratendarlehen",Übersicht!$C$29,IF($A106&gt;=Übersicht!$C$30,$S105,0)))))</f>
        <v>690.05</v>
      </c>
      <c r="S106" s="38">
        <f>IF($S105&lt;=0,0,ROUND($S105-$R106-IF($S105-$R106&lt;=0,0,IF(MOD($A106,Übersicht!$C$25)=0,MIN(Szenarien!$C$8,$S105-$R106),0)),2))</f>
        <v>190449.51</v>
      </c>
      <c r="T106" s="38">
        <f>IF($V105&lt;=0,0,ROUND($V105*Übersicht!$C$26,2))</f>
        <v>484.08</v>
      </c>
      <c r="U106" s="38">
        <f>IF($V105&lt;=0,0,MIN($V105,IF(Übersicht!$C$14="Annuitätendarlehen",MAX(0,Übersicht!$C$28-$T106),IF(Übersicht!$C$14="Ratendarlehen",Übersicht!$C$29,IF($A106&gt;=Übersicht!$C$30,$V105,0)))))</f>
        <v>755.5</v>
      </c>
      <c r="V106" s="38">
        <f>IF($V105&lt;=0,0,ROUND($V105-$U106-IF($V105-$U106&lt;=0,0,IF(MOD($A106,Übersicht!$C$25)=0,MIN(Szenarien!$C$9,$V105-$U106),0)),2))</f>
        <v>167620.49</v>
      </c>
      <c r="W106" s="38">
        <f>IF($Y105&lt;=0,0,ROUND($Y105*Übersicht!$C$26,2))</f>
        <v>418.64</v>
      </c>
      <c r="X106" s="38">
        <f>IF($Y105&lt;=0,0,MIN($Y105,IF(Übersicht!$C$14="Annuitätendarlehen",MAX(0,Übersicht!$C$28-$W106),IF(Übersicht!$C$14="Ratendarlehen",Übersicht!$C$29,IF($A106&gt;=Übersicht!$C$30,$Y105,0)))))</f>
        <v>820.93999999999994</v>
      </c>
      <c r="Y106" s="38">
        <f>IF($Y105&lt;=0,0,ROUND($Y105-$X106-IF($Y105-$X106&lt;=0,0,IF(MOD($A106,Übersicht!$C$25)=0,MIN(Szenarien!$C$10,$Y105-$X106),0)),2))</f>
        <v>144791.35</v>
      </c>
      <c r="Z106" s="38">
        <f>IF($AB105&lt;=0,0,ROUND($AB105*Übersicht!$C$26,2))</f>
        <v>353.19</v>
      </c>
      <c r="AA106" s="38">
        <f>IF($AB105&lt;=0,0,MIN($AB105,IF(Übersicht!$C$14="Annuitätendarlehen",MAX(0,Übersicht!$C$28-$Z106),IF(Übersicht!$C$14="Ratendarlehen",Übersicht!$C$29,IF($A106&gt;=Übersicht!$C$30,$AB105,0)))))</f>
        <v>886.38999999999987</v>
      </c>
      <c r="AB106" s="38">
        <f>IF($AB105&lt;=0,0,ROUND($AB105-$AA106-IF($AB105-$AA106&lt;=0,0,IF(MOD($A106,Übersicht!$C$25)=0,MIN(Szenarien!$C$11,$AB105-$AA106),0)),2))</f>
        <v>121962.27</v>
      </c>
      <c r="AC106" s="38">
        <f>IF($AE105&lt;=0,0,ROUND($AE105*Übersicht!$C$26,2))</f>
        <v>222.3</v>
      </c>
      <c r="AD106" s="38">
        <f>IF($AE105&lt;=0,0,MIN($AE105,IF(Übersicht!$C$14="Annuitätendarlehen",MAX(0,Übersicht!$C$28-$AC106),IF(Übersicht!$C$14="Ratendarlehen",Übersicht!$C$29,IF($A106&gt;=Übersicht!$C$30,$AE105,0)))))</f>
        <v>1017.28</v>
      </c>
      <c r="AE106" s="38">
        <f>IF($AE105&lt;=0,0,ROUND($AE105-$AD106-IF($AE105-$AD106&lt;=0,0,IF(MOD($A106,Übersicht!$C$25)=0,MIN(Szenarien!$C$12,$AE105-$AD106),0)),2))</f>
        <v>76304.11</v>
      </c>
    </row>
    <row r="107" spans="1:31" ht="15" customHeight="1" x14ac:dyDescent="0.25">
      <c r="A107" s="26">
        <v>100</v>
      </c>
      <c r="B107" s="39">
        <f>IF($D107&lt;=0,"",EDATE(Übersicht!$C$18,($A107-1)*12/Übersicht!$C$25))</f>
        <v>49064</v>
      </c>
      <c r="C107" s="26">
        <f t="shared" si="7"/>
        <v>2034</v>
      </c>
      <c r="D107" s="40">
        <f t="shared" si="11"/>
        <v>144791.35</v>
      </c>
      <c r="E107" s="28">
        <f t="shared" si="8"/>
        <v>1239.58</v>
      </c>
      <c r="F107" s="28">
        <f>IF($D107&lt;=0,0,ROUND($D107*Übersicht!$C$26,2))</f>
        <v>416.28</v>
      </c>
      <c r="G107" s="28">
        <f>IF($D107&lt;=0,0,MIN($D107,IF(Übersicht!$C$14="Annuitätendarlehen",MAX(0,Übersicht!$C$28-$F107),IF(Übersicht!$C$14="Ratendarlehen",Übersicht!$C$29,IF($A107&gt;=Übersicht!$C$30,$D107,0)))))</f>
        <v>823.3</v>
      </c>
      <c r="H107" s="28">
        <f>IF($D107-$G107&lt;=0,0,IF(MOD($A107,Übersicht!$C$25)=0,MIN(Übersicht!$C$31,$D107-$G107),0))</f>
        <v>0</v>
      </c>
      <c r="I107" s="28">
        <f t="shared" si="9"/>
        <v>1239.58</v>
      </c>
      <c r="J107" s="28">
        <f t="shared" si="10"/>
        <v>143968.04999999999</v>
      </c>
      <c r="K107" s="28">
        <f t="shared" si="12"/>
        <v>57926.05000000001</v>
      </c>
      <c r="L107" s="28">
        <f t="shared" si="13"/>
        <v>106031.95</v>
      </c>
      <c r="M107" s="29">
        <f>IF($D107&lt;=0,"",IF(Übersicht!$C$11=0,0,$L107/Übersicht!$C$11))</f>
        <v>0.4241278</v>
      </c>
      <c r="N107" s="30" t="str">
        <f>IF($D107&lt;=0,"",IF($J107&lt;=0.005,"Volltilgung erreicht",IF($A107=Übersicht!$C$19*Übersicht!$C$25,"Ende der Zinsbindung",IF($H107&gt;0,"Sondertilgung verrechnet",""))))</f>
        <v/>
      </c>
      <c r="Q107" s="38">
        <f>IF($S106&lt;=0,0,ROUND($S106*Übersicht!$C$26,2))</f>
        <v>547.54</v>
      </c>
      <c r="R107" s="38">
        <f>IF($S106&lt;=0,0,MIN($S106,IF(Übersicht!$C$14="Annuitätendarlehen",MAX(0,Übersicht!$C$28-$Q107),IF(Übersicht!$C$14="Ratendarlehen",Übersicht!$C$29,IF($A107&gt;=Übersicht!$C$30,$S106,0)))))</f>
        <v>692.04</v>
      </c>
      <c r="S107" s="38">
        <f>IF($S106&lt;=0,0,ROUND($S106-$R107-IF($S106-$R107&lt;=0,0,IF(MOD($A107,Übersicht!$C$25)=0,MIN(Szenarien!$C$8,$S106-$R107),0)),2))</f>
        <v>189757.47</v>
      </c>
      <c r="T107" s="38">
        <f>IF($V106&lt;=0,0,ROUND($V106*Übersicht!$C$26,2))</f>
        <v>481.91</v>
      </c>
      <c r="U107" s="38">
        <f>IF($V106&lt;=0,0,MIN($V106,IF(Übersicht!$C$14="Annuitätendarlehen",MAX(0,Übersicht!$C$28-$T107),IF(Übersicht!$C$14="Ratendarlehen",Übersicht!$C$29,IF($A107&gt;=Übersicht!$C$30,$V106,0)))))</f>
        <v>757.66999999999985</v>
      </c>
      <c r="V107" s="38">
        <f>IF($V106&lt;=0,0,ROUND($V106-$U107-IF($V106-$U107&lt;=0,0,IF(MOD($A107,Übersicht!$C$25)=0,MIN(Szenarien!$C$9,$V106-$U107),0)),2))</f>
        <v>166862.82</v>
      </c>
      <c r="W107" s="38">
        <f>IF($Y106&lt;=0,0,ROUND($Y106*Übersicht!$C$26,2))</f>
        <v>416.28</v>
      </c>
      <c r="X107" s="38">
        <f>IF($Y106&lt;=0,0,MIN($Y106,IF(Übersicht!$C$14="Annuitätendarlehen",MAX(0,Übersicht!$C$28-$W107),IF(Übersicht!$C$14="Ratendarlehen",Übersicht!$C$29,IF($A107&gt;=Übersicht!$C$30,$Y106,0)))))</f>
        <v>823.3</v>
      </c>
      <c r="Y107" s="38">
        <f>IF($Y106&lt;=0,0,ROUND($Y106-$X107-IF($Y106-$X107&lt;=0,0,IF(MOD($A107,Übersicht!$C$25)=0,MIN(Szenarien!$C$10,$Y106-$X107),0)),2))</f>
        <v>143968.04999999999</v>
      </c>
      <c r="Z107" s="38">
        <f>IF($AB106&lt;=0,0,ROUND($AB106*Übersicht!$C$26,2))</f>
        <v>350.64</v>
      </c>
      <c r="AA107" s="38">
        <f>IF($AB106&lt;=0,0,MIN($AB106,IF(Übersicht!$C$14="Annuitätendarlehen",MAX(0,Übersicht!$C$28-$Z107),IF(Übersicht!$C$14="Ratendarlehen",Übersicht!$C$29,IF($A107&gt;=Übersicht!$C$30,$AB106,0)))))</f>
        <v>888.93999999999994</v>
      </c>
      <c r="AB107" s="38">
        <f>IF($AB106&lt;=0,0,ROUND($AB106-$AA107-IF($AB106-$AA107&lt;=0,0,IF(MOD($A107,Übersicht!$C$25)=0,MIN(Szenarien!$C$11,$AB106-$AA107),0)),2))</f>
        <v>121073.33</v>
      </c>
      <c r="AC107" s="38">
        <f>IF($AE106&lt;=0,0,ROUND($AE106*Übersicht!$C$26,2))</f>
        <v>219.37</v>
      </c>
      <c r="AD107" s="38">
        <f>IF($AE106&lt;=0,0,MIN($AE106,IF(Übersicht!$C$14="Annuitätendarlehen",MAX(0,Übersicht!$C$28-$AC107),IF(Übersicht!$C$14="Ratendarlehen",Übersicht!$C$29,IF($A107&gt;=Übersicht!$C$30,$AE106,0)))))</f>
        <v>1020.2099999999999</v>
      </c>
      <c r="AE107" s="38">
        <f>IF($AE106&lt;=0,0,ROUND($AE106-$AD107-IF($AE106-$AD107&lt;=0,0,IF(MOD($A107,Übersicht!$C$25)=0,MIN(Szenarien!$C$12,$AE106-$AD107),0)),2))</f>
        <v>75283.899999999994</v>
      </c>
    </row>
    <row r="108" spans="1:31" ht="15" customHeight="1" x14ac:dyDescent="0.25">
      <c r="A108" s="21">
        <v>101</v>
      </c>
      <c r="B108" s="36">
        <f>IF($D108&lt;=0,"",EDATE(Übersicht!$C$18,($A108-1)*12/Übersicht!$C$25))</f>
        <v>49095</v>
      </c>
      <c r="C108" s="21">
        <f t="shared" si="7"/>
        <v>2034</v>
      </c>
      <c r="D108" s="37">
        <f t="shared" si="11"/>
        <v>143968.04999999999</v>
      </c>
      <c r="E108" s="23">
        <f t="shared" si="8"/>
        <v>1239.58</v>
      </c>
      <c r="F108" s="23">
        <f>IF($D108&lt;=0,0,ROUND($D108*Übersicht!$C$26,2))</f>
        <v>413.91</v>
      </c>
      <c r="G108" s="23">
        <f>IF($D108&lt;=0,0,MIN($D108,IF(Übersicht!$C$14="Annuitätendarlehen",MAX(0,Übersicht!$C$28-$F108),IF(Übersicht!$C$14="Ratendarlehen",Übersicht!$C$29,IF($A108&gt;=Übersicht!$C$30,$D108,0)))))</f>
        <v>825.66999999999985</v>
      </c>
      <c r="H108" s="23">
        <f>IF($D108-$G108&lt;=0,0,IF(MOD($A108,Übersicht!$C$25)=0,MIN(Übersicht!$C$31,$D108-$G108),0))</f>
        <v>0</v>
      </c>
      <c r="I108" s="23">
        <f t="shared" si="9"/>
        <v>1239.58</v>
      </c>
      <c r="J108" s="23">
        <f t="shared" si="10"/>
        <v>143142.38</v>
      </c>
      <c r="K108" s="23">
        <f t="shared" si="12"/>
        <v>58339.960000000014</v>
      </c>
      <c r="L108" s="23">
        <f t="shared" si="13"/>
        <v>106857.62</v>
      </c>
      <c r="M108" s="24">
        <f>IF($D108&lt;=0,"",IF(Übersicht!$C$11=0,0,$L108/Übersicht!$C$11))</f>
        <v>0.42743048</v>
      </c>
      <c r="N108" s="25" t="str">
        <f>IF($D108&lt;=0,"",IF($J108&lt;=0.005,"Volltilgung erreicht",IF($A108=Übersicht!$C$19*Übersicht!$C$25,"Ende der Zinsbindung",IF($H108&gt;0,"Sondertilgung verrechnet",""))))</f>
        <v/>
      </c>
      <c r="Q108" s="38">
        <f>IF($S107&lt;=0,0,ROUND($S107*Übersicht!$C$26,2))</f>
        <v>545.54999999999995</v>
      </c>
      <c r="R108" s="38">
        <f>IF($S107&lt;=0,0,MIN($S107,IF(Übersicht!$C$14="Annuitätendarlehen",MAX(0,Übersicht!$C$28-$Q108),IF(Übersicht!$C$14="Ratendarlehen",Übersicht!$C$29,IF($A108&gt;=Übersicht!$C$30,$S107,0)))))</f>
        <v>694.03</v>
      </c>
      <c r="S108" s="38">
        <f>IF($S107&lt;=0,0,ROUND($S107-$R108-IF($S107-$R108&lt;=0,0,IF(MOD($A108,Übersicht!$C$25)=0,MIN(Szenarien!$C$8,$S107-$R108),0)),2))</f>
        <v>189063.44</v>
      </c>
      <c r="T108" s="38">
        <f>IF($V107&lt;=0,0,ROUND($V107*Übersicht!$C$26,2))</f>
        <v>479.73</v>
      </c>
      <c r="U108" s="38">
        <f>IF($V107&lt;=0,0,MIN($V107,IF(Übersicht!$C$14="Annuitätendarlehen",MAX(0,Übersicht!$C$28-$T108),IF(Übersicht!$C$14="Ratendarlehen",Übersicht!$C$29,IF($A108&gt;=Übersicht!$C$30,$V107,0)))))</f>
        <v>759.84999999999991</v>
      </c>
      <c r="V108" s="38">
        <f>IF($V107&lt;=0,0,ROUND($V107-$U108-IF($V107-$U108&lt;=0,0,IF(MOD($A108,Übersicht!$C$25)=0,MIN(Szenarien!$C$9,$V107-$U108),0)),2))</f>
        <v>166102.97</v>
      </c>
      <c r="W108" s="38">
        <f>IF($Y107&lt;=0,0,ROUND($Y107*Übersicht!$C$26,2))</f>
        <v>413.91</v>
      </c>
      <c r="X108" s="38">
        <f>IF($Y107&lt;=0,0,MIN($Y107,IF(Übersicht!$C$14="Annuitätendarlehen",MAX(0,Übersicht!$C$28-$W108),IF(Übersicht!$C$14="Ratendarlehen",Übersicht!$C$29,IF($A108&gt;=Übersicht!$C$30,$Y107,0)))))</f>
        <v>825.66999999999985</v>
      </c>
      <c r="Y108" s="38">
        <f>IF($Y107&lt;=0,0,ROUND($Y107-$X108-IF($Y107-$X108&lt;=0,0,IF(MOD($A108,Übersicht!$C$25)=0,MIN(Szenarien!$C$10,$Y107-$X108),0)),2))</f>
        <v>143142.38</v>
      </c>
      <c r="Z108" s="38">
        <f>IF($AB107&lt;=0,0,ROUND($AB107*Übersicht!$C$26,2))</f>
        <v>348.09</v>
      </c>
      <c r="AA108" s="38">
        <f>IF($AB107&lt;=0,0,MIN($AB107,IF(Übersicht!$C$14="Annuitätendarlehen",MAX(0,Übersicht!$C$28-$Z108),IF(Übersicht!$C$14="Ratendarlehen",Übersicht!$C$29,IF($A108&gt;=Übersicht!$C$30,$AB107,0)))))</f>
        <v>891.49</v>
      </c>
      <c r="AB108" s="38">
        <f>IF($AB107&lt;=0,0,ROUND($AB107-$AA108-IF($AB107-$AA108&lt;=0,0,IF(MOD($A108,Übersicht!$C$25)=0,MIN(Szenarien!$C$11,$AB107-$AA108),0)),2))</f>
        <v>120181.84</v>
      </c>
      <c r="AC108" s="38">
        <f>IF($AE107&lt;=0,0,ROUND($AE107*Übersicht!$C$26,2))</f>
        <v>216.44</v>
      </c>
      <c r="AD108" s="38">
        <f>IF($AE107&lt;=0,0,MIN($AE107,IF(Übersicht!$C$14="Annuitätendarlehen",MAX(0,Übersicht!$C$28-$AC108),IF(Übersicht!$C$14="Ratendarlehen",Übersicht!$C$29,IF($A108&gt;=Übersicht!$C$30,$AE107,0)))))</f>
        <v>1023.1399999999999</v>
      </c>
      <c r="AE108" s="38">
        <f>IF($AE107&lt;=0,0,ROUND($AE107-$AD108-IF($AE107-$AD108&lt;=0,0,IF(MOD($A108,Übersicht!$C$25)=0,MIN(Szenarien!$C$12,$AE107-$AD108),0)),2))</f>
        <v>74260.759999999995</v>
      </c>
    </row>
    <row r="109" spans="1:31" ht="15" customHeight="1" x14ac:dyDescent="0.25">
      <c r="A109" s="26">
        <v>102</v>
      </c>
      <c r="B109" s="39">
        <f>IF($D109&lt;=0,"",EDATE(Übersicht!$C$18,($A109-1)*12/Übersicht!$C$25))</f>
        <v>49125</v>
      </c>
      <c r="C109" s="26">
        <f t="shared" si="7"/>
        <v>2034</v>
      </c>
      <c r="D109" s="40">
        <f t="shared" si="11"/>
        <v>143142.38</v>
      </c>
      <c r="E109" s="28">
        <f t="shared" si="8"/>
        <v>1239.58</v>
      </c>
      <c r="F109" s="28">
        <f>IF($D109&lt;=0,0,ROUND($D109*Übersicht!$C$26,2))</f>
        <v>411.53</v>
      </c>
      <c r="G109" s="28">
        <f>IF($D109&lt;=0,0,MIN($D109,IF(Übersicht!$C$14="Annuitätendarlehen",MAX(0,Übersicht!$C$28-$F109),IF(Übersicht!$C$14="Ratendarlehen",Übersicht!$C$29,IF($A109&gt;=Übersicht!$C$30,$D109,0)))))</f>
        <v>828.05</v>
      </c>
      <c r="H109" s="28">
        <f>IF($D109-$G109&lt;=0,0,IF(MOD($A109,Übersicht!$C$25)=0,MIN(Übersicht!$C$31,$D109-$G109),0))</f>
        <v>0</v>
      </c>
      <c r="I109" s="28">
        <f t="shared" si="9"/>
        <v>1239.58</v>
      </c>
      <c r="J109" s="28">
        <f t="shared" si="10"/>
        <v>142314.32999999999</v>
      </c>
      <c r="K109" s="28">
        <f t="shared" si="12"/>
        <v>58751.490000000013</v>
      </c>
      <c r="L109" s="28">
        <f t="shared" si="13"/>
        <v>107685.67</v>
      </c>
      <c r="M109" s="29">
        <f>IF($D109&lt;=0,"",IF(Übersicht!$C$11=0,0,$L109/Übersicht!$C$11))</f>
        <v>0.43074267999999999</v>
      </c>
      <c r="N109" s="30" t="str">
        <f>IF($D109&lt;=0,"",IF($J109&lt;=0.005,"Volltilgung erreicht",IF($A109=Übersicht!$C$19*Übersicht!$C$25,"Ende der Zinsbindung",IF($H109&gt;0,"Sondertilgung verrechnet",""))))</f>
        <v/>
      </c>
      <c r="Q109" s="38">
        <f>IF($S108&lt;=0,0,ROUND($S108*Übersicht!$C$26,2))</f>
        <v>543.55999999999995</v>
      </c>
      <c r="R109" s="38">
        <f>IF($S108&lt;=0,0,MIN($S108,IF(Übersicht!$C$14="Annuitätendarlehen",MAX(0,Übersicht!$C$28-$Q109),IF(Übersicht!$C$14="Ratendarlehen",Übersicht!$C$29,IF($A109&gt;=Übersicht!$C$30,$S108,0)))))</f>
        <v>696.02</v>
      </c>
      <c r="S109" s="38">
        <f>IF($S108&lt;=0,0,ROUND($S108-$R109-IF($S108-$R109&lt;=0,0,IF(MOD($A109,Übersicht!$C$25)=0,MIN(Szenarien!$C$8,$S108-$R109),0)),2))</f>
        <v>188367.42</v>
      </c>
      <c r="T109" s="38">
        <f>IF($V108&lt;=0,0,ROUND($V108*Übersicht!$C$26,2))</f>
        <v>477.55</v>
      </c>
      <c r="U109" s="38">
        <f>IF($V108&lt;=0,0,MIN($V108,IF(Übersicht!$C$14="Annuitätendarlehen",MAX(0,Übersicht!$C$28-$T109),IF(Übersicht!$C$14="Ratendarlehen",Übersicht!$C$29,IF($A109&gt;=Übersicht!$C$30,$V108,0)))))</f>
        <v>762.03</v>
      </c>
      <c r="V109" s="38">
        <f>IF($V108&lt;=0,0,ROUND($V108-$U109-IF($V108-$U109&lt;=0,0,IF(MOD($A109,Übersicht!$C$25)=0,MIN(Szenarien!$C$9,$V108-$U109),0)),2))</f>
        <v>165340.94</v>
      </c>
      <c r="W109" s="38">
        <f>IF($Y108&lt;=0,0,ROUND($Y108*Übersicht!$C$26,2))</f>
        <v>411.53</v>
      </c>
      <c r="X109" s="38">
        <f>IF($Y108&lt;=0,0,MIN($Y108,IF(Übersicht!$C$14="Annuitätendarlehen",MAX(0,Übersicht!$C$28-$W109),IF(Übersicht!$C$14="Ratendarlehen",Übersicht!$C$29,IF($A109&gt;=Übersicht!$C$30,$Y108,0)))))</f>
        <v>828.05</v>
      </c>
      <c r="Y109" s="38">
        <f>IF($Y108&lt;=0,0,ROUND($Y108-$X109-IF($Y108-$X109&lt;=0,0,IF(MOD($A109,Übersicht!$C$25)=0,MIN(Szenarien!$C$10,$Y108-$X109),0)),2))</f>
        <v>142314.32999999999</v>
      </c>
      <c r="Z109" s="38">
        <f>IF($AB108&lt;=0,0,ROUND($AB108*Übersicht!$C$26,2))</f>
        <v>345.52</v>
      </c>
      <c r="AA109" s="38">
        <f>IF($AB108&lt;=0,0,MIN($AB108,IF(Übersicht!$C$14="Annuitätendarlehen",MAX(0,Übersicht!$C$28-$Z109),IF(Übersicht!$C$14="Ratendarlehen",Übersicht!$C$29,IF($A109&gt;=Übersicht!$C$30,$AB108,0)))))</f>
        <v>894.06</v>
      </c>
      <c r="AB109" s="38">
        <f>IF($AB108&lt;=0,0,ROUND($AB108-$AA109-IF($AB108-$AA109&lt;=0,0,IF(MOD($A109,Übersicht!$C$25)=0,MIN(Szenarien!$C$11,$AB108-$AA109),0)),2))</f>
        <v>119287.78</v>
      </c>
      <c r="AC109" s="38">
        <f>IF($AE108&lt;=0,0,ROUND($AE108*Übersicht!$C$26,2))</f>
        <v>213.5</v>
      </c>
      <c r="AD109" s="38">
        <f>IF($AE108&lt;=0,0,MIN($AE108,IF(Übersicht!$C$14="Annuitätendarlehen",MAX(0,Übersicht!$C$28-$AC109),IF(Übersicht!$C$14="Ratendarlehen",Übersicht!$C$29,IF($A109&gt;=Übersicht!$C$30,$AE108,0)))))</f>
        <v>1026.08</v>
      </c>
      <c r="AE109" s="38">
        <f>IF($AE108&lt;=0,0,ROUND($AE108-$AD109-IF($AE108-$AD109&lt;=0,0,IF(MOD($A109,Übersicht!$C$25)=0,MIN(Szenarien!$C$12,$AE108-$AD109),0)),2))</f>
        <v>73234.679999999993</v>
      </c>
    </row>
    <row r="110" spans="1:31" ht="15" customHeight="1" x14ac:dyDescent="0.25">
      <c r="A110" s="21">
        <v>103</v>
      </c>
      <c r="B110" s="36">
        <f>IF($D110&lt;=0,"",EDATE(Übersicht!$C$18,($A110-1)*12/Übersicht!$C$25))</f>
        <v>49156</v>
      </c>
      <c r="C110" s="21">
        <f t="shared" si="7"/>
        <v>2034</v>
      </c>
      <c r="D110" s="37">
        <f t="shared" si="11"/>
        <v>142314.32999999999</v>
      </c>
      <c r="E110" s="23">
        <f t="shared" si="8"/>
        <v>1239.58</v>
      </c>
      <c r="F110" s="23">
        <f>IF($D110&lt;=0,0,ROUND($D110*Übersicht!$C$26,2))</f>
        <v>409.15</v>
      </c>
      <c r="G110" s="23">
        <f>IF($D110&lt;=0,0,MIN($D110,IF(Übersicht!$C$14="Annuitätendarlehen",MAX(0,Übersicht!$C$28-$F110),IF(Übersicht!$C$14="Ratendarlehen",Übersicht!$C$29,IF($A110&gt;=Übersicht!$C$30,$D110,0)))))</f>
        <v>830.43</v>
      </c>
      <c r="H110" s="23">
        <f>IF($D110-$G110&lt;=0,0,IF(MOD($A110,Übersicht!$C$25)=0,MIN(Übersicht!$C$31,$D110-$G110),0))</f>
        <v>0</v>
      </c>
      <c r="I110" s="23">
        <f t="shared" si="9"/>
        <v>1239.58</v>
      </c>
      <c r="J110" s="23">
        <f t="shared" si="10"/>
        <v>141483.9</v>
      </c>
      <c r="K110" s="23">
        <f t="shared" si="12"/>
        <v>59160.640000000014</v>
      </c>
      <c r="L110" s="23">
        <f t="shared" si="13"/>
        <v>108516.1</v>
      </c>
      <c r="M110" s="24">
        <f>IF($D110&lt;=0,"",IF(Übersicht!$C$11=0,0,$L110/Übersicht!$C$11))</f>
        <v>0.43406440000000002</v>
      </c>
      <c r="N110" s="25" t="str">
        <f>IF($D110&lt;=0,"",IF($J110&lt;=0.005,"Volltilgung erreicht",IF($A110=Übersicht!$C$19*Übersicht!$C$25,"Ende der Zinsbindung",IF($H110&gt;0,"Sondertilgung verrechnet",""))))</f>
        <v/>
      </c>
      <c r="Q110" s="38">
        <f>IF($S109&lt;=0,0,ROUND($S109*Übersicht!$C$26,2))</f>
        <v>541.55999999999995</v>
      </c>
      <c r="R110" s="38">
        <f>IF($S109&lt;=0,0,MIN($S109,IF(Übersicht!$C$14="Annuitätendarlehen",MAX(0,Übersicht!$C$28-$Q110),IF(Übersicht!$C$14="Ratendarlehen",Übersicht!$C$29,IF($A110&gt;=Übersicht!$C$30,$S109,0)))))</f>
        <v>698.02</v>
      </c>
      <c r="S110" s="38">
        <f>IF($S109&lt;=0,0,ROUND($S109-$R110-IF($S109-$R110&lt;=0,0,IF(MOD($A110,Übersicht!$C$25)=0,MIN(Szenarien!$C$8,$S109-$R110),0)),2))</f>
        <v>187669.4</v>
      </c>
      <c r="T110" s="38">
        <f>IF($V109&lt;=0,0,ROUND($V109*Übersicht!$C$26,2))</f>
        <v>475.36</v>
      </c>
      <c r="U110" s="38">
        <f>IF($V109&lt;=0,0,MIN($V109,IF(Übersicht!$C$14="Annuitätendarlehen",MAX(0,Übersicht!$C$28-$T110),IF(Übersicht!$C$14="Ratendarlehen",Übersicht!$C$29,IF($A110&gt;=Übersicht!$C$30,$V109,0)))))</f>
        <v>764.21999999999991</v>
      </c>
      <c r="V110" s="38">
        <f>IF($V109&lt;=0,0,ROUND($V109-$U110-IF($V109-$U110&lt;=0,0,IF(MOD($A110,Übersicht!$C$25)=0,MIN(Szenarien!$C$9,$V109-$U110),0)),2))</f>
        <v>164576.72</v>
      </c>
      <c r="W110" s="38">
        <f>IF($Y109&lt;=0,0,ROUND($Y109*Übersicht!$C$26,2))</f>
        <v>409.15</v>
      </c>
      <c r="X110" s="38">
        <f>IF($Y109&lt;=0,0,MIN($Y109,IF(Übersicht!$C$14="Annuitätendarlehen",MAX(0,Übersicht!$C$28-$W110),IF(Übersicht!$C$14="Ratendarlehen",Übersicht!$C$29,IF($A110&gt;=Übersicht!$C$30,$Y109,0)))))</f>
        <v>830.43</v>
      </c>
      <c r="Y110" s="38">
        <f>IF($Y109&lt;=0,0,ROUND($Y109-$X110-IF($Y109-$X110&lt;=0,0,IF(MOD($A110,Übersicht!$C$25)=0,MIN(Szenarien!$C$10,$Y109-$X110),0)),2))</f>
        <v>141483.9</v>
      </c>
      <c r="Z110" s="38">
        <f>IF($AB109&lt;=0,0,ROUND($AB109*Übersicht!$C$26,2))</f>
        <v>342.95</v>
      </c>
      <c r="AA110" s="38">
        <f>IF($AB109&lt;=0,0,MIN($AB109,IF(Übersicht!$C$14="Annuitätendarlehen",MAX(0,Übersicht!$C$28-$Z110),IF(Übersicht!$C$14="Ratendarlehen",Übersicht!$C$29,IF($A110&gt;=Übersicht!$C$30,$AB109,0)))))</f>
        <v>896.62999999999988</v>
      </c>
      <c r="AB110" s="38">
        <f>IF($AB109&lt;=0,0,ROUND($AB109-$AA110-IF($AB109-$AA110&lt;=0,0,IF(MOD($A110,Übersicht!$C$25)=0,MIN(Szenarien!$C$11,$AB109-$AA110),0)),2))</f>
        <v>118391.15</v>
      </c>
      <c r="AC110" s="38">
        <f>IF($AE109&lt;=0,0,ROUND($AE109*Übersicht!$C$26,2))</f>
        <v>210.55</v>
      </c>
      <c r="AD110" s="38">
        <f>IF($AE109&lt;=0,0,MIN($AE109,IF(Übersicht!$C$14="Annuitätendarlehen",MAX(0,Übersicht!$C$28-$AC110),IF(Übersicht!$C$14="Ratendarlehen",Übersicht!$C$29,IF($A110&gt;=Übersicht!$C$30,$AE109,0)))))</f>
        <v>1029.03</v>
      </c>
      <c r="AE110" s="38">
        <f>IF($AE109&lt;=0,0,ROUND($AE109-$AD110-IF($AE109-$AD110&lt;=0,0,IF(MOD($A110,Übersicht!$C$25)=0,MIN(Szenarien!$C$12,$AE109-$AD110),0)),2))</f>
        <v>72205.649999999994</v>
      </c>
    </row>
    <row r="111" spans="1:31" ht="15" customHeight="1" x14ac:dyDescent="0.25">
      <c r="A111" s="26">
        <v>104</v>
      </c>
      <c r="B111" s="39">
        <f>IF($D111&lt;=0,"",EDATE(Übersicht!$C$18,($A111-1)*12/Übersicht!$C$25))</f>
        <v>49187</v>
      </c>
      <c r="C111" s="26">
        <f t="shared" si="7"/>
        <v>2034</v>
      </c>
      <c r="D111" s="40">
        <f t="shared" si="11"/>
        <v>141483.9</v>
      </c>
      <c r="E111" s="28">
        <f t="shared" si="8"/>
        <v>1239.58</v>
      </c>
      <c r="F111" s="28">
        <f>IF($D111&lt;=0,0,ROUND($D111*Übersicht!$C$26,2))</f>
        <v>406.77</v>
      </c>
      <c r="G111" s="28">
        <f>IF($D111&lt;=0,0,MIN($D111,IF(Übersicht!$C$14="Annuitätendarlehen",MAX(0,Übersicht!$C$28-$F111),IF(Übersicht!$C$14="Ratendarlehen",Übersicht!$C$29,IF($A111&gt;=Übersicht!$C$30,$D111,0)))))</f>
        <v>832.81</v>
      </c>
      <c r="H111" s="28">
        <f>IF($D111-$G111&lt;=0,0,IF(MOD($A111,Übersicht!$C$25)=0,MIN(Übersicht!$C$31,$D111-$G111),0))</f>
        <v>0</v>
      </c>
      <c r="I111" s="28">
        <f t="shared" si="9"/>
        <v>1239.58</v>
      </c>
      <c r="J111" s="28">
        <f t="shared" si="10"/>
        <v>140651.09</v>
      </c>
      <c r="K111" s="28">
        <f t="shared" si="12"/>
        <v>59567.410000000011</v>
      </c>
      <c r="L111" s="28">
        <f t="shared" si="13"/>
        <v>109348.91</v>
      </c>
      <c r="M111" s="29">
        <f>IF($D111&lt;=0,"",IF(Übersicht!$C$11=0,0,$L111/Übersicht!$C$11))</f>
        <v>0.43739564000000003</v>
      </c>
      <c r="N111" s="30" t="str">
        <f>IF($D111&lt;=0,"",IF($J111&lt;=0.005,"Volltilgung erreicht",IF($A111=Übersicht!$C$19*Übersicht!$C$25,"Ende der Zinsbindung",IF($H111&gt;0,"Sondertilgung verrechnet",""))))</f>
        <v/>
      </c>
      <c r="Q111" s="38">
        <f>IF($S110&lt;=0,0,ROUND($S110*Übersicht!$C$26,2))</f>
        <v>539.54999999999995</v>
      </c>
      <c r="R111" s="38">
        <f>IF($S110&lt;=0,0,MIN($S110,IF(Übersicht!$C$14="Annuitätendarlehen",MAX(0,Übersicht!$C$28-$Q111),IF(Übersicht!$C$14="Ratendarlehen",Übersicht!$C$29,IF($A111&gt;=Übersicht!$C$30,$S110,0)))))</f>
        <v>700.03</v>
      </c>
      <c r="S111" s="38">
        <f>IF($S110&lt;=0,0,ROUND($S110-$R111-IF($S110-$R111&lt;=0,0,IF(MOD($A111,Übersicht!$C$25)=0,MIN(Szenarien!$C$8,$S110-$R111),0)),2))</f>
        <v>186969.37</v>
      </c>
      <c r="T111" s="38">
        <f>IF($V110&lt;=0,0,ROUND($V110*Übersicht!$C$26,2))</f>
        <v>473.16</v>
      </c>
      <c r="U111" s="38">
        <f>IF($V110&lt;=0,0,MIN($V110,IF(Übersicht!$C$14="Annuitätendarlehen",MAX(0,Übersicht!$C$28-$T111),IF(Übersicht!$C$14="Ratendarlehen",Übersicht!$C$29,IF($A111&gt;=Übersicht!$C$30,$V110,0)))))</f>
        <v>766.41999999999985</v>
      </c>
      <c r="V111" s="38">
        <f>IF($V110&lt;=0,0,ROUND($V110-$U111-IF($V110-$U111&lt;=0,0,IF(MOD($A111,Übersicht!$C$25)=0,MIN(Szenarien!$C$9,$V110-$U111),0)),2))</f>
        <v>163810.29999999999</v>
      </c>
      <c r="W111" s="38">
        <f>IF($Y110&lt;=0,0,ROUND($Y110*Übersicht!$C$26,2))</f>
        <v>406.77</v>
      </c>
      <c r="X111" s="38">
        <f>IF($Y110&lt;=0,0,MIN($Y110,IF(Übersicht!$C$14="Annuitätendarlehen",MAX(0,Übersicht!$C$28-$W111),IF(Übersicht!$C$14="Ratendarlehen",Übersicht!$C$29,IF($A111&gt;=Übersicht!$C$30,$Y110,0)))))</f>
        <v>832.81</v>
      </c>
      <c r="Y111" s="38">
        <f>IF($Y110&lt;=0,0,ROUND($Y110-$X111-IF($Y110-$X111&lt;=0,0,IF(MOD($A111,Übersicht!$C$25)=0,MIN(Szenarien!$C$10,$Y110-$X111),0)),2))</f>
        <v>140651.09</v>
      </c>
      <c r="Z111" s="38">
        <f>IF($AB110&lt;=0,0,ROUND($AB110*Übersicht!$C$26,2))</f>
        <v>340.37</v>
      </c>
      <c r="AA111" s="38">
        <f>IF($AB110&lt;=0,0,MIN($AB110,IF(Übersicht!$C$14="Annuitätendarlehen",MAX(0,Übersicht!$C$28-$Z111),IF(Übersicht!$C$14="Ratendarlehen",Übersicht!$C$29,IF($A111&gt;=Übersicht!$C$30,$AB110,0)))))</f>
        <v>899.20999999999992</v>
      </c>
      <c r="AB111" s="38">
        <f>IF($AB110&lt;=0,0,ROUND($AB110-$AA111-IF($AB110-$AA111&lt;=0,0,IF(MOD($A111,Übersicht!$C$25)=0,MIN(Szenarien!$C$11,$AB110-$AA111),0)),2))</f>
        <v>117491.94</v>
      </c>
      <c r="AC111" s="38">
        <f>IF($AE110&lt;=0,0,ROUND($AE110*Übersicht!$C$26,2))</f>
        <v>207.59</v>
      </c>
      <c r="AD111" s="38">
        <f>IF($AE110&lt;=0,0,MIN($AE110,IF(Übersicht!$C$14="Annuitätendarlehen",MAX(0,Übersicht!$C$28-$AC111),IF(Übersicht!$C$14="Ratendarlehen",Übersicht!$C$29,IF($A111&gt;=Übersicht!$C$30,$AE110,0)))))</f>
        <v>1031.99</v>
      </c>
      <c r="AE111" s="38">
        <f>IF($AE110&lt;=0,0,ROUND($AE110-$AD111-IF($AE110-$AD111&lt;=0,0,IF(MOD($A111,Übersicht!$C$25)=0,MIN(Szenarien!$C$12,$AE110-$AD111),0)),2))</f>
        <v>71173.66</v>
      </c>
    </row>
    <row r="112" spans="1:31" ht="15" customHeight="1" x14ac:dyDescent="0.25">
      <c r="A112" s="21">
        <v>105</v>
      </c>
      <c r="B112" s="36">
        <f>IF($D112&lt;=0,"",EDATE(Übersicht!$C$18,($A112-1)*12/Übersicht!$C$25))</f>
        <v>49217</v>
      </c>
      <c r="C112" s="21">
        <f t="shared" si="7"/>
        <v>2034</v>
      </c>
      <c r="D112" s="37">
        <f t="shared" si="11"/>
        <v>140651.09</v>
      </c>
      <c r="E112" s="23">
        <f t="shared" si="8"/>
        <v>1239.58</v>
      </c>
      <c r="F112" s="23">
        <f>IF($D112&lt;=0,0,ROUND($D112*Übersicht!$C$26,2))</f>
        <v>404.37</v>
      </c>
      <c r="G112" s="23">
        <f>IF($D112&lt;=0,0,MIN($D112,IF(Übersicht!$C$14="Annuitätendarlehen",MAX(0,Übersicht!$C$28-$F112),IF(Übersicht!$C$14="Ratendarlehen",Übersicht!$C$29,IF($A112&gt;=Übersicht!$C$30,$D112,0)))))</f>
        <v>835.20999999999992</v>
      </c>
      <c r="H112" s="23">
        <f>IF($D112-$G112&lt;=0,0,IF(MOD($A112,Übersicht!$C$25)=0,MIN(Übersicht!$C$31,$D112-$G112),0))</f>
        <v>0</v>
      </c>
      <c r="I112" s="23">
        <f t="shared" si="9"/>
        <v>1239.58</v>
      </c>
      <c r="J112" s="23">
        <f t="shared" si="10"/>
        <v>139815.88</v>
      </c>
      <c r="K112" s="23">
        <f t="shared" si="12"/>
        <v>59971.780000000013</v>
      </c>
      <c r="L112" s="23">
        <f t="shared" si="13"/>
        <v>110184.12</v>
      </c>
      <c r="M112" s="24">
        <f>IF($D112&lt;=0,"",IF(Übersicht!$C$11=0,0,$L112/Übersicht!$C$11))</f>
        <v>0.44073647999999999</v>
      </c>
      <c r="N112" s="25" t="str">
        <f>IF($D112&lt;=0,"",IF($J112&lt;=0.005,"Volltilgung erreicht",IF($A112=Übersicht!$C$19*Übersicht!$C$25,"Ende der Zinsbindung",IF($H112&gt;0,"Sondertilgung verrechnet",""))))</f>
        <v/>
      </c>
      <c r="Q112" s="38">
        <f>IF($S111&lt;=0,0,ROUND($S111*Übersicht!$C$26,2))</f>
        <v>537.54</v>
      </c>
      <c r="R112" s="38">
        <f>IF($S111&lt;=0,0,MIN($S111,IF(Übersicht!$C$14="Annuitätendarlehen",MAX(0,Übersicht!$C$28-$Q112),IF(Übersicht!$C$14="Ratendarlehen",Übersicht!$C$29,IF($A112&gt;=Übersicht!$C$30,$S111,0)))))</f>
        <v>702.04</v>
      </c>
      <c r="S112" s="38">
        <f>IF($S111&lt;=0,0,ROUND($S111-$R112-IF($S111-$R112&lt;=0,0,IF(MOD($A112,Übersicht!$C$25)=0,MIN(Szenarien!$C$8,$S111-$R112),0)),2))</f>
        <v>186267.33</v>
      </c>
      <c r="T112" s="38">
        <f>IF($V111&lt;=0,0,ROUND($V111*Übersicht!$C$26,2))</f>
        <v>470.95</v>
      </c>
      <c r="U112" s="38">
        <f>IF($V111&lt;=0,0,MIN($V111,IF(Übersicht!$C$14="Annuitätendarlehen",MAX(0,Übersicht!$C$28-$T112),IF(Übersicht!$C$14="Ratendarlehen",Übersicht!$C$29,IF($A112&gt;=Übersicht!$C$30,$V111,0)))))</f>
        <v>768.62999999999988</v>
      </c>
      <c r="V112" s="38">
        <f>IF($V111&lt;=0,0,ROUND($V111-$U112-IF($V111-$U112&lt;=0,0,IF(MOD($A112,Übersicht!$C$25)=0,MIN(Szenarien!$C$9,$V111-$U112),0)),2))</f>
        <v>163041.67000000001</v>
      </c>
      <c r="W112" s="38">
        <f>IF($Y111&lt;=0,0,ROUND($Y111*Übersicht!$C$26,2))</f>
        <v>404.37</v>
      </c>
      <c r="X112" s="38">
        <f>IF($Y111&lt;=0,0,MIN($Y111,IF(Übersicht!$C$14="Annuitätendarlehen",MAX(0,Übersicht!$C$28-$W112),IF(Übersicht!$C$14="Ratendarlehen",Übersicht!$C$29,IF($A112&gt;=Übersicht!$C$30,$Y111,0)))))</f>
        <v>835.20999999999992</v>
      </c>
      <c r="Y112" s="38">
        <f>IF($Y111&lt;=0,0,ROUND($Y111-$X112-IF($Y111-$X112&lt;=0,0,IF(MOD($A112,Übersicht!$C$25)=0,MIN(Szenarien!$C$10,$Y111-$X112),0)),2))</f>
        <v>139815.88</v>
      </c>
      <c r="Z112" s="38">
        <f>IF($AB111&lt;=0,0,ROUND($AB111*Übersicht!$C$26,2))</f>
        <v>337.79</v>
      </c>
      <c r="AA112" s="38">
        <f>IF($AB111&lt;=0,0,MIN($AB111,IF(Übersicht!$C$14="Annuitätendarlehen",MAX(0,Übersicht!$C$28-$Z112),IF(Übersicht!$C$14="Ratendarlehen",Übersicht!$C$29,IF($A112&gt;=Übersicht!$C$30,$AB111,0)))))</f>
        <v>901.79</v>
      </c>
      <c r="AB112" s="38">
        <f>IF($AB111&lt;=0,0,ROUND($AB111-$AA112-IF($AB111-$AA112&lt;=0,0,IF(MOD($A112,Übersicht!$C$25)=0,MIN(Szenarien!$C$11,$AB111-$AA112),0)),2))</f>
        <v>116590.15</v>
      </c>
      <c r="AC112" s="38">
        <f>IF($AE111&lt;=0,0,ROUND($AE111*Übersicht!$C$26,2))</f>
        <v>204.62</v>
      </c>
      <c r="AD112" s="38">
        <f>IF($AE111&lt;=0,0,MIN($AE111,IF(Übersicht!$C$14="Annuitätendarlehen",MAX(0,Übersicht!$C$28-$AC112),IF(Übersicht!$C$14="Ratendarlehen",Übersicht!$C$29,IF($A112&gt;=Übersicht!$C$30,$AE111,0)))))</f>
        <v>1034.96</v>
      </c>
      <c r="AE112" s="38">
        <f>IF($AE111&lt;=0,0,ROUND($AE111-$AD112-IF($AE111-$AD112&lt;=0,0,IF(MOD($A112,Übersicht!$C$25)=0,MIN(Szenarien!$C$12,$AE111-$AD112),0)),2))</f>
        <v>70138.7</v>
      </c>
    </row>
    <row r="113" spans="1:31" ht="15" customHeight="1" x14ac:dyDescent="0.25">
      <c r="A113" s="26">
        <v>106</v>
      </c>
      <c r="B113" s="39">
        <f>IF($D113&lt;=0,"",EDATE(Übersicht!$C$18,($A113-1)*12/Übersicht!$C$25))</f>
        <v>49248</v>
      </c>
      <c r="C113" s="26">
        <f t="shared" si="7"/>
        <v>2034</v>
      </c>
      <c r="D113" s="40">
        <f t="shared" si="11"/>
        <v>139815.88</v>
      </c>
      <c r="E113" s="28">
        <f t="shared" si="8"/>
        <v>1239.58</v>
      </c>
      <c r="F113" s="28">
        <f>IF($D113&lt;=0,0,ROUND($D113*Übersicht!$C$26,2))</f>
        <v>401.97</v>
      </c>
      <c r="G113" s="28">
        <f>IF($D113&lt;=0,0,MIN($D113,IF(Übersicht!$C$14="Annuitätendarlehen",MAX(0,Übersicht!$C$28-$F113),IF(Übersicht!$C$14="Ratendarlehen",Übersicht!$C$29,IF($A113&gt;=Übersicht!$C$30,$D113,0)))))</f>
        <v>837.6099999999999</v>
      </c>
      <c r="H113" s="28">
        <f>IF($D113-$G113&lt;=0,0,IF(MOD($A113,Übersicht!$C$25)=0,MIN(Übersicht!$C$31,$D113-$G113),0))</f>
        <v>0</v>
      </c>
      <c r="I113" s="28">
        <f t="shared" si="9"/>
        <v>1239.58</v>
      </c>
      <c r="J113" s="28">
        <f t="shared" si="10"/>
        <v>138978.26999999999</v>
      </c>
      <c r="K113" s="28">
        <f t="shared" si="12"/>
        <v>60373.750000000015</v>
      </c>
      <c r="L113" s="28">
        <f t="shared" si="13"/>
        <v>111021.73</v>
      </c>
      <c r="M113" s="29">
        <f>IF($D113&lt;=0,"",IF(Übersicht!$C$11=0,0,$L113/Übersicht!$C$11))</f>
        <v>0.44408692</v>
      </c>
      <c r="N113" s="30" t="str">
        <f>IF($D113&lt;=0,"",IF($J113&lt;=0.005,"Volltilgung erreicht",IF($A113=Übersicht!$C$19*Übersicht!$C$25,"Ende der Zinsbindung",IF($H113&gt;0,"Sondertilgung verrechnet",""))))</f>
        <v/>
      </c>
      <c r="Q113" s="38">
        <f>IF($S112&lt;=0,0,ROUND($S112*Übersicht!$C$26,2))</f>
        <v>535.52</v>
      </c>
      <c r="R113" s="38">
        <f>IF($S112&lt;=0,0,MIN($S112,IF(Übersicht!$C$14="Annuitätendarlehen",MAX(0,Übersicht!$C$28-$Q113),IF(Übersicht!$C$14="Ratendarlehen",Übersicht!$C$29,IF($A113&gt;=Übersicht!$C$30,$S112,0)))))</f>
        <v>704.06</v>
      </c>
      <c r="S113" s="38">
        <f>IF($S112&lt;=0,0,ROUND($S112-$R113-IF($S112-$R113&lt;=0,0,IF(MOD($A113,Übersicht!$C$25)=0,MIN(Szenarien!$C$8,$S112-$R113),0)),2))</f>
        <v>185563.27</v>
      </c>
      <c r="T113" s="38">
        <f>IF($V112&lt;=0,0,ROUND($V112*Übersicht!$C$26,2))</f>
        <v>468.74</v>
      </c>
      <c r="U113" s="38">
        <f>IF($V112&lt;=0,0,MIN($V112,IF(Übersicht!$C$14="Annuitätendarlehen",MAX(0,Übersicht!$C$28-$T113),IF(Übersicht!$C$14="Ratendarlehen",Übersicht!$C$29,IF($A113&gt;=Übersicht!$C$30,$V112,0)))))</f>
        <v>770.83999999999992</v>
      </c>
      <c r="V113" s="38">
        <f>IF($V112&lt;=0,0,ROUND($V112-$U113-IF($V112-$U113&lt;=0,0,IF(MOD($A113,Übersicht!$C$25)=0,MIN(Szenarien!$C$9,$V112-$U113),0)),2))</f>
        <v>162270.82999999999</v>
      </c>
      <c r="W113" s="38">
        <f>IF($Y112&lt;=0,0,ROUND($Y112*Übersicht!$C$26,2))</f>
        <v>401.97</v>
      </c>
      <c r="X113" s="38">
        <f>IF($Y112&lt;=0,0,MIN($Y112,IF(Übersicht!$C$14="Annuitätendarlehen",MAX(0,Übersicht!$C$28-$W113),IF(Übersicht!$C$14="Ratendarlehen",Übersicht!$C$29,IF($A113&gt;=Übersicht!$C$30,$Y112,0)))))</f>
        <v>837.6099999999999</v>
      </c>
      <c r="Y113" s="38">
        <f>IF($Y112&lt;=0,0,ROUND($Y112-$X113-IF($Y112-$X113&lt;=0,0,IF(MOD($A113,Übersicht!$C$25)=0,MIN(Szenarien!$C$10,$Y112-$X113),0)),2))</f>
        <v>138978.26999999999</v>
      </c>
      <c r="Z113" s="38">
        <f>IF($AB112&lt;=0,0,ROUND($AB112*Übersicht!$C$26,2))</f>
        <v>335.2</v>
      </c>
      <c r="AA113" s="38">
        <f>IF($AB112&lt;=0,0,MIN($AB112,IF(Übersicht!$C$14="Annuitätendarlehen",MAX(0,Übersicht!$C$28-$Z113),IF(Übersicht!$C$14="Ratendarlehen",Übersicht!$C$29,IF($A113&gt;=Übersicht!$C$30,$AB112,0)))))</f>
        <v>904.37999999999988</v>
      </c>
      <c r="AB113" s="38">
        <f>IF($AB112&lt;=0,0,ROUND($AB112-$AA113-IF($AB112-$AA113&lt;=0,0,IF(MOD($A113,Übersicht!$C$25)=0,MIN(Szenarien!$C$11,$AB112-$AA113),0)),2))</f>
        <v>115685.77</v>
      </c>
      <c r="AC113" s="38">
        <f>IF($AE112&lt;=0,0,ROUND($AE112*Übersicht!$C$26,2))</f>
        <v>201.65</v>
      </c>
      <c r="AD113" s="38">
        <f>IF($AE112&lt;=0,0,MIN($AE112,IF(Übersicht!$C$14="Annuitätendarlehen",MAX(0,Übersicht!$C$28-$AC113),IF(Übersicht!$C$14="Ratendarlehen",Übersicht!$C$29,IF($A113&gt;=Übersicht!$C$30,$AE112,0)))))</f>
        <v>1037.9299999999998</v>
      </c>
      <c r="AE113" s="38">
        <f>IF($AE112&lt;=0,0,ROUND($AE112-$AD113-IF($AE112-$AD113&lt;=0,0,IF(MOD($A113,Übersicht!$C$25)=0,MIN(Szenarien!$C$12,$AE112-$AD113),0)),2))</f>
        <v>69100.77</v>
      </c>
    </row>
    <row r="114" spans="1:31" ht="15" customHeight="1" x14ac:dyDescent="0.25">
      <c r="A114" s="21">
        <v>107</v>
      </c>
      <c r="B114" s="36">
        <f>IF($D114&lt;=0,"",EDATE(Übersicht!$C$18,($A114-1)*12/Übersicht!$C$25))</f>
        <v>49278</v>
      </c>
      <c r="C114" s="21">
        <f t="shared" si="7"/>
        <v>2034</v>
      </c>
      <c r="D114" s="37">
        <f t="shared" si="11"/>
        <v>138978.26999999999</v>
      </c>
      <c r="E114" s="23">
        <f t="shared" si="8"/>
        <v>1239.58</v>
      </c>
      <c r="F114" s="23">
        <f>IF($D114&lt;=0,0,ROUND($D114*Übersicht!$C$26,2))</f>
        <v>399.56</v>
      </c>
      <c r="G114" s="23">
        <f>IF($D114&lt;=0,0,MIN($D114,IF(Übersicht!$C$14="Annuitätendarlehen",MAX(0,Übersicht!$C$28-$F114),IF(Übersicht!$C$14="Ratendarlehen",Übersicht!$C$29,IF($A114&gt;=Übersicht!$C$30,$D114,0)))))</f>
        <v>840.02</v>
      </c>
      <c r="H114" s="23">
        <f>IF($D114-$G114&lt;=0,0,IF(MOD($A114,Übersicht!$C$25)=0,MIN(Übersicht!$C$31,$D114-$G114),0))</f>
        <v>0</v>
      </c>
      <c r="I114" s="23">
        <f t="shared" si="9"/>
        <v>1239.58</v>
      </c>
      <c r="J114" s="23">
        <f t="shared" si="10"/>
        <v>138138.25</v>
      </c>
      <c r="K114" s="23">
        <f t="shared" si="12"/>
        <v>60773.310000000012</v>
      </c>
      <c r="L114" s="23">
        <f t="shared" si="13"/>
        <v>111861.75</v>
      </c>
      <c r="M114" s="24">
        <f>IF($D114&lt;=0,"",IF(Übersicht!$C$11=0,0,$L114/Übersicht!$C$11))</f>
        <v>0.44744699999999998</v>
      </c>
      <c r="N114" s="25" t="str">
        <f>IF($D114&lt;=0,"",IF($J114&lt;=0.005,"Volltilgung erreicht",IF($A114=Übersicht!$C$19*Übersicht!$C$25,"Ende der Zinsbindung",IF($H114&gt;0,"Sondertilgung verrechnet",""))))</f>
        <v/>
      </c>
      <c r="Q114" s="38">
        <f>IF($S113&lt;=0,0,ROUND($S113*Übersicht!$C$26,2))</f>
        <v>533.49</v>
      </c>
      <c r="R114" s="38">
        <f>IF($S113&lt;=0,0,MIN($S113,IF(Übersicht!$C$14="Annuitätendarlehen",MAX(0,Übersicht!$C$28-$Q114),IF(Übersicht!$C$14="Ratendarlehen",Übersicht!$C$29,IF($A114&gt;=Übersicht!$C$30,$S113,0)))))</f>
        <v>706.08999999999992</v>
      </c>
      <c r="S114" s="38">
        <f>IF($S113&lt;=0,0,ROUND($S113-$R114-IF($S113-$R114&lt;=0,0,IF(MOD($A114,Übersicht!$C$25)=0,MIN(Szenarien!$C$8,$S113-$R114),0)),2))</f>
        <v>184857.18</v>
      </c>
      <c r="T114" s="38">
        <f>IF($V113&lt;=0,0,ROUND($V113*Übersicht!$C$26,2))</f>
        <v>466.53</v>
      </c>
      <c r="U114" s="38">
        <f>IF($V113&lt;=0,0,MIN($V113,IF(Übersicht!$C$14="Annuitätendarlehen",MAX(0,Übersicht!$C$28-$T114),IF(Übersicht!$C$14="Ratendarlehen",Übersicht!$C$29,IF($A114&gt;=Übersicht!$C$30,$V113,0)))))</f>
        <v>773.05</v>
      </c>
      <c r="V114" s="38">
        <f>IF($V113&lt;=0,0,ROUND($V113-$U114-IF($V113-$U114&lt;=0,0,IF(MOD($A114,Übersicht!$C$25)=0,MIN(Szenarien!$C$9,$V113-$U114),0)),2))</f>
        <v>161497.78</v>
      </c>
      <c r="W114" s="38">
        <f>IF($Y113&lt;=0,0,ROUND($Y113*Übersicht!$C$26,2))</f>
        <v>399.56</v>
      </c>
      <c r="X114" s="38">
        <f>IF($Y113&lt;=0,0,MIN($Y113,IF(Übersicht!$C$14="Annuitätendarlehen",MAX(0,Übersicht!$C$28-$W114),IF(Übersicht!$C$14="Ratendarlehen",Übersicht!$C$29,IF($A114&gt;=Übersicht!$C$30,$Y113,0)))))</f>
        <v>840.02</v>
      </c>
      <c r="Y114" s="38">
        <f>IF($Y113&lt;=0,0,ROUND($Y113-$X114-IF($Y113-$X114&lt;=0,0,IF(MOD($A114,Übersicht!$C$25)=0,MIN(Szenarien!$C$10,$Y113-$X114),0)),2))</f>
        <v>138138.25</v>
      </c>
      <c r="Z114" s="38">
        <f>IF($AB113&lt;=0,0,ROUND($AB113*Übersicht!$C$26,2))</f>
        <v>332.6</v>
      </c>
      <c r="AA114" s="38">
        <f>IF($AB113&lt;=0,0,MIN($AB113,IF(Übersicht!$C$14="Annuitätendarlehen",MAX(0,Übersicht!$C$28-$Z114),IF(Übersicht!$C$14="Ratendarlehen",Übersicht!$C$29,IF($A114&gt;=Übersicht!$C$30,$AB113,0)))))</f>
        <v>906.9799999999999</v>
      </c>
      <c r="AB114" s="38">
        <f>IF($AB113&lt;=0,0,ROUND($AB113-$AA114-IF($AB113-$AA114&lt;=0,0,IF(MOD($A114,Übersicht!$C$25)=0,MIN(Szenarien!$C$11,$AB113-$AA114),0)),2))</f>
        <v>114778.79</v>
      </c>
      <c r="AC114" s="38">
        <f>IF($AE113&lt;=0,0,ROUND($AE113*Übersicht!$C$26,2))</f>
        <v>198.66</v>
      </c>
      <c r="AD114" s="38">
        <f>IF($AE113&lt;=0,0,MIN($AE113,IF(Übersicht!$C$14="Annuitätendarlehen",MAX(0,Übersicht!$C$28-$AC114),IF(Übersicht!$C$14="Ratendarlehen",Übersicht!$C$29,IF($A114&gt;=Übersicht!$C$30,$AE113,0)))))</f>
        <v>1040.9199999999998</v>
      </c>
      <c r="AE114" s="38">
        <f>IF($AE113&lt;=0,0,ROUND($AE113-$AD114-IF($AE113-$AD114&lt;=0,0,IF(MOD($A114,Übersicht!$C$25)=0,MIN(Szenarien!$C$12,$AE113-$AD114),0)),2))</f>
        <v>68059.850000000006</v>
      </c>
    </row>
    <row r="115" spans="1:31" ht="15" customHeight="1" x14ac:dyDescent="0.25">
      <c r="A115" s="26">
        <v>108</v>
      </c>
      <c r="B115" s="39">
        <f>IF($D115&lt;=0,"",EDATE(Übersicht!$C$18,($A115-1)*12/Übersicht!$C$25))</f>
        <v>49309</v>
      </c>
      <c r="C115" s="26">
        <f t="shared" si="7"/>
        <v>2034</v>
      </c>
      <c r="D115" s="40">
        <f t="shared" si="11"/>
        <v>138138.25</v>
      </c>
      <c r="E115" s="28">
        <f t="shared" si="8"/>
        <v>1239.58</v>
      </c>
      <c r="F115" s="28">
        <f>IF($D115&lt;=0,0,ROUND($D115*Übersicht!$C$26,2))</f>
        <v>397.15</v>
      </c>
      <c r="G115" s="28">
        <f>IF($D115&lt;=0,0,MIN($D115,IF(Übersicht!$C$14="Annuitätendarlehen",MAX(0,Übersicht!$C$28-$F115),IF(Übersicht!$C$14="Ratendarlehen",Übersicht!$C$29,IF($A115&gt;=Übersicht!$C$30,$D115,0)))))</f>
        <v>842.43</v>
      </c>
      <c r="H115" s="28">
        <f>IF($D115-$G115&lt;=0,0,IF(MOD($A115,Übersicht!$C$25)=0,MIN(Übersicht!$C$31,$D115-$G115),0))</f>
        <v>5000</v>
      </c>
      <c r="I115" s="28">
        <f t="shared" si="9"/>
        <v>6239.58</v>
      </c>
      <c r="J115" s="28">
        <f t="shared" si="10"/>
        <v>132295.82</v>
      </c>
      <c r="K115" s="28">
        <f t="shared" si="12"/>
        <v>61170.460000000014</v>
      </c>
      <c r="L115" s="28">
        <f t="shared" si="13"/>
        <v>117704.18</v>
      </c>
      <c r="M115" s="29">
        <f>IF($D115&lt;=0,"",IF(Übersicht!$C$11=0,0,$L115/Übersicht!$C$11))</f>
        <v>0.47081671999999997</v>
      </c>
      <c r="N115" s="30" t="str">
        <f>IF($D115&lt;=0,"",IF($J115&lt;=0.005,"Volltilgung erreicht",IF($A115=Übersicht!$C$19*Übersicht!$C$25,"Ende der Zinsbindung",IF($H115&gt;0,"Sondertilgung verrechnet",""))))</f>
        <v>Sondertilgung verrechnet</v>
      </c>
      <c r="Q115" s="38">
        <f>IF($S114&lt;=0,0,ROUND($S114*Übersicht!$C$26,2))</f>
        <v>531.46</v>
      </c>
      <c r="R115" s="38">
        <f>IF($S114&lt;=0,0,MIN($S114,IF(Übersicht!$C$14="Annuitätendarlehen",MAX(0,Übersicht!$C$28-$Q115),IF(Übersicht!$C$14="Ratendarlehen",Übersicht!$C$29,IF($A115&gt;=Übersicht!$C$30,$S114,0)))))</f>
        <v>708.11999999999989</v>
      </c>
      <c r="S115" s="38">
        <f>IF($S114&lt;=0,0,ROUND($S114-$R115-IF($S114-$R115&lt;=0,0,IF(MOD($A115,Übersicht!$C$25)=0,MIN(Szenarien!$C$8,$S114-$R115),0)),2))</f>
        <v>184149.06</v>
      </c>
      <c r="T115" s="38">
        <f>IF($V114&lt;=0,0,ROUND($V114*Übersicht!$C$26,2))</f>
        <v>464.31</v>
      </c>
      <c r="U115" s="38">
        <f>IF($V114&lt;=0,0,MIN($V114,IF(Übersicht!$C$14="Annuitätendarlehen",MAX(0,Übersicht!$C$28-$T115),IF(Übersicht!$C$14="Ratendarlehen",Übersicht!$C$29,IF($A115&gt;=Übersicht!$C$30,$V114,0)))))</f>
        <v>775.27</v>
      </c>
      <c r="V115" s="38">
        <f>IF($V114&lt;=0,0,ROUND($V114-$U115-IF($V114-$U115&lt;=0,0,IF(MOD($A115,Übersicht!$C$25)=0,MIN(Szenarien!$C$9,$V114-$U115),0)),2))</f>
        <v>158222.51</v>
      </c>
      <c r="W115" s="38">
        <f>IF($Y114&lt;=0,0,ROUND($Y114*Übersicht!$C$26,2))</f>
        <v>397.15</v>
      </c>
      <c r="X115" s="38">
        <f>IF($Y114&lt;=0,0,MIN($Y114,IF(Übersicht!$C$14="Annuitätendarlehen",MAX(0,Übersicht!$C$28-$W115),IF(Übersicht!$C$14="Ratendarlehen",Übersicht!$C$29,IF($A115&gt;=Übersicht!$C$30,$Y114,0)))))</f>
        <v>842.43</v>
      </c>
      <c r="Y115" s="38">
        <f>IF($Y114&lt;=0,0,ROUND($Y114-$X115-IF($Y114-$X115&lt;=0,0,IF(MOD($A115,Übersicht!$C$25)=0,MIN(Szenarien!$C$10,$Y114-$X115),0)),2))</f>
        <v>132295.82</v>
      </c>
      <c r="Z115" s="38">
        <f>IF($AB114&lt;=0,0,ROUND($AB114*Übersicht!$C$26,2))</f>
        <v>329.99</v>
      </c>
      <c r="AA115" s="38">
        <f>IF($AB114&lt;=0,0,MIN($AB114,IF(Übersicht!$C$14="Annuitätendarlehen",MAX(0,Übersicht!$C$28-$Z115),IF(Übersicht!$C$14="Ratendarlehen",Übersicht!$C$29,IF($A115&gt;=Übersicht!$C$30,$AB114,0)))))</f>
        <v>909.58999999999992</v>
      </c>
      <c r="AB115" s="38">
        <f>IF($AB114&lt;=0,0,ROUND($AB114-$AA115-IF($AB114-$AA115&lt;=0,0,IF(MOD($A115,Übersicht!$C$25)=0,MIN(Szenarien!$C$11,$AB114-$AA115),0)),2))</f>
        <v>106369.2</v>
      </c>
      <c r="AC115" s="38">
        <f>IF($AE114&lt;=0,0,ROUND($AE114*Übersicht!$C$26,2))</f>
        <v>195.67</v>
      </c>
      <c r="AD115" s="38">
        <f>IF($AE114&lt;=0,0,MIN($AE114,IF(Übersicht!$C$14="Annuitätendarlehen",MAX(0,Übersicht!$C$28-$AC115),IF(Übersicht!$C$14="Ratendarlehen",Übersicht!$C$29,IF($A115&gt;=Übersicht!$C$30,$AE114,0)))))</f>
        <v>1043.9099999999999</v>
      </c>
      <c r="AE115" s="38">
        <f>IF($AE114&lt;=0,0,ROUND($AE114-$AD115-IF($AE114-$AD115&lt;=0,0,IF(MOD($A115,Übersicht!$C$25)=0,MIN(Szenarien!$C$12,$AE114-$AD115),0)),2))</f>
        <v>54515.94</v>
      </c>
    </row>
    <row r="116" spans="1:31" ht="15" customHeight="1" x14ac:dyDescent="0.25">
      <c r="A116" s="21">
        <v>109</v>
      </c>
      <c r="B116" s="36">
        <f>IF($D116&lt;=0,"",EDATE(Übersicht!$C$18,($A116-1)*12/Übersicht!$C$25))</f>
        <v>49340</v>
      </c>
      <c r="C116" s="21">
        <f t="shared" si="7"/>
        <v>2035</v>
      </c>
      <c r="D116" s="37">
        <f t="shared" si="11"/>
        <v>132295.82</v>
      </c>
      <c r="E116" s="23">
        <f t="shared" si="8"/>
        <v>1239.58</v>
      </c>
      <c r="F116" s="23">
        <f>IF($D116&lt;=0,0,ROUND($D116*Übersicht!$C$26,2))</f>
        <v>380.35</v>
      </c>
      <c r="G116" s="23">
        <f>IF($D116&lt;=0,0,MIN($D116,IF(Übersicht!$C$14="Annuitätendarlehen",MAX(0,Übersicht!$C$28-$F116),IF(Übersicht!$C$14="Ratendarlehen",Übersicht!$C$29,IF($A116&gt;=Übersicht!$C$30,$D116,0)))))</f>
        <v>859.2299999999999</v>
      </c>
      <c r="H116" s="23">
        <f>IF($D116-$G116&lt;=0,0,IF(MOD($A116,Übersicht!$C$25)=0,MIN(Übersicht!$C$31,$D116-$G116),0))</f>
        <v>0</v>
      </c>
      <c r="I116" s="23">
        <f t="shared" si="9"/>
        <v>1239.58</v>
      </c>
      <c r="J116" s="23">
        <f t="shared" si="10"/>
        <v>131436.59</v>
      </c>
      <c r="K116" s="23">
        <f t="shared" si="12"/>
        <v>61550.810000000012</v>
      </c>
      <c r="L116" s="23">
        <f t="shared" si="13"/>
        <v>118563.41</v>
      </c>
      <c r="M116" s="24">
        <f>IF($D116&lt;=0,"",IF(Übersicht!$C$11=0,0,$L116/Übersicht!$C$11))</f>
        <v>0.47425364000000003</v>
      </c>
      <c r="N116" s="25" t="str">
        <f>IF($D116&lt;=0,"",IF($J116&lt;=0.005,"Volltilgung erreicht",IF($A116=Übersicht!$C$19*Übersicht!$C$25,"Ende der Zinsbindung",IF($H116&gt;0,"Sondertilgung verrechnet",""))))</f>
        <v/>
      </c>
      <c r="Q116" s="38">
        <f>IF($S115&lt;=0,0,ROUND($S115*Übersicht!$C$26,2))</f>
        <v>529.42999999999995</v>
      </c>
      <c r="R116" s="38">
        <f>IF($S115&lt;=0,0,MIN($S115,IF(Übersicht!$C$14="Annuitätendarlehen",MAX(0,Übersicht!$C$28-$Q116),IF(Übersicht!$C$14="Ratendarlehen",Übersicht!$C$29,IF($A116&gt;=Übersicht!$C$30,$S115,0)))))</f>
        <v>710.15</v>
      </c>
      <c r="S116" s="38">
        <f>IF($S115&lt;=0,0,ROUND($S115-$R116-IF($S115-$R116&lt;=0,0,IF(MOD($A116,Übersicht!$C$25)=0,MIN(Szenarien!$C$8,$S115-$R116),0)),2))</f>
        <v>183438.91</v>
      </c>
      <c r="T116" s="38">
        <f>IF($V115&lt;=0,0,ROUND($V115*Übersicht!$C$26,2))</f>
        <v>454.89</v>
      </c>
      <c r="U116" s="38">
        <f>IF($V115&lt;=0,0,MIN($V115,IF(Übersicht!$C$14="Annuitätendarlehen",MAX(0,Übersicht!$C$28-$T116),IF(Übersicht!$C$14="Ratendarlehen",Übersicht!$C$29,IF($A116&gt;=Übersicht!$C$30,$V115,0)))))</f>
        <v>784.68999999999994</v>
      </c>
      <c r="V116" s="38">
        <f>IF($V115&lt;=0,0,ROUND($V115-$U116-IF($V115-$U116&lt;=0,0,IF(MOD($A116,Übersicht!$C$25)=0,MIN(Szenarien!$C$9,$V115-$U116),0)),2))</f>
        <v>157437.82</v>
      </c>
      <c r="W116" s="38">
        <f>IF($Y115&lt;=0,0,ROUND($Y115*Übersicht!$C$26,2))</f>
        <v>380.35</v>
      </c>
      <c r="X116" s="38">
        <f>IF($Y115&lt;=0,0,MIN($Y115,IF(Übersicht!$C$14="Annuitätendarlehen",MAX(0,Übersicht!$C$28-$W116),IF(Übersicht!$C$14="Ratendarlehen",Übersicht!$C$29,IF($A116&gt;=Übersicht!$C$30,$Y115,0)))))</f>
        <v>859.2299999999999</v>
      </c>
      <c r="Y116" s="38">
        <f>IF($Y115&lt;=0,0,ROUND($Y115-$X116-IF($Y115-$X116&lt;=0,0,IF(MOD($A116,Übersicht!$C$25)=0,MIN(Szenarien!$C$10,$Y115-$X116),0)),2))</f>
        <v>131436.59</v>
      </c>
      <c r="Z116" s="38">
        <f>IF($AB115&lt;=0,0,ROUND($AB115*Übersicht!$C$26,2))</f>
        <v>305.81</v>
      </c>
      <c r="AA116" s="38">
        <f>IF($AB115&lt;=0,0,MIN($AB115,IF(Übersicht!$C$14="Annuitätendarlehen",MAX(0,Übersicht!$C$28-$Z116),IF(Übersicht!$C$14="Ratendarlehen",Übersicht!$C$29,IF($A116&gt;=Übersicht!$C$30,$AB115,0)))))</f>
        <v>933.77</v>
      </c>
      <c r="AB116" s="38">
        <f>IF($AB115&lt;=0,0,ROUND($AB115-$AA116-IF($AB115-$AA116&lt;=0,0,IF(MOD($A116,Übersicht!$C$25)=0,MIN(Szenarien!$C$11,$AB115-$AA116),0)),2))</f>
        <v>105435.43</v>
      </c>
      <c r="AC116" s="38">
        <f>IF($AE115&lt;=0,0,ROUND($AE115*Übersicht!$C$26,2))</f>
        <v>156.72999999999999</v>
      </c>
      <c r="AD116" s="38">
        <f>IF($AE115&lt;=0,0,MIN($AE115,IF(Übersicht!$C$14="Annuitätendarlehen",MAX(0,Übersicht!$C$28-$AC116),IF(Übersicht!$C$14="Ratendarlehen",Übersicht!$C$29,IF($A116&gt;=Übersicht!$C$30,$AE115,0)))))</f>
        <v>1082.8499999999999</v>
      </c>
      <c r="AE116" s="38">
        <f>IF($AE115&lt;=0,0,ROUND($AE115-$AD116-IF($AE115-$AD116&lt;=0,0,IF(MOD($A116,Übersicht!$C$25)=0,MIN(Szenarien!$C$12,$AE115-$AD116),0)),2))</f>
        <v>53433.09</v>
      </c>
    </row>
    <row r="117" spans="1:31" ht="15" customHeight="1" x14ac:dyDescent="0.25">
      <c r="A117" s="26">
        <v>110</v>
      </c>
      <c r="B117" s="39">
        <f>IF($D117&lt;=0,"",EDATE(Übersicht!$C$18,($A117-1)*12/Übersicht!$C$25))</f>
        <v>49368</v>
      </c>
      <c r="C117" s="26">
        <f t="shared" si="7"/>
        <v>2035</v>
      </c>
      <c r="D117" s="40">
        <f t="shared" si="11"/>
        <v>131436.59</v>
      </c>
      <c r="E117" s="28">
        <f t="shared" si="8"/>
        <v>1239.58</v>
      </c>
      <c r="F117" s="28">
        <f>IF($D117&lt;=0,0,ROUND($D117*Übersicht!$C$26,2))</f>
        <v>377.88</v>
      </c>
      <c r="G117" s="28">
        <f>IF($D117&lt;=0,0,MIN($D117,IF(Übersicht!$C$14="Annuitätendarlehen",MAX(0,Übersicht!$C$28-$F117),IF(Übersicht!$C$14="Ratendarlehen",Übersicht!$C$29,IF($A117&gt;=Übersicht!$C$30,$D117,0)))))</f>
        <v>861.69999999999993</v>
      </c>
      <c r="H117" s="28">
        <f>IF($D117-$G117&lt;=0,0,IF(MOD($A117,Übersicht!$C$25)=0,MIN(Übersicht!$C$31,$D117-$G117),0))</f>
        <v>0</v>
      </c>
      <c r="I117" s="28">
        <f t="shared" si="9"/>
        <v>1239.58</v>
      </c>
      <c r="J117" s="28">
        <f t="shared" si="10"/>
        <v>130574.89</v>
      </c>
      <c r="K117" s="28">
        <f t="shared" si="12"/>
        <v>61928.69000000001</v>
      </c>
      <c r="L117" s="28">
        <f t="shared" si="13"/>
        <v>119425.11</v>
      </c>
      <c r="M117" s="29">
        <f>IF($D117&lt;=0,"",IF(Übersicht!$C$11=0,0,$L117/Übersicht!$C$11))</f>
        <v>0.47770044</v>
      </c>
      <c r="N117" s="30" t="str">
        <f>IF($D117&lt;=0,"",IF($J117&lt;=0.005,"Volltilgung erreicht",IF($A117=Übersicht!$C$19*Übersicht!$C$25,"Ende der Zinsbindung",IF($H117&gt;0,"Sondertilgung verrechnet",""))))</f>
        <v/>
      </c>
      <c r="Q117" s="38">
        <f>IF($S116&lt;=0,0,ROUND($S116*Übersicht!$C$26,2))</f>
        <v>527.39</v>
      </c>
      <c r="R117" s="38">
        <f>IF($S116&lt;=0,0,MIN($S116,IF(Übersicht!$C$14="Annuitätendarlehen",MAX(0,Übersicht!$C$28-$Q117),IF(Übersicht!$C$14="Ratendarlehen",Übersicht!$C$29,IF($A117&gt;=Übersicht!$C$30,$S116,0)))))</f>
        <v>712.18999999999994</v>
      </c>
      <c r="S117" s="38">
        <f>IF($S116&lt;=0,0,ROUND($S116-$R117-IF($S116-$R117&lt;=0,0,IF(MOD($A117,Übersicht!$C$25)=0,MIN(Szenarien!$C$8,$S116-$R117),0)),2))</f>
        <v>182726.72</v>
      </c>
      <c r="T117" s="38">
        <f>IF($V116&lt;=0,0,ROUND($V116*Übersicht!$C$26,2))</f>
        <v>452.63</v>
      </c>
      <c r="U117" s="38">
        <f>IF($V116&lt;=0,0,MIN($V116,IF(Übersicht!$C$14="Annuitätendarlehen",MAX(0,Übersicht!$C$28-$T117),IF(Übersicht!$C$14="Ratendarlehen",Übersicht!$C$29,IF($A117&gt;=Übersicht!$C$30,$V116,0)))))</f>
        <v>786.94999999999993</v>
      </c>
      <c r="V117" s="38">
        <f>IF($V116&lt;=0,0,ROUND($V116-$U117-IF($V116-$U117&lt;=0,0,IF(MOD($A117,Übersicht!$C$25)=0,MIN(Szenarien!$C$9,$V116-$U117),0)),2))</f>
        <v>156650.87</v>
      </c>
      <c r="W117" s="38">
        <f>IF($Y116&lt;=0,0,ROUND($Y116*Übersicht!$C$26,2))</f>
        <v>377.88</v>
      </c>
      <c r="X117" s="38">
        <f>IF($Y116&lt;=0,0,MIN($Y116,IF(Übersicht!$C$14="Annuitätendarlehen",MAX(0,Übersicht!$C$28-$W117),IF(Übersicht!$C$14="Ratendarlehen",Übersicht!$C$29,IF($A117&gt;=Übersicht!$C$30,$Y116,0)))))</f>
        <v>861.69999999999993</v>
      </c>
      <c r="Y117" s="38">
        <f>IF($Y116&lt;=0,0,ROUND($Y116-$X117-IF($Y116-$X117&lt;=0,0,IF(MOD($A117,Übersicht!$C$25)=0,MIN(Szenarien!$C$10,$Y116-$X117),0)),2))</f>
        <v>130574.89</v>
      </c>
      <c r="Z117" s="38">
        <f>IF($AB116&lt;=0,0,ROUND($AB116*Übersicht!$C$26,2))</f>
        <v>303.13</v>
      </c>
      <c r="AA117" s="38">
        <f>IF($AB116&lt;=0,0,MIN($AB116,IF(Übersicht!$C$14="Annuitätendarlehen",MAX(0,Übersicht!$C$28-$Z117),IF(Übersicht!$C$14="Ratendarlehen",Übersicht!$C$29,IF($A117&gt;=Übersicht!$C$30,$AB116,0)))))</f>
        <v>936.44999999999993</v>
      </c>
      <c r="AB117" s="38">
        <f>IF($AB116&lt;=0,0,ROUND($AB116-$AA117-IF($AB116-$AA117&lt;=0,0,IF(MOD($A117,Übersicht!$C$25)=0,MIN(Szenarien!$C$11,$AB116-$AA117),0)),2))</f>
        <v>104498.98</v>
      </c>
      <c r="AC117" s="38">
        <f>IF($AE116&lt;=0,0,ROUND($AE116*Übersicht!$C$26,2))</f>
        <v>153.62</v>
      </c>
      <c r="AD117" s="38">
        <f>IF($AE116&lt;=0,0,MIN($AE116,IF(Übersicht!$C$14="Annuitätendarlehen",MAX(0,Übersicht!$C$28-$AC117),IF(Übersicht!$C$14="Ratendarlehen",Übersicht!$C$29,IF($A117&gt;=Übersicht!$C$30,$AE116,0)))))</f>
        <v>1085.96</v>
      </c>
      <c r="AE117" s="38">
        <f>IF($AE116&lt;=0,0,ROUND($AE116-$AD117-IF($AE116-$AD117&lt;=0,0,IF(MOD($A117,Übersicht!$C$25)=0,MIN(Szenarien!$C$12,$AE116-$AD117),0)),2))</f>
        <v>52347.13</v>
      </c>
    </row>
    <row r="118" spans="1:31" ht="15" customHeight="1" x14ac:dyDescent="0.25">
      <c r="A118" s="21">
        <v>111</v>
      </c>
      <c r="B118" s="36">
        <f>IF($D118&lt;=0,"",EDATE(Übersicht!$C$18,($A118-1)*12/Übersicht!$C$25))</f>
        <v>49399</v>
      </c>
      <c r="C118" s="21">
        <f t="shared" si="7"/>
        <v>2035</v>
      </c>
      <c r="D118" s="37">
        <f t="shared" si="11"/>
        <v>130574.89</v>
      </c>
      <c r="E118" s="23">
        <f t="shared" si="8"/>
        <v>1239.58</v>
      </c>
      <c r="F118" s="23">
        <f>IF($D118&lt;=0,0,ROUND($D118*Übersicht!$C$26,2))</f>
        <v>375.4</v>
      </c>
      <c r="G118" s="23">
        <f>IF($D118&lt;=0,0,MIN($D118,IF(Übersicht!$C$14="Annuitätendarlehen",MAX(0,Übersicht!$C$28-$F118),IF(Übersicht!$C$14="Ratendarlehen",Übersicht!$C$29,IF($A118&gt;=Übersicht!$C$30,$D118,0)))))</f>
        <v>864.18</v>
      </c>
      <c r="H118" s="23">
        <f>IF($D118-$G118&lt;=0,0,IF(MOD($A118,Übersicht!$C$25)=0,MIN(Übersicht!$C$31,$D118-$G118),0))</f>
        <v>0</v>
      </c>
      <c r="I118" s="23">
        <f t="shared" si="9"/>
        <v>1239.58</v>
      </c>
      <c r="J118" s="23">
        <f t="shared" si="10"/>
        <v>129710.71</v>
      </c>
      <c r="K118" s="23">
        <f t="shared" si="12"/>
        <v>62304.090000000011</v>
      </c>
      <c r="L118" s="23">
        <f t="shared" si="13"/>
        <v>120289.29</v>
      </c>
      <c r="M118" s="24">
        <f>IF($D118&lt;=0,"",IF(Übersicht!$C$11=0,0,$L118/Übersicht!$C$11))</f>
        <v>0.48115715999999997</v>
      </c>
      <c r="N118" s="25" t="str">
        <f>IF($D118&lt;=0,"",IF($J118&lt;=0.005,"Volltilgung erreicht",IF($A118=Übersicht!$C$19*Übersicht!$C$25,"Ende der Zinsbindung",IF($H118&gt;0,"Sondertilgung verrechnet",""))))</f>
        <v/>
      </c>
      <c r="Q118" s="38">
        <f>IF($S117&lt;=0,0,ROUND($S117*Übersicht!$C$26,2))</f>
        <v>525.34</v>
      </c>
      <c r="R118" s="38">
        <f>IF($S117&lt;=0,0,MIN($S117,IF(Übersicht!$C$14="Annuitätendarlehen",MAX(0,Übersicht!$C$28-$Q118),IF(Übersicht!$C$14="Ratendarlehen",Übersicht!$C$29,IF($A118&gt;=Übersicht!$C$30,$S117,0)))))</f>
        <v>714.2399999999999</v>
      </c>
      <c r="S118" s="38">
        <f>IF($S117&lt;=0,0,ROUND($S117-$R118-IF($S117-$R118&lt;=0,0,IF(MOD($A118,Übersicht!$C$25)=0,MIN(Szenarien!$C$8,$S117-$R118),0)),2))</f>
        <v>182012.48</v>
      </c>
      <c r="T118" s="38">
        <f>IF($V117&lt;=0,0,ROUND($V117*Übersicht!$C$26,2))</f>
        <v>450.37</v>
      </c>
      <c r="U118" s="38">
        <f>IF($V117&lt;=0,0,MIN($V117,IF(Übersicht!$C$14="Annuitätendarlehen",MAX(0,Übersicht!$C$28-$T118),IF(Übersicht!$C$14="Ratendarlehen",Übersicht!$C$29,IF($A118&gt;=Übersicht!$C$30,$V117,0)))))</f>
        <v>789.20999999999992</v>
      </c>
      <c r="V118" s="38">
        <f>IF($V117&lt;=0,0,ROUND($V117-$U118-IF($V117-$U118&lt;=0,0,IF(MOD($A118,Übersicht!$C$25)=0,MIN(Szenarien!$C$9,$V117-$U118),0)),2))</f>
        <v>155861.66</v>
      </c>
      <c r="W118" s="38">
        <f>IF($Y117&lt;=0,0,ROUND($Y117*Übersicht!$C$26,2))</f>
        <v>375.4</v>
      </c>
      <c r="X118" s="38">
        <f>IF($Y117&lt;=0,0,MIN($Y117,IF(Übersicht!$C$14="Annuitätendarlehen",MAX(0,Übersicht!$C$28-$W118),IF(Übersicht!$C$14="Ratendarlehen",Übersicht!$C$29,IF($A118&gt;=Übersicht!$C$30,$Y117,0)))))</f>
        <v>864.18</v>
      </c>
      <c r="Y118" s="38">
        <f>IF($Y117&lt;=0,0,ROUND($Y117-$X118-IF($Y117-$X118&lt;=0,0,IF(MOD($A118,Übersicht!$C$25)=0,MIN(Szenarien!$C$10,$Y117-$X118),0)),2))</f>
        <v>129710.71</v>
      </c>
      <c r="Z118" s="38">
        <f>IF($AB117&lt;=0,0,ROUND($AB117*Übersicht!$C$26,2))</f>
        <v>300.43</v>
      </c>
      <c r="AA118" s="38">
        <f>IF($AB117&lt;=0,0,MIN($AB117,IF(Übersicht!$C$14="Annuitätendarlehen",MAX(0,Übersicht!$C$28-$Z118),IF(Übersicht!$C$14="Ratendarlehen",Übersicht!$C$29,IF($A118&gt;=Übersicht!$C$30,$AB117,0)))))</f>
        <v>939.14999999999986</v>
      </c>
      <c r="AB118" s="38">
        <f>IF($AB117&lt;=0,0,ROUND($AB117-$AA118-IF($AB117-$AA118&lt;=0,0,IF(MOD($A118,Übersicht!$C$25)=0,MIN(Szenarien!$C$11,$AB117-$AA118),0)),2))</f>
        <v>103559.83</v>
      </c>
      <c r="AC118" s="38">
        <f>IF($AE117&lt;=0,0,ROUND($AE117*Übersicht!$C$26,2))</f>
        <v>150.5</v>
      </c>
      <c r="AD118" s="38">
        <f>IF($AE117&lt;=0,0,MIN($AE117,IF(Übersicht!$C$14="Annuitätendarlehen",MAX(0,Übersicht!$C$28-$AC118),IF(Übersicht!$C$14="Ratendarlehen",Übersicht!$C$29,IF($A118&gt;=Übersicht!$C$30,$AE117,0)))))</f>
        <v>1089.08</v>
      </c>
      <c r="AE118" s="38">
        <f>IF($AE117&lt;=0,0,ROUND($AE117-$AD118-IF($AE117-$AD118&lt;=0,0,IF(MOD($A118,Übersicht!$C$25)=0,MIN(Szenarien!$C$12,$AE117-$AD118),0)),2))</f>
        <v>51258.05</v>
      </c>
    </row>
    <row r="119" spans="1:31" ht="15" customHeight="1" x14ac:dyDescent="0.25">
      <c r="A119" s="26">
        <v>112</v>
      </c>
      <c r="B119" s="39">
        <f>IF($D119&lt;=0,"",EDATE(Übersicht!$C$18,($A119-1)*12/Übersicht!$C$25))</f>
        <v>49429</v>
      </c>
      <c r="C119" s="26">
        <f t="shared" si="7"/>
        <v>2035</v>
      </c>
      <c r="D119" s="40">
        <f t="shared" si="11"/>
        <v>129710.71</v>
      </c>
      <c r="E119" s="28">
        <f t="shared" si="8"/>
        <v>1239.58</v>
      </c>
      <c r="F119" s="28">
        <f>IF($D119&lt;=0,0,ROUND($D119*Übersicht!$C$26,2))</f>
        <v>372.92</v>
      </c>
      <c r="G119" s="28">
        <f>IF($D119&lt;=0,0,MIN($D119,IF(Übersicht!$C$14="Annuitätendarlehen",MAX(0,Übersicht!$C$28-$F119),IF(Übersicht!$C$14="Ratendarlehen",Übersicht!$C$29,IF($A119&gt;=Übersicht!$C$30,$D119,0)))))</f>
        <v>866.65999999999985</v>
      </c>
      <c r="H119" s="28">
        <f>IF($D119-$G119&lt;=0,0,IF(MOD($A119,Übersicht!$C$25)=0,MIN(Übersicht!$C$31,$D119-$G119),0))</f>
        <v>0</v>
      </c>
      <c r="I119" s="28">
        <f t="shared" si="9"/>
        <v>1239.58</v>
      </c>
      <c r="J119" s="28">
        <f t="shared" si="10"/>
        <v>128844.05</v>
      </c>
      <c r="K119" s="28">
        <f t="shared" si="12"/>
        <v>62677.010000000009</v>
      </c>
      <c r="L119" s="28">
        <f t="shared" si="13"/>
        <v>121155.95</v>
      </c>
      <c r="M119" s="29">
        <f>IF($D119&lt;=0,"",IF(Übersicht!$C$11=0,0,$L119/Übersicht!$C$11))</f>
        <v>0.48462379999999999</v>
      </c>
      <c r="N119" s="30" t="str">
        <f>IF($D119&lt;=0,"",IF($J119&lt;=0.005,"Volltilgung erreicht",IF($A119=Übersicht!$C$19*Übersicht!$C$25,"Ende der Zinsbindung",IF($H119&gt;0,"Sondertilgung verrechnet",""))))</f>
        <v/>
      </c>
      <c r="Q119" s="38">
        <f>IF($S118&lt;=0,0,ROUND($S118*Übersicht!$C$26,2))</f>
        <v>523.29</v>
      </c>
      <c r="R119" s="38">
        <f>IF($S118&lt;=0,0,MIN($S118,IF(Übersicht!$C$14="Annuitätendarlehen",MAX(0,Übersicht!$C$28-$Q119),IF(Übersicht!$C$14="Ratendarlehen",Übersicht!$C$29,IF($A119&gt;=Übersicht!$C$30,$S118,0)))))</f>
        <v>716.29</v>
      </c>
      <c r="S119" s="38">
        <f>IF($S118&lt;=0,0,ROUND($S118-$R119-IF($S118-$R119&lt;=0,0,IF(MOD($A119,Übersicht!$C$25)=0,MIN(Szenarien!$C$8,$S118-$R119),0)),2))</f>
        <v>181296.19</v>
      </c>
      <c r="T119" s="38">
        <f>IF($V118&lt;=0,0,ROUND($V118*Übersicht!$C$26,2))</f>
        <v>448.1</v>
      </c>
      <c r="U119" s="38">
        <f>IF($V118&lt;=0,0,MIN($V118,IF(Übersicht!$C$14="Annuitätendarlehen",MAX(0,Übersicht!$C$28-$T119),IF(Übersicht!$C$14="Ratendarlehen",Übersicht!$C$29,IF($A119&gt;=Übersicht!$C$30,$V118,0)))))</f>
        <v>791.4799999999999</v>
      </c>
      <c r="V119" s="38">
        <f>IF($V118&lt;=0,0,ROUND($V118-$U119-IF($V118-$U119&lt;=0,0,IF(MOD($A119,Übersicht!$C$25)=0,MIN(Szenarien!$C$9,$V118-$U119),0)),2))</f>
        <v>155070.18</v>
      </c>
      <c r="W119" s="38">
        <f>IF($Y118&lt;=0,0,ROUND($Y118*Übersicht!$C$26,2))</f>
        <v>372.92</v>
      </c>
      <c r="X119" s="38">
        <f>IF($Y118&lt;=0,0,MIN($Y118,IF(Übersicht!$C$14="Annuitätendarlehen",MAX(0,Übersicht!$C$28-$W119),IF(Übersicht!$C$14="Ratendarlehen",Übersicht!$C$29,IF($A119&gt;=Übersicht!$C$30,$Y118,0)))))</f>
        <v>866.65999999999985</v>
      </c>
      <c r="Y119" s="38">
        <f>IF($Y118&lt;=0,0,ROUND($Y118-$X119-IF($Y118-$X119&lt;=0,0,IF(MOD($A119,Übersicht!$C$25)=0,MIN(Szenarien!$C$10,$Y118-$X119),0)),2))</f>
        <v>128844.05</v>
      </c>
      <c r="Z119" s="38">
        <f>IF($AB118&lt;=0,0,ROUND($AB118*Übersicht!$C$26,2))</f>
        <v>297.73</v>
      </c>
      <c r="AA119" s="38">
        <f>IF($AB118&lt;=0,0,MIN($AB118,IF(Übersicht!$C$14="Annuitätendarlehen",MAX(0,Übersicht!$C$28-$Z119),IF(Übersicht!$C$14="Ratendarlehen",Übersicht!$C$29,IF($A119&gt;=Übersicht!$C$30,$AB118,0)))))</f>
        <v>941.84999999999991</v>
      </c>
      <c r="AB119" s="38">
        <f>IF($AB118&lt;=0,0,ROUND($AB118-$AA119-IF($AB118-$AA119&lt;=0,0,IF(MOD($A119,Übersicht!$C$25)=0,MIN(Szenarien!$C$11,$AB118-$AA119),0)),2))</f>
        <v>102617.98</v>
      </c>
      <c r="AC119" s="38">
        <f>IF($AE118&lt;=0,0,ROUND($AE118*Übersicht!$C$26,2))</f>
        <v>147.37</v>
      </c>
      <c r="AD119" s="38">
        <f>IF($AE118&lt;=0,0,MIN($AE118,IF(Übersicht!$C$14="Annuitätendarlehen",MAX(0,Übersicht!$C$28-$AC119),IF(Übersicht!$C$14="Ratendarlehen",Übersicht!$C$29,IF($A119&gt;=Übersicht!$C$30,$AE118,0)))))</f>
        <v>1092.21</v>
      </c>
      <c r="AE119" s="38">
        <f>IF($AE118&lt;=0,0,ROUND($AE118-$AD119-IF($AE118-$AD119&lt;=0,0,IF(MOD($A119,Übersicht!$C$25)=0,MIN(Szenarien!$C$12,$AE118-$AD119),0)),2))</f>
        <v>50165.84</v>
      </c>
    </row>
    <row r="120" spans="1:31" ht="15" customHeight="1" x14ac:dyDescent="0.25">
      <c r="A120" s="21">
        <v>113</v>
      </c>
      <c r="B120" s="36">
        <f>IF($D120&lt;=0,"",EDATE(Übersicht!$C$18,($A120-1)*12/Übersicht!$C$25))</f>
        <v>49460</v>
      </c>
      <c r="C120" s="21">
        <f t="shared" si="7"/>
        <v>2035</v>
      </c>
      <c r="D120" s="37">
        <f t="shared" si="11"/>
        <v>128844.05</v>
      </c>
      <c r="E120" s="23">
        <f t="shared" si="8"/>
        <v>1239.58</v>
      </c>
      <c r="F120" s="23">
        <f>IF($D120&lt;=0,0,ROUND($D120*Übersicht!$C$26,2))</f>
        <v>370.43</v>
      </c>
      <c r="G120" s="23">
        <f>IF($D120&lt;=0,0,MIN($D120,IF(Übersicht!$C$14="Annuitätendarlehen",MAX(0,Übersicht!$C$28-$F120),IF(Übersicht!$C$14="Ratendarlehen",Übersicht!$C$29,IF($A120&gt;=Übersicht!$C$30,$D120,0)))))</f>
        <v>869.14999999999986</v>
      </c>
      <c r="H120" s="23">
        <f>IF($D120-$G120&lt;=0,0,IF(MOD($A120,Übersicht!$C$25)=0,MIN(Übersicht!$C$31,$D120-$G120),0))</f>
        <v>0</v>
      </c>
      <c r="I120" s="23">
        <f t="shared" si="9"/>
        <v>1239.58</v>
      </c>
      <c r="J120" s="23">
        <f t="shared" si="10"/>
        <v>127974.9</v>
      </c>
      <c r="K120" s="23">
        <f t="shared" si="12"/>
        <v>63047.44000000001</v>
      </c>
      <c r="L120" s="23">
        <f t="shared" si="13"/>
        <v>122025.1</v>
      </c>
      <c r="M120" s="24">
        <f>IF($D120&lt;=0,"",IF(Übersicht!$C$11=0,0,$L120/Übersicht!$C$11))</f>
        <v>0.48810040000000005</v>
      </c>
      <c r="N120" s="25" t="str">
        <f>IF($D120&lt;=0,"",IF($J120&lt;=0.005,"Volltilgung erreicht",IF($A120=Übersicht!$C$19*Übersicht!$C$25,"Ende der Zinsbindung",IF($H120&gt;0,"Sondertilgung verrechnet",""))))</f>
        <v/>
      </c>
      <c r="Q120" s="38">
        <f>IF($S119&lt;=0,0,ROUND($S119*Übersicht!$C$26,2))</f>
        <v>521.23</v>
      </c>
      <c r="R120" s="38">
        <f>IF($S119&lt;=0,0,MIN($S119,IF(Übersicht!$C$14="Annuitätendarlehen",MAX(0,Übersicht!$C$28-$Q120),IF(Übersicht!$C$14="Ratendarlehen",Übersicht!$C$29,IF($A120&gt;=Übersicht!$C$30,$S119,0)))))</f>
        <v>718.34999999999991</v>
      </c>
      <c r="S120" s="38">
        <f>IF($S119&lt;=0,0,ROUND($S119-$R120-IF($S119-$R120&lt;=0,0,IF(MOD($A120,Übersicht!$C$25)=0,MIN(Szenarien!$C$8,$S119-$R120),0)),2))</f>
        <v>180577.84</v>
      </c>
      <c r="T120" s="38">
        <f>IF($V119&lt;=0,0,ROUND($V119*Übersicht!$C$26,2))</f>
        <v>445.83</v>
      </c>
      <c r="U120" s="38">
        <f>IF($V119&lt;=0,0,MIN($V119,IF(Übersicht!$C$14="Annuitätendarlehen",MAX(0,Übersicht!$C$28-$T120),IF(Übersicht!$C$14="Ratendarlehen",Übersicht!$C$29,IF($A120&gt;=Übersicht!$C$30,$V119,0)))))</f>
        <v>793.75</v>
      </c>
      <c r="V120" s="38">
        <f>IF($V119&lt;=0,0,ROUND($V119-$U120-IF($V119-$U120&lt;=0,0,IF(MOD($A120,Übersicht!$C$25)=0,MIN(Szenarien!$C$9,$V119-$U120),0)),2))</f>
        <v>154276.43</v>
      </c>
      <c r="W120" s="38">
        <f>IF($Y119&lt;=0,0,ROUND($Y119*Übersicht!$C$26,2))</f>
        <v>370.43</v>
      </c>
      <c r="X120" s="38">
        <f>IF($Y119&lt;=0,0,MIN($Y119,IF(Übersicht!$C$14="Annuitätendarlehen",MAX(0,Übersicht!$C$28-$W120),IF(Übersicht!$C$14="Ratendarlehen",Übersicht!$C$29,IF($A120&gt;=Übersicht!$C$30,$Y119,0)))))</f>
        <v>869.14999999999986</v>
      </c>
      <c r="Y120" s="38">
        <f>IF($Y119&lt;=0,0,ROUND($Y119-$X120-IF($Y119-$X120&lt;=0,0,IF(MOD($A120,Übersicht!$C$25)=0,MIN(Szenarien!$C$10,$Y119-$X120),0)),2))</f>
        <v>127974.9</v>
      </c>
      <c r="Z120" s="38">
        <f>IF($AB119&lt;=0,0,ROUND($AB119*Übersicht!$C$26,2))</f>
        <v>295.02999999999997</v>
      </c>
      <c r="AA120" s="38">
        <f>IF($AB119&lt;=0,0,MIN($AB119,IF(Übersicht!$C$14="Annuitätendarlehen",MAX(0,Übersicht!$C$28-$Z120),IF(Übersicht!$C$14="Ratendarlehen",Übersicht!$C$29,IF($A120&gt;=Übersicht!$C$30,$AB119,0)))))</f>
        <v>944.55</v>
      </c>
      <c r="AB120" s="38">
        <f>IF($AB119&lt;=0,0,ROUND($AB119-$AA120-IF($AB119-$AA120&lt;=0,0,IF(MOD($A120,Übersicht!$C$25)=0,MIN(Szenarien!$C$11,$AB119-$AA120),0)),2))</f>
        <v>101673.43</v>
      </c>
      <c r="AC120" s="38">
        <f>IF($AE119&lt;=0,0,ROUND($AE119*Übersicht!$C$26,2))</f>
        <v>144.22999999999999</v>
      </c>
      <c r="AD120" s="38">
        <f>IF($AE119&lt;=0,0,MIN($AE119,IF(Übersicht!$C$14="Annuitätendarlehen",MAX(0,Übersicht!$C$28-$AC120),IF(Übersicht!$C$14="Ratendarlehen",Übersicht!$C$29,IF($A120&gt;=Übersicht!$C$30,$AE119,0)))))</f>
        <v>1095.3499999999999</v>
      </c>
      <c r="AE120" s="38">
        <f>IF($AE119&lt;=0,0,ROUND($AE119-$AD120-IF($AE119-$AD120&lt;=0,0,IF(MOD($A120,Übersicht!$C$25)=0,MIN(Szenarien!$C$12,$AE119-$AD120),0)),2))</f>
        <v>49070.49</v>
      </c>
    </row>
    <row r="121" spans="1:31" ht="15" customHeight="1" x14ac:dyDescent="0.25">
      <c r="A121" s="26">
        <v>114</v>
      </c>
      <c r="B121" s="39">
        <f>IF($D121&lt;=0,"",EDATE(Übersicht!$C$18,($A121-1)*12/Übersicht!$C$25))</f>
        <v>49490</v>
      </c>
      <c r="C121" s="26">
        <f t="shared" si="7"/>
        <v>2035</v>
      </c>
      <c r="D121" s="40">
        <f t="shared" si="11"/>
        <v>127974.9</v>
      </c>
      <c r="E121" s="28">
        <f t="shared" si="8"/>
        <v>1239.58</v>
      </c>
      <c r="F121" s="28">
        <f>IF($D121&lt;=0,0,ROUND($D121*Übersicht!$C$26,2))</f>
        <v>367.93</v>
      </c>
      <c r="G121" s="28">
        <f>IF($D121&lt;=0,0,MIN($D121,IF(Übersicht!$C$14="Annuitätendarlehen",MAX(0,Übersicht!$C$28-$F121),IF(Übersicht!$C$14="Ratendarlehen",Übersicht!$C$29,IF($A121&gt;=Übersicht!$C$30,$D121,0)))))</f>
        <v>871.64999999999986</v>
      </c>
      <c r="H121" s="28">
        <f>IF($D121-$G121&lt;=0,0,IF(MOD($A121,Übersicht!$C$25)=0,MIN(Übersicht!$C$31,$D121-$G121),0))</f>
        <v>0</v>
      </c>
      <c r="I121" s="28">
        <f t="shared" si="9"/>
        <v>1239.58</v>
      </c>
      <c r="J121" s="28">
        <f t="shared" si="10"/>
        <v>127103.25</v>
      </c>
      <c r="K121" s="28">
        <f t="shared" si="12"/>
        <v>63415.37000000001</v>
      </c>
      <c r="L121" s="28">
        <f t="shared" si="13"/>
        <v>122896.75</v>
      </c>
      <c r="M121" s="29">
        <f>IF($D121&lt;=0,"",IF(Übersicht!$C$11=0,0,$L121/Übersicht!$C$11))</f>
        <v>0.491587</v>
      </c>
      <c r="N121" s="30" t="str">
        <f>IF($D121&lt;=0,"",IF($J121&lt;=0.005,"Volltilgung erreicht",IF($A121=Übersicht!$C$19*Übersicht!$C$25,"Ende der Zinsbindung",IF($H121&gt;0,"Sondertilgung verrechnet",""))))</f>
        <v/>
      </c>
      <c r="Q121" s="38">
        <f>IF($S120&lt;=0,0,ROUND($S120*Übersicht!$C$26,2))</f>
        <v>519.16</v>
      </c>
      <c r="R121" s="38">
        <f>IF($S120&lt;=0,0,MIN($S120,IF(Übersicht!$C$14="Annuitätendarlehen",MAX(0,Übersicht!$C$28-$Q121),IF(Übersicht!$C$14="Ratendarlehen",Übersicht!$C$29,IF($A121&gt;=Übersicht!$C$30,$S120,0)))))</f>
        <v>720.42</v>
      </c>
      <c r="S121" s="38">
        <f>IF($S120&lt;=0,0,ROUND($S120-$R121-IF($S120-$R121&lt;=0,0,IF(MOD($A121,Übersicht!$C$25)=0,MIN(Szenarien!$C$8,$S120-$R121),0)),2))</f>
        <v>179857.42</v>
      </c>
      <c r="T121" s="38">
        <f>IF($V120&lt;=0,0,ROUND($V120*Übersicht!$C$26,2))</f>
        <v>443.54</v>
      </c>
      <c r="U121" s="38">
        <f>IF($V120&lt;=0,0,MIN($V120,IF(Übersicht!$C$14="Annuitätendarlehen",MAX(0,Übersicht!$C$28-$T121),IF(Übersicht!$C$14="Ratendarlehen",Übersicht!$C$29,IF($A121&gt;=Übersicht!$C$30,$V120,0)))))</f>
        <v>796.04</v>
      </c>
      <c r="V121" s="38">
        <f>IF($V120&lt;=0,0,ROUND($V120-$U121-IF($V120-$U121&lt;=0,0,IF(MOD($A121,Übersicht!$C$25)=0,MIN(Szenarien!$C$9,$V120-$U121),0)),2))</f>
        <v>153480.39000000001</v>
      </c>
      <c r="W121" s="38">
        <f>IF($Y120&lt;=0,0,ROUND($Y120*Übersicht!$C$26,2))</f>
        <v>367.93</v>
      </c>
      <c r="X121" s="38">
        <f>IF($Y120&lt;=0,0,MIN($Y120,IF(Übersicht!$C$14="Annuitätendarlehen",MAX(0,Übersicht!$C$28-$W121),IF(Übersicht!$C$14="Ratendarlehen",Übersicht!$C$29,IF($A121&gt;=Übersicht!$C$30,$Y120,0)))))</f>
        <v>871.64999999999986</v>
      </c>
      <c r="Y121" s="38">
        <f>IF($Y120&lt;=0,0,ROUND($Y120-$X121-IF($Y120-$X121&lt;=0,0,IF(MOD($A121,Übersicht!$C$25)=0,MIN(Szenarien!$C$10,$Y120-$X121),0)),2))</f>
        <v>127103.25</v>
      </c>
      <c r="Z121" s="38">
        <f>IF($AB120&lt;=0,0,ROUND($AB120*Übersicht!$C$26,2))</f>
        <v>292.31</v>
      </c>
      <c r="AA121" s="38">
        <f>IF($AB120&lt;=0,0,MIN($AB120,IF(Übersicht!$C$14="Annuitätendarlehen",MAX(0,Übersicht!$C$28-$Z121),IF(Übersicht!$C$14="Ratendarlehen",Übersicht!$C$29,IF($A121&gt;=Übersicht!$C$30,$AB120,0)))))</f>
        <v>947.27</v>
      </c>
      <c r="AB121" s="38">
        <f>IF($AB120&lt;=0,0,ROUND($AB120-$AA121-IF($AB120-$AA121&lt;=0,0,IF(MOD($A121,Übersicht!$C$25)=0,MIN(Szenarien!$C$11,$AB120-$AA121),0)),2))</f>
        <v>100726.16</v>
      </c>
      <c r="AC121" s="38">
        <f>IF($AE120&lt;=0,0,ROUND($AE120*Übersicht!$C$26,2))</f>
        <v>141.08000000000001</v>
      </c>
      <c r="AD121" s="38">
        <f>IF($AE120&lt;=0,0,MIN($AE120,IF(Übersicht!$C$14="Annuitätendarlehen",MAX(0,Übersicht!$C$28-$AC121),IF(Übersicht!$C$14="Ratendarlehen",Übersicht!$C$29,IF($A121&gt;=Übersicht!$C$30,$AE120,0)))))</f>
        <v>1098.5</v>
      </c>
      <c r="AE121" s="38">
        <f>IF($AE120&lt;=0,0,ROUND($AE120-$AD121-IF($AE120-$AD121&lt;=0,0,IF(MOD($A121,Übersicht!$C$25)=0,MIN(Szenarien!$C$12,$AE120-$AD121),0)),2))</f>
        <v>47971.99</v>
      </c>
    </row>
    <row r="122" spans="1:31" ht="15" customHeight="1" x14ac:dyDescent="0.25">
      <c r="A122" s="21">
        <v>115</v>
      </c>
      <c r="B122" s="36">
        <f>IF($D122&lt;=0,"",EDATE(Übersicht!$C$18,($A122-1)*12/Übersicht!$C$25))</f>
        <v>49521</v>
      </c>
      <c r="C122" s="21">
        <f t="shared" si="7"/>
        <v>2035</v>
      </c>
      <c r="D122" s="37">
        <f t="shared" si="11"/>
        <v>127103.25</v>
      </c>
      <c r="E122" s="23">
        <f t="shared" si="8"/>
        <v>1239.58</v>
      </c>
      <c r="F122" s="23">
        <f>IF($D122&lt;=0,0,ROUND($D122*Übersicht!$C$26,2))</f>
        <v>365.42</v>
      </c>
      <c r="G122" s="23">
        <f>IF($D122&lt;=0,0,MIN($D122,IF(Übersicht!$C$14="Annuitätendarlehen",MAX(0,Übersicht!$C$28-$F122),IF(Übersicht!$C$14="Ratendarlehen",Übersicht!$C$29,IF($A122&gt;=Übersicht!$C$30,$D122,0)))))</f>
        <v>874.15999999999985</v>
      </c>
      <c r="H122" s="23">
        <f>IF($D122-$G122&lt;=0,0,IF(MOD($A122,Übersicht!$C$25)=0,MIN(Übersicht!$C$31,$D122-$G122),0))</f>
        <v>0</v>
      </c>
      <c r="I122" s="23">
        <f t="shared" si="9"/>
        <v>1239.58</v>
      </c>
      <c r="J122" s="23">
        <f t="shared" si="10"/>
        <v>126229.09</v>
      </c>
      <c r="K122" s="23">
        <f t="shared" si="12"/>
        <v>63780.790000000008</v>
      </c>
      <c r="L122" s="23">
        <f t="shared" si="13"/>
        <v>123770.91</v>
      </c>
      <c r="M122" s="24">
        <f>IF($D122&lt;=0,"",IF(Übersicht!$C$11=0,0,$L122/Übersicht!$C$11))</f>
        <v>0.49508363999999999</v>
      </c>
      <c r="N122" s="25" t="str">
        <f>IF($D122&lt;=0,"",IF($J122&lt;=0.005,"Volltilgung erreicht",IF($A122=Übersicht!$C$19*Übersicht!$C$25,"Ende der Zinsbindung",IF($H122&gt;0,"Sondertilgung verrechnet",""))))</f>
        <v/>
      </c>
      <c r="Q122" s="38">
        <f>IF($S121&lt;=0,0,ROUND($S121*Übersicht!$C$26,2))</f>
        <v>517.09</v>
      </c>
      <c r="R122" s="38">
        <f>IF($S121&lt;=0,0,MIN($S121,IF(Übersicht!$C$14="Annuitätendarlehen",MAX(0,Übersicht!$C$28-$Q122),IF(Übersicht!$C$14="Ratendarlehen",Übersicht!$C$29,IF($A122&gt;=Übersicht!$C$30,$S121,0)))))</f>
        <v>722.4899999999999</v>
      </c>
      <c r="S122" s="38">
        <f>IF($S121&lt;=0,0,ROUND($S121-$R122-IF($S121-$R122&lt;=0,0,IF(MOD($A122,Übersicht!$C$25)=0,MIN(Szenarien!$C$8,$S121-$R122),0)),2))</f>
        <v>179134.93</v>
      </c>
      <c r="T122" s="38">
        <f>IF($V121&lt;=0,0,ROUND($V121*Übersicht!$C$26,2))</f>
        <v>441.26</v>
      </c>
      <c r="U122" s="38">
        <f>IF($V121&lt;=0,0,MIN($V121,IF(Übersicht!$C$14="Annuitätendarlehen",MAX(0,Übersicht!$C$28-$T122),IF(Übersicht!$C$14="Ratendarlehen",Übersicht!$C$29,IF($A122&gt;=Übersicht!$C$30,$V121,0)))))</f>
        <v>798.31999999999994</v>
      </c>
      <c r="V122" s="38">
        <f>IF($V121&lt;=0,0,ROUND($V121-$U122-IF($V121-$U122&lt;=0,0,IF(MOD($A122,Übersicht!$C$25)=0,MIN(Szenarien!$C$9,$V121-$U122),0)),2))</f>
        <v>152682.07</v>
      </c>
      <c r="W122" s="38">
        <f>IF($Y121&lt;=0,0,ROUND($Y121*Übersicht!$C$26,2))</f>
        <v>365.42</v>
      </c>
      <c r="X122" s="38">
        <f>IF($Y121&lt;=0,0,MIN($Y121,IF(Übersicht!$C$14="Annuitätendarlehen",MAX(0,Übersicht!$C$28-$W122),IF(Übersicht!$C$14="Ratendarlehen",Übersicht!$C$29,IF($A122&gt;=Übersicht!$C$30,$Y121,0)))))</f>
        <v>874.15999999999985</v>
      </c>
      <c r="Y122" s="38">
        <f>IF($Y121&lt;=0,0,ROUND($Y121-$X122-IF($Y121-$X122&lt;=0,0,IF(MOD($A122,Übersicht!$C$25)=0,MIN(Szenarien!$C$10,$Y121-$X122),0)),2))</f>
        <v>126229.09</v>
      </c>
      <c r="Z122" s="38">
        <f>IF($AB121&lt;=0,0,ROUND($AB121*Übersicht!$C$26,2))</f>
        <v>289.58999999999997</v>
      </c>
      <c r="AA122" s="38">
        <f>IF($AB121&lt;=0,0,MIN($AB121,IF(Übersicht!$C$14="Annuitätendarlehen",MAX(0,Übersicht!$C$28-$Z122),IF(Übersicht!$C$14="Ratendarlehen",Übersicht!$C$29,IF($A122&gt;=Übersicht!$C$30,$AB121,0)))))</f>
        <v>949.99</v>
      </c>
      <c r="AB122" s="38">
        <f>IF($AB121&lt;=0,0,ROUND($AB121-$AA122-IF($AB121-$AA122&lt;=0,0,IF(MOD($A122,Übersicht!$C$25)=0,MIN(Szenarien!$C$11,$AB121-$AA122),0)),2))</f>
        <v>99776.17</v>
      </c>
      <c r="AC122" s="38">
        <f>IF($AE121&lt;=0,0,ROUND($AE121*Übersicht!$C$26,2))</f>
        <v>137.91999999999999</v>
      </c>
      <c r="AD122" s="38">
        <f>IF($AE121&lt;=0,0,MIN($AE121,IF(Übersicht!$C$14="Annuitätendarlehen",MAX(0,Übersicht!$C$28-$AC122),IF(Übersicht!$C$14="Ratendarlehen",Übersicht!$C$29,IF($A122&gt;=Übersicht!$C$30,$AE121,0)))))</f>
        <v>1101.6599999999999</v>
      </c>
      <c r="AE122" s="38">
        <f>IF($AE121&lt;=0,0,ROUND($AE121-$AD122-IF($AE121-$AD122&lt;=0,0,IF(MOD($A122,Übersicht!$C$25)=0,MIN(Szenarien!$C$12,$AE121-$AD122),0)),2))</f>
        <v>46870.33</v>
      </c>
    </row>
    <row r="123" spans="1:31" ht="15" customHeight="1" x14ac:dyDescent="0.25">
      <c r="A123" s="26">
        <v>116</v>
      </c>
      <c r="B123" s="39">
        <f>IF($D123&lt;=0,"",EDATE(Übersicht!$C$18,($A123-1)*12/Übersicht!$C$25))</f>
        <v>49552</v>
      </c>
      <c r="C123" s="26">
        <f t="shared" si="7"/>
        <v>2035</v>
      </c>
      <c r="D123" s="40">
        <f t="shared" si="11"/>
        <v>126229.09</v>
      </c>
      <c r="E123" s="28">
        <f t="shared" si="8"/>
        <v>1239.58</v>
      </c>
      <c r="F123" s="28">
        <f>IF($D123&lt;=0,0,ROUND($D123*Übersicht!$C$26,2))</f>
        <v>362.91</v>
      </c>
      <c r="G123" s="28">
        <f>IF($D123&lt;=0,0,MIN($D123,IF(Übersicht!$C$14="Annuitätendarlehen",MAX(0,Übersicht!$C$28-$F123),IF(Übersicht!$C$14="Ratendarlehen",Übersicht!$C$29,IF($A123&gt;=Übersicht!$C$30,$D123,0)))))</f>
        <v>876.66999999999985</v>
      </c>
      <c r="H123" s="28">
        <f>IF($D123-$G123&lt;=0,0,IF(MOD($A123,Übersicht!$C$25)=0,MIN(Übersicht!$C$31,$D123-$G123),0))</f>
        <v>0</v>
      </c>
      <c r="I123" s="28">
        <f t="shared" si="9"/>
        <v>1239.58</v>
      </c>
      <c r="J123" s="28">
        <f t="shared" si="10"/>
        <v>125352.42</v>
      </c>
      <c r="K123" s="28">
        <f t="shared" si="12"/>
        <v>64143.700000000012</v>
      </c>
      <c r="L123" s="28">
        <f t="shared" si="13"/>
        <v>124647.58</v>
      </c>
      <c r="M123" s="29">
        <f>IF($D123&lt;=0,"",IF(Übersicht!$C$11=0,0,$L123/Übersicht!$C$11))</f>
        <v>0.49859032000000003</v>
      </c>
      <c r="N123" s="30" t="str">
        <f>IF($D123&lt;=0,"",IF($J123&lt;=0.005,"Volltilgung erreicht",IF($A123=Übersicht!$C$19*Übersicht!$C$25,"Ende der Zinsbindung",IF($H123&gt;0,"Sondertilgung verrechnet",""))))</f>
        <v/>
      </c>
      <c r="Q123" s="38">
        <f>IF($S122&lt;=0,0,ROUND($S122*Übersicht!$C$26,2))</f>
        <v>515.01</v>
      </c>
      <c r="R123" s="38">
        <f>IF($S122&lt;=0,0,MIN($S122,IF(Übersicht!$C$14="Annuitätendarlehen",MAX(0,Übersicht!$C$28-$Q123),IF(Übersicht!$C$14="Ratendarlehen",Übersicht!$C$29,IF($A123&gt;=Übersicht!$C$30,$S122,0)))))</f>
        <v>724.56999999999994</v>
      </c>
      <c r="S123" s="38">
        <f>IF($S122&lt;=0,0,ROUND($S122-$R123-IF($S122-$R123&lt;=0,0,IF(MOD($A123,Übersicht!$C$25)=0,MIN(Szenarien!$C$8,$S122-$R123),0)),2))</f>
        <v>178410.36</v>
      </c>
      <c r="T123" s="38">
        <f>IF($V122&lt;=0,0,ROUND($V122*Übersicht!$C$26,2))</f>
        <v>438.96</v>
      </c>
      <c r="U123" s="38">
        <f>IF($V122&lt;=0,0,MIN($V122,IF(Übersicht!$C$14="Annuitätendarlehen",MAX(0,Übersicht!$C$28-$T123),IF(Übersicht!$C$14="Ratendarlehen",Übersicht!$C$29,IF($A123&gt;=Übersicht!$C$30,$V122,0)))))</f>
        <v>800.61999999999989</v>
      </c>
      <c r="V123" s="38">
        <f>IF($V122&lt;=0,0,ROUND($V122-$U123-IF($V122-$U123&lt;=0,0,IF(MOD($A123,Übersicht!$C$25)=0,MIN(Szenarien!$C$9,$V122-$U123),0)),2))</f>
        <v>151881.45000000001</v>
      </c>
      <c r="W123" s="38">
        <f>IF($Y122&lt;=0,0,ROUND($Y122*Übersicht!$C$26,2))</f>
        <v>362.91</v>
      </c>
      <c r="X123" s="38">
        <f>IF($Y122&lt;=0,0,MIN($Y122,IF(Übersicht!$C$14="Annuitätendarlehen",MAX(0,Übersicht!$C$28-$W123),IF(Übersicht!$C$14="Ratendarlehen",Übersicht!$C$29,IF($A123&gt;=Übersicht!$C$30,$Y122,0)))))</f>
        <v>876.66999999999985</v>
      </c>
      <c r="Y123" s="38">
        <f>IF($Y122&lt;=0,0,ROUND($Y122-$X123-IF($Y122-$X123&lt;=0,0,IF(MOD($A123,Übersicht!$C$25)=0,MIN(Szenarien!$C$10,$Y122-$X123),0)),2))</f>
        <v>125352.42</v>
      </c>
      <c r="Z123" s="38">
        <f>IF($AB122&lt;=0,0,ROUND($AB122*Übersicht!$C$26,2))</f>
        <v>286.86</v>
      </c>
      <c r="AA123" s="38">
        <f>IF($AB122&lt;=0,0,MIN($AB122,IF(Übersicht!$C$14="Annuitätendarlehen",MAX(0,Übersicht!$C$28-$Z123),IF(Übersicht!$C$14="Ratendarlehen",Übersicht!$C$29,IF($A123&gt;=Übersicht!$C$30,$AB122,0)))))</f>
        <v>952.71999999999991</v>
      </c>
      <c r="AB123" s="38">
        <f>IF($AB122&lt;=0,0,ROUND($AB122-$AA123-IF($AB122-$AA123&lt;=0,0,IF(MOD($A123,Übersicht!$C$25)=0,MIN(Szenarien!$C$11,$AB122-$AA123),0)),2))</f>
        <v>98823.45</v>
      </c>
      <c r="AC123" s="38">
        <f>IF($AE122&lt;=0,0,ROUND($AE122*Übersicht!$C$26,2))</f>
        <v>134.75</v>
      </c>
      <c r="AD123" s="38">
        <f>IF($AE122&lt;=0,0,MIN($AE122,IF(Übersicht!$C$14="Annuitätendarlehen",MAX(0,Übersicht!$C$28-$AC123),IF(Übersicht!$C$14="Ratendarlehen",Übersicht!$C$29,IF($A123&gt;=Übersicht!$C$30,$AE122,0)))))</f>
        <v>1104.83</v>
      </c>
      <c r="AE123" s="38">
        <f>IF($AE122&lt;=0,0,ROUND($AE122-$AD123-IF($AE122-$AD123&lt;=0,0,IF(MOD($A123,Übersicht!$C$25)=0,MIN(Szenarien!$C$12,$AE122-$AD123),0)),2))</f>
        <v>45765.5</v>
      </c>
    </row>
    <row r="124" spans="1:31" ht="15" customHeight="1" x14ac:dyDescent="0.25">
      <c r="A124" s="21">
        <v>117</v>
      </c>
      <c r="B124" s="36">
        <f>IF($D124&lt;=0,"",EDATE(Übersicht!$C$18,($A124-1)*12/Übersicht!$C$25))</f>
        <v>49582</v>
      </c>
      <c r="C124" s="21">
        <f t="shared" si="7"/>
        <v>2035</v>
      </c>
      <c r="D124" s="37">
        <f t="shared" si="11"/>
        <v>125352.42</v>
      </c>
      <c r="E124" s="23">
        <f t="shared" si="8"/>
        <v>1239.58</v>
      </c>
      <c r="F124" s="23">
        <f>IF($D124&lt;=0,0,ROUND($D124*Übersicht!$C$26,2))</f>
        <v>360.39</v>
      </c>
      <c r="G124" s="23">
        <f>IF($D124&lt;=0,0,MIN($D124,IF(Übersicht!$C$14="Annuitätendarlehen",MAX(0,Übersicht!$C$28-$F124),IF(Übersicht!$C$14="Ratendarlehen",Übersicht!$C$29,IF($A124&gt;=Übersicht!$C$30,$D124,0)))))</f>
        <v>879.18999999999994</v>
      </c>
      <c r="H124" s="23">
        <f>IF($D124-$G124&lt;=0,0,IF(MOD($A124,Übersicht!$C$25)=0,MIN(Übersicht!$C$31,$D124-$G124),0))</f>
        <v>0</v>
      </c>
      <c r="I124" s="23">
        <f t="shared" si="9"/>
        <v>1239.58</v>
      </c>
      <c r="J124" s="23">
        <f t="shared" si="10"/>
        <v>124473.23</v>
      </c>
      <c r="K124" s="23">
        <f t="shared" si="12"/>
        <v>64504.090000000011</v>
      </c>
      <c r="L124" s="23">
        <f t="shared" si="13"/>
        <v>125526.77</v>
      </c>
      <c r="M124" s="24">
        <f>IF($D124&lt;=0,"",IF(Übersicht!$C$11=0,0,$L124/Übersicht!$C$11))</f>
        <v>0.50210708000000004</v>
      </c>
      <c r="N124" s="25" t="str">
        <f>IF($D124&lt;=0,"",IF($J124&lt;=0.005,"Volltilgung erreicht",IF($A124=Übersicht!$C$19*Übersicht!$C$25,"Ende der Zinsbindung",IF($H124&gt;0,"Sondertilgung verrechnet",""))))</f>
        <v/>
      </c>
      <c r="Q124" s="38">
        <f>IF($S123&lt;=0,0,ROUND($S123*Übersicht!$C$26,2))</f>
        <v>512.92999999999995</v>
      </c>
      <c r="R124" s="38">
        <f>IF($S123&lt;=0,0,MIN($S123,IF(Übersicht!$C$14="Annuitätendarlehen",MAX(0,Übersicht!$C$28-$Q124),IF(Übersicht!$C$14="Ratendarlehen",Übersicht!$C$29,IF($A124&gt;=Übersicht!$C$30,$S123,0)))))</f>
        <v>726.65</v>
      </c>
      <c r="S124" s="38">
        <f>IF($S123&lt;=0,0,ROUND($S123-$R124-IF($S123-$R124&lt;=0,0,IF(MOD($A124,Übersicht!$C$25)=0,MIN(Szenarien!$C$8,$S123-$R124),0)),2))</f>
        <v>177683.71</v>
      </c>
      <c r="T124" s="38">
        <f>IF($V123&lt;=0,0,ROUND($V123*Übersicht!$C$26,2))</f>
        <v>436.66</v>
      </c>
      <c r="U124" s="38">
        <f>IF($V123&lt;=0,0,MIN($V123,IF(Übersicht!$C$14="Annuitätendarlehen",MAX(0,Übersicht!$C$28-$T124),IF(Übersicht!$C$14="Ratendarlehen",Übersicht!$C$29,IF($A124&gt;=Übersicht!$C$30,$V123,0)))))</f>
        <v>802.91999999999985</v>
      </c>
      <c r="V124" s="38">
        <f>IF($V123&lt;=0,0,ROUND($V123-$U124-IF($V123-$U124&lt;=0,0,IF(MOD($A124,Übersicht!$C$25)=0,MIN(Szenarien!$C$9,$V123-$U124),0)),2))</f>
        <v>151078.53</v>
      </c>
      <c r="W124" s="38">
        <f>IF($Y123&lt;=0,0,ROUND($Y123*Übersicht!$C$26,2))</f>
        <v>360.39</v>
      </c>
      <c r="X124" s="38">
        <f>IF($Y123&lt;=0,0,MIN($Y123,IF(Übersicht!$C$14="Annuitätendarlehen",MAX(0,Übersicht!$C$28-$W124),IF(Übersicht!$C$14="Ratendarlehen",Übersicht!$C$29,IF($A124&gt;=Übersicht!$C$30,$Y123,0)))))</f>
        <v>879.18999999999994</v>
      </c>
      <c r="Y124" s="38">
        <f>IF($Y123&lt;=0,0,ROUND($Y123-$X124-IF($Y123-$X124&lt;=0,0,IF(MOD($A124,Übersicht!$C$25)=0,MIN(Szenarien!$C$10,$Y123-$X124),0)),2))</f>
        <v>124473.23</v>
      </c>
      <c r="Z124" s="38">
        <f>IF($AB123&lt;=0,0,ROUND($AB123*Übersicht!$C$26,2))</f>
        <v>284.12</v>
      </c>
      <c r="AA124" s="38">
        <f>IF($AB123&lt;=0,0,MIN($AB123,IF(Übersicht!$C$14="Annuitätendarlehen",MAX(0,Übersicht!$C$28-$Z124),IF(Übersicht!$C$14="Ratendarlehen",Übersicht!$C$29,IF($A124&gt;=Übersicht!$C$30,$AB123,0)))))</f>
        <v>955.45999999999992</v>
      </c>
      <c r="AB124" s="38">
        <f>IF($AB123&lt;=0,0,ROUND($AB123-$AA124-IF($AB123-$AA124&lt;=0,0,IF(MOD($A124,Übersicht!$C$25)=0,MIN(Szenarien!$C$11,$AB123-$AA124),0)),2))</f>
        <v>97867.99</v>
      </c>
      <c r="AC124" s="38">
        <f>IF($AE123&lt;=0,0,ROUND($AE123*Übersicht!$C$26,2))</f>
        <v>131.58000000000001</v>
      </c>
      <c r="AD124" s="38">
        <f>IF($AE123&lt;=0,0,MIN($AE123,IF(Übersicht!$C$14="Annuitätendarlehen",MAX(0,Übersicht!$C$28-$AC124),IF(Übersicht!$C$14="Ratendarlehen",Übersicht!$C$29,IF($A124&gt;=Übersicht!$C$30,$AE123,0)))))</f>
        <v>1108</v>
      </c>
      <c r="AE124" s="38">
        <f>IF($AE123&lt;=0,0,ROUND($AE123-$AD124-IF($AE123-$AD124&lt;=0,0,IF(MOD($A124,Übersicht!$C$25)=0,MIN(Szenarien!$C$12,$AE123-$AD124),0)),2))</f>
        <v>44657.5</v>
      </c>
    </row>
    <row r="125" spans="1:31" ht="15" customHeight="1" x14ac:dyDescent="0.25">
      <c r="A125" s="26">
        <v>118</v>
      </c>
      <c r="B125" s="39">
        <f>IF($D125&lt;=0,"",EDATE(Übersicht!$C$18,($A125-1)*12/Übersicht!$C$25))</f>
        <v>49613</v>
      </c>
      <c r="C125" s="26">
        <f t="shared" si="7"/>
        <v>2035</v>
      </c>
      <c r="D125" s="40">
        <f t="shared" si="11"/>
        <v>124473.23</v>
      </c>
      <c r="E125" s="28">
        <f t="shared" si="8"/>
        <v>1239.58</v>
      </c>
      <c r="F125" s="28">
        <f>IF($D125&lt;=0,0,ROUND($D125*Übersicht!$C$26,2))</f>
        <v>357.86</v>
      </c>
      <c r="G125" s="28">
        <f>IF($D125&lt;=0,0,MIN($D125,IF(Übersicht!$C$14="Annuitätendarlehen",MAX(0,Übersicht!$C$28-$F125),IF(Übersicht!$C$14="Ratendarlehen",Übersicht!$C$29,IF($A125&gt;=Übersicht!$C$30,$D125,0)))))</f>
        <v>881.71999999999991</v>
      </c>
      <c r="H125" s="28">
        <f>IF($D125-$G125&lt;=0,0,IF(MOD($A125,Übersicht!$C$25)=0,MIN(Übersicht!$C$31,$D125-$G125),0))</f>
        <v>0</v>
      </c>
      <c r="I125" s="28">
        <f t="shared" si="9"/>
        <v>1239.58</v>
      </c>
      <c r="J125" s="28">
        <f t="shared" si="10"/>
        <v>123591.51</v>
      </c>
      <c r="K125" s="28">
        <f t="shared" si="12"/>
        <v>64861.950000000012</v>
      </c>
      <c r="L125" s="28">
        <f t="shared" si="13"/>
        <v>126408.49</v>
      </c>
      <c r="M125" s="29">
        <f>IF($D125&lt;=0,"",IF(Übersicht!$C$11=0,0,$L125/Übersicht!$C$11))</f>
        <v>0.50563396000000005</v>
      </c>
      <c r="N125" s="30" t="str">
        <f>IF($D125&lt;=0,"",IF($J125&lt;=0.005,"Volltilgung erreicht",IF($A125=Übersicht!$C$19*Übersicht!$C$25,"Ende der Zinsbindung",IF($H125&gt;0,"Sondertilgung verrechnet",""))))</f>
        <v/>
      </c>
      <c r="Q125" s="38">
        <f>IF($S124&lt;=0,0,ROUND($S124*Übersicht!$C$26,2))</f>
        <v>510.84</v>
      </c>
      <c r="R125" s="38">
        <f>IF($S124&lt;=0,0,MIN($S124,IF(Übersicht!$C$14="Annuitätendarlehen",MAX(0,Übersicht!$C$28-$Q125),IF(Übersicht!$C$14="Ratendarlehen",Übersicht!$C$29,IF($A125&gt;=Übersicht!$C$30,$S124,0)))))</f>
        <v>728.74</v>
      </c>
      <c r="S125" s="38">
        <f>IF($S124&lt;=0,0,ROUND($S124-$R125-IF($S124-$R125&lt;=0,0,IF(MOD($A125,Übersicht!$C$25)=0,MIN(Szenarien!$C$8,$S124-$R125),0)),2))</f>
        <v>176954.97</v>
      </c>
      <c r="T125" s="38">
        <f>IF($V124&lt;=0,0,ROUND($V124*Übersicht!$C$26,2))</f>
        <v>434.35</v>
      </c>
      <c r="U125" s="38">
        <f>IF($V124&lt;=0,0,MIN($V124,IF(Übersicht!$C$14="Annuitätendarlehen",MAX(0,Übersicht!$C$28-$T125),IF(Übersicht!$C$14="Ratendarlehen",Übersicht!$C$29,IF($A125&gt;=Übersicht!$C$30,$V124,0)))))</f>
        <v>805.2299999999999</v>
      </c>
      <c r="V125" s="38">
        <f>IF($V124&lt;=0,0,ROUND($V124-$U125-IF($V124-$U125&lt;=0,0,IF(MOD($A125,Übersicht!$C$25)=0,MIN(Szenarien!$C$9,$V124-$U125),0)),2))</f>
        <v>150273.29999999999</v>
      </c>
      <c r="W125" s="38">
        <f>IF($Y124&lt;=0,0,ROUND($Y124*Übersicht!$C$26,2))</f>
        <v>357.86</v>
      </c>
      <c r="X125" s="38">
        <f>IF($Y124&lt;=0,0,MIN($Y124,IF(Übersicht!$C$14="Annuitätendarlehen",MAX(0,Übersicht!$C$28-$W125),IF(Übersicht!$C$14="Ratendarlehen",Übersicht!$C$29,IF($A125&gt;=Übersicht!$C$30,$Y124,0)))))</f>
        <v>881.71999999999991</v>
      </c>
      <c r="Y125" s="38">
        <f>IF($Y124&lt;=0,0,ROUND($Y124-$X125-IF($Y124-$X125&lt;=0,0,IF(MOD($A125,Übersicht!$C$25)=0,MIN(Szenarien!$C$10,$Y124-$X125),0)),2))</f>
        <v>123591.51</v>
      </c>
      <c r="Z125" s="38">
        <f>IF($AB124&lt;=0,0,ROUND($AB124*Übersicht!$C$26,2))</f>
        <v>281.37</v>
      </c>
      <c r="AA125" s="38">
        <f>IF($AB124&lt;=0,0,MIN($AB124,IF(Übersicht!$C$14="Annuitätendarlehen",MAX(0,Übersicht!$C$28-$Z125),IF(Übersicht!$C$14="Ratendarlehen",Übersicht!$C$29,IF($A125&gt;=Übersicht!$C$30,$AB124,0)))))</f>
        <v>958.20999999999992</v>
      </c>
      <c r="AB125" s="38">
        <f>IF($AB124&lt;=0,0,ROUND($AB124-$AA125-IF($AB124-$AA125&lt;=0,0,IF(MOD($A125,Übersicht!$C$25)=0,MIN(Szenarien!$C$11,$AB124-$AA125),0)),2))</f>
        <v>96909.78</v>
      </c>
      <c r="AC125" s="38">
        <f>IF($AE124&lt;=0,0,ROUND($AE124*Übersicht!$C$26,2))</f>
        <v>128.38999999999999</v>
      </c>
      <c r="AD125" s="38">
        <f>IF($AE124&lt;=0,0,MIN($AE124,IF(Übersicht!$C$14="Annuitätendarlehen",MAX(0,Übersicht!$C$28-$AC125),IF(Übersicht!$C$14="Ratendarlehen",Übersicht!$C$29,IF($A125&gt;=Übersicht!$C$30,$AE124,0)))))</f>
        <v>1111.19</v>
      </c>
      <c r="AE125" s="38">
        <f>IF($AE124&lt;=0,0,ROUND($AE124-$AD125-IF($AE124-$AD125&lt;=0,0,IF(MOD($A125,Übersicht!$C$25)=0,MIN(Szenarien!$C$12,$AE124-$AD125),0)),2))</f>
        <v>43546.31</v>
      </c>
    </row>
    <row r="126" spans="1:31" ht="15" customHeight="1" x14ac:dyDescent="0.25">
      <c r="A126" s="21">
        <v>119</v>
      </c>
      <c r="B126" s="36">
        <f>IF($D126&lt;=0,"",EDATE(Übersicht!$C$18,($A126-1)*12/Übersicht!$C$25))</f>
        <v>49643</v>
      </c>
      <c r="C126" s="21">
        <f t="shared" si="7"/>
        <v>2035</v>
      </c>
      <c r="D126" s="37">
        <f t="shared" si="11"/>
        <v>123591.51</v>
      </c>
      <c r="E126" s="23">
        <f t="shared" si="8"/>
        <v>1239.58</v>
      </c>
      <c r="F126" s="23">
        <f>IF($D126&lt;=0,0,ROUND($D126*Übersicht!$C$26,2))</f>
        <v>355.33</v>
      </c>
      <c r="G126" s="23">
        <f>IF($D126&lt;=0,0,MIN($D126,IF(Übersicht!$C$14="Annuitätendarlehen",MAX(0,Übersicht!$C$28-$F126),IF(Übersicht!$C$14="Ratendarlehen",Übersicht!$C$29,IF($A126&gt;=Übersicht!$C$30,$D126,0)))))</f>
        <v>884.25</v>
      </c>
      <c r="H126" s="23">
        <f>IF($D126-$G126&lt;=0,0,IF(MOD($A126,Übersicht!$C$25)=0,MIN(Übersicht!$C$31,$D126-$G126),0))</f>
        <v>0</v>
      </c>
      <c r="I126" s="23">
        <f t="shared" si="9"/>
        <v>1239.58</v>
      </c>
      <c r="J126" s="23">
        <f t="shared" si="10"/>
        <v>122707.26</v>
      </c>
      <c r="K126" s="23">
        <f t="shared" si="12"/>
        <v>65217.280000000013</v>
      </c>
      <c r="L126" s="23">
        <f t="shared" si="13"/>
        <v>127292.74</v>
      </c>
      <c r="M126" s="24">
        <f>IF($D126&lt;=0,"",IF(Übersicht!$C$11=0,0,$L126/Übersicht!$C$11))</f>
        <v>0.50917096000000006</v>
      </c>
      <c r="N126" s="25" t="str">
        <f>IF($D126&lt;=0,"",IF($J126&lt;=0.005,"Volltilgung erreicht",IF($A126=Übersicht!$C$19*Übersicht!$C$25,"Ende der Zinsbindung",IF($H126&gt;0,"Sondertilgung verrechnet",""))))</f>
        <v/>
      </c>
      <c r="Q126" s="38">
        <f>IF($S125&lt;=0,0,ROUND($S125*Übersicht!$C$26,2))</f>
        <v>508.75</v>
      </c>
      <c r="R126" s="38">
        <f>IF($S125&lt;=0,0,MIN($S125,IF(Übersicht!$C$14="Annuitätendarlehen",MAX(0,Übersicht!$C$28-$Q126),IF(Übersicht!$C$14="Ratendarlehen",Übersicht!$C$29,IF($A126&gt;=Übersicht!$C$30,$S125,0)))))</f>
        <v>730.82999999999993</v>
      </c>
      <c r="S126" s="38">
        <f>IF($S125&lt;=0,0,ROUND($S125-$R126-IF($S125-$R126&lt;=0,0,IF(MOD($A126,Übersicht!$C$25)=0,MIN(Szenarien!$C$8,$S125-$R126),0)),2))</f>
        <v>176224.14</v>
      </c>
      <c r="T126" s="38">
        <f>IF($V125&lt;=0,0,ROUND($V125*Übersicht!$C$26,2))</f>
        <v>432.04</v>
      </c>
      <c r="U126" s="38">
        <f>IF($V125&lt;=0,0,MIN($V125,IF(Übersicht!$C$14="Annuitätendarlehen",MAX(0,Übersicht!$C$28-$T126),IF(Übersicht!$C$14="Ratendarlehen",Übersicht!$C$29,IF($A126&gt;=Übersicht!$C$30,$V125,0)))))</f>
        <v>807.54</v>
      </c>
      <c r="V126" s="38">
        <f>IF($V125&lt;=0,0,ROUND($V125-$U126-IF($V125-$U126&lt;=0,0,IF(MOD($A126,Übersicht!$C$25)=0,MIN(Szenarien!$C$9,$V125-$U126),0)),2))</f>
        <v>149465.76</v>
      </c>
      <c r="W126" s="38">
        <f>IF($Y125&lt;=0,0,ROUND($Y125*Übersicht!$C$26,2))</f>
        <v>355.33</v>
      </c>
      <c r="X126" s="38">
        <f>IF($Y125&lt;=0,0,MIN($Y125,IF(Übersicht!$C$14="Annuitätendarlehen",MAX(0,Übersicht!$C$28-$W126),IF(Übersicht!$C$14="Ratendarlehen",Übersicht!$C$29,IF($A126&gt;=Übersicht!$C$30,$Y125,0)))))</f>
        <v>884.25</v>
      </c>
      <c r="Y126" s="38">
        <f>IF($Y125&lt;=0,0,ROUND($Y125-$X126-IF($Y125-$X126&lt;=0,0,IF(MOD($A126,Übersicht!$C$25)=0,MIN(Szenarien!$C$10,$Y125-$X126),0)),2))</f>
        <v>122707.26</v>
      </c>
      <c r="Z126" s="38">
        <f>IF($AB125&lt;=0,0,ROUND($AB125*Übersicht!$C$26,2))</f>
        <v>278.62</v>
      </c>
      <c r="AA126" s="38">
        <f>IF($AB125&lt;=0,0,MIN($AB125,IF(Übersicht!$C$14="Annuitätendarlehen",MAX(0,Übersicht!$C$28-$Z126),IF(Übersicht!$C$14="Ratendarlehen",Übersicht!$C$29,IF($A126&gt;=Übersicht!$C$30,$AB125,0)))))</f>
        <v>960.95999999999992</v>
      </c>
      <c r="AB126" s="38">
        <f>IF($AB125&lt;=0,0,ROUND($AB125-$AA126-IF($AB125-$AA126&lt;=0,0,IF(MOD($A126,Übersicht!$C$25)=0,MIN(Szenarien!$C$11,$AB125-$AA126),0)),2))</f>
        <v>95948.82</v>
      </c>
      <c r="AC126" s="38">
        <f>IF($AE125&lt;=0,0,ROUND($AE125*Übersicht!$C$26,2))</f>
        <v>125.2</v>
      </c>
      <c r="AD126" s="38">
        <f>IF($AE125&lt;=0,0,MIN($AE125,IF(Übersicht!$C$14="Annuitätendarlehen",MAX(0,Übersicht!$C$28-$AC126),IF(Übersicht!$C$14="Ratendarlehen",Übersicht!$C$29,IF($A126&gt;=Übersicht!$C$30,$AE125,0)))))</f>
        <v>1114.3799999999999</v>
      </c>
      <c r="AE126" s="38">
        <f>IF($AE125&lt;=0,0,ROUND($AE125-$AD126-IF($AE125-$AD126&lt;=0,0,IF(MOD($A126,Übersicht!$C$25)=0,MIN(Szenarien!$C$12,$AE125-$AD126),0)),2))</f>
        <v>42431.93</v>
      </c>
    </row>
    <row r="127" spans="1:31" ht="15" customHeight="1" x14ac:dyDescent="0.25">
      <c r="A127" s="26">
        <v>120</v>
      </c>
      <c r="B127" s="39">
        <f>IF($D127&lt;=0,"",EDATE(Übersicht!$C$18,($A127-1)*12/Übersicht!$C$25))</f>
        <v>49674</v>
      </c>
      <c r="C127" s="26">
        <f t="shared" si="7"/>
        <v>2035</v>
      </c>
      <c r="D127" s="40">
        <f t="shared" si="11"/>
        <v>122707.26</v>
      </c>
      <c r="E127" s="28">
        <f t="shared" si="8"/>
        <v>1239.58</v>
      </c>
      <c r="F127" s="28">
        <f>IF($D127&lt;=0,0,ROUND($D127*Übersicht!$C$26,2))</f>
        <v>352.78</v>
      </c>
      <c r="G127" s="28">
        <f>IF($D127&lt;=0,0,MIN($D127,IF(Übersicht!$C$14="Annuitätendarlehen",MAX(0,Übersicht!$C$28-$F127),IF(Übersicht!$C$14="Ratendarlehen",Übersicht!$C$29,IF($A127&gt;=Übersicht!$C$30,$D127,0)))))</f>
        <v>886.8</v>
      </c>
      <c r="H127" s="28">
        <f>IF($D127-$G127&lt;=0,0,IF(MOD($A127,Übersicht!$C$25)=0,MIN(Übersicht!$C$31,$D127-$G127),0))</f>
        <v>5000</v>
      </c>
      <c r="I127" s="28">
        <f t="shared" si="9"/>
        <v>6239.58</v>
      </c>
      <c r="J127" s="28">
        <f t="shared" si="10"/>
        <v>116820.46</v>
      </c>
      <c r="K127" s="28">
        <f t="shared" si="12"/>
        <v>65570.060000000012</v>
      </c>
      <c r="L127" s="28">
        <f t="shared" si="13"/>
        <v>133179.54</v>
      </c>
      <c r="M127" s="29">
        <f>IF($D127&lt;=0,"",IF(Übersicht!$C$11=0,0,$L127/Übersicht!$C$11))</f>
        <v>0.53271816000000005</v>
      </c>
      <c r="N127" s="30" t="str">
        <f>IF($D127&lt;=0,"",IF($J127&lt;=0.005,"Volltilgung erreicht",IF($A127=Übersicht!$C$19*Übersicht!$C$25,"Ende der Zinsbindung",IF($H127&gt;0,"Sondertilgung verrechnet",""))))</f>
        <v>Ende der Zinsbindung</v>
      </c>
      <c r="Q127" s="38">
        <f>IF($S126&lt;=0,0,ROUND($S126*Übersicht!$C$26,2))</f>
        <v>506.64</v>
      </c>
      <c r="R127" s="38">
        <f>IF($S126&lt;=0,0,MIN($S126,IF(Übersicht!$C$14="Annuitätendarlehen",MAX(0,Übersicht!$C$28-$Q127),IF(Übersicht!$C$14="Ratendarlehen",Übersicht!$C$29,IF($A127&gt;=Übersicht!$C$30,$S126,0)))))</f>
        <v>732.93999999999994</v>
      </c>
      <c r="S127" s="38">
        <f>IF($S126&lt;=0,0,ROUND($S126-$R127-IF($S126-$R127&lt;=0,0,IF(MOD($A127,Übersicht!$C$25)=0,MIN(Szenarien!$C$8,$S126-$R127),0)),2))</f>
        <v>175491.20000000001</v>
      </c>
      <c r="T127" s="38">
        <f>IF($V126&lt;=0,0,ROUND($V126*Übersicht!$C$26,2))</f>
        <v>429.71</v>
      </c>
      <c r="U127" s="38">
        <f>IF($V126&lt;=0,0,MIN($V126,IF(Übersicht!$C$14="Annuitätendarlehen",MAX(0,Übersicht!$C$28-$T127),IF(Übersicht!$C$14="Ratendarlehen",Übersicht!$C$29,IF($A127&gt;=Übersicht!$C$30,$V126,0)))))</f>
        <v>809.86999999999989</v>
      </c>
      <c r="V127" s="38">
        <f>IF($V126&lt;=0,0,ROUND($V126-$U127-IF($V126-$U127&lt;=0,0,IF(MOD($A127,Übersicht!$C$25)=0,MIN(Szenarien!$C$9,$V126-$U127),0)),2))</f>
        <v>146155.89000000001</v>
      </c>
      <c r="W127" s="38">
        <f>IF($Y126&lt;=0,0,ROUND($Y126*Übersicht!$C$26,2))</f>
        <v>352.78</v>
      </c>
      <c r="X127" s="38">
        <f>IF($Y126&lt;=0,0,MIN($Y126,IF(Übersicht!$C$14="Annuitätendarlehen",MAX(0,Übersicht!$C$28-$W127),IF(Übersicht!$C$14="Ratendarlehen",Übersicht!$C$29,IF($A127&gt;=Übersicht!$C$30,$Y126,0)))))</f>
        <v>886.8</v>
      </c>
      <c r="Y127" s="38">
        <f>IF($Y126&lt;=0,0,ROUND($Y126-$X127-IF($Y126-$X127&lt;=0,0,IF(MOD($A127,Übersicht!$C$25)=0,MIN(Szenarien!$C$10,$Y126-$X127),0)),2))</f>
        <v>116820.46</v>
      </c>
      <c r="Z127" s="38">
        <f>IF($AB126&lt;=0,0,ROUND($AB126*Übersicht!$C$26,2))</f>
        <v>275.85000000000002</v>
      </c>
      <c r="AA127" s="38">
        <f>IF($AB126&lt;=0,0,MIN($AB126,IF(Übersicht!$C$14="Annuitätendarlehen",MAX(0,Übersicht!$C$28-$Z127),IF(Übersicht!$C$14="Ratendarlehen",Übersicht!$C$29,IF($A127&gt;=Übersicht!$C$30,$AB126,0)))))</f>
        <v>963.7299999999999</v>
      </c>
      <c r="AB127" s="38">
        <f>IF($AB126&lt;=0,0,ROUND($AB126-$AA127-IF($AB126-$AA127&lt;=0,0,IF(MOD($A127,Übersicht!$C$25)=0,MIN(Szenarien!$C$11,$AB126-$AA127),0)),2))</f>
        <v>87485.09</v>
      </c>
      <c r="AC127" s="38">
        <f>IF($AE126&lt;=0,0,ROUND($AE126*Übersicht!$C$26,2))</f>
        <v>121.99</v>
      </c>
      <c r="AD127" s="38">
        <f>IF($AE126&lt;=0,0,MIN($AE126,IF(Übersicht!$C$14="Annuitätendarlehen",MAX(0,Übersicht!$C$28-$AC127),IF(Übersicht!$C$14="Ratendarlehen",Übersicht!$C$29,IF($A127&gt;=Übersicht!$C$30,$AE126,0)))))</f>
        <v>1117.5899999999999</v>
      </c>
      <c r="AE127" s="38">
        <f>IF($AE126&lt;=0,0,ROUND($AE126-$AD127-IF($AE126-$AD127&lt;=0,0,IF(MOD($A127,Übersicht!$C$25)=0,MIN(Szenarien!$C$12,$AE126-$AD127),0)),2))</f>
        <v>28814.34</v>
      </c>
    </row>
    <row r="128" spans="1:31" ht="15" customHeight="1" x14ac:dyDescent="0.25">
      <c r="A128" s="21">
        <v>121</v>
      </c>
      <c r="B128" s="36">
        <f>IF($D128&lt;=0,"",EDATE(Übersicht!$C$18,($A128-1)*12/Übersicht!$C$25))</f>
        <v>49705</v>
      </c>
      <c r="C128" s="21">
        <f t="shared" si="7"/>
        <v>2036</v>
      </c>
      <c r="D128" s="37">
        <f t="shared" si="11"/>
        <v>116820.46</v>
      </c>
      <c r="E128" s="23">
        <f t="shared" si="8"/>
        <v>1239.58</v>
      </c>
      <c r="F128" s="23">
        <f>IF($D128&lt;=0,0,ROUND($D128*Übersicht!$C$26,2))</f>
        <v>335.86</v>
      </c>
      <c r="G128" s="23">
        <f>IF($D128&lt;=0,0,MIN($D128,IF(Übersicht!$C$14="Annuitätendarlehen",MAX(0,Übersicht!$C$28-$F128),IF(Übersicht!$C$14="Ratendarlehen",Übersicht!$C$29,IF($A128&gt;=Übersicht!$C$30,$D128,0)))))</f>
        <v>903.71999999999991</v>
      </c>
      <c r="H128" s="23">
        <f>IF($D128-$G128&lt;=0,0,IF(MOD($A128,Übersicht!$C$25)=0,MIN(Übersicht!$C$31,$D128-$G128),0))</f>
        <v>0</v>
      </c>
      <c r="I128" s="23">
        <f t="shared" si="9"/>
        <v>1239.58</v>
      </c>
      <c r="J128" s="23">
        <f t="shared" si="10"/>
        <v>115916.74</v>
      </c>
      <c r="K128" s="23">
        <f t="shared" si="12"/>
        <v>65905.920000000013</v>
      </c>
      <c r="L128" s="23">
        <f t="shared" si="13"/>
        <v>134083.26</v>
      </c>
      <c r="M128" s="24">
        <f>IF($D128&lt;=0,"",IF(Übersicht!$C$11=0,0,$L128/Übersicht!$C$11))</f>
        <v>0.53633304000000004</v>
      </c>
      <c r="N128" s="25" t="str">
        <f>IF($D128&lt;=0,"",IF($J128&lt;=0.005,"Volltilgung erreicht",IF($A128=Übersicht!$C$19*Übersicht!$C$25,"Ende der Zinsbindung",IF($H128&gt;0,"Sondertilgung verrechnet",""))))</f>
        <v/>
      </c>
      <c r="Q128" s="38">
        <f>IF($S127&lt;=0,0,ROUND($S127*Übersicht!$C$26,2))</f>
        <v>504.54</v>
      </c>
      <c r="R128" s="38">
        <f>IF($S127&lt;=0,0,MIN($S127,IF(Übersicht!$C$14="Annuitätendarlehen",MAX(0,Übersicht!$C$28-$Q128),IF(Übersicht!$C$14="Ratendarlehen",Übersicht!$C$29,IF($A128&gt;=Übersicht!$C$30,$S127,0)))))</f>
        <v>735.04</v>
      </c>
      <c r="S128" s="38">
        <f>IF($S127&lt;=0,0,ROUND($S127-$R128-IF($S127-$R128&lt;=0,0,IF(MOD($A128,Übersicht!$C$25)=0,MIN(Szenarien!$C$8,$S127-$R128),0)),2))</f>
        <v>174756.16</v>
      </c>
      <c r="T128" s="38">
        <f>IF($V127&lt;=0,0,ROUND($V127*Übersicht!$C$26,2))</f>
        <v>420.2</v>
      </c>
      <c r="U128" s="38">
        <f>IF($V127&lt;=0,0,MIN($V127,IF(Übersicht!$C$14="Annuitätendarlehen",MAX(0,Übersicht!$C$28-$T128),IF(Übersicht!$C$14="Ratendarlehen",Übersicht!$C$29,IF($A128&gt;=Übersicht!$C$30,$V127,0)))))</f>
        <v>819.37999999999988</v>
      </c>
      <c r="V128" s="38">
        <f>IF($V127&lt;=0,0,ROUND($V127-$U128-IF($V127-$U128&lt;=0,0,IF(MOD($A128,Übersicht!$C$25)=0,MIN(Szenarien!$C$9,$V127-$U128),0)),2))</f>
        <v>145336.51</v>
      </c>
      <c r="W128" s="38">
        <f>IF($Y127&lt;=0,0,ROUND($Y127*Übersicht!$C$26,2))</f>
        <v>335.86</v>
      </c>
      <c r="X128" s="38">
        <f>IF($Y127&lt;=0,0,MIN($Y127,IF(Übersicht!$C$14="Annuitätendarlehen",MAX(0,Übersicht!$C$28-$W128),IF(Übersicht!$C$14="Ratendarlehen",Übersicht!$C$29,IF($A128&gt;=Übersicht!$C$30,$Y127,0)))))</f>
        <v>903.71999999999991</v>
      </c>
      <c r="Y128" s="38">
        <f>IF($Y127&lt;=0,0,ROUND($Y127-$X128-IF($Y127-$X128&lt;=0,0,IF(MOD($A128,Übersicht!$C$25)=0,MIN(Szenarien!$C$10,$Y127-$X128),0)),2))</f>
        <v>115916.74</v>
      </c>
      <c r="Z128" s="38">
        <f>IF($AB127&lt;=0,0,ROUND($AB127*Übersicht!$C$26,2))</f>
        <v>251.52</v>
      </c>
      <c r="AA128" s="38">
        <f>IF($AB127&lt;=0,0,MIN($AB127,IF(Übersicht!$C$14="Annuitätendarlehen",MAX(0,Übersicht!$C$28-$Z128),IF(Übersicht!$C$14="Ratendarlehen",Übersicht!$C$29,IF($A128&gt;=Übersicht!$C$30,$AB127,0)))))</f>
        <v>988.06</v>
      </c>
      <c r="AB128" s="38">
        <f>IF($AB127&lt;=0,0,ROUND($AB127-$AA128-IF($AB127-$AA128&lt;=0,0,IF(MOD($A128,Übersicht!$C$25)=0,MIN(Szenarien!$C$11,$AB127-$AA128),0)),2))</f>
        <v>86497.03</v>
      </c>
      <c r="AC128" s="38">
        <f>IF($AE127&lt;=0,0,ROUND($AE127*Übersicht!$C$26,2))</f>
        <v>82.84</v>
      </c>
      <c r="AD128" s="38">
        <f>IF($AE127&lt;=0,0,MIN($AE127,IF(Übersicht!$C$14="Annuitätendarlehen",MAX(0,Übersicht!$C$28-$AC128),IF(Übersicht!$C$14="Ratendarlehen",Übersicht!$C$29,IF($A128&gt;=Übersicht!$C$30,$AE127,0)))))</f>
        <v>1156.74</v>
      </c>
      <c r="AE128" s="38">
        <f>IF($AE127&lt;=0,0,ROUND($AE127-$AD128-IF($AE127-$AD128&lt;=0,0,IF(MOD($A128,Übersicht!$C$25)=0,MIN(Szenarien!$C$12,$AE127-$AD128),0)),2))</f>
        <v>27657.599999999999</v>
      </c>
    </row>
    <row r="129" spans="1:31" ht="15" customHeight="1" x14ac:dyDescent="0.25">
      <c r="A129" s="26">
        <v>122</v>
      </c>
      <c r="B129" s="39">
        <f>IF($D129&lt;=0,"",EDATE(Übersicht!$C$18,($A129-1)*12/Übersicht!$C$25))</f>
        <v>49734</v>
      </c>
      <c r="C129" s="26">
        <f t="shared" si="7"/>
        <v>2036</v>
      </c>
      <c r="D129" s="40">
        <f t="shared" si="11"/>
        <v>115916.74</v>
      </c>
      <c r="E129" s="28">
        <f t="shared" si="8"/>
        <v>1239.58</v>
      </c>
      <c r="F129" s="28">
        <f>IF($D129&lt;=0,0,ROUND($D129*Übersicht!$C$26,2))</f>
        <v>333.26</v>
      </c>
      <c r="G129" s="28">
        <f>IF($D129&lt;=0,0,MIN($D129,IF(Übersicht!$C$14="Annuitätendarlehen",MAX(0,Übersicht!$C$28-$F129),IF(Übersicht!$C$14="Ratendarlehen",Übersicht!$C$29,IF($A129&gt;=Übersicht!$C$30,$D129,0)))))</f>
        <v>906.31999999999994</v>
      </c>
      <c r="H129" s="28">
        <f>IF($D129-$G129&lt;=0,0,IF(MOD($A129,Übersicht!$C$25)=0,MIN(Übersicht!$C$31,$D129-$G129),0))</f>
        <v>0</v>
      </c>
      <c r="I129" s="28">
        <f t="shared" si="9"/>
        <v>1239.58</v>
      </c>
      <c r="J129" s="28">
        <f t="shared" si="10"/>
        <v>115010.42</v>
      </c>
      <c r="K129" s="28">
        <f t="shared" si="12"/>
        <v>66239.180000000008</v>
      </c>
      <c r="L129" s="28">
        <f t="shared" si="13"/>
        <v>134989.57999999999</v>
      </c>
      <c r="M129" s="29">
        <f>IF($D129&lt;=0,"",IF(Übersicht!$C$11=0,0,$L129/Übersicht!$C$11))</f>
        <v>0.53995831999999999</v>
      </c>
      <c r="N129" s="30" t="str">
        <f>IF($D129&lt;=0,"",IF($J129&lt;=0.005,"Volltilgung erreicht",IF($A129=Übersicht!$C$19*Übersicht!$C$25,"Ende der Zinsbindung",IF($H129&gt;0,"Sondertilgung verrechnet",""))))</f>
        <v/>
      </c>
      <c r="Q129" s="38">
        <f>IF($S128&lt;=0,0,ROUND($S128*Übersicht!$C$26,2))</f>
        <v>502.42</v>
      </c>
      <c r="R129" s="38">
        <f>IF($S128&lt;=0,0,MIN($S128,IF(Übersicht!$C$14="Annuitätendarlehen",MAX(0,Übersicht!$C$28-$Q129),IF(Übersicht!$C$14="Ratendarlehen",Übersicht!$C$29,IF($A129&gt;=Übersicht!$C$30,$S128,0)))))</f>
        <v>737.15999999999985</v>
      </c>
      <c r="S129" s="38">
        <f>IF($S128&lt;=0,0,ROUND($S128-$R129-IF($S128-$R129&lt;=0,0,IF(MOD($A129,Übersicht!$C$25)=0,MIN(Szenarien!$C$8,$S128-$R129),0)),2))</f>
        <v>174019</v>
      </c>
      <c r="T129" s="38">
        <f>IF($V128&lt;=0,0,ROUND($V128*Übersicht!$C$26,2))</f>
        <v>417.84</v>
      </c>
      <c r="U129" s="38">
        <f>IF($V128&lt;=0,0,MIN($V128,IF(Übersicht!$C$14="Annuitätendarlehen",MAX(0,Übersicht!$C$28-$T129),IF(Übersicht!$C$14="Ratendarlehen",Übersicht!$C$29,IF($A129&gt;=Übersicht!$C$30,$V128,0)))))</f>
        <v>821.74</v>
      </c>
      <c r="V129" s="38">
        <f>IF($V128&lt;=0,0,ROUND($V128-$U129-IF($V128-$U129&lt;=0,0,IF(MOD($A129,Übersicht!$C$25)=0,MIN(Szenarien!$C$9,$V128-$U129),0)),2))</f>
        <v>144514.76999999999</v>
      </c>
      <c r="W129" s="38">
        <f>IF($Y128&lt;=0,0,ROUND($Y128*Übersicht!$C$26,2))</f>
        <v>333.26</v>
      </c>
      <c r="X129" s="38">
        <f>IF($Y128&lt;=0,0,MIN($Y128,IF(Übersicht!$C$14="Annuitätendarlehen",MAX(0,Übersicht!$C$28-$W129),IF(Übersicht!$C$14="Ratendarlehen",Übersicht!$C$29,IF($A129&gt;=Übersicht!$C$30,$Y128,0)))))</f>
        <v>906.31999999999994</v>
      </c>
      <c r="Y129" s="38">
        <f>IF($Y128&lt;=0,0,ROUND($Y128-$X129-IF($Y128-$X129&lt;=0,0,IF(MOD($A129,Übersicht!$C$25)=0,MIN(Szenarien!$C$10,$Y128-$X129),0)),2))</f>
        <v>115010.42</v>
      </c>
      <c r="Z129" s="38">
        <f>IF($AB128&lt;=0,0,ROUND($AB128*Übersicht!$C$26,2))</f>
        <v>248.68</v>
      </c>
      <c r="AA129" s="38">
        <f>IF($AB128&lt;=0,0,MIN($AB128,IF(Übersicht!$C$14="Annuitätendarlehen",MAX(0,Übersicht!$C$28-$Z129),IF(Übersicht!$C$14="Ratendarlehen",Übersicht!$C$29,IF($A129&gt;=Übersicht!$C$30,$AB128,0)))))</f>
        <v>990.89999999999986</v>
      </c>
      <c r="AB129" s="38">
        <f>IF($AB128&lt;=0,0,ROUND($AB128-$AA129-IF($AB128-$AA129&lt;=0,0,IF(MOD($A129,Übersicht!$C$25)=0,MIN(Szenarien!$C$11,$AB128-$AA129),0)),2))</f>
        <v>85506.13</v>
      </c>
      <c r="AC129" s="38">
        <f>IF($AE128&lt;=0,0,ROUND($AE128*Übersicht!$C$26,2))</f>
        <v>79.52</v>
      </c>
      <c r="AD129" s="38">
        <f>IF($AE128&lt;=0,0,MIN($AE128,IF(Übersicht!$C$14="Annuitätendarlehen",MAX(0,Übersicht!$C$28-$AC129),IF(Übersicht!$C$14="Ratendarlehen",Übersicht!$C$29,IF($A129&gt;=Übersicht!$C$30,$AE128,0)))))</f>
        <v>1160.06</v>
      </c>
      <c r="AE129" s="38">
        <f>IF($AE128&lt;=0,0,ROUND($AE128-$AD129-IF($AE128-$AD129&lt;=0,0,IF(MOD($A129,Übersicht!$C$25)=0,MIN(Szenarien!$C$12,$AE128-$AD129),0)),2))</f>
        <v>26497.54</v>
      </c>
    </row>
    <row r="130" spans="1:31" ht="15" customHeight="1" x14ac:dyDescent="0.25">
      <c r="A130" s="21">
        <v>123</v>
      </c>
      <c r="B130" s="36">
        <f>IF($D130&lt;=0,"",EDATE(Übersicht!$C$18,($A130-1)*12/Übersicht!$C$25))</f>
        <v>49765</v>
      </c>
      <c r="C130" s="21">
        <f t="shared" si="7"/>
        <v>2036</v>
      </c>
      <c r="D130" s="37">
        <f t="shared" si="11"/>
        <v>115010.42</v>
      </c>
      <c r="E130" s="23">
        <f t="shared" si="8"/>
        <v>1239.58</v>
      </c>
      <c r="F130" s="23">
        <f>IF($D130&lt;=0,0,ROUND($D130*Übersicht!$C$26,2))</f>
        <v>330.65</v>
      </c>
      <c r="G130" s="23">
        <f>IF($D130&lt;=0,0,MIN($D130,IF(Übersicht!$C$14="Annuitätendarlehen",MAX(0,Übersicht!$C$28-$F130),IF(Übersicht!$C$14="Ratendarlehen",Übersicht!$C$29,IF($A130&gt;=Übersicht!$C$30,$D130,0)))))</f>
        <v>908.93</v>
      </c>
      <c r="H130" s="23">
        <f>IF($D130-$G130&lt;=0,0,IF(MOD($A130,Übersicht!$C$25)=0,MIN(Übersicht!$C$31,$D130-$G130),0))</f>
        <v>0</v>
      </c>
      <c r="I130" s="23">
        <f t="shared" si="9"/>
        <v>1239.58</v>
      </c>
      <c r="J130" s="23">
        <f t="shared" si="10"/>
        <v>114101.49</v>
      </c>
      <c r="K130" s="23">
        <f t="shared" si="12"/>
        <v>66569.83</v>
      </c>
      <c r="L130" s="23">
        <f t="shared" si="13"/>
        <v>135898.51</v>
      </c>
      <c r="M130" s="24">
        <f>IF($D130&lt;=0,"",IF(Übersicht!$C$11=0,0,$L130/Übersicht!$C$11))</f>
        <v>0.54359404</v>
      </c>
      <c r="N130" s="25" t="str">
        <f>IF($D130&lt;=0,"",IF($J130&lt;=0.005,"Volltilgung erreicht",IF($A130=Übersicht!$C$19*Übersicht!$C$25,"Ende der Zinsbindung",IF($H130&gt;0,"Sondertilgung verrechnet",""))))</f>
        <v/>
      </c>
      <c r="Q130" s="38">
        <f>IF($S129&lt;=0,0,ROUND($S129*Übersicht!$C$26,2))</f>
        <v>500.3</v>
      </c>
      <c r="R130" s="38">
        <f>IF($S129&lt;=0,0,MIN($S129,IF(Übersicht!$C$14="Annuitätendarlehen",MAX(0,Übersicht!$C$28-$Q130),IF(Übersicht!$C$14="Ratendarlehen",Übersicht!$C$29,IF($A130&gt;=Übersicht!$C$30,$S129,0)))))</f>
        <v>739.28</v>
      </c>
      <c r="S130" s="38">
        <f>IF($S129&lt;=0,0,ROUND($S129-$R130-IF($S129-$R130&lt;=0,0,IF(MOD($A130,Übersicht!$C$25)=0,MIN(Szenarien!$C$8,$S129-$R130),0)),2))</f>
        <v>173279.72</v>
      </c>
      <c r="T130" s="38">
        <f>IF($V129&lt;=0,0,ROUND($V129*Übersicht!$C$26,2))</f>
        <v>415.48</v>
      </c>
      <c r="U130" s="38">
        <f>IF($V129&lt;=0,0,MIN($V129,IF(Übersicht!$C$14="Annuitätendarlehen",MAX(0,Übersicht!$C$28-$T130),IF(Übersicht!$C$14="Ratendarlehen",Übersicht!$C$29,IF($A130&gt;=Übersicht!$C$30,$V129,0)))))</f>
        <v>824.09999999999991</v>
      </c>
      <c r="V130" s="38">
        <f>IF($V129&lt;=0,0,ROUND($V129-$U130-IF($V129-$U130&lt;=0,0,IF(MOD($A130,Übersicht!$C$25)=0,MIN(Szenarien!$C$9,$V129-$U130),0)),2))</f>
        <v>143690.67000000001</v>
      </c>
      <c r="W130" s="38">
        <f>IF($Y129&lt;=0,0,ROUND($Y129*Übersicht!$C$26,2))</f>
        <v>330.65</v>
      </c>
      <c r="X130" s="38">
        <f>IF($Y129&lt;=0,0,MIN($Y129,IF(Übersicht!$C$14="Annuitätendarlehen",MAX(0,Übersicht!$C$28-$W130),IF(Übersicht!$C$14="Ratendarlehen",Übersicht!$C$29,IF($A130&gt;=Übersicht!$C$30,$Y129,0)))))</f>
        <v>908.93</v>
      </c>
      <c r="Y130" s="38">
        <f>IF($Y129&lt;=0,0,ROUND($Y129-$X130-IF($Y129-$X130&lt;=0,0,IF(MOD($A130,Übersicht!$C$25)=0,MIN(Szenarien!$C$10,$Y129-$X130),0)),2))</f>
        <v>114101.49</v>
      </c>
      <c r="Z130" s="38">
        <f>IF($AB129&lt;=0,0,ROUND($AB129*Übersicht!$C$26,2))</f>
        <v>245.83</v>
      </c>
      <c r="AA130" s="38">
        <f>IF($AB129&lt;=0,0,MIN($AB129,IF(Übersicht!$C$14="Annuitätendarlehen",MAX(0,Übersicht!$C$28-$Z130),IF(Übersicht!$C$14="Ratendarlehen",Übersicht!$C$29,IF($A130&gt;=Übersicht!$C$30,$AB129,0)))))</f>
        <v>993.74999999999989</v>
      </c>
      <c r="AB130" s="38">
        <f>IF($AB129&lt;=0,0,ROUND($AB129-$AA130-IF($AB129-$AA130&lt;=0,0,IF(MOD($A130,Übersicht!$C$25)=0,MIN(Szenarien!$C$11,$AB129-$AA130),0)),2))</f>
        <v>84512.38</v>
      </c>
      <c r="AC130" s="38">
        <f>IF($AE129&lt;=0,0,ROUND($AE129*Übersicht!$C$26,2))</f>
        <v>76.180000000000007</v>
      </c>
      <c r="AD130" s="38">
        <f>IF($AE129&lt;=0,0,MIN($AE129,IF(Übersicht!$C$14="Annuitätendarlehen",MAX(0,Übersicht!$C$28-$AC130),IF(Übersicht!$C$14="Ratendarlehen",Übersicht!$C$29,IF($A130&gt;=Übersicht!$C$30,$AE129,0)))))</f>
        <v>1163.3999999999999</v>
      </c>
      <c r="AE130" s="38">
        <f>IF($AE129&lt;=0,0,ROUND($AE129-$AD130-IF($AE129-$AD130&lt;=0,0,IF(MOD($A130,Übersicht!$C$25)=0,MIN(Szenarien!$C$12,$AE129-$AD130),0)),2))</f>
        <v>25334.14</v>
      </c>
    </row>
    <row r="131" spans="1:31" ht="15" customHeight="1" x14ac:dyDescent="0.25">
      <c r="A131" s="26">
        <v>124</v>
      </c>
      <c r="B131" s="39">
        <f>IF($D131&lt;=0,"",EDATE(Übersicht!$C$18,($A131-1)*12/Übersicht!$C$25))</f>
        <v>49795</v>
      </c>
      <c r="C131" s="26">
        <f t="shared" si="7"/>
        <v>2036</v>
      </c>
      <c r="D131" s="40">
        <f t="shared" si="11"/>
        <v>114101.49</v>
      </c>
      <c r="E131" s="28">
        <f t="shared" si="8"/>
        <v>1239.58</v>
      </c>
      <c r="F131" s="28">
        <f>IF($D131&lt;=0,0,ROUND($D131*Übersicht!$C$26,2))</f>
        <v>328.04</v>
      </c>
      <c r="G131" s="28">
        <f>IF($D131&lt;=0,0,MIN($D131,IF(Übersicht!$C$14="Annuitätendarlehen",MAX(0,Übersicht!$C$28-$F131),IF(Übersicht!$C$14="Ratendarlehen",Übersicht!$C$29,IF($A131&gt;=Übersicht!$C$30,$D131,0)))))</f>
        <v>911.54</v>
      </c>
      <c r="H131" s="28">
        <f>IF($D131-$G131&lt;=0,0,IF(MOD($A131,Übersicht!$C$25)=0,MIN(Übersicht!$C$31,$D131-$G131),0))</f>
        <v>0</v>
      </c>
      <c r="I131" s="28">
        <f t="shared" si="9"/>
        <v>1239.58</v>
      </c>
      <c r="J131" s="28">
        <f t="shared" si="10"/>
        <v>113189.95</v>
      </c>
      <c r="K131" s="28">
        <f t="shared" si="12"/>
        <v>66897.87</v>
      </c>
      <c r="L131" s="28">
        <f t="shared" si="13"/>
        <v>136810.04999999999</v>
      </c>
      <c r="M131" s="29">
        <f>IF($D131&lt;=0,"",IF(Übersicht!$C$11=0,0,$L131/Übersicht!$C$11))</f>
        <v>0.54724019999999995</v>
      </c>
      <c r="N131" s="30" t="str">
        <f>IF($D131&lt;=0,"",IF($J131&lt;=0.005,"Volltilgung erreicht",IF($A131=Übersicht!$C$19*Übersicht!$C$25,"Ende der Zinsbindung",IF($H131&gt;0,"Sondertilgung verrechnet",""))))</f>
        <v/>
      </c>
      <c r="Q131" s="38">
        <f>IF($S130&lt;=0,0,ROUND($S130*Übersicht!$C$26,2))</f>
        <v>498.18</v>
      </c>
      <c r="R131" s="38">
        <f>IF($S130&lt;=0,0,MIN($S130,IF(Übersicht!$C$14="Annuitätendarlehen",MAX(0,Übersicht!$C$28-$Q131),IF(Übersicht!$C$14="Ratendarlehen",Übersicht!$C$29,IF($A131&gt;=Übersicht!$C$30,$S130,0)))))</f>
        <v>741.39999999999986</v>
      </c>
      <c r="S131" s="38">
        <f>IF($S130&lt;=0,0,ROUND($S130-$R131-IF($S130-$R131&lt;=0,0,IF(MOD($A131,Übersicht!$C$25)=0,MIN(Szenarien!$C$8,$S130-$R131),0)),2))</f>
        <v>172538.32</v>
      </c>
      <c r="T131" s="38">
        <f>IF($V130&lt;=0,0,ROUND($V130*Übersicht!$C$26,2))</f>
        <v>413.11</v>
      </c>
      <c r="U131" s="38">
        <f>IF($V130&lt;=0,0,MIN($V130,IF(Übersicht!$C$14="Annuitätendarlehen",MAX(0,Übersicht!$C$28-$T131),IF(Übersicht!$C$14="Ratendarlehen",Übersicht!$C$29,IF($A131&gt;=Übersicht!$C$30,$V130,0)))))</f>
        <v>826.46999999999991</v>
      </c>
      <c r="V131" s="38">
        <f>IF($V130&lt;=0,0,ROUND($V130-$U131-IF($V130-$U131&lt;=0,0,IF(MOD($A131,Übersicht!$C$25)=0,MIN(Szenarien!$C$9,$V130-$U131),0)),2))</f>
        <v>142864.20000000001</v>
      </c>
      <c r="W131" s="38">
        <f>IF($Y130&lt;=0,0,ROUND($Y130*Übersicht!$C$26,2))</f>
        <v>328.04</v>
      </c>
      <c r="X131" s="38">
        <f>IF($Y130&lt;=0,0,MIN($Y130,IF(Übersicht!$C$14="Annuitätendarlehen",MAX(0,Übersicht!$C$28-$W131),IF(Übersicht!$C$14="Ratendarlehen",Übersicht!$C$29,IF($A131&gt;=Übersicht!$C$30,$Y130,0)))))</f>
        <v>911.54</v>
      </c>
      <c r="Y131" s="38">
        <f>IF($Y130&lt;=0,0,ROUND($Y130-$X131-IF($Y130-$X131&lt;=0,0,IF(MOD($A131,Übersicht!$C$25)=0,MIN(Szenarien!$C$10,$Y130-$X131),0)),2))</f>
        <v>113189.95</v>
      </c>
      <c r="Z131" s="38">
        <f>IF($AB130&lt;=0,0,ROUND($AB130*Übersicht!$C$26,2))</f>
        <v>242.97</v>
      </c>
      <c r="AA131" s="38">
        <f>IF($AB130&lt;=0,0,MIN($AB130,IF(Übersicht!$C$14="Annuitätendarlehen",MAX(0,Übersicht!$C$28-$Z131),IF(Übersicht!$C$14="Ratendarlehen",Übersicht!$C$29,IF($A131&gt;=Übersicht!$C$30,$AB130,0)))))</f>
        <v>996.6099999999999</v>
      </c>
      <c r="AB131" s="38">
        <f>IF($AB130&lt;=0,0,ROUND($AB130-$AA131-IF($AB130-$AA131&lt;=0,0,IF(MOD($A131,Übersicht!$C$25)=0,MIN(Szenarien!$C$11,$AB130-$AA131),0)),2))</f>
        <v>83515.77</v>
      </c>
      <c r="AC131" s="38">
        <f>IF($AE130&lt;=0,0,ROUND($AE130*Übersicht!$C$26,2))</f>
        <v>72.84</v>
      </c>
      <c r="AD131" s="38">
        <f>IF($AE130&lt;=0,0,MIN($AE130,IF(Übersicht!$C$14="Annuitätendarlehen",MAX(0,Übersicht!$C$28-$AC131),IF(Übersicht!$C$14="Ratendarlehen",Übersicht!$C$29,IF($A131&gt;=Übersicht!$C$30,$AE130,0)))))</f>
        <v>1166.74</v>
      </c>
      <c r="AE131" s="38">
        <f>IF($AE130&lt;=0,0,ROUND($AE130-$AD131-IF($AE130-$AD131&lt;=0,0,IF(MOD($A131,Übersicht!$C$25)=0,MIN(Szenarien!$C$12,$AE130-$AD131),0)),2))</f>
        <v>24167.4</v>
      </c>
    </row>
    <row r="132" spans="1:31" ht="15" customHeight="1" x14ac:dyDescent="0.25">
      <c r="A132" s="21">
        <v>125</v>
      </c>
      <c r="B132" s="36">
        <f>IF($D132&lt;=0,"",EDATE(Übersicht!$C$18,($A132-1)*12/Übersicht!$C$25))</f>
        <v>49826</v>
      </c>
      <c r="C132" s="21">
        <f t="shared" si="7"/>
        <v>2036</v>
      </c>
      <c r="D132" s="37">
        <f t="shared" si="11"/>
        <v>113189.95</v>
      </c>
      <c r="E132" s="23">
        <f t="shared" si="8"/>
        <v>1239.58</v>
      </c>
      <c r="F132" s="23">
        <f>IF($D132&lt;=0,0,ROUND($D132*Übersicht!$C$26,2))</f>
        <v>325.42</v>
      </c>
      <c r="G132" s="23">
        <f>IF($D132&lt;=0,0,MIN($D132,IF(Übersicht!$C$14="Annuitätendarlehen",MAX(0,Übersicht!$C$28-$F132),IF(Übersicht!$C$14="Ratendarlehen",Übersicht!$C$29,IF($A132&gt;=Übersicht!$C$30,$D132,0)))))</f>
        <v>914.15999999999985</v>
      </c>
      <c r="H132" s="23">
        <f>IF($D132-$G132&lt;=0,0,IF(MOD($A132,Übersicht!$C$25)=0,MIN(Übersicht!$C$31,$D132-$G132),0))</f>
        <v>0</v>
      </c>
      <c r="I132" s="23">
        <f t="shared" si="9"/>
        <v>1239.58</v>
      </c>
      <c r="J132" s="23">
        <f t="shared" si="10"/>
        <v>112275.79</v>
      </c>
      <c r="K132" s="23">
        <f t="shared" si="12"/>
        <v>67223.289999999994</v>
      </c>
      <c r="L132" s="23">
        <f t="shared" si="13"/>
        <v>137724.21</v>
      </c>
      <c r="M132" s="24">
        <f>IF($D132&lt;=0,"",IF(Übersicht!$C$11=0,0,$L132/Übersicht!$C$11))</f>
        <v>0.55089683999999994</v>
      </c>
      <c r="N132" s="25" t="str">
        <f>IF($D132&lt;=0,"",IF($J132&lt;=0.005,"Volltilgung erreicht",IF($A132=Übersicht!$C$19*Übersicht!$C$25,"Ende der Zinsbindung",IF($H132&gt;0,"Sondertilgung verrechnet",""))))</f>
        <v/>
      </c>
      <c r="Q132" s="38">
        <f>IF($S131&lt;=0,0,ROUND($S131*Übersicht!$C$26,2))</f>
        <v>496.05</v>
      </c>
      <c r="R132" s="38">
        <f>IF($S131&lt;=0,0,MIN($S131,IF(Übersicht!$C$14="Annuitätendarlehen",MAX(0,Übersicht!$C$28-$Q132),IF(Übersicht!$C$14="Ratendarlehen",Übersicht!$C$29,IF($A132&gt;=Übersicht!$C$30,$S131,0)))))</f>
        <v>743.53</v>
      </c>
      <c r="S132" s="38">
        <f>IF($S131&lt;=0,0,ROUND($S131-$R132-IF($S131-$R132&lt;=0,0,IF(MOD($A132,Übersicht!$C$25)=0,MIN(Szenarien!$C$8,$S131-$R132),0)),2))</f>
        <v>171794.79</v>
      </c>
      <c r="T132" s="38">
        <f>IF($V131&lt;=0,0,ROUND($V131*Übersicht!$C$26,2))</f>
        <v>410.73</v>
      </c>
      <c r="U132" s="38">
        <f>IF($V131&lt;=0,0,MIN($V131,IF(Übersicht!$C$14="Annuitätendarlehen",MAX(0,Übersicht!$C$28-$T132),IF(Übersicht!$C$14="Ratendarlehen",Übersicht!$C$29,IF($A132&gt;=Übersicht!$C$30,$V131,0)))))</f>
        <v>828.84999999999991</v>
      </c>
      <c r="V132" s="38">
        <f>IF($V131&lt;=0,0,ROUND($V131-$U132-IF($V131-$U132&lt;=0,0,IF(MOD($A132,Übersicht!$C$25)=0,MIN(Szenarien!$C$9,$V131-$U132),0)),2))</f>
        <v>142035.35</v>
      </c>
      <c r="W132" s="38">
        <f>IF($Y131&lt;=0,0,ROUND($Y131*Übersicht!$C$26,2))</f>
        <v>325.42</v>
      </c>
      <c r="X132" s="38">
        <f>IF($Y131&lt;=0,0,MIN($Y131,IF(Übersicht!$C$14="Annuitätendarlehen",MAX(0,Übersicht!$C$28-$W132),IF(Übersicht!$C$14="Ratendarlehen",Übersicht!$C$29,IF($A132&gt;=Übersicht!$C$30,$Y131,0)))))</f>
        <v>914.15999999999985</v>
      </c>
      <c r="Y132" s="38">
        <f>IF($Y131&lt;=0,0,ROUND($Y131-$X132-IF($Y131-$X132&lt;=0,0,IF(MOD($A132,Übersicht!$C$25)=0,MIN(Szenarien!$C$10,$Y131-$X132),0)),2))</f>
        <v>112275.79</v>
      </c>
      <c r="Z132" s="38">
        <f>IF($AB131&lt;=0,0,ROUND($AB131*Übersicht!$C$26,2))</f>
        <v>240.11</v>
      </c>
      <c r="AA132" s="38">
        <f>IF($AB131&lt;=0,0,MIN($AB131,IF(Übersicht!$C$14="Annuitätendarlehen",MAX(0,Übersicht!$C$28-$Z132),IF(Übersicht!$C$14="Ratendarlehen",Übersicht!$C$29,IF($A132&gt;=Übersicht!$C$30,$AB131,0)))))</f>
        <v>999.46999999999991</v>
      </c>
      <c r="AB132" s="38">
        <f>IF($AB131&lt;=0,0,ROUND($AB131-$AA132-IF($AB131-$AA132&lt;=0,0,IF(MOD($A132,Übersicht!$C$25)=0,MIN(Szenarien!$C$11,$AB131-$AA132),0)),2))</f>
        <v>82516.3</v>
      </c>
      <c r="AC132" s="38">
        <f>IF($AE131&lt;=0,0,ROUND($AE131*Übersicht!$C$26,2))</f>
        <v>69.48</v>
      </c>
      <c r="AD132" s="38">
        <f>IF($AE131&lt;=0,0,MIN($AE131,IF(Übersicht!$C$14="Annuitätendarlehen",MAX(0,Übersicht!$C$28-$AC132),IF(Übersicht!$C$14="Ratendarlehen",Übersicht!$C$29,IF($A132&gt;=Übersicht!$C$30,$AE131,0)))))</f>
        <v>1170.0999999999999</v>
      </c>
      <c r="AE132" s="38">
        <f>IF($AE131&lt;=0,0,ROUND($AE131-$AD132-IF($AE131-$AD132&lt;=0,0,IF(MOD($A132,Übersicht!$C$25)=0,MIN(Szenarien!$C$12,$AE131-$AD132),0)),2))</f>
        <v>22997.3</v>
      </c>
    </row>
    <row r="133" spans="1:31" ht="15" customHeight="1" x14ac:dyDescent="0.25">
      <c r="A133" s="26">
        <v>126</v>
      </c>
      <c r="B133" s="39">
        <f>IF($D133&lt;=0,"",EDATE(Übersicht!$C$18,($A133-1)*12/Übersicht!$C$25))</f>
        <v>49856</v>
      </c>
      <c r="C133" s="26">
        <f t="shared" si="7"/>
        <v>2036</v>
      </c>
      <c r="D133" s="40">
        <f t="shared" si="11"/>
        <v>112275.79</v>
      </c>
      <c r="E133" s="28">
        <f t="shared" si="8"/>
        <v>1239.58</v>
      </c>
      <c r="F133" s="28">
        <f>IF($D133&lt;=0,0,ROUND($D133*Übersicht!$C$26,2))</f>
        <v>322.79000000000002</v>
      </c>
      <c r="G133" s="28">
        <f>IF($D133&lt;=0,0,MIN($D133,IF(Übersicht!$C$14="Annuitätendarlehen",MAX(0,Übersicht!$C$28-$F133),IF(Übersicht!$C$14="Ratendarlehen",Übersicht!$C$29,IF($A133&gt;=Übersicht!$C$30,$D133,0)))))</f>
        <v>916.79</v>
      </c>
      <c r="H133" s="28">
        <f>IF($D133-$G133&lt;=0,0,IF(MOD($A133,Übersicht!$C$25)=0,MIN(Übersicht!$C$31,$D133-$G133),0))</f>
        <v>0</v>
      </c>
      <c r="I133" s="28">
        <f t="shared" si="9"/>
        <v>1239.58</v>
      </c>
      <c r="J133" s="28">
        <f t="shared" si="10"/>
        <v>111359</v>
      </c>
      <c r="K133" s="28">
        <f t="shared" si="12"/>
        <v>67546.079999999987</v>
      </c>
      <c r="L133" s="28">
        <f t="shared" si="13"/>
        <v>138641</v>
      </c>
      <c r="M133" s="29">
        <f>IF($D133&lt;=0,"",IF(Übersicht!$C$11=0,0,$L133/Übersicht!$C$11))</f>
        <v>0.55456399999999995</v>
      </c>
      <c r="N133" s="30" t="str">
        <f>IF($D133&lt;=0,"",IF($J133&lt;=0.005,"Volltilgung erreicht",IF($A133=Übersicht!$C$19*Übersicht!$C$25,"Ende der Zinsbindung",IF($H133&gt;0,"Sondertilgung verrechnet",""))))</f>
        <v/>
      </c>
      <c r="Q133" s="38">
        <f>IF($S132&lt;=0,0,ROUND($S132*Übersicht!$C$26,2))</f>
        <v>493.91</v>
      </c>
      <c r="R133" s="38">
        <f>IF($S132&lt;=0,0,MIN($S132,IF(Übersicht!$C$14="Annuitätendarlehen",MAX(0,Übersicht!$C$28-$Q133),IF(Übersicht!$C$14="Ratendarlehen",Übersicht!$C$29,IF($A133&gt;=Übersicht!$C$30,$S132,0)))))</f>
        <v>745.66999999999985</v>
      </c>
      <c r="S133" s="38">
        <f>IF($S132&lt;=0,0,ROUND($S132-$R133-IF($S132-$R133&lt;=0,0,IF(MOD($A133,Übersicht!$C$25)=0,MIN(Szenarien!$C$8,$S132-$R133),0)),2))</f>
        <v>171049.12</v>
      </c>
      <c r="T133" s="38">
        <f>IF($V132&lt;=0,0,ROUND($V132*Übersicht!$C$26,2))</f>
        <v>408.35</v>
      </c>
      <c r="U133" s="38">
        <f>IF($V132&lt;=0,0,MIN($V132,IF(Übersicht!$C$14="Annuitätendarlehen",MAX(0,Übersicht!$C$28-$T133),IF(Übersicht!$C$14="Ratendarlehen",Übersicht!$C$29,IF($A133&gt;=Übersicht!$C$30,$V132,0)))))</f>
        <v>831.2299999999999</v>
      </c>
      <c r="V133" s="38">
        <f>IF($V132&lt;=0,0,ROUND($V132-$U133-IF($V132-$U133&lt;=0,0,IF(MOD($A133,Übersicht!$C$25)=0,MIN(Szenarien!$C$9,$V132-$U133),0)),2))</f>
        <v>141204.12</v>
      </c>
      <c r="W133" s="38">
        <f>IF($Y132&lt;=0,0,ROUND($Y132*Übersicht!$C$26,2))</f>
        <v>322.79000000000002</v>
      </c>
      <c r="X133" s="38">
        <f>IF($Y132&lt;=0,0,MIN($Y132,IF(Übersicht!$C$14="Annuitätendarlehen",MAX(0,Übersicht!$C$28-$W133),IF(Übersicht!$C$14="Ratendarlehen",Übersicht!$C$29,IF($A133&gt;=Übersicht!$C$30,$Y132,0)))))</f>
        <v>916.79</v>
      </c>
      <c r="Y133" s="38">
        <f>IF($Y132&lt;=0,0,ROUND($Y132-$X133-IF($Y132-$X133&lt;=0,0,IF(MOD($A133,Übersicht!$C$25)=0,MIN(Szenarien!$C$10,$Y132-$X133),0)),2))</f>
        <v>111359</v>
      </c>
      <c r="Z133" s="38">
        <f>IF($AB132&lt;=0,0,ROUND($AB132*Übersicht!$C$26,2))</f>
        <v>237.23</v>
      </c>
      <c r="AA133" s="38">
        <f>IF($AB132&lt;=0,0,MIN($AB132,IF(Übersicht!$C$14="Annuitätendarlehen",MAX(0,Übersicht!$C$28-$Z133),IF(Übersicht!$C$14="Ratendarlehen",Übersicht!$C$29,IF($A133&gt;=Übersicht!$C$30,$AB132,0)))))</f>
        <v>1002.3499999999999</v>
      </c>
      <c r="AB133" s="38">
        <f>IF($AB132&lt;=0,0,ROUND($AB132-$AA133-IF($AB132-$AA133&lt;=0,0,IF(MOD($A133,Übersicht!$C$25)=0,MIN(Szenarien!$C$11,$AB132-$AA133),0)),2))</f>
        <v>81513.95</v>
      </c>
      <c r="AC133" s="38">
        <f>IF($AE132&lt;=0,0,ROUND($AE132*Übersicht!$C$26,2))</f>
        <v>66.12</v>
      </c>
      <c r="AD133" s="38">
        <f>IF($AE132&lt;=0,0,MIN($AE132,IF(Übersicht!$C$14="Annuitätendarlehen",MAX(0,Übersicht!$C$28-$AC133),IF(Übersicht!$C$14="Ratendarlehen",Übersicht!$C$29,IF($A133&gt;=Übersicht!$C$30,$AE132,0)))))</f>
        <v>1173.46</v>
      </c>
      <c r="AE133" s="38">
        <f>IF($AE132&lt;=0,0,ROUND($AE132-$AD133-IF($AE132-$AD133&lt;=0,0,IF(MOD($A133,Übersicht!$C$25)=0,MIN(Szenarien!$C$12,$AE132-$AD133),0)),2))</f>
        <v>21823.84</v>
      </c>
    </row>
    <row r="134" spans="1:31" ht="15" customHeight="1" x14ac:dyDescent="0.25">
      <c r="A134" s="21">
        <v>127</v>
      </c>
      <c r="B134" s="36">
        <f>IF($D134&lt;=0,"",EDATE(Übersicht!$C$18,($A134-1)*12/Übersicht!$C$25))</f>
        <v>49887</v>
      </c>
      <c r="C134" s="21">
        <f t="shared" si="7"/>
        <v>2036</v>
      </c>
      <c r="D134" s="37">
        <f t="shared" si="11"/>
        <v>111359</v>
      </c>
      <c r="E134" s="23">
        <f t="shared" si="8"/>
        <v>1239.58</v>
      </c>
      <c r="F134" s="23">
        <f>IF($D134&lt;=0,0,ROUND($D134*Übersicht!$C$26,2))</f>
        <v>320.16000000000003</v>
      </c>
      <c r="G134" s="23">
        <f>IF($D134&lt;=0,0,MIN($D134,IF(Übersicht!$C$14="Annuitätendarlehen",MAX(0,Übersicht!$C$28-$F134),IF(Übersicht!$C$14="Ratendarlehen",Übersicht!$C$29,IF($A134&gt;=Übersicht!$C$30,$D134,0)))))</f>
        <v>919.41999999999985</v>
      </c>
      <c r="H134" s="23">
        <f>IF($D134-$G134&lt;=0,0,IF(MOD($A134,Übersicht!$C$25)=0,MIN(Übersicht!$C$31,$D134-$G134),0))</f>
        <v>0</v>
      </c>
      <c r="I134" s="23">
        <f t="shared" si="9"/>
        <v>1239.58</v>
      </c>
      <c r="J134" s="23">
        <f t="shared" si="10"/>
        <v>110439.58</v>
      </c>
      <c r="K134" s="23">
        <f t="shared" si="12"/>
        <v>67866.239999999991</v>
      </c>
      <c r="L134" s="23">
        <f t="shared" si="13"/>
        <v>139560.42000000001</v>
      </c>
      <c r="M134" s="24">
        <f>IF($D134&lt;=0,"",IF(Übersicht!$C$11=0,0,$L134/Übersicht!$C$11))</f>
        <v>0.55824168000000007</v>
      </c>
      <c r="N134" s="25" t="str">
        <f>IF($D134&lt;=0,"",IF($J134&lt;=0.005,"Volltilgung erreicht",IF($A134=Übersicht!$C$19*Übersicht!$C$25,"Ende der Zinsbindung",IF($H134&gt;0,"Sondertilgung verrechnet",""))))</f>
        <v/>
      </c>
      <c r="Q134" s="38">
        <f>IF($S133&lt;=0,0,ROUND($S133*Übersicht!$C$26,2))</f>
        <v>491.77</v>
      </c>
      <c r="R134" s="38">
        <f>IF($S133&lt;=0,0,MIN($S133,IF(Übersicht!$C$14="Annuitätendarlehen",MAX(0,Übersicht!$C$28-$Q134),IF(Übersicht!$C$14="Ratendarlehen",Übersicht!$C$29,IF($A134&gt;=Übersicht!$C$30,$S133,0)))))</f>
        <v>747.81</v>
      </c>
      <c r="S134" s="38">
        <f>IF($S133&lt;=0,0,ROUND($S133-$R134-IF($S133-$R134&lt;=0,0,IF(MOD($A134,Übersicht!$C$25)=0,MIN(Szenarien!$C$8,$S133-$R134),0)),2))</f>
        <v>170301.31</v>
      </c>
      <c r="T134" s="38">
        <f>IF($V133&lt;=0,0,ROUND($V133*Übersicht!$C$26,2))</f>
        <v>405.96</v>
      </c>
      <c r="U134" s="38">
        <f>IF($V133&lt;=0,0,MIN($V133,IF(Übersicht!$C$14="Annuitätendarlehen",MAX(0,Übersicht!$C$28-$T134),IF(Übersicht!$C$14="Ratendarlehen",Übersicht!$C$29,IF($A134&gt;=Übersicht!$C$30,$V133,0)))))</f>
        <v>833.61999999999989</v>
      </c>
      <c r="V134" s="38">
        <f>IF($V133&lt;=0,0,ROUND($V133-$U134-IF($V133-$U134&lt;=0,0,IF(MOD($A134,Übersicht!$C$25)=0,MIN(Szenarien!$C$9,$V133-$U134),0)),2))</f>
        <v>140370.5</v>
      </c>
      <c r="W134" s="38">
        <f>IF($Y133&lt;=0,0,ROUND($Y133*Übersicht!$C$26,2))</f>
        <v>320.16000000000003</v>
      </c>
      <c r="X134" s="38">
        <f>IF($Y133&lt;=0,0,MIN($Y133,IF(Übersicht!$C$14="Annuitätendarlehen",MAX(0,Übersicht!$C$28-$W134),IF(Übersicht!$C$14="Ratendarlehen",Übersicht!$C$29,IF($A134&gt;=Übersicht!$C$30,$Y133,0)))))</f>
        <v>919.41999999999985</v>
      </c>
      <c r="Y134" s="38">
        <f>IF($Y133&lt;=0,0,ROUND($Y133-$X134-IF($Y133-$X134&lt;=0,0,IF(MOD($A134,Übersicht!$C$25)=0,MIN(Szenarien!$C$10,$Y133-$X134),0)),2))</f>
        <v>110439.58</v>
      </c>
      <c r="Z134" s="38">
        <f>IF($AB133&lt;=0,0,ROUND($AB133*Übersicht!$C$26,2))</f>
        <v>234.35</v>
      </c>
      <c r="AA134" s="38">
        <f>IF($AB133&lt;=0,0,MIN($AB133,IF(Übersicht!$C$14="Annuitätendarlehen",MAX(0,Übersicht!$C$28-$Z134),IF(Übersicht!$C$14="Ratendarlehen",Übersicht!$C$29,IF($A134&gt;=Übersicht!$C$30,$AB133,0)))))</f>
        <v>1005.2299999999999</v>
      </c>
      <c r="AB134" s="38">
        <f>IF($AB133&lt;=0,0,ROUND($AB133-$AA134-IF($AB133-$AA134&lt;=0,0,IF(MOD($A134,Übersicht!$C$25)=0,MIN(Szenarien!$C$11,$AB133-$AA134),0)),2))</f>
        <v>80508.72</v>
      </c>
      <c r="AC134" s="38">
        <f>IF($AE133&lt;=0,0,ROUND($AE133*Übersicht!$C$26,2))</f>
        <v>62.74</v>
      </c>
      <c r="AD134" s="38">
        <f>IF($AE133&lt;=0,0,MIN($AE133,IF(Übersicht!$C$14="Annuitätendarlehen",MAX(0,Übersicht!$C$28-$AC134),IF(Übersicht!$C$14="Ratendarlehen",Übersicht!$C$29,IF($A134&gt;=Übersicht!$C$30,$AE133,0)))))</f>
        <v>1176.8399999999999</v>
      </c>
      <c r="AE134" s="38">
        <f>IF($AE133&lt;=0,0,ROUND($AE133-$AD134-IF($AE133-$AD134&lt;=0,0,IF(MOD($A134,Übersicht!$C$25)=0,MIN(Szenarien!$C$12,$AE133-$AD134),0)),2))</f>
        <v>20647</v>
      </c>
    </row>
    <row r="135" spans="1:31" ht="15" customHeight="1" x14ac:dyDescent="0.25">
      <c r="A135" s="26">
        <v>128</v>
      </c>
      <c r="B135" s="39">
        <f>IF($D135&lt;=0,"",EDATE(Übersicht!$C$18,($A135-1)*12/Übersicht!$C$25))</f>
        <v>49918</v>
      </c>
      <c r="C135" s="26">
        <f t="shared" si="7"/>
        <v>2036</v>
      </c>
      <c r="D135" s="40">
        <f t="shared" si="11"/>
        <v>110439.58</v>
      </c>
      <c r="E135" s="28">
        <f t="shared" si="8"/>
        <v>1239.58</v>
      </c>
      <c r="F135" s="28">
        <f>IF($D135&lt;=0,0,ROUND($D135*Übersicht!$C$26,2))</f>
        <v>317.51</v>
      </c>
      <c r="G135" s="28">
        <f>IF($D135&lt;=0,0,MIN($D135,IF(Übersicht!$C$14="Annuitätendarlehen",MAX(0,Übersicht!$C$28-$F135),IF(Übersicht!$C$14="Ratendarlehen",Übersicht!$C$29,IF($A135&gt;=Übersicht!$C$30,$D135,0)))))</f>
        <v>922.06999999999994</v>
      </c>
      <c r="H135" s="28">
        <f>IF($D135-$G135&lt;=0,0,IF(MOD($A135,Übersicht!$C$25)=0,MIN(Übersicht!$C$31,$D135-$G135),0))</f>
        <v>0</v>
      </c>
      <c r="I135" s="28">
        <f t="shared" si="9"/>
        <v>1239.58</v>
      </c>
      <c r="J135" s="28">
        <f t="shared" si="10"/>
        <v>109517.51</v>
      </c>
      <c r="K135" s="28">
        <f t="shared" si="12"/>
        <v>68183.749999999985</v>
      </c>
      <c r="L135" s="28">
        <f t="shared" si="13"/>
        <v>140482.49</v>
      </c>
      <c r="M135" s="29">
        <f>IF($D135&lt;=0,"",IF(Übersicht!$C$11=0,0,$L135/Übersicht!$C$11))</f>
        <v>0.56192995999999995</v>
      </c>
      <c r="N135" s="30" t="str">
        <f>IF($D135&lt;=0,"",IF($J135&lt;=0.005,"Volltilgung erreicht",IF($A135=Übersicht!$C$19*Übersicht!$C$25,"Ende der Zinsbindung",IF($H135&gt;0,"Sondertilgung verrechnet",""))))</f>
        <v/>
      </c>
      <c r="Q135" s="38">
        <f>IF($S134&lt;=0,0,ROUND($S134*Übersicht!$C$26,2))</f>
        <v>489.62</v>
      </c>
      <c r="R135" s="38">
        <f>IF($S134&lt;=0,0,MIN($S134,IF(Übersicht!$C$14="Annuitätendarlehen",MAX(0,Übersicht!$C$28-$Q135),IF(Übersicht!$C$14="Ratendarlehen",Übersicht!$C$29,IF($A135&gt;=Übersicht!$C$30,$S134,0)))))</f>
        <v>749.95999999999992</v>
      </c>
      <c r="S135" s="38">
        <f>IF($S134&lt;=0,0,ROUND($S134-$R135-IF($S134-$R135&lt;=0,0,IF(MOD($A135,Übersicht!$C$25)=0,MIN(Szenarien!$C$8,$S134-$R135),0)),2))</f>
        <v>169551.35</v>
      </c>
      <c r="T135" s="38">
        <f>IF($V134&lt;=0,0,ROUND($V134*Übersicht!$C$26,2))</f>
        <v>403.57</v>
      </c>
      <c r="U135" s="38">
        <f>IF($V134&lt;=0,0,MIN($V134,IF(Übersicht!$C$14="Annuitätendarlehen",MAX(0,Übersicht!$C$28-$T135),IF(Übersicht!$C$14="Ratendarlehen",Übersicht!$C$29,IF($A135&gt;=Übersicht!$C$30,$V134,0)))))</f>
        <v>836.01</v>
      </c>
      <c r="V135" s="38">
        <f>IF($V134&lt;=0,0,ROUND($V134-$U135-IF($V134-$U135&lt;=0,0,IF(MOD($A135,Übersicht!$C$25)=0,MIN(Szenarien!$C$9,$V134-$U135),0)),2))</f>
        <v>139534.49</v>
      </c>
      <c r="W135" s="38">
        <f>IF($Y134&lt;=0,0,ROUND($Y134*Übersicht!$C$26,2))</f>
        <v>317.51</v>
      </c>
      <c r="X135" s="38">
        <f>IF($Y134&lt;=0,0,MIN($Y134,IF(Übersicht!$C$14="Annuitätendarlehen",MAX(0,Übersicht!$C$28-$W135),IF(Übersicht!$C$14="Ratendarlehen",Übersicht!$C$29,IF($A135&gt;=Übersicht!$C$30,$Y134,0)))))</f>
        <v>922.06999999999994</v>
      </c>
      <c r="Y135" s="38">
        <f>IF($Y134&lt;=0,0,ROUND($Y134-$X135-IF($Y134-$X135&lt;=0,0,IF(MOD($A135,Übersicht!$C$25)=0,MIN(Szenarien!$C$10,$Y134-$X135),0)),2))</f>
        <v>109517.51</v>
      </c>
      <c r="Z135" s="38">
        <f>IF($AB134&lt;=0,0,ROUND($AB134*Übersicht!$C$26,2))</f>
        <v>231.46</v>
      </c>
      <c r="AA135" s="38">
        <f>IF($AB134&lt;=0,0,MIN($AB134,IF(Übersicht!$C$14="Annuitätendarlehen",MAX(0,Übersicht!$C$28-$Z135),IF(Übersicht!$C$14="Ratendarlehen",Übersicht!$C$29,IF($A135&gt;=Übersicht!$C$30,$AB134,0)))))</f>
        <v>1008.1199999999999</v>
      </c>
      <c r="AB135" s="38">
        <f>IF($AB134&lt;=0,0,ROUND($AB134-$AA135-IF($AB134-$AA135&lt;=0,0,IF(MOD($A135,Übersicht!$C$25)=0,MIN(Szenarien!$C$11,$AB134-$AA135),0)),2))</f>
        <v>79500.600000000006</v>
      </c>
      <c r="AC135" s="38">
        <f>IF($AE134&lt;=0,0,ROUND($AE134*Übersicht!$C$26,2))</f>
        <v>59.36</v>
      </c>
      <c r="AD135" s="38">
        <f>IF($AE134&lt;=0,0,MIN($AE134,IF(Übersicht!$C$14="Annuitätendarlehen",MAX(0,Übersicht!$C$28-$AC135),IF(Übersicht!$C$14="Ratendarlehen",Übersicht!$C$29,IF($A135&gt;=Übersicht!$C$30,$AE134,0)))))</f>
        <v>1180.22</v>
      </c>
      <c r="AE135" s="38">
        <f>IF($AE134&lt;=0,0,ROUND($AE134-$AD135-IF($AE134-$AD135&lt;=0,0,IF(MOD($A135,Übersicht!$C$25)=0,MIN(Szenarien!$C$12,$AE134-$AD135),0)),2))</f>
        <v>19466.78</v>
      </c>
    </row>
    <row r="136" spans="1:31" ht="15" customHeight="1" x14ac:dyDescent="0.25">
      <c r="A136" s="21">
        <v>129</v>
      </c>
      <c r="B136" s="36">
        <f>IF($D136&lt;=0,"",EDATE(Übersicht!$C$18,($A136-1)*12/Übersicht!$C$25))</f>
        <v>49948</v>
      </c>
      <c r="C136" s="21">
        <f t="shared" ref="C136:C199" si="14">IF($B136="","",YEAR($B136))</f>
        <v>2036</v>
      </c>
      <c r="D136" s="37">
        <f t="shared" si="11"/>
        <v>109517.51</v>
      </c>
      <c r="E136" s="23">
        <f t="shared" ref="E136:E199" si="15">IF($D136&lt;=0,0,$F136+$G136)</f>
        <v>1239.58</v>
      </c>
      <c r="F136" s="23">
        <f>IF($D136&lt;=0,0,ROUND($D136*Übersicht!$C$26,2))</f>
        <v>314.86</v>
      </c>
      <c r="G136" s="23">
        <f>IF($D136&lt;=0,0,MIN($D136,IF(Übersicht!$C$14="Annuitätendarlehen",MAX(0,Übersicht!$C$28-$F136),IF(Übersicht!$C$14="Ratendarlehen",Übersicht!$C$29,IF($A136&gt;=Übersicht!$C$30,$D136,0)))))</f>
        <v>924.71999999999991</v>
      </c>
      <c r="H136" s="23">
        <f>IF($D136-$G136&lt;=0,0,IF(MOD($A136,Übersicht!$C$25)=0,MIN(Übersicht!$C$31,$D136-$G136),0))</f>
        <v>0</v>
      </c>
      <c r="I136" s="23">
        <f t="shared" ref="I136:I199" si="16">IF($D136&lt;=0,0,$E136+$H136)</f>
        <v>1239.58</v>
      </c>
      <c r="J136" s="23">
        <f t="shared" ref="J136:J199" si="17">IF($D136&lt;=0,0,ROUND($D136-$G136-$H136,2))</f>
        <v>108592.79</v>
      </c>
      <c r="K136" s="23">
        <f t="shared" si="12"/>
        <v>68498.609999999986</v>
      </c>
      <c r="L136" s="23">
        <f t="shared" si="13"/>
        <v>141407.21</v>
      </c>
      <c r="M136" s="24">
        <f>IF($D136&lt;=0,"",IF(Übersicht!$C$11=0,0,$L136/Übersicht!$C$11))</f>
        <v>0.56562884000000002</v>
      </c>
      <c r="N136" s="25" t="str">
        <f>IF($D136&lt;=0,"",IF($J136&lt;=0.005,"Volltilgung erreicht",IF($A136=Übersicht!$C$19*Übersicht!$C$25,"Ende der Zinsbindung",IF($H136&gt;0,"Sondertilgung verrechnet",""))))</f>
        <v/>
      </c>
      <c r="Q136" s="38">
        <f>IF($S135&lt;=0,0,ROUND($S135*Übersicht!$C$26,2))</f>
        <v>487.46</v>
      </c>
      <c r="R136" s="38">
        <f>IF($S135&lt;=0,0,MIN($S135,IF(Übersicht!$C$14="Annuitätendarlehen",MAX(0,Übersicht!$C$28-$Q136),IF(Übersicht!$C$14="Ratendarlehen",Übersicht!$C$29,IF($A136&gt;=Übersicht!$C$30,$S135,0)))))</f>
        <v>752.11999999999989</v>
      </c>
      <c r="S136" s="38">
        <f>IF($S135&lt;=0,0,ROUND($S135-$R136-IF($S135-$R136&lt;=0,0,IF(MOD($A136,Übersicht!$C$25)=0,MIN(Szenarien!$C$8,$S135-$R136),0)),2))</f>
        <v>168799.23</v>
      </c>
      <c r="T136" s="38">
        <f>IF($V135&lt;=0,0,ROUND($V135*Übersicht!$C$26,2))</f>
        <v>401.16</v>
      </c>
      <c r="U136" s="38">
        <f>IF($V135&lt;=0,0,MIN($V135,IF(Übersicht!$C$14="Annuitätendarlehen",MAX(0,Übersicht!$C$28-$T136),IF(Übersicht!$C$14="Ratendarlehen",Übersicht!$C$29,IF($A136&gt;=Übersicht!$C$30,$V135,0)))))</f>
        <v>838.41999999999985</v>
      </c>
      <c r="V136" s="38">
        <f>IF($V135&lt;=0,0,ROUND($V135-$U136-IF($V135-$U136&lt;=0,0,IF(MOD($A136,Übersicht!$C$25)=0,MIN(Szenarien!$C$9,$V135-$U136),0)),2))</f>
        <v>138696.07</v>
      </c>
      <c r="W136" s="38">
        <f>IF($Y135&lt;=0,0,ROUND($Y135*Übersicht!$C$26,2))</f>
        <v>314.86</v>
      </c>
      <c r="X136" s="38">
        <f>IF($Y135&lt;=0,0,MIN($Y135,IF(Übersicht!$C$14="Annuitätendarlehen",MAX(0,Übersicht!$C$28-$W136),IF(Übersicht!$C$14="Ratendarlehen",Übersicht!$C$29,IF($A136&gt;=Übersicht!$C$30,$Y135,0)))))</f>
        <v>924.71999999999991</v>
      </c>
      <c r="Y136" s="38">
        <f>IF($Y135&lt;=0,0,ROUND($Y135-$X136-IF($Y135-$X136&lt;=0,0,IF(MOD($A136,Übersicht!$C$25)=0,MIN(Szenarien!$C$10,$Y135-$X136),0)),2))</f>
        <v>108592.79</v>
      </c>
      <c r="Z136" s="38">
        <f>IF($AB135&lt;=0,0,ROUND($AB135*Übersicht!$C$26,2))</f>
        <v>228.56</v>
      </c>
      <c r="AA136" s="38">
        <f>IF($AB135&lt;=0,0,MIN($AB135,IF(Übersicht!$C$14="Annuitätendarlehen",MAX(0,Übersicht!$C$28-$Z136),IF(Übersicht!$C$14="Ratendarlehen",Übersicht!$C$29,IF($A136&gt;=Übersicht!$C$30,$AB135,0)))))</f>
        <v>1011.02</v>
      </c>
      <c r="AB136" s="38">
        <f>IF($AB135&lt;=0,0,ROUND($AB135-$AA136-IF($AB135-$AA136&lt;=0,0,IF(MOD($A136,Übersicht!$C$25)=0,MIN(Szenarien!$C$11,$AB135-$AA136),0)),2))</f>
        <v>78489.58</v>
      </c>
      <c r="AC136" s="38">
        <f>IF($AE135&lt;=0,0,ROUND($AE135*Übersicht!$C$26,2))</f>
        <v>55.97</v>
      </c>
      <c r="AD136" s="38">
        <f>IF($AE135&lt;=0,0,MIN($AE135,IF(Übersicht!$C$14="Annuitätendarlehen",MAX(0,Übersicht!$C$28-$AC136),IF(Übersicht!$C$14="Ratendarlehen",Übersicht!$C$29,IF($A136&gt;=Übersicht!$C$30,$AE135,0)))))</f>
        <v>1183.6099999999999</v>
      </c>
      <c r="AE136" s="38">
        <f>IF($AE135&lt;=0,0,ROUND($AE135-$AD136-IF($AE135-$AD136&lt;=0,0,IF(MOD($A136,Übersicht!$C$25)=0,MIN(Szenarien!$C$12,$AE135-$AD136),0)),2))</f>
        <v>18283.169999999998</v>
      </c>
    </row>
    <row r="137" spans="1:31" ht="15" customHeight="1" x14ac:dyDescent="0.25">
      <c r="A137" s="26">
        <v>130</v>
      </c>
      <c r="B137" s="39">
        <f>IF($D137&lt;=0,"",EDATE(Übersicht!$C$18,($A137-1)*12/Übersicht!$C$25))</f>
        <v>49979</v>
      </c>
      <c r="C137" s="26">
        <f t="shared" si="14"/>
        <v>2036</v>
      </c>
      <c r="D137" s="40">
        <f t="shared" ref="D137:D200" si="18">$J136</f>
        <v>108592.79</v>
      </c>
      <c r="E137" s="28">
        <f t="shared" si="15"/>
        <v>1239.58</v>
      </c>
      <c r="F137" s="28">
        <f>IF($D137&lt;=0,0,ROUND($D137*Übersicht!$C$26,2))</f>
        <v>312.2</v>
      </c>
      <c r="G137" s="28">
        <f>IF($D137&lt;=0,0,MIN($D137,IF(Übersicht!$C$14="Annuitätendarlehen",MAX(0,Übersicht!$C$28-$F137),IF(Übersicht!$C$14="Ratendarlehen",Übersicht!$C$29,IF($A137&gt;=Übersicht!$C$30,$D137,0)))))</f>
        <v>927.37999999999988</v>
      </c>
      <c r="H137" s="28">
        <f>IF($D137-$G137&lt;=0,0,IF(MOD($A137,Übersicht!$C$25)=0,MIN(Übersicht!$C$31,$D137-$G137),0))</f>
        <v>0</v>
      </c>
      <c r="I137" s="28">
        <f t="shared" si="16"/>
        <v>1239.58</v>
      </c>
      <c r="J137" s="28">
        <f t="shared" si="17"/>
        <v>107665.41</v>
      </c>
      <c r="K137" s="28">
        <f t="shared" ref="K137:K200" si="19">$K136+$F137</f>
        <v>68810.809999999983</v>
      </c>
      <c r="L137" s="28">
        <f t="shared" ref="L137:L200" si="20">ROUND($L136+$G137+$H137,2)</f>
        <v>142334.59</v>
      </c>
      <c r="M137" s="29">
        <f>IF($D137&lt;=0,"",IF(Übersicht!$C$11=0,0,$L137/Übersicht!$C$11))</f>
        <v>0.56933835999999993</v>
      </c>
      <c r="N137" s="30" t="str">
        <f>IF($D137&lt;=0,"",IF($J137&lt;=0.005,"Volltilgung erreicht",IF($A137=Übersicht!$C$19*Übersicht!$C$25,"Ende der Zinsbindung",IF($H137&gt;0,"Sondertilgung verrechnet",""))))</f>
        <v/>
      </c>
      <c r="Q137" s="38">
        <f>IF($S136&lt;=0,0,ROUND($S136*Übersicht!$C$26,2))</f>
        <v>485.3</v>
      </c>
      <c r="R137" s="38">
        <f>IF($S136&lt;=0,0,MIN($S136,IF(Übersicht!$C$14="Annuitätendarlehen",MAX(0,Übersicht!$C$28-$Q137),IF(Übersicht!$C$14="Ratendarlehen",Übersicht!$C$29,IF($A137&gt;=Übersicht!$C$30,$S136,0)))))</f>
        <v>754.28</v>
      </c>
      <c r="S137" s="38">
        <f>IF($S136&lt;=0,0,ROUND($S136-$R137-IF($S136-$R137&lt;=0,0,IF(MOD($A137,Übersicht!$C$25)=0,MIN(Szenarien!$C$8,$S136-$R137),0)),2))</f>
        <v>168044.95</v>
      </c>
      <c r="T137" s="38">
        <f>IF($V136&lt;=0,0,ROUND($V136*Übersicht!$C$26,2))</f>
        <v>398.75</v>
      </c>
      <c r="U137" s="38">
        <f>IF($V136&lt;=0,0,MIN($V136,IF(Übersicht!$C$14="Annuitätendarlehen",MAX(0,Übersicht!$C$28-$T137),IF(Übersicht!$C$14="Ratendarlehen",Übersicht!$C$29,IF($A137&gt;=Übersicht!$C$30,$V136,0)))))</f>
        <v>840.82999999999993</v>
      </c>
      <c r="V137" s="38">
        <f>IF($V136&lt;=0,0,ROUND($V136-$U137-IF($V136-$U137&lt;=0,0,IF(MOD($A137,Übersicht!$C$25)=0,MIN(Szenarien!$C$9,$V136-$U137),0)),2))</f>
        <v>137855.24</v>
      </c>
      <c r="W137" s="38">
        <f>IF($Y136&lt;=0,0,ROUND($Y136*Übersicht!$C$26,2))</f>
        <v>312.2</v>
      </c>
      <c r="X137" s="38">
        <f>IF($Y136&lt;=0,0,MIN($Y136,IF(Übersicht!$C$14="Annuitätendarlehen",MAX(0,Übersicht!$C$28-$W137),IF(Übersicht!$C$14="Ratendarlehen",Übersicht!$C$29,IF($A137&gt;=Übersicht!$C$30,$Y136,0)))))</f>
        <v>927.37999999999988</v>
      </c>
      <c r="Y137" s="38">
        <f>IF($Y136&lt;=0,0,ROUND($Y136-$X137-IF($Y136-$X137&lt;=0,0,IF(MOD($A137,Übersicht!$C$25)=0,MIN(Szenarien!$C$10,$Y136-$X137),0)),2))</f>
        <v>107665.41</v>
      </c>
      <c r="Z137" s="38">
        <f>IF($AB136&lt;=0,0,ROUND($AB136*Übersicht!$C$26,2))</f>
        <v>225.66</v>
      </c>
      <c r="AA137" s="38">
        <f>IF($AB136&lt;=0,0,MIN($AB136,IF(Übersicht!$C$14="Annuitätendarlehen",MAX(0,Übersicht!$C$28-$Z137),IF(Übersicht!$C$14="Ratendarlehen",Übersicht!$C$29,IF($A137&gt;=Übersicht!$C$30,$AB136,0)))))</f>
        <v>1013.92</v>
      </c>
      <c r="AB137" s="38">
        <f>IF($AB136&lt;=0,0,ROUND($AB136-$AA137-IF($AB136-$AA137&lt;=0,0,IF(MOD($A137,Übersicht!$C$25)=0,MIN(Szenarien!$C$11,$AB136-$AA137),0)),2))</f>
        <v>77475.66</v>
      </c>
      <c r="AC137" s="38">
        <f>IF($AE136&lt;=0,0,ROUND($AE136*Übersicht!$C$26,2))</f>
        <v>52.56</v>
      </c>
      <c r="AD137" s="38">
        <f>IF($AE136&lt;=0,0,MIN($AE136,IF(Übersicht!$C$14="Annuitätendarlehen",MAX(0,Übersicht!$C$28-$AC137),IF(Übersicht!$C$14="Ratendarlehen",Übersicht!$C$29,IF($A137&gt;=Übersicht!$C$30,$AE136,0)))))</f>
        <v>1187.02</v>
      </c>
      <c r="AE137" s="38">
        <f>IF($AE136&lt;=0,0,ROUND($AE136-$AD137-IF($AE136-$AD137&lt;=0,0,IF(MOD($A137,Übersicht!$C$25)=0,MIN(Szenarien!$C$12,$AE136-$AD137),0)),2))</f>
        <v>17096.150000000001</v>
      </c>
    </row>
    <row r="138" spans="1:31" ht="15" customHeight="1" x14ac:dyDescent="0.25">
      <c r="A138" s="21">
        <v>131</v>
      </c>
      <c r="B138" s="36">
        <f>IF($D138&lt;=0,"",EDATE(Übersicht!$C$18,($A138-1)*12/Übersicht!$C$25))</f>
        <v>50009</v>
      </c>
      <c r="C138" s="21">
        <f t="shared" si="14"/>
        <v>2036</v>
      </c>
      <c r="D138" s="37">
        <f t="shared" si="18"/>
        <v>107665.41</v>
      </c>
      <c r="E138" s="23">
        <f t="shared" si="15"/>
        <v>1239.58</v>
      </c>
      <c r="F138" s="23">
        <f>IF($D138&lt;=0,0,ROUND($D138*Übersicht!$C$26,2))</f>
        <v>309.54000000000002</v>
      </c>
      <c r="G138" s="23">
        <f>IF($D138&lt;=0,0,MIN($D138,IF(Übersicht!$C$14="Annuitätendarlehen",MAX(0,Übersicht!$C$28-$F138),IF(Übersicht!$C$14="Ratendarlehen",Übersicht!$C$29,IF($A138&gt;=Übersicht!$C$30,$D138,0)))))</f>
        <v>930.04</v>
      </c>
      <c r="H138" s="23">
        <f>IF($D138-$G138&lt;=0,0,IF(MOD($A138,Übersicht!$C$25)=0,MIN(Übersicht!$C$31,$D138-$G138),0))</f>
        <v>0</v>
      </c>
      <c r="I138" s="23">
        <f t="shared" si="16"/>
        <v>1239.58</v>
      </c>
      <c r="J138" s="23">
        <f t="shared" si="17"/>
        <v>106735.37</v>
      </c>
      <c r="K138" s="23">
        <f t="shared" si="19"/>
        <v>69120.349999999977</v>
      </c>
      <c r="L138" s="23">
        <f t="shared" si="20"/>
        <v>143264.63</v>
      </c>
      <c r="M138" s="24">
        <f>IF($D138&lt;=0,"",IF(Übersicht!$C$11=0,0,$L138/Übersicht!$C$11))</f>
        <v>0.57305852000000002</v>
      </c>
      <c r="N138" s="25" t="str">
        <f>IF($D138&lt;=0,"",IF($J138&lt;=0.005,"Volltilgung erreicht",IF($A138=Übersicht!$C$19*Übersicht!$C$25,"Ende der Zinsbindung",IF($H138&gt;0,"Sondertilgung verrechnet",""))))</f>
        <v/>
      </c>
      <c r="Q138" s="38">
        <f>IF($S137&lt;=0,0,ROUND($S137*Übersicht!$C$26,2))</f>
        <v>483.13</v>
      </c>
      <c r="R138" s="38">
        <f>IF($S137&lt;=0,0,MIN($S137,IF(Übersicht!$C$14="Annuitätendarlehen",MAX(0,Übersicht!$C$28-$Q138),IF(Übersicht!$C$14="Ratendarlehen",Übersicht!$C$29,IF($A138&gt;=Übersicht!$C$30,$S137,0)))))</f>
        <v>756.44999999999993</v>
      </c>
      <c r="S138" s="38">
        <f>IF($S137&lt;=0,0,ROUND($S137-$R138-IF($S137-$R138&lt;=0,0,IF(MOD($A138,Übersicht!$C$25)=0,MIN(Szenarien!$C$8,$S137-$R138),0)),2))</f>
        <v>167288.5</v>
      </c>
      <c r="T138" s="38">
        <f>IF($V137&lt;=0,0,ROUND($V137*Übersicht!$C$26,2))</f>
        <v>396.33</v>
      </c>
      <c r="U138" s="38">
        <f>IF($V137&lt;=0,0,MIN($V137,IF(Übersicht!$C$14="Annuitätendarlehen",MAX(0,Übersicht!$C$28-$T138),IF(Übersicht!$C$14="Ratendarlehen",Übersicht!$C$29,IF($A138&gt;=Übersicht!$C$30,$V137,0)))))</f>
        <v>843.25</v>
      </c>
      <c r="V138" s="38">
        <f>IF($V137&lt;=0,0,ROUND($V137-$U138-IF($V137-$U138&lt;=0,0,IF(MOD($A138,Übersicht!$C$25)=0,MIN(Szenarien!$C$9,$V137-$U138),0)),2))</f>
        <v>137011.99</v>
      </c>
      <c r="W138" s="38">
        <f>IF($Y137&lt;=0,0,ROUND($Y137*Übersicht!$C$26,2))</f>
        <v>309.54000000000002</v>
      </c>
      <c r="X138" s="38">
        <f>IF($Y137&lt;=0,0,MIN($Y137,IF(Übersicht!$C$14="Annuitätendarlehen",MAX(0,Übersicht!$C$28-$W138),IF(Übersicht!$C$14="Ratendarlehen",Übersicht!$C$29,IF($A138&gt;=Übersicht!$C$30,$Y137,0)))))</f>
        <v>930.04</v>
      </c>
      <c r="Y138" s="38">
        <f>IF($Y137&lt;=0,0,ROUND($Y137-$X138-IF($Y137-$X138&lt;=0,0,IF(MOD($A138,Übersicht!$C$25)=0,MIN(Szenarien!$C$10,$Y137-$X138),0)),2))</f>
        <v>106735.37</v>
      </c>
      <c r="Z138" s="38">
        <f>IF($AB137&lt;=0,0,ROUND($AB137*Übersicht!$C$26,2))</f>
        <v>222.74</v>
      </c>
      <c r="AA138" s="38">
        <f>IF($AB137&lt;=0,0,MIN($AB137,IF(Übersicht!$C$14="Annuitätendarlehen",MAX(0,Übersicht!$C$28-$Z138),IF(Übersicht!$C$14="Ratendarlehen",Übersicht!$C$29,IF($A138&gt;=Übersicht!$C$30,$AB137,0)))))</f>
        <v>1016.8399999999999</v>
      </c>
      <c r="AB138" s="38">
        <f>IF($AB137&lt;=0,0,ROUND($AB137-$AA138-IF($AB137-$AA138&lt;=0,0,IF(MOD($A138,Übersicht!$C$25)=0,MIN(Szenarien!$C$11,$AB137-$AA138),0)),2))</f>
        <v>76458.820000000007</v>
      </c>
      <c r="AC138" s="38">
        <f>IF($AE137&lt;=0,0,ROUND($AE137*Übersicht!$C$26,2))</f>
        <v>49.15</v>
      </c>
      <c r="AD138" s="38">
        <f>IF($AE137&lt;=0,0,MIN($AE137,IF(Übersicht!$C$14="Annuitätendarlehen",MAX(0,Übersicht!$C$28-$AC138),IF(Übersicht!$C$14="Ratendarlehen",Übersicht!$C$29,IF($A138&gt;=Übersicht!$C$30,$AE137,0)))))</f>
        <v>1190.4299999999998</v>
      </c>
      <c r="AE138" s="38">
        <f>IF($AE137&lt;=0,0,ROUND($AE137-$AD138-IF($AE137-$AD138&lt;=0,0,IF(MOD($A138,Übersicht!$C$25)=0,MIN(Szenarien!$C$12,$AE137-$AD138),0)),2))</f>
        <v>15905.72</v>
      </c>
    </row>
    <row r="139" spans="1:31" ht="15" customHeight="1" x14ac:dyDescent="0.25">
      <c r="A139" s="26">
        <v>132</v>
      </c>
      <c r="B139" s="39">
        <f>IF($D139&lt;=0,"",EDATE(Übersicht!$C$18,($A139-1)*12/Übersicht!$C$25))</f>
        <v>50040</v>
      </c>
      <c r="C139" s="26">
        <f t="shared" si="14"/>
        <v>2036</v>
      </c>
      <c r="D139" s="40">
        <f t="shared" si="18"/>
        <v>106735.37</v>
      </c>
      <c r="E139" s="28">
        <f t="shared" si="15"/>
        <v>1239.58</v>
      </c>
      <c r="F139" s="28">
        <f>IF($D139&lt;=0,0,ROUND($D139*Übersicht!$C$26,2))</f>
        <v>306.86</v>
      </c>
      <c r="G139" s="28">
        <f>IF($D139&lt;=0,0,MIN($D139,IF(Übersicht!$C$14="Annuitätendarlehen",MAX(0,Übersicht!$C$28-$F139),IF(Übersicht!$C$14="Ratendarlehen",Übersicht!$C$29,IF($A139&gt;=Übersicht!$C$30,$D139,0)))))</f>
        <v>932.71999999999991</v>
      </c>
      <c r="H139" s="28">
        <f>IF($D139-$G139&lt;=0,0,IF(MOD($A139,Übersicht!$C$25)=0,MIN(Übersicht!$C$31,$D139-$G139),0))</f>
        <v>5000</v>
      </c>
      <c r="I139" s="28">
        <f t="shared" si="16"/>
        <v>6239.58</v>
      </c>
      <c r="J139" s="28">
        <f t="shared" si="17"/>
        <v>100802.65</v>
      </c>
      <c r="K139" s="28">
        <f t="shared" si="19"/>
        <v>69427.209999999977</v>
      </c>
      <c r="L139" s="28">
        <f t="shared" si="20"/>
        <v>149197.35</v>
      </c>
      <c r="M139" s="29">
        <f>IF($D139&lt;=0,"",IF(Übersicht!$C$11=0,0,$L139/Übersicht!$C$11))</f>
        <v>0.59678940000000003</v>
      </c>
      <c r="N139" s="30" t="str">
        <f>IF($D139&lt;=0,"",IF($J139&lt;=0.005,"Volltilgung erreicht",IF($A139=Übersicht!$C$19*Übersicht!$C$25,"Ende der Zinsbindung",IF($H139&gt;0,"Sondertilgung verrechnet",""))))</f>
        <v>Sondertilgung verrechnet</v>
      </c>
      <c r="Q139" s="38">
        <f>IF($S138&lt;=0,0,ROUND($S138*Übersicht!$C$26,2))</f>
        <v>480.95</v>
      </c>
      <c r="R139" s="38">
        <f>IF($S138&lt;=0,0,MIN($S138,IF(Übersicht!$C$14="Annuitätendarlehen",MAX(0,Übersicht!$C$28-$Q139),IF(Übersicht!$C$14="Ratendarlehen",Übersicht!$C$29,IF($A139&gt;=Übersicht!$C$30,$S138,0)))))</f>
        <v>758.62999999999988</v>
      </c>
      <c r="S139" s="38">
        <f>IF($S138&lt;=0,0,ROUND($S138-$R139-IF($S138-$R139&lt;=0,0,IF(MOD($A139,Übersicht!$C$25)=0,MIN(Szenarien!$C$8,$S138-$R139),0)),2))</f>
        <v>166529.87</v>
      </c>
      <c r="T139" s="38">
        <f>IF($V138&lt;=0,0,ROUND($V138*Übersicht!$C$26,2))</f>
        <v>393.91</v>
      </c>
      <c r="U139" s="38">
        <f>IF($V138&lt;=0,0,MIN($V138,IF(Übersicht!$C$14="Annuitätendarlehen",MAX(0,Übersicht!$C$28-$T139),IF(Übersicht!$C$14="Ratendarlehen",Übersicht!$C$29,IF($A139&gt;=Übersicht!$C$30,$V138,0)))))</f>
        <v>845.66999999999985</v>
      </c>
      <c r="V139" s="38">
        <f>IF($V138&lt;=0,0,ROUND($V138-$U139-IF($V138-$U139&lt;=0,0,IF(MOD($A139,Übersicht!$C$25)=0,MIN(Szenarien!$C$9,$V138-$U139),0)),2))</f>
        <v>133666.32</v>
      </c>
      <c r="W139" s="38">
        <f>IF($Y138&lt;=0,0,ROUND($Y138*Übersicht!$C$26,2))</f>
        <v>306.86</v>
      </c>
      <c r="X139" s="38">
        <f>IF($Y138&lt;=0,0,MIN($Y138,IF(Übersicht!$C$14="Annuitätendarlehen",MAX(0,Übersicht!$C$28-$W139),IF(Übersicht!$C$14="Ratendarlehen",Übersicht!$C$29,IF($A139&gt;=Übersicht!$C$30,$Y138,0)))))</f>
        <v>932.71999999999991</v>
      </c>
      <c r="Y139" s="38">
        <f>IF($Y138&lt;=0,0,ROUND($Y138-$X139-IF($Y138-$X139&lt;=0,0,IF(MOD($A139,Übersicht!$C$25)=0,MIN(Szenarien!$C$10,$Y138-$X139),0)),2))</f>
        <v>100802.65</v>
      </c>
      <c r="Z139" s="38">
        <f>IF($AB138&lt;=0,0,ROUND($AB138*Übersicht!$C$26,2))</f>
        <v>219.82</v>
      </c>
      <c r="AA139" s="38">
        <f>IF($AB138&lt;=0,0,MIN($AB138,IF(Übersicht!$C$14="Annuitätendarlehen",MAX(0,Übersicht!$C$28-$Z139),IF(Übersicht!$C$14="Ratendarlehen",Übersicht!$C$29,IF($A139&gt;=Übersicht!$C$30,$AB138,0)))))</f>
        <v>1019.76</v>
      </c>
      <c r="AB139" s="38">
        <f>IF($AB138&lt;=0,0,ROUND($AB138-$AA139-IF($AB138-$AA139&lt;=0,0,IF(MOD($A139,Übersicht!$C$25)=0,MIN(Szenarien!$C$11,$AB138-$AA139),0)),2))</f>
        <v>67939.06</v>
      </c>
      <c r="AC139" s="38">
        <f>IF($AE138&lt;=0,0,ROUND($AE138*Übersicht!$C$26,2))</f>
        <v>45.73</v>
      </c>
      <c r="AD139" s="38">
        <f>IF($AE138&lt;=0,0,MIN($AE138,IF(Übersicht!$C$14="Annuitätendarlehen",MAX(0,Übersicht!$C$28-$AC139),IF(Übersicht!$C$14="Ratendarlehen",Übersicht!$C$29,IF($A139&gt;=Übersicht!$C$30,$AE138,0)))))</f>
        <v>1193.8499999999999</v>
      </c>
      <c r="AE139" s="38">
        <f>IF($AE138&lt;=0,0,ROUND($AE138-$AD139-IF($AE138-$AD139&lt;=0,0,IF(MOD($A139,Übersicht!$C$25)=0,MIN(Szenarien!$C$12,$AE138-$AD139),0)),2))</f>
        <v>2211.87</v>
      </c>
    </row>
    <row r="140" spans="1:31" ht="15" customHeight="1" x14ac:dyDescent="0.25">
      <c r="A140" s="21">
        <v>133</v>
      </c>
      <c r="B140" s="36">
        <f>IF($D140&lt;=0,"",EDATE(Übersicht!$C$18,($A140-1)*12/Übersicht!$C$25))</f>
        <v>50071</v>
      </c>
      <c r="C140" s="21">
        <f t="shared" si="14"/>
        <v>2037</v>
      </c>
      <c r="D140" s="37">
        <f t="shared" si="18"/>
        <v>100802.65</v>
      </c>
      <c r="E140" s="23">
        <f t="shared" si="15"/>
        <v>1239.58</v>
      </c>
      <c r="F140" s="23">
        <f>IF($D140&lt;=0,0,ROUND($D140*Übersicht!$C$26,2))</f>
        <v>289.81</v>
      </c>
      <c r="G140" s="23">
        <f>IF($D140&lt;=0,0,MIN($D140,IF(Übersicht!$C$14="Annuitätendarlehen",MAX(0,Übersicht!$C$28-$F140),IF(Übersicht!$C$14="Ratendarlehen",Übersicht!$C$29,IF($A140&gt;=Übersicht!$C$30,$D140,0)))))</f>
        <v>949.77</v>
      </c>
      <c r="H140" s="23">
        <f>IF($D140-$G140&lt;=0,0,IF(MOD($A140,Übersicht!$C$25)=0,MIN(Übersicht!$C$31,$D140-$G140),0))</f>
        <v>0</v>
      </c>
      <c r="I140" s="23">
        <f t="shared" si="16"/>
        <v>1239.58</v>
      </c>
      <c r="J140" s="23">
        <f t="shared" si="17"/>
        <v>99852.88</v>
      </c>
      <c r="K140" s="23">
        <f t="shared" si="19"/>
        <v>69717.019999999975</v>
      </c>
      <c r="L140" s="23">
        <f t="shared" si="20"/>
        <v>150147.12</v>
      </c>
      <c r="M140" s="24">
        <f>IF($D140&lt;=0,"",IF(Übersicht!$C$11=0,0,$L140/Übersicht!$C$11))</f>
        <v>0.60058847999999998</v>
      </c>
      <c r="N140" s="25" t="str">
        <f>IF($D140&lt;=0,"",IF($J140&lt;=0.005,"Volltilgung erreicht",IF($A140=Übersicht!$C$19*Übersicht!$C$25,"Ende der Zinsbindung",IF($H140&gt;0,"Sondertilgung verrechnet",""))))</f>
        <v/>
      </c>
      <c r="Q140" s="38">
        <f>IF($S139&lt;=0,0,ROUND($S139*Übersicht!$C$26,2))</f>
        <v>478.77</v>
      </c>
      <c r="R140" s="38">
        <f>IF($S139&lt;=0,0,MIN($S139,IF(Übersicht!$C$14="Annuitätendarlehen",MAX(0,Übersicht!$C$28-$Q140),IF(Übersicht!$C$14="Ratendarlehen",Übersicht!$C$29,IF($A140&gt;=Übersicht!$C$30,$S139,0)))))</f>
        <v>760.81</v>
      </c>
      <c r="S140" s="38">
        <f>IF($S139&lt;=0,0,ROUND($S139-$R140-IF($S139-$R140&lt;=0,0,IF(MOD($A140,Übersicht!$C$25)=0,MIN(Szenarien!$C$8,$S139-$R140),0)),2))</f>
        <v>165769.06</v>
      </c>
      <c r="T140" s="38">
        <f>IF($V139&lt;=0,0,ROUND($V139*Übersicht!$C$26,2))</f>
        <v>384.29</v>
      </c>
      <c r="U140" s="38">
        <f>IF($V139&lt;=0,0,MIN($V139,IF(Übersicht!$C$14="Annuitätendarlehen",MAX(0,Übersicht!$C$28-$T140),IF(Übersicht!$C$14="Ratendarlehen",Übersicht!$C$29,IF($A140&gt;=Übersicht!$C$30,$V139,0)))))</f>
        <v>855.29</v>
      </c>
      <c r="V140" s="38">
        <f>IF($V139&lt;=0,0,ROUND($V139-$U140-IF($V139-$U140&lt;=0,0,IF(MOD($A140,Übersicht!$C$25)=0,MIN(Szenarien!$C$9,$V139-$U140),0)),2))</f>
        <v>132811.03</v>
      </c>
      <c r="W140" s="38">
        <f>IF($Y139&lt;=0,0,ROUND($Y139*Übersicht!$C$26,2))</f>
        <v>289.81</v>
      </c>
      <c r="X140" s="38">
        <f>IF($Y139&lt;=0,0,MIN($Y139,IF(Übersicht!$C$14="Annuitätendarlehen",MAX(0,Übersicht!$C$28-$W140),IF(Übersicht!$C$14="Ratendarlehen",Übersicht!$C$29,IF($A140&gt;=Übersicht!$C$30,$Y139,0)))))</f>
        <v>949.77</v>
      </c>
      <c r="Y140" s="38">
        <f>IF($Y139&lt;=0,0,ROUND($Y139-$X140-IF($Y139-$X140&lt;=0,0,IF(MOD($A140,Übersicht!$C$25)=0,MIN(Szenarien!$C$10,$Y139-$X140),0)),2))</f>
        <v>99852.88</v>
      </c>
      <c r="Z140" s="38">
        <f>IF($AB139&lt;=0,0,ROUND($AB139*Übersicht!$C$26,2))</f>
        <v>195.32</v>
      </c>
      <c r="AA140" s="38">
        <f>IF($AB139&lt;=0,0,MIN($AB139,IF(Übersicht!$C$14="Annuitätendarlehen",MAX(0,Übersicht!$C$28-$Z140),IF(Übersicht!$C$14="Ratendarlehen",Übersicht!$C$29,IF($A140&gt;=Übersicht!$C$30,$AB139,0)))))</f>
        <v>1044.26</v>
      </c>
      <c r="AB140" s="38">
        <f>IF($AB139&lt;=0,0,ROUND($AB139-$AA140-IF($AB139-$AA140&lt;=0,0,IF(MOD($A140,Übersicht!$C$25)=0,MIN(Szenarien!$C$11,$AB139-$AA140),0)),2))</f>
        <v>66894.8</v>
      </c>
      <c r="AC140" s="38">
        <f>IF($AE139&lt;=0,0,ROUND($AE139*Übersicht!$C$26,2))</f>
        <v>6.36</v>
      </c>
      <c r="AD140" s="38">
        <f>IF($AE139&lt;=0,0,MIN($AE139,IF(Übersicht!$C$14="Annuitätendarlehen",MAX(0,Übersicht!$C$28-$AC140),IF(Übersicht!$C$14="Ratendarlehen",Übersicht!$C$29,IF($A140&gt;=Übersicht!$C$30,$AE139,0)))))</f>
        <v>1233.22</v>
      </c>
      <c r="AE140" s="38">
        <f>IF($AE139&lt;=0,0,ROUND($AE139-$AD140-IF($AE139-$AD140&lt;=0,0,IF(MOD($A140,Übersicht!$C$25)=0,MIN(Szenarien!$C$12,$AE139-$AD140),0)),2))</f>
        <v>978.65</v>
      </c>
    </row>
    <row r="141" spans="1:31" ht="15" customHeight="1" x14ac:dyDescent="0.25">
      <c r="A141" s="26">
        <v>134</v>
      </c>
      <c r="B141" s="39">
        <f>IF($D141&lt;=0,"",EDATE(Übersicht!$C$18,($A141-1)*12/Übersicht!$C$25))</f>
        <v>50099</v>
      </c>
      <c r="C141" s="26">
        <f t="shared" si="14"/>
        <v>2037</v>
      </c>
      <c r="D141" s="40">
        <f t="shared" si="18"/>
        <v>99852.88</v>
      </c>
      <c r="E141" s="28">
        <f t="shared" si="15"/>
        <v>1239.58</v>
      </c>
      <c r="F141" s="28">
        <f>IF($D141&lt;=0,0,ROUND($D141*Übersicht!$C$26,2))</f>
        <v>287.08</v>
      </c>
      <c r="G141" s="28">
        <f>IF($D141&lt;=0,0,MIN($D141,IF(Übersicht!$C$14="Annuitätendarlehen",MAX(0,Übersicht!$C$28-$F141),IF(Übersicht!$C$14="Ratendarlehen",Übersicht!$C$29,IF($A141&gt;=Übersicht!$C$30,$D141,0)))))</f>
        <v>952.5</v>
      </c>
      <c r="H141" s="28">
        <f>IF($D141-$G141&lt;=0,0,IF(MOD($A141,Übersicht!$C$25)=0,MIN(Übersicht!$C$31,$D141-$G141),0))</f>
        <v>0</v>
      </c>
      <c r="I141" s="28">
        <f t="shared" si="16"/>
        <v>1239.58</v>
      </c>
      <c r="J141" s="28">
        <f t="shared" si="17"/>
        <v>98900.38</v>
      </c>
      <c r="K141" s="28">
        <f t="shared" si="19"/>
        <v>70004.099999999977</v>
      </c>
      <c r="L141" s="28">
        <f t="shared" si="20"/>
        <v>151099.62</v>
      </c>
      <c r="M141" s="29">
        <f>IF($D141&lt;=0,"",IF(Übersicht!$C$11=0,0,$L141/Übersicht!$C$11))</f>
        <v>0.60439847999999996</v>
      </c>
      <c r="N141" s="30" t="str">
        <f>IF($D141&lt;=0,"",IF($J141&lt;=0.005,"Volltilgung erreicht",IF($A141=Übersicht!$C$19*Übersicht!$C$25,"Ende der Zinsbindung",IF($H141&gt;0,"Sondertilgung verrechnet",""))))</f>
        <v/>
      </c>
      <c r="Q141" s="38">
        <f>IF($S140&lt;=0,0,ROUND($S140*Übersicht!$C$26,2))</f>
        <v>476.59</v>
      </c>
      <c r="R141" s="38">
        <f>IF($S140&lt;=0,0,MIN($S140,IF(Übersicht!$C$14="Annuitätendarlehen",MAX(0,Übersicht!$C$28-$Q141),IF(Übersicht!$C$14="Ratendarlehen",Übersicht!$C$29,IF($A141&gt;=Übersicht!$C$30,$S140,0)))))</f>
        <v>762.99</v>
      </c>
      <c r="S141" s="38">
        <f>IF($S140&lt;=0,0,ROUND($S140-$R141-IF($S140-$R141&lt;=0,0,IF(MOD($A141,Übersicht!$C$25)=0,MIN(Szenarien!$C$8,$S140-$R141),0)),2))</f>
        <v>165006.07</v>
      </c>
      <c r="T141" s="38">
        <f>IF($V140&lt;=0,0,ROUND($V140*Übersicht!$C$26,2))</f>
        <v>381.83</v>
      </c>
      <c r="U141" s="38">
        <f>IF($V140&lt;=0,0,MIN($V140,IF(Übersicht!$C$14="Annuitätendarlehen",MAX(0,Übersicht!$C$28-$T141),IF(Übersicht!$C$14="Ratendarlehen",Übersicht!$C$29,IF($A141&gt;=Übersicht!$C$30,$V140,0)))))</f>
        <v>857.75</v>
      </c>
      <c r="V141" s="38">
        <f>IF($V140&lt;=0,0,ROUND($V140-$U141-IF($V140-$U141&lt;=0,0,IF(MOD($A141,Übersicht!$C$25)=0,MIN(Szenarien!$C$9,$V140-$U141),0)),2))</f>
        <v>131953.28</v>
      </c>
      <c r="W141" s="38">
        <f>IF($Y140&lt;=0,0,ROUND($Y140*Übersicht!$C$26,2))</f>
        <v>287.08</v>
      </c>
      <c r="X141" s="38">
        <f>IF($Y140&lt;=0,0,MIN($Y140,IF(Übersicht!$C$14="Annuitätendarlehen",MAX(0,Übersicht!$C$28-$W141),IF(Übersicht!$C$14="Ratendarlehen",Übersicht!$C$29,IF($A141&gt;=Übersicht!$C$30,$Y140,0)))))</f>
        <v>952.5</v>
      </c>
      <c r="Y141" s="38">
        <f>IF($Y140&lt;=0,0,ROUND($Y140-$X141-IF($Y140-$X141&lt;=0,0,IF(MOD($A141,Übersicht!$C$25)=0,MIN(Szenarien!$C$10,$Y140-$X141),0)),2))</f>
        <v>98900.38</v>
      </c>
      <c r="Z141" s="38">
        <f>IF($AB140&lt;=0,0,ROUND($AB140*Übersicht!$C$26,2))</f>
        <v>192.32</v>
      </c>
      <c r="AA141" s="38">
        <f>IF($AB140&lt;=0,0,MIN($AB140,IF(Übersicht!$C$14="Annuitätendarlehen",MAX(0,Übersicht!$C$28-$Z141),IF(Übersicht!$C$14="Ratendarlehen",Übersicht!$C$29,IF($A141&gt;=Übersicht!$C$30,$AB140,0)))))</f>
        <v>1047.26</v>
      </c>
      <c r="AB141" s="38">
        <f>IF($AB140&lt;=0,0,ROUND($AB140-$AA141-IF($AB140-$AA141&lt;=0,0,IF(MOD($A141,Übersicht!$C$25)=0,MIN(Szenarien!$C$11,$AB140-$AA141),0)),2))</f>
        <v>65847.539999999994</v>
      </c>
      <c r="AC141" s="38">
        <f>IF($AE140&lt;=0,0,ROUND($AE140*Übersicht!$C$26,2))</f>
        <v>2.81</v>
      </c>
      <c r="AD141" s="38">
        <f>IF($AE140&lt;=0,0,MIN($AE140,IF(Übersicht!$C$14="Annuitätendarlehen",MAX(0,Übersicht!$C$28-$AC141),IF(Übersicht!$C$14="Ratendarlehen",Übersicht!$C$29,IF($A141&gt;=Übersicht!$C$30,$AE140,0)))))</f>
        <v>978.65</v>
      </c>
      <c r="AE141" s="38">
        <f>IF($AE140&lt;=0,0,ROUND($AE140-$AD141-IF($AE140-$AD141&lt;=0,0,IF(MOD($A141,Übersicht!$C$25)=0,MIN(Szenarien!$C$12,$AE140-$AD141),0)),2))</f>
        <v>0</v>
      </c>
    </row>
    <row r="142" spans="1:31" ht="15" customHeight="1" x14ac:dyDescent="0.25">
      <c r="A142" s="21">
        <v>135</v>
      </c>
      <c r="B142" s="36">
        <f>IF($D142&lt;=0,"",EDATE(Übersicht!$C$18,($A142-1)*12/Übersicht!$C$25))</f>
        <v>50130</v>
      </c>
      <c r="C142" s="21">
        <f t="shared" si="14"/>
        <v>2037</v>
      </c>
      <c r="D142" s="37">
        <f t="shared" si="18"/>
        <v>98900.38</v>
      </c>
      <c r="E142" s="23">
        <f t="shared" si="15"/>
        <v>1239.58</v>
      </c>
      <c r="F142" s="23">
        <f>IF($D142&lt;=0,0,ROUND($D142*Übersicht!$C$26,2))</f>
        <v>284.33999999999997</v>
      </c>
      <c r="G142" s="23">
        <f>IF($D142&lt;=0,0,MIN($D142,IF(Übersicht!$C$14="Annuitätendarlehen",MAX(0,Übersicht!$C$28-$F142),IF(Übersicht!$C$14="Ratendarlehen",Übersicht!$C$29,IF($A142&gt;=Übersicht!$C$30,$D142,0)))))</f>
        <v>955.24</v>
      </c>
      <c r="H142" s="23">
        <f>IF($D142-$G142&lt;=0,0,IF(MOD($A142,Übersicht!$C$25)=0,MIN(Übersicht!$C$31,$D142-$G142),0))</f>
        <v>0</v>
      </c>
      <c r="I142" s="23">
        <f t="shared" si="16"/>
        <v>1239.58</v>
      </c>
      <c r="J142" s="23">
        <f t="shared" si="17"/>
        <v>97945.14</v>
      </c>
      <c r="K142" s="23">
        <f t="shared" si="19"/>
        <v>70288.439999999973</v>
      </c>
      <c r="L142" s="23">
        <f t="shared" si="20"/>
        <v>152054.85999999999</v>
      </c>
      <c r="M142" s="24">
        <f>IF($D142&lt;=0,"",IF(Übersicht!$C$11=0,0,$L142/Übersicht!$C$11))</f>
        <v>0.60821943999999994</v>
      </c>
      <c r="N142" s="25" t="str">
        <f>IF($D142&lt;=0,"",IF($J142&lt;=0.005,"Volltilgung erreicht",IF($A142=Übersicht!$C$19*Übersicht!$C$25,"Ende der Zinsbindung",IF($H142&gt;0,"Sondertilgung verrechnet",""))))</f>
        <v/>
      </c>
      <c r="Q142" s="38">
        <f>IF($S141&lt;=0,0,ROUND($S141*Übersicht!$C$26,2))</f>
        <v>474.39</v>
      </c>
      <c r="R142" s="38">
        <f>IF($S141&lt;=0,0,MIN($S141,IF(Übersicht!$C$14="Annuitätendarlehen",MAX(0,Übersicht!$C$28-$Q142),IF(Übersicht!$C$14="Ratendarlehen",Übersicht!$C$29,IF($A142&gt;=Übersicht!$C$30,$S141,0)))))</f>
        <v>765.18999999999994</v>
      </c>
      <c r="S142" s="38">
        <f>IF($S141&lt;=0,0,ROUND($S141-$R142-IF($S141-$R142&lt;=0,0,IF(MOD($A142,Übersicht!$C$25)=0,MIN(Szenarien!$C$8,$S141-$R142),0)),2))</f>
        <v>164240.88</v>
      </c>
      <c r="T142" s="38">
        <f>IF($V141&lt;=0,0,ROUND($V141*Übersicht!$C$26,2))</f>
        <v>379.37</v>
      </c>
      <c r="U142" s="38">
        <f>IF($V141&lt;=0,0,MIN($V141,IF(Übersicht!$C$14="Annuitätendarlehen",MAX(0,Übersicht!$C$28-$T142),IF(Übersicht!$C$14="Ratendarlehen",Übersicht!$C$29,IF($A142&gt;=Übersicht!$C$30,$V141,0)))))</f>
        <v>860.20999999999992</v>
      </c>
      <c r="V142" s="38">
        <f>IF($V141&lt;=0,0,ROUND($V141-$U142-IF($V141-$U142&lt;=0,0,IF(MOD($A142,Übersicht!$C$25)=0,MIN(Szenarien!$C$9,$V141-$U142),0)),2))</f>
        <v>131093.07</v>
      </c>
      <c r="W142" s="38">
        <f>IF($Y141&lt;=0,0,ROUND($Y141*Übersicht!$C$26,2))</f>
        <v>284.33999999999997</v>
      </c>
      <c r="X142" s="38">
        <f>IF($Y141&lt;=0,0,MIN($Y141,IF(Übersicht!$C$14="Annuitätendarlehen",MAX(0,Übersicht!$C$28-$W142),IF(Übersicht!$C$14="Ratendarlehen",Übersicht!$C$29,IF($A142&gt;=Übersicht!$C$30,$Y141,0)))))</f>
        <v>955.24</v>
      </c>
      <c r="Y142" s="38">
        <f>IF($Y141&lt;=0,0,ROUND($Y141-$X142-IF($Y141-$X142&lt;=0,0,IF(MOD($A142,Übersicht!$C$25)=0,MIN(Szenarien!$C$10,$Y141-$X142),0)),2))</f>
        <v>97945.14</v>
      </c>
      <c r="Z142" s="38">
        <f>IF($AB141&lt;=0,0,ROUND($AB141*Übersicht!$C$26,2))</f>
        <v>189.31</v>
      </c>
      <c r="AA142" s="38">
        <f>IF($AB141&lt;=0,0,MIN($AB141,IF(Übersicht!$C$14="Annuitätendarlehen",MAX(0,Übersicht!$C$28-$Z142),IF(Übersicht!$C$14="Ratendarlehen",Übersicht!$C$29,IF($A142&gt;=Übersicht!$C$30,$AB141,0)))))</f>
        <v>1050.27</v>
      </c>
      <c r="AB142" s="38">
        <f>IF($AB141&lt;=0,0,ROUND($AB141-$AA142-IF($AB141-$AA142&lt;=0,0,IF(MOD($A142,Übersicht!$C$25)=0,MIN(Szenarien!$C$11,$AB141-$AA142),0)),2))</f>
        <v>64797.27</v>
      </c>
      <c r="AC142" s="38">
        <f>IF($AE141&lt;=0,0,ROUND($AE141*Übersicht!$C$26,2))</f>
        <v>0</v>
      </c>
      <c r="AD142" s="38">
        <f>IF($AE141&lt;=0,0,MIN($AE141,IF(Übersicht!$C$14="Annuitätendarlehen",MAX(0,Übersicht!$C$28-$AC142),IF(Übersicht!$C$14="Ratendarlehen",Übersicht!$C$29,IF($A142&gt;=Übersicht!$C$30,$AE141,0)))))</f>
        <v>0</v>
      </c>
      <c r="AE142" s="38">
        <f>IF($AE141&lt;=0,0,ROUND($AE141-$AD142-IF($AE141-$AD142&lt;=0,0,IF(MOD($A142,Übersicht!$C$25)=0,MIN(Szenarien!$C$12,$AE141-$AD142),0)),2))</f>
        <v>0</v>
      </c>
    </row>
    <row r="143" spans="1:31" ht="15" customHeight="1" x14ac:dyDescent="0.25">
      <c r="A143" s="26">
        <v>136</v>
      </c>
      <c r="B143" s="39">
        <f>IF($D143&lt;=0,"",EDATE(Übersicht!$C$18,($A143-1)*12/Übersicht!$C$25))</f>
        <v>50160</v>
      </c>
      <c r="C143" s="26">
        <f t="shared" si="14"/>
        <v>2037</v>
      </c>
      <c r="D143" s="40">
        <f t="shared" si="18"/>
        <v>97945.14</v>
      </c>
      <c r="E143" s="28">
        <f t="shared" si="15"/>
        <v>1239.58</v>
      </c>
      <c r="F143" s="28">
        <f>IF($D143&lt;=0,0,ROUND($D143*Übersicht!$C$26,2))</f>
        <v>281.58999999999997</v>
      </c>
      <c r="G143" s="28">
        <f>IF($D143&lt;=0,0,MIN($D143,IF(Übersicht!$C$14="Annuitätendarlehen",MAX(0,Übersicht!$C$28-$F143),IF(Übersicht!$C$14="Ratendarlehen",Übersicht!$C$29,IF($A143&gt;=Übersicht!$C$30,$D143,0)))))</f>
        <v>957.99</v>
      </c>
      <c r="H143" s="28">
        <f>IF($D143-$G143&lt;=0,0,IF(MOD($A143,Übersicht!$C$25)=0,MIN(Übersicht!$C$31,$D143-$G143),0))</f>
        <v>0</v>
      </c>
      <c r="I143" s="28">
        <f t="shared" si="16"/>
        <v>1239.58</v>
      </c>
      <c r="J143" s="28">
        <f t="shared" si="17"/>
        <v>96987.15</v>
      </c>
      <c r="K143" s="28">
        <f t="shared" si="19"/>
        <v>70570.02999999997</v>
      </c>
      <c r="L143" s="28">
        <f t="shared" si="20"/>
        <v>153012.85</v>
      </c>
      <c r="M143" s="29">
        <f>IF($D143&lt;=0,"",IF(Übersicht!$C$11=0,0,$L143/Übersicht!$C$11))</f>
        <v>0.61205140000000002</v>
      </c>
      <c r="N143" s="30" t="str">
        <f>IF($D143&lt;=0,"",IF($J143&lt;=0.005,"Volltilgung erreicht",IF($A143=Übersicht!$C$19*Übersicht!$C$25,"Ende der Zinsbindung",IF($H143&gt;0,"Sondertilgung verrechnet",""))))</f>
        <v/>
      </c>
      <c r="Q143" s="38">
        <f>IF($S142&lt;=0,0,ROUND($S142*Übersicht!$C$26,2))</f>
        <v>472.19</v>
      </c>
      <c r="R143" s="38">
        <f>IF($S142&lt;=0,0,MIN($S142,IF(Übersicht!$C$14="Annuitätendarlehen",MAX(0,Übersicht!$C$28-$Q143),IF(Übersicht!$C$14="Ratendarlehen",Übersicht!$C$29,IF($A143&gt;=Übersicht!$C$30,$S142,0)))))</f>
        <v>767.38999999999987</v>
      </c>
      <c r="S143" s="38">
        <f>IF($S142&lt;=0,0,ROUND($S142-$R143-IF($S142-$R143&lt;=0,0,IF(MOD($A143,Übersicht!$C$25)=0,MIN(Szenarien!$C$8,$S142-$R143),0)),2))</f>
        <v>163473.49</v>
      </c>
      <c r="T143" s="38">
        <f>IF($V142&lt;=0,0,ROUND($V142*Übersicht!$C$26,2))</f>
        <v>376.89</v>
      </c>
      <c r="U143" s="38">
        <f>IF($V142&lt;=0,0,MIN($V142,IF(Übersicht!$C$14="Annuitätendarlehen",MAX(0,Übersicht!$C$28-$T143),IF(Übersicht!$C$14="Ratendarlehen",Übersicht!$C$29,IF($A143&gt;=Übersicht!$C$30,$V142,0)))))</f>
        <v>862.68999999999994</v>
      </c>
      <c r="V143" s="38">
        <f>IF($V142&lt;=0,0,ROUND($V142-$U143-IF($V142-$U143&lt;=0,0,IF(MOD($A143,Übersicht!$C$25)=0,MIN(Szenarien!$C$9,$V142-$U143),0)),2))</f>
        <v>130230.38</v>
      </c>
      <c r="W143" s="38">
        <f>IF($Y142&lt;=0,0,ROUND($Y142*Übersicht!$C$26,2))</f>
        <v>281.58999999999997</v>
      </c>
      <c r="X143" s="38">
        <f>IF($Y142&lt;=0,0,MIN($Y142,IF(Übersicht!$C$14="Annuitätendarlehen",MAX(0,Übersicht!$C$28-$W143),IF(Übersicht!$C$14="Ratendarlehen",Übersicht!$C$29,IF($A143&gt;=Übersicht!$C$30,$Y142,0)))))</f>
        <v>957.99</v>
      </c>
      <c r="Y143" s="38">
        <f>IF($Y142&lt;=0,0,ROUND($Y142-$X143-IF($Y142-$X143&lt;=0,0,IF(MOD($A143,Übersicht!$C$25)=0,MIN(Szenarien!$C$10,$Y142-$X143),0)),2))</f>
        <v>96987.15</v>
      </c>
      <c r="Z143" s="38">
        <f>IF($AB142&lt;=0,0,ROUND($AB142*Übersicht!$C$26,2))</f>
        <v>186.29</v>
      </c>
      <c r="AA143" s="38">
        <f>IF($AB142&lt;=0,0,MIN($AB142,IF(Übersicht!$C$14="Annuitätendarlehen",MAX(0,Übersicht!$C$28-$Z143),IF(Übersicht!$C$14="Ratendarlehen",Übersicht!$C$29,IF($A143&gt;=Übersicht!$C$30,$AB142,0)))))</f>
        <v>1053.29</v>
      </c>
      <c r="AB143" s="38">
        <f>IF($AB142&lt;=0,0,ROUND($AB142-$AA143-IF($AB142-$AA143&lt;=0,0,IF(MOD($A143,Übersicht!$C$25)=0,MIN(Szenarien!$C$11,$AB142-$AA143),0)),2))</f>
        <v>63743.98</v>
      </c>
      <c r="AC143" s="38">
        <f>IF($AE142&lt;=0,0,ROUND($AE142*Übersicht!$C$26,2))</f>
        <v>0</v>
      </c>
      <c r="AD143" s="38">
        <f>IF($AE142&lt;=0,0,MIN($AE142,IF(Übersicht!$C$14="Annuitätendarlehen",MAX(0,Übersicht!$C$28-$AC143),IF(Übersicht!$C$14="Ratendarlehen",Übersicht!$C$29,IF($A143&gt;=Übersicht!$C$30,$AE142,0)))))</f>
        <v>0</v>
      </c>
      <c r="AE143" s="38">
        <f>IF($AE142&lt;=0,0,ROUND($AE142-$AD143-IF($AE142-$AD143&lt;=0,0,IF(MOD($A143,Übersicht!$C$25)=0,MIN(Szenarien!$C$12,$AE142-$AD143),0)),2))</f>
        <v>0</v>
      </c>
    </row>
    <row r="144" spans="1:31" ht="15" customHeight="1" x14ac:dyDescent="0.25">
      <c r="A144" s="21">
        <v>137</v>
      </c>
      <c r="B144" s="36">
        <f>IF($D144&lt;=0,"",EDATE(Übersicht!$C$18,($A144-1)*12/Übersicht!$C$25))</f>
        <v>50191</v>
      </c>
      <c r="C144" s="21">
        <f t="shared" si="14"/>
        <v>2037</v>
      </c>
      <c r="D144" s="37">
        <f t="shared" si="18"/>
        <v>96987.15</v>
      </c>
      <c r="E144" s="23">
        <f t="shared" si="15"/>
        <v>1239.58</v>
      </c>
      <c r="F144" s="23">
        <f>IF($D144&lt;=0,0,ROUND($D144*Übersicht!$C$26,2))</f>
        <v>278.83999999999997</v>
      </c>
      <c r="G144" s="23">
        <f>IF($D144&lt;=0,0,MIN($D144,IF(Übersicht!$C$14="Annuitätendarlehen",MAX(0,Übersicht!$C$28-$F144),IF(Übersicht!$C$14="Ratendarlehen",Übersicht!$C$29,IF($A144&gt;=Übersicht!$C$30,$D144,0)))))</f>
        <v>960.74</v>
      </c>
      <c r="H144" s="23">
        <f>IF($D144-$G144&lt;=0,0,IF(MOD($A144,Übersicht!$C$25)=0,MIN(Übersicht!$C$31,$D144-$G144),0))</f>
        <v>0</v>
      </c>
      <c r="I144" s="23">
        <f t="shared" si="16"/>
        <v>1239.58</v>
      </c>
      <c r="J144" s="23">
        <f t="shared" si="17"/>
        <v>96026.41</v>
      </c>
      <c r="K144" s="23">
        <f t="shared" si="19"/>
        <v>70848.869999999966</v>
      </c>
      <c r="L144" s="23">
        <f t="shared" si="20"/>
        <v>153973.59</v>
      </c>
      <c r="M144" s="24">
        <f>IF($D144&lt;=0,"",IF(Übersicht!$C$11=0,0,$L144/Übersicht!$C$11))</f>
        <v>0.61589435999999997</v>
      </c>
      <c r="N144" s="25" t="str">
        <f>IF($D144&lt;=0,"",IF($J144&lt;=0.005,"Volltilgung erreicht",IF($A144=Übersicht!$C$19*Übersicht!$C$25,"Ende der Zinsbindung",IF($H144&gt;0,"Sondertilgung verrechnet",""))))</f>
        <v/>
      </c>
      <c r="Q144" s="38">
        <f>IF($S143&lt;=0,0,ROUND($S143*Übersicht!$C$26,2))</f>
        <v>469.99</v>
      </c>
      <c r="R144" s="38">
        <f>IF($S143&lt;=0,0,MIN($S143,IF(Übersicht!$C$14="Annuitätendarlehen",MAX(0,Übersicht!$C$28-$Q144),IF(Übersicht!$C$14="Ratendarlehen",Übersicht!$C$29,IF($A144&gt;=Übersicht!$C$30,$S143,0)))))</f>
        <v>769.58999999999992</v>
      </c>
      <c r="S144" s="38">
        <f>IF($S143&lt;=0,0,ROUND($S143-$R144-IF($S143-$R144&lt;=0,0,IF(MOD($A144,Übersicht!$C$25)=0,MIN(Szenarien!$C$8,$S143-$R144),0)),2))</f>
        <v>162703.9</v>
      </c>
      <c r="T144" s="38">
        <f>IF($V143&lt;=0,0,ROUND($V143*Übersicht!$C$26,2))</f>
        <v>374.41</v>
      </c>
      <c r="U144" s="38">
        <f>IF($V143&lt;=0,0,MIN($V143,IF(Übersicht!$C$14="Annuitätendarlehen",MAX(0,Übersicht!$C$28-$T144),IF(Übersicht!$C$14="Ratendarlehen",Übersicht!$C$29,IF($A144&gt;=Übersicht!$C$30,$V143,0)))))</f>
        <v>865.16999999999985</v>
      </c>
      <c r="V144" s="38">
        <f>IF($V143&lt;=0,0,ROUND($V143-$U144-IF($V143-$U144&lt;=0,0,IF(MOD($A144,Übersicht!$C$25)=0,MIN(Szenarien!$C$9,$V143-$U144),0)),2))</f>
        <v>129365.21</v>
      </c>
      <c r="W144" s="38">
        <f>IF($Y143&lt;=0,0,ROUND($Y143*Übersicht!$C$26,2))</f>
        <v>278.83999999999997</v>
      </c>
      <c r="X144" s="38">
        <f>IF($Y143&lt;=0,0,MIN($Y143,IF(Übersicht!$C$14="Annuitätendarlehen",MAX(0,Übersicht!$C$28-$W144),IF(Übersicht!$C$14="Ratendarlehen",Übersicht!$C$29,IF($A144&gt;=Übersicht!$C$30,$Y143,0)))))</f>
        <v>960.74</v>
      </c>
      <c r="Y144" s="38">
        <f>IF($Y143&lt;=0,0,ROUND($Y143-$X144-IF($Y143-$X144&lt;=0,0,IF(MOD($A144,Übersicht!$C$25)=0,MIN(Szenarien!$C$10,$Y143-$X144),0)),2))</f>
        <v>96026.41</v>
      </c>
      <c r="Z144" s="38">
        <f>IF($AB143&lt;=0,0,ROUND($AB143*Übersicht!$C$26,2))</f>
        <v>183.26</v>
      </c>
      <c r="AA144" s="38">
        <f>IF($AB143&lt;=0,0,MIN($AB143,IF(Übersicht!$C$14="Annuitätendarlehen",MAX(0,Übersicht!$C$28-$Z144),IF(Übersicht!$C$14="Ratendarlehen",Übersicht!$C$29,IF($A144&gt;=Übersicht!$C$30,$AB143,0)))))</f>
        <v>1056.32</v>
      </c>
      <c r="AB144" s="38">
        <f>IF($AB143&lt;=0,0,ROUND($AB143-$AA144-IF($AB143-$AA144&lt;=0,0,IF(MOD($A144,Übersicht!$C$25)=0,MIN(Szenarien!$C$11,$AB143-$AA144),0)),2))</f>
        <v>62687.66</v>
      </c>
      <c r="AC144" s="38">
        <f>IF($AE143&lt;=0,0,ROUND($AE143*Übersicht!$C$26,2))</f>
        <v>0</v>
      </c>
      <c r="AD144" s="38">
        <f>IF($AE143&lt;=0,0,MIN($AE143,IF(Übersicht!$C$14="Annuitätendarlehen",MAX(0,Übersicht!$C$28-$AC144),IF(Übersicht!$C$14="Ratendarlehen",Übersicht!$C$29,IF($A144&gt;=Übersicht!$C$30,$AE143,0)))))</f>
        <v>0</v>
      </c>
      <c r="AE144" s="38">
        <f>IF($AE143&lt;=0,0,ROUND($AE143-$AD144-IF($AE143-$AD144&lt;=0,0,IF(MOD($A144,Übersicht!$C$25)=0,MIN(Szenarien!$C$12,$AE143-$AD144),0)),2))</f>
        <v>0</v>
      </c>
    </row>
    <row r="145" spans="1:31" ht="15" customHeight="1" x14ac:dyDescent="0.25">
      <c r="A145" s="26">
        <v>138</v>
      </c>
      <c r="B145" s="39">
        <f>IF($D145&lt;=0,"",EDATE(Übersicht!$C$18,($A145-1)*12/Übersicht!$C$25))</f>
        <v>50221</v>
      </c>
      <c r="C145" s="26">
        <f t="shared" si="14"/>
        <v>2037</v>
      </c>
      <c r="D145" s="40">
        <f t="shared" si="18"/>
        <v>96026.41</v>
      </c>
      <c r="E145" s="28">
        <f t="shared" si="15"/>
        <v>1239.58</v>
      </c>
      <c r="F145" s="28">
        <f>IF($D145&lt;=0,0,ROUND($D145*Übersicht!$C$26,2))</f>
        <v>276.08</v>
      </c>
      <c r="G145" s="28">
        <f>IF($D145&lt;=0,0,MIN($D145,IF(Übersicht!$C$14="Annuitätendarlehen",MAX(0,Übersicht!$C$28-$F145),IF(Übersicht!$C$14="Ratendarlehen",Übersicht!$C$29,IF($A145&gt;=Übersicht!$C$30,$D145,0)))))</f>
        <v>963.5</v>
      </c>
      <c r="H145" s="28">
        <f>IF($D145-$G145&lt;=0,0,IF(MOD($A145,Übersicht!$C$25)=0,MIN(Übersicht!$C$31,$D145-$G145),0))</f>
        <v>0</v>
      </c>
      <c r="I145" s="28">
        <f t="shared" si="16"/>
        <v>1239.58</v>
      </c>
      <c r="J145" s="28">
        <f t="shared" si="17"/>
        <v>95062.91</v>
      </c>
      <c r="K145" s="28">
        <f t="shared" si="19"/>
        <v>71124.949999999968</v>
      </c>
      <c r="L145" s="28">
        <f t="shared" si="20"/>
        <v>154937.09</v>
      </c>
      <c r="M145" s="29">
        <f>IF($D145&lt;=0,"",IF(Übersicht!$C$11=0,0,$L145/Übersicht!$C$11))</f>
        <v>0.61974836</v>
      </c>
      <c r="N145" s="30" t="str">
        <f>IF($D145&lt;=0,"",IF($J145&lt;=0.005,"Volltilgung erreicht",IF($A145=Übersicht!$C$19*Übersicht!$C$25,"Ende der Zinsbindung",IF($H145&gt;0,"Sondertilgung verrechnet",""))))</f>
        <v/>
      </c>
      <c r="Q145" s="38">
        <f>IF($S144&lt;=0,0,ROUND($S144*Übersicht!$C$26,2))</f>
        <v>467.77</v>
      </c>
      <c r="R145" s="38">
        <f>IF($S144&lt;=0,0,MIN($S144,IF(Übersicht!$C$14="Annuitätendarlehen",MAX(0,Übersicht!$C$28-$Q145),IF(Übersicht!$C$14="Ratendarlehen",Übersicht!$C$29,IF($A145&gt;=Übersicht!$C$30,$S144,0)))))</f>
        <v>771.81</v>
      </c>
      <c r="S145" s="38">
        <f>IF($S144&lt;=0,0,ROUND($S144-$R145-IF($S144-$R145&lt;=0,0,IF(MOD($A145,Übersicht!$C$25)=0,MIN(Szenarien!$C$8,$S144-$R145),0)),2))</f>
        <v>161932.09</v>
      </c>
      <c r="T145" s="38">
        <f>IF($V144&lt;=0,0,ROUND($V144*Übersicht!$C$26,2))</f>
        <v>371.92</v>
      </c>
      <c r="U145" s="38">
        <f>IF($V144&lt;=0,0,MIN($V144,IF(Übersicht!$C$14="Annuitätendarlehen",MAX(0,Übersicht!$C$28-$T145),IF(Übersicht!$C$14="Ratendarlehen",Übersicht!$C$29,IF($A145&gt;=Übersicht!$C$30,$V144,0)))))</f>
        <v>867.65999999999985</v>
      </c>
      <c r="V145" s="38">
        <f>IF($V144&lt;=0,0,ROUND($V144-$U145-IF($V144-$U145&lt;=0,0,IF(MOD($A145,Übersicht!$C$25)=0,MIN(Szenarien!$C$9,$V144-$U145),0)),2))</f>
        <v>128497.55</v>
      </c>
      <c r="W145" s="38">
        <f>IF($Y144&lt;=0,0,ROUND($Y144*Übersicht!$C$26,2))</f>
        <v>276.08</v>
      </c>
      <c r="X145" s="38">
        <f>IF($Y144&lt;=0,0,MIN($Y144,IF(Übersicht!$C$14="Annuitätendarlehen",MAX(0,Übersicht!$C$28-$W145),IF(Übersicht!$C$14="Ratendarlehen",Übersicht!$C$29,IF($A145&gt;=Übersicht!$C$30,$Y144,0)))))</f>
        <v>963.5</v>
      </c>
      <c r="Y145" s="38">
        <f>IF($Y144&lt;=0,0,ROUND($Y144-$X145-IF($Y144-$X145&lt;=0,0,IF(MOD($A145,Übersicht!$C$25)=0,MIN(Szenarien!$C$10,$Y144-$X145),0)),2))</f>
        <v>95062.91</v>
      </c>
      <c r="Z145" s="38">
        <f>IF($AB144&lt;=0,0,ROUND($AB144*Übersicht!$C$26,2))</f>
        <v>180.23</v>
      </c>
      <c r="AA145" s="38">
        <f>IF($AB144&lt;=0,0,MIN($AB144,IF(Übersicht!$C$14="Annuitätendarlehen",MAX(0,Übersicht!$C$28-$Z145),IF(Übersicht!$C$14="Ratendarlehen",Übersicht!$C$29,IF($A145&gt;=Übersicht!$C$30,$AB144,0)))))</f>
        <v>1059.3499999999999</v>
      </c>
      <c r="AB145" s="38">
        <f>IF($AB144&lt;=0,0,ROUND($AB144-$AA145-IF($AB144-$AA145&lt;=0,0,IF(MOD($A145,Übersicht!$C$25)=0,MIN(Szenarien!$C$11,$AB144-$AA145),0)),2))</f>
        <v>61628.31</v>
      </c>
      <c r="AC145" s="38">
        <f>IF($AE144&lt;=0,0,ROUND($AE144*Übersicht!$C$26,2))</f>
        <v>0</v>
      </c>
      <c r="AD145" s="38">
        <f>IF($AE144&lt;=0,0,MIN($AE144,IF(Übersicht!$C$14="Annuitätendarlehen",MAX(0,Übersicht!$C$28-$AC145),IF(Übersicht!$C$14="Ratendarlehen",Übersicht!$C$29,IF($A145&gt;=Übersicht!$C$30,$AE144,0)))))</f>
        <v>0</v>
      </c>
      <c r="AE145" s="38">
        <f>IF($AE144&lt;=0,0,ROUND($AE144-$AD145-IF($AE144-$AD145&lt;=0,0,IF(MOD($A145,Übersicht!$C$25)=0,MIN(Szenarien!$C$12,$AE144-$AD145),0)),2))</f>
        <v>0</v>
      </c>
    </row>
    <row r="146" spans="1:31" ht="15" customHeight="1" x14ac:dyDescent="0.25">
      <c r="A146" s="21">
        <v>139</v>
      </c>
      <c r="B146" s="36">
        <f>IF($D146&lt;=0,"",EDATE(Übersicht!$C$18,($A146-1)*12/Übersicht!$C$25))</f>
        <v>50252</v>
      </c>
      <c r="C146" s="21">
        <f t="shared" si="14"/>
        <v>2037</v>
      </c>
      <c r="D146" s="37">
        <f t="shared" si="18"/>
        <v>95062.91</v>
      </c>
      <c r="E146" s="23">
        <f t="shared" si="15"/>
        <v>1239.58</v>
      </c>
      <c r="F146" s="23">
        <f>IF($D146&lt;=0,0,ROUND($D146*Übersicht!$C$26,2))</f>
        <v>273.31</v>
      </c>
      <c r="G146" s="23">
        <f>IF($D146&lt;=0,0,MIN($D146,IF(Übersicht!$C$14="Annuitätendarlehen",MAX(0,Übersicht!$C$28-$F146),IF(Übersicht!$C$14="Ratendarlehen",Übersicht!$C$29,IF($A146&gt;=Übersicht!$C$30,$D146,0)))))</f>
        <v>966.27</v>
      </c>
      <c r="H146" s="23">
        <f>IF($D146-$G146&lt;=0,0,IF(MOD($A146,Übersicht!$C$25)=0,MIN(Übersicht!$C$31,$D146-$G146),0))</f>
        <v>0</v>
      </c>
      <c r="I146" s="23">
        <f t="shared" si="16"/>
        <v>1239.58</v>
      </c>
      <c r="J146" s="23">
        <f t="shared" si="17"/>
        <v>94096.639999999999</v>
      </c>
      <c r="K146" s="23">
        <f t="shared" si="19"/>
        <v>71398.259999999966</v>
      </c>
      <c r="L146" s="23">
        <f t="shared" si="20"/>
        <v>155903.35999999999</v>
      </c>
      <c r="M146" s="24">
        <f>IF($D146&lt;=0,"",IF(Übersicht!$C$11=0,0,$L146/Übersicht!$C$11))</f>
        <v>0.62361343999999996</v>
      </c>
      <c r="N146" s="25" t="str">
        <f>IF($D146&lt;=0,"",IF($J146&lt;=0.005,"Volltilgung erreicht",IF($A146=Übersicht!$C$19*Übersicht!$C$25,"Ende der Zinsbindung",IF($H146&gt;0,"Sondertilgung verrechnet",""))))</f>
        <v/>
      </c>
      <c r="Q146" s="38">
        <f>IF($S145&lt;=0,0,ROUND($S145*Übersicht!$C$26,2))</f>
        <v>465.55</v>
      </c>
      <c r="R146" s="38">
        <f>IF($S145&lt;=0,0,MIN($S145,IF(Übersicht!$C$14="Annuitätendarlehen",MAX(0,Übersicht!$C$28-$Q146),IF(Übersicht!$C$14="Ratendarlehen",Übersicht!$C$29,IF($A146&gt;=Übersicht!$C$30,$S145,0)))))</f>
        <v>774.03</v>
      </c>
      <c r="S146" s="38">
        <f>IF($S145&lt;=0,0,ROUND($S145-$R146-IF($S145-$R146&lt;=0,0,IF(MOD($A146,Übersicht!$C$25)=0,MIN(Szenarien!$C$8,$S145-$R146),0)),2))</f>
        <v>161158.06</v>
      </c>
      <c r="T146" s="38">
        <f>IF($V145&lt;=0,0,ROUND($V145*Übersicht!$C$26,2))</f>
        <v>369.43</v>
      </c>
      <c r="U146" s="38">
        <f>IF($V145&lt;=0,0,MIN($V145,IF(Übersicht!$C$14="Annuitätendarlehen",MAX(0,Übersicht!$C$28-$T146),IF(Übersicht!$C$14="Ratendarlehen",Übersicht!$C$29,IF($A146&gt;=Übersicht!$C$30,$V145,0)))))</f>
        <v>870.14999999999986</v>
      </c>
      <c r="V146" s="38">
        <f>IF($V145&lt;=0,0,ROUND($V145-$U146-IF($V145-$U146&lt;=0,0,IF(MOD($A146,Übersicht!$C$25)=0,MIN(Szenarien!$C$9,$V145-$U146),0)),2))</f>
        <v>127627.4</v>
      </c>
      <c r="W146" s="38">
        <f>IF($Y145&lt;=0,0,ROUND($Y145*Übersicht!$C$26,2))</f>
        <v>273.31</v>
      </c>
      <c r="X146" s="38">
        <f>IF($Y145&lt;=0,0,MIN($Y145,IF(Übersicht!$C$14="Annuitätendarlehen",MAX(0,Übersicht!$C$28-$W146),IF(Übersicht!$C$14="Ratendarlehen",Übersicht!$C$29,IF($A146&gt;=Übersicht!$C$30,$Y145,0)))))</f>
        <v>966.27</v>
      </c>
      <c r="Y146" s="38">
        <f>IF($Y145&lt;=0,0,ROUND($Y145-$X146-IF($Y145-$X146&lt;=0,0,IF(MOD($A146,Übersicht!$C$25)=0,MIN(Szenarien!$C$10,$Y145-$X146),0)),2))</f>
        <v>94096.639999999999</v>
      </c>
      <c r="Z146" s="38">
        <f>IF($AB145&lt;=0,0,ROUND($AB145*Übersicht!$C$26,2))</f>
        <v>177.18</v>
      </c>
      <c r="AA146" s="38">
        <f>IF($AB145&lt;=0,0,MIN($AB145,IF(Übersicht!$C$14="Annuitätendarlehen",MAX(0,Übersicht!$C$28-$Z146),IF(Übersicht!$C$14="Ratendarlehen",Übersicht!$C$29,IF($A146&gt;=Übersicht!$C$30,$AB145,0)))))</f>
        <v>1062.3999999999999</v>
      </c>
      <c r="AB146" s="38">
        <f>IF($AB145&lt;=0,0,ROUND($AB145-$AA146-IF($AB145-$AA146&lt;=0,0,IF(MOD($A146,Übersicht!$C$25)=0,MIN(Szenarien!$C$11,$AB145-$AA146),0)),2))</f>
        <v>60565.91</v>
      </c>
      <c r="AC146" s="38">
        <f>IF($AE145&lt;=0,0,ROUND($AE145*Übersicht!$C$26,2))</f>
        <v>0</v>
      </c>
      <c r="AD146" s="38">
        <f>IF($AE145&lt;=0,0,MIN($AE145,IF(Übersicht!$C$14="Annuitätendarlehen",MAX(0,Übersicht!$C$28-$AC146),IF(Übersicht!$C$14="Ratendarlehen",Übersicht!$C$29,IF($A146&gt;=Übersicht!$C$30,$AE145,0)))))</f>
        <v>0</v>
      </c>
      <c r="AE146" s="38">
        <f>IF($AE145&lt;=0,0,ROUND($AE145-$AD146-IF($AE145-$AD146&lt;=0,0,IF(MOD($A146,Übersicht!$C$25)=0,MIN(Szenarien!$C$12,$AE145-$AD146),0)),2))</f>
        <v>0</v>
      </c>
    </row>
    <row r="147" spans="1:31" ht="15" customHeight="1" x14ac:dyDescent="0.25">
      <c r="A147" s="26">
        <v>140</v>
      </c>
      <c r="B147" s="39">
        <f>IF($D147&lt;=0,"",EDATE(Übersicht!$C$18,($A147-1)*12/Übersicht!$C$25))</f>
        <v>50283</v>
      </c>
      <c r="C147" s="26">
        <f t="shared" si="14"/>
        <v>2037</v>
      </c>
      <c r="D147" s="40">
        <f t="shared" si="18"/>
        <v>94096.639999999999</v>
      </c>
      <c r="E147" s="28">
        <f t="shared" si="15"/>
        <v>1239.58</v>
      </c>
      <c r="F147" s="28">
        <f>IF($D147&lt;=0,0,ROUND($D147*Übersicht!$C$26,2))</f>
        <v>270.52999999999997</v>
      </c>
      <c r="G147" s="28">
        <f>IF($D147&lt;=0,0,MIN($D147,IF(Übersicht!$C$14="Annuitätendarlehen",MAX(0,Übersicht!$C$28-$F147),IF(Übersicht!$C$14="Ratendarlehen",Übersicht!$C$29,IF($A147&gt;=Übersicht!$C$30,$D147,0)))))</f>
        <v>969.05</v>
      </c>
      <c r="H147" s="28">
        <f>IF($D147-$G147&lt;=0,0,IF(MOD($A147,Übersicht!$C$25)=0,MIN(Übersicht!$C$31,$D147-$G147),0))</f>
        <v>0</v>
      </c>
      <c r="I147" s="28">
        <f t="shared" si="16"/>
        <v>1239.58</v>
      </c>
      <c r="J147" s="28">
        <f t="shared" si="17"/>
        <v>93127.59</v>
      </c>
      <c r="K147" s="28">
        <f t="shared" si="19"/>
        <v>71668.789999999964</v>
      </c>
      <c r="L147" s="28">
        <f t="shared" si="20"/>
        <v>156872.41</v>
      </c>
      <c r="M147" s="29">
        <f>IF($D147&lt;=0,"",IF(Übersicht!$C$11=0,0,$L147/Übersicht!$C$11))</f>
        <v>0.62748963999999996</v>
      </c>
      <c r="N147" s="30" t="str">
        <f>IF($D147&lt;=0,"",IF($J147&lt;=0.005,"Volltilgung erreicht",IF($A147=Übersicht!$C$19*Übersicht!$C$25,"Ende der Zinsbindung",IF($H147&gt;0,"Sondertilgung verrechnet",""))))</f>
        <v/>
      </c>
      <c r="Q147" s="38">
        <f>IF($S146&lt;=0,0,ROUND($S146*Übersicht!$C$26,2))</f>
        <v>463.33</v>
      </c>
      <c r="R147" s="38">
        <f>IF($S146&lt;=0,0,MIN($S146,IF(Übersicht!$C$14="Annuitätendarlehen",MAX(0,Übersicht!$C$28-$Q147),IF(Übersicht!$C$14="Ratendarlehen",Übersicht!$C$29,IF($A147&gt;=Übersicht!$C$30,$S146,0)))))</f>
        <v>776.25</v>
      </c>
      <c r="S147" s="38">
        <f>IF($S146&lt;=0,0,ROUND($S146-$R147-IF($S146-$R147&lt;=0,0,IF(MOD($A147,Übersicht!$C$25)=0,MIN(Szenarien!$C$8,$S146-$R147),0)),2))</f>
        <v>160381.81</v>
      </c>
      <c r="T147" s="38">
        <f>IF($V146&lt;=0,0,ROUND($V146*Übersicht!$C$26,2))</f>
        <v>366.93</v>
      </c>
      <c r="U147" s="38">
        <f>IF($V146&lt;=0,0,MIN($V146,IF(Übersicht!$C$14="Annuitätendarlehen",MAX(0,Übersicht!$C$28-$T147),IF(Übersicht!$C$14="Ratendarlehen",Übersicht!$C$29,IF($A147&gt;=Übersicht!$C$30,$V146,0)))))</f>
        <v>872.64999999999986</v>
      </c>
      <c r="V147" s="38">
        <f>IF($V146&lt;=0,0,ROUND($V146-$U147-IF($V146-$U147&lt;=0,0,IF(MOD($A147,Übersicht!$C$25)=0,MIN(Szenarien!$C$9,$V146-$U147),0)),2))</f>
        <v>126754.75</v>
      </c>
      <c r="W147" s="38">
        <f>IF($Y146&lt;=0,0,ROUND($Y146*Übersicht!$C$26,2))</f>
        <v>270.52999999999997</v>
      </c>
      <c r="X147" s="38">
        <f>IF($Y146&lt;=0,0,MIN($Y146,IF(Übersicht!$C$14="Annuitätendarlehen",MAX(0,Übersicht!$C$28-$W147),IF(Übersicht!$C$14="Ratendarlehen",Übersicht!$C$29,IF($A147&gt;=Übersicht!$C$30,$Y146,0)))))</f>
        <v>969.05</v>
      </c>
      <c r="Y147" s="38">
        <f>IF($Y146&lt;=0,0,ROUND($Y146-$X147-IF($Y146-$X147&lt;=0,0,IF(MOD($A147,Übersicht!$C$25)=0,MIN(Szenarien!$C$10,$Y146-$X147),0)),2))</f>
        <v>93127.59</v>
      </c>
      <c r="Z147" s="38">
        <f>IF($AB146&lt;=0,0,ROUND($AB146*Übersicht!$C$26,2))</f>
        <v>174.13</v>
      </c>
      <c r="AA147" s="38">
        <f>IF($AB146&lt;=0,0,MIN($AB146,IF(Übersicht!$C$14="Annuitätendarlehen",MAX(0,Übersicht!$C$28-$Z147),IF(Übersicht!$C$14="Ratendarlehen",Übersicht!$C$29,IF($A147&gt;=Übersicht!$C$30,$AB146,0)))))</f>
        <v>1065.4499999999998</v>
      </c>
      <c r="AB147" s="38">
        <f>IF($AB146&lt;=0,0,ROUND($AB146-$AA147-IF($AB146-$AA147&lt;=0,0,IF(MOD($A147,Übersicht!$C$25)=0,MIN(Szenarien!$C$11,$AB146-$AA147),0)),2))</f>
        <v>59500.46</v>
      </c>
      <c r="AC147" s="38">
        <f>IF($AE146&lt;=0,0,ROUND($AE146*Übersicht!$C$26,2))</f>
        <v>0</v>
      </c>
      <c r="AD147" s="38">
        <f>IF($AE146&lt;=0,0,MIN($AE146,IF(Übersicht!$C$14="Annuitätendarlehen",MAX(0,Übersicht!$C$28-$AC147),IF(Übersicht!$C$14="Ratendarlehen",Übersicht!$C$29,IF($A147&gt;=Übersicht!$C$30,$AE146,0)))))</f>
        <v>0</v>
      </c>
      <c r="AE147" s="38">
        <f>IF($AE146&lt;=0,0,ROUND($AE146-$AD147-IF($AE146-$AD147&lt;=0,0,IF(MOD($A147,Übersicht!$C$25)=0,MIN(Szenarien!$C$12,$AE146-$AD147),0)),2))</f>
        <v>0</v>
      </c>
    </row>
    <row r="148" spans="1:31" ht="15" customHeight="1" x14ac:dyDescent="0.25">
      <c r="A148" s="21">
        <v>141</v>
      </c>
      <c r="B148" s="36">
        <f>IF($D148&lt;=0,"",EDATE(Übersicht!$C$18,($A148-1)*12/Übersicht!$C$25))</f>
        <v>50313</v>
      </c>
      <c r="C148" s="21">
        <f t="shared" si="14"/>
        <v>2037</v>
      </c>
      <c r="D148" s="37">
        <f t="shared" si="18"/>
        <v>93127.59</v>
      </c>
      <c r="E148" s="23">
        <f t="shared" si="15"/>
        <v>1239.58</v>
      </c>
      <c r="F148" s="23">
        <f>IF($D148&lt;=0,0,ROUND($D148*Übersicht!$C$26,2))</f>
        <v>267.74</v>
      </c>
      <c r="G148" s="23">
        <f>IF($D148&lt;=0,0,MIN($D148,IF(Übersicht!$C$14="Annuitätendarlehen",MAX(0,Übersicht!$C$28-$F148),IF(Übersicht!$C$14="Ratendarlehen",Übersicht!$C$29,IF($A148&gt;=Übersicht!$C$30,$D148,0)))))</f>
        <v>971.83999999999992</v>
      </c>
      <c r="H148" s="23">
        <f>IF($D148-$G148&lt;=0,0,IF(MOD($A148,Übersicht!$C$25)=0,MIN(Übersicht!$C$31,$D148-$G148),0))</f>
        <v>0</v>
      </c>
      <c r="I148" s="23">
        <f t="shared" si="16"/>
        <v>1239.58</v>
      </c>
      <c r="J148" s="23">
        <f t="shared" si="17"/>
        <v>92155.75</v>
      </c>
      <c r="K148" s="23">
        <f t="shared" si="19"/>
        <v>71936.52999999997</v>
      </c>
      <c r="L148" s="23">
        <f t="shared" si="20"/>
        <v>157844.25</v>
      </c>
      <c r="M148" s="24">
        <f>IF($D148&lt;=0,"",IF(Übersicht!$C$11=0,0,$L148/Übersicht!$C$11))</f>
        <v>0.63137699999999997</v>
      </c>
      <c r="N148" s="25" t="str">
        <f>IF($D148&lt;=0,"",IF($J148&lt;=0.005,"Volltilgung erreicht",IF($A148=Übersicht!$C$19*Übersicht!$C$25,"Ende der Zinsbindung",IF($H148&gt;0,"Sondertilgung verrechnet",""))))</f>
        <v/>
      </c>
      <c r="Q148" s="38">
        <f>IF($S147&lt;=0,0,ROUND($S147*Übersicht!$C$26,2))</f>
        <v>461.1</v>
      </c>
      <c r="R148" s="38">
        <f>IF($S147&lt;=0,0,MIN($S147,IF(Übersicht!$C$14="Annuitätendarlehen",MAX(0,Übersicht!$C$28-$Q148),IF(Übersicht!$C$14="Ratendarlehen",Übersicht!$C$29,IF($A148&gt;=Übersicht!$C$30,$S147,0)))))</f>
        <v>778.4799999999999</v>
      </c>
      <c r="S148" s="38">
        <f>IF($S147&lt;=0,0,ROUND($S147-$R148-IF($S147-$R148&lt;=0,0,IF(MOD($A148,Übersicht!$C$25)=0,MIN(Szenarien!$C$8,$S147-$R148),0)),2))</f>
        <v>159603.32999999999</v>
      </c>
      <c r="T148" s="38">
        <f>IF($V147&lt;=0,0,ROUND($V147*Übersicht!$C$26,2))</f>
        <v>364.42</v>
      </c>
      <c r="U148" s="38">
        <f>IF($V147&lt;=0,0,MIN($V147,IF(Übersicht!$C$14="Annuitätendarlehen",MAX(0,Übersicht!$C$28-$T148),IF(Übersicht!$C$14="Ratendarlehen",Übersicht!$C$29,IF($A148&gt;=Übersicht!$C$30,$V147,0)))))</f>
        <v>875.15999999999985</v>
      </c>
      <c r="V148" s="38">
        <f>IF($V147&lt;=0,0,ROUND($V147-$U148-IF($V147-$U148&lt;=0,0,IF(MOD($A148,Übersicht!$C$25)=0,MIN(Szenarien!$C$9,$V147-$U148),0)),2))</f>
        <v>125879.59</v>
      </c>
      <c r="W148" s="38">
        <f>IF($Y147&lt;=0,0,ROUND($Y147*Übersicht!$C$26,2))</f>
        <v>267.74</v>
      </c>
      <c r="X148" s="38">
        <f>IF($Y147&lt;=0,0,MIN($Y147,IF(Übersicht!$C$14="Annuitätendarlehen",MAX(0,Übersicht!$C$28-$W148),IF(Übersicht!$C$14="Ratendarlehen",Übersicht!$C$29,IF($A148&gt;=Übersicht!$C$30,$Y147,0)))))</f>
        <v>971.83999999999992</v>
      </c>
      <c r="Y148" s="38">
        <f>IF($Y147&lt;=0,0,ROUND($Y147-$X148-IF($Y147-$X148&lt;=0,0,IF(MOD($A148,Übersicht!$C$25)=0,MIN(Szenarien!$C$10,$Y147-$X148),0)),2))</f>
        <v>92155.75</v>
      </c>
      <c r="Z148" s="38">
        <f>IF($AB147&lt;=0,0,ROUND($AB147*Übersicht!$C$26,2))</f>
        <v>171.06</v>
      </c>
      <c r="AA148" s="38">
        <f>IF($AB147&lt;=0,0,MIN($AB147,IF(Übersicht!$C$14="Annuitätendarlehen",MAX(0,Übersicht!$C$28-$Z148),IF(Übersicht!$C$14="Ratendarlehen",Übersicht!$C$29,IF($A148&gt;=Übersicht!$C$30,$AB147,0)))))</f>
        <v>1068.52</v>
      </c>
      <c r="AB148" s="38">
        <f>IF($AB147&lt;=0,0,ROUND($AB147-$AA148-IF($AB147-$AA148&lt;=0,0,IF(MOD($A148,Übersicht!$C$25)=0,MIN(Szenarien!$C$11,$AB147-$AA148),0)),2))</f>
        <v>58431.94</v>
      </c>
      <c r="AC148" s="38">
        <f>IF($AE147&lt;=0,0,ROUND($AE147*Übersicht!$C$26,2))</f>
        <v>0</v>
      </c>
      <c r="AD148" s="38">
        <f>IF($AE147&lt;=0,0,MIN($AE147,IF(Übersicht!$C$14="Annuitätendarlehen",MAX(0,Übersicht!$C$28-$AC148),IF(Übersicht!$C$14="Ratendarlehen",Übersicht!$C$29,IF($A148&gt;=Übersicht!$C$30,$AE147,0)))))</f>
        <v>0</v>
      </c>
      <c r="AE148" s="38">
        <f>IF($AE147&lt;=0,0,ROUND($AE147-$AD148-IF($AE147-$AD148&lt;=0,0,IF(MOD($A148,Übersicht!$C$25)=0,MIN(Szenarien!$C$12,$AE147-$AD148),0)),2))</f>
        <v>0</v>
      </c>
    </row>
    <row r="149" spans="1:31" ht="15" customHeight="1" x14ac:dyDescent="0.25">
      <c r="A149" s="26">
        <v>142</v>
      </c>
      <c r="B149" s="39">
        <f>IF($D149&lt;=0,"",EDATE(Übersicht!$C$18,($A149-1)*12/Übersicht!$C$25))</f>
        <v>50344</v>
      </c>
      <c r="C149" s="26">
        <f t="shared" si="14"/>
        <v>2037</v>
      </c>
      <c r="D149" s="40">
        <f t="shared" si="18"/>
        <v>92155.75</v>
      </c>
      <c r="E149" s="28">
        <f t="shared" si="15"/>
        <v>1239.58</v>
      </c>
      <c r="F149" s="28">
        <f>IF($D149&lt;=0,0,ROUND($D149*Übersicht!$C$26,2))</f>
        <v>264.95</v>
      </c>
      <c r="G149" s="28">
        <f>IF($D149&lt;=0,0,MIN($D149,IF(Übersicht!$C$14="Annuitätendarlehen",MAX(0,Übersicht!$C$28-$F149),IF(Übersicht!$C$14="Ratendarlehen",Übersicht!$C$29,IF($A149&gt;=Übersicht!$C$30,$D149,0)))))</f>
        <v>974.62999999999988</v>
      </c>
      <c r="H149" s="28">
        <f>IF($D149-$G149&lt;=0,0,IF(MOD($A149,Übersicht!$C$25)=0,MIN(Übersicht!$C$31,$D149-$G149),0))</f>
        <v>0</v>
      </c>
      <c r="I149" s="28">
        <f t="shared" si="16"/>
        <v>1239.58</v>
      </c>
      <c r="J149" s="28">
        <f t="shared" si="17"/>
        <v>91181.119999999995</v>
      </c>
      <c r="K149" s="28">
        <f t="shared" si="19"/>
        <v>72201.479999999967</v>
      </c>
      <c r="L149" s="28">
        <f t="shared" si="20"/>
        <v>158818.88</v>
      </c>
      <c r="M149" s="29">
        <f>IF($D149&lt;=0,"",IF(Übersicht!$C$11=0,0,$L149/Übersicht!$C$11))</f>
        <v>0.63527551999999998</v>
      </c>
      <c r="N149" s="30" t="str">
        <f>IF($D149&lt;=0,"",IF($J149&lt;=0.005,"Volltilgung erreicht",IF($A149=Übersicht!$C$19*Übersicht!$C$25,"Ende der Zinsbindung",IF($H149&gt;0,"Sondertilgung verrechnet",""))))</f>
        <v/>
      </c>
      <c r="Q149" s="38">
        <f>IF($S148&lt;=0,0,ROUND($S148*Übersicht!$C$26,2))</f>
        <v>458.86</v>
      </c>
      <c r="R149" s="38">
        <f>IF($S148&lt;=0,0,MIN($S148,IF(Übersicht!$C$14="Annuitätendarlehen",MAX(0,Übersicht!$C$28-$Q149),IF(Übersicht!$C$14="Ratendarlehen",Übersicht!$C$29,IF($A149&gt;=Übersicht!$C$30,$S148,0)))))</f>
        <v>780.71999999999991</v>
      </c>
      <c r="S149" s="38">
        <f>IF($S148&lt;=0,0,ROUND($S148-$R149-IF($S148-$R149&lt;=0,0,IF(MOD($A149,Übersicht!$C$25)=0,MIN(Szenarien!$C$8,$S148-$R149),0)),2))</f>
        <v>158822.60999999999</v>
      </c>
      <c r="T149" s="38">
        <f>IF($V148&lt;=0,0,ROUND($V148*Übersicht!$C$26,2))</f>
        <v>361.9</v>
      </c>
      <c r="U149" s="38">
        <f>IF($V148&lt;=0,0,MIN($V148,IF(Übersicht!$C$14="Annuitätendarlehen",MAX(0,Übersicht!$C$28-$T149),IF(Übersicht!$C$14="Ratendarlehen",Übersicht!$C$29,IF($A149&gt;=Übersicht!$C$30,$V148,0)))))</f>
        <v>877.68</v>
      </c>
      <c r="V149" s="38">
        <f>IF($V148&lt;=0,0,ROUND($V148-$U149-IF($V148-$U149&lt;=0,0,IF(MOD($A149,Übersicht!$C$25)=0,MIN(Szenarien!$C$9,$V148-$U149),0)),2))</f>
        <v>125001.91</v>
      </c>
      <c r="W149" s="38">
        <f>IF($Y148&lt;=0,0,ROUND($Y148*Übersicht!$C$26,2))</f>
        <v>264.95</v>
      </c>
      <c r="X149" s="38">
        <f>IF($Y148&lt;=0,0,MIN($Y148,IF(Übersicht!$C$14="Annuitätendarlehen",MAX(0,Übersicht!$C$28-$W149),IF(Übersicht!$C$14="Ratendarlehen",Übersicht!$C$29,IF($A149&gt;=Übersicht!$C$30,$Y148,0)))))</f>
        <v>974.62999999999988</v>
      </c>
      <c r="Y149" s="38">
        <f>IF($Y148&lt;=0,0,ROUND($Y148-$X149-IF($Y148-$X149&lt;=0,0,IF(MOD($A149,Übersicht!$C$25)=0,MIN(Szenarien!$C$10,$Y148-$X149),0)),2))</f>
        <v>91181.119999999995</v>
      </c>
      <c r="Z149" s="38">
        <f>IF($AB148&lt;=0,0,ROUND($AB148*Übersicht!$C$26,2))</f>
        <v>167.99</v>
      </c>
      <c r="AA149" s="38">
        <f>IF($AB148&lt;=0,0,MIN($AB148,IF(Übersicht!$C$14="Annuitätendarlehen",MAX(0,Übersicht!$C$28-$Z149),IF(Übersicht!$C$14="Ratendarlehen",Übersicht!$C$29,IF($A149&gt;=Übersicht!$C$30,$AB148,0)))))</f>
        <v>1071.5899999999999</v>
      </c>
      <c r="AB149" s="38">
        <f>IF($AB148&lt;=0,0,ROUND($AB148-$AA149-IF($AB148-$AA149&lt;=0,0,IF(MOD($A149,Übersicht!$C$25)=0,MIN(Szenarien!$C$11,$AB148-$AA149),0)),2))</f>
        <v>57360.35</v>
      </c>
      <c r="AC149" s="38">
        <f>IF($AE148&lt;=0,0,ROUND($AE148*Übersicht!$C$26,2))</f>
        <v>0</v>
      </c>
      <c r="AD149" s="38">
        <f>IF($AE148&lt;=0,0,MIN($AE148,IF(Übersicht!$C$14="Annuitätendarlehen",MAX(0,Übersicht!$C$28-$AC149),IF(Übersicht!$C$14="Ratendarlehen",Übersicht!$C$29,IF($A149&gt;=Übersicht!$C$30,$AE148,0)))))</f>
        <v>0</v>
      </c>
      <c r="AE149" s="38">
        <f>IF($AE148&lt;=0,0,ROUND($AE148-$AD149-IF($AE148-$AD149&lt;=0,0,IF(MOD($A149,Übersicht!$C$25)=0,MIN(Szenarien!$C$12,$AE148-$AD149),0)),2))</f>
        <v>0</v>
      </c>
    </row>
    <row r="150" spans="1:31" ht="15" customHeight="1" x14ac:dyDescent="0.25">
      <c r="A150" s="21">
        <v>143</v>
      </c>
      <c r="B150" s="36">
        <f>IF($D150&lt;=0,"",EDATE(Übersicht!$C$18,($A150-1)*12/Übersicht!$C$25))</f>
        <v>50374</v>
      </c>
      <c r="C150" s="21">
        <f t="shared" si="14"/>
        <v>2037</v>
      </c>
      <c r="D150" s="37">
        <f t="shared" si="18"/>
        <v>91181.119999999995</v>
      </c>
      <c r="E150" s="23">
        <f t="shared" si="15"/>
        <v>1239.58</v>
      </c>
      <c r="F150" s="23">
        <f>IF($D150&lt;=0,0,ROUND($D150*Übersicht!$C$26,2))</f>
        <v>262.14999999999998</v>
      </c>
      <c r="G150" s="23">
        <f>IF($D150&lt;=0,0,MIN($D150,IF(Übersicht!$C$14="Annuitätendarlehen",MAX(0,Übersicht!$C$28-$F150),IF(Übersicht!$C$14="Ratendarlehen",Übersicht!$C$29,IF($A150&gt;=Übersicht!$C$30,$D150,0)))))</f>
        <v>977.43</v>
      </c>
      <c r="H150" s="23">
        <f>IF($D150-$G150&lt;=0,0,IF(MOD($A150,Übersicht!$C$25)=0,MIN(Übersicht!$C$31,$D150-$G150),0))</f>
        <v>0</v>
      </c>
      <c r="I150" s="23">
        <f t="shared" si="16"/>
        <v>1239.58</v>
      </c>
      <c r="J150" s="23">
        <f t="shared" si="17"/>
        <v>90203.69</v>
      </c>
      <c r="K150" s="23">
        <f t="shared" si="19"/>
        <v>72463.629999999961</v>
      </c>
      <c r="L150" s="23">
        <f t="shared" si="20"/>
        <v>159796.31</v>
      </c>
      <c r="M150" s="24">
        <f>IF($D150&lt;=0,"",IF(Übersicht!$C$11=0,0,$L150/Übersicht!$C$11))</f>
        <v>0.63918523999999999</v>
      </c>
      <c r="N150" s="25" t="str">
        <f>IF($D150&lt;=0,"",IF($J150&lt;=0.005,"Volltilgung erreicht",IF($A150=Übersicht!$C$19*Übersicht!$C$25,"Ende der Zinsbindung",IF($H150&gt;0,"Sondertilgung verrechnet",""))))</f>
        <v/>
      </c>
      <c r="Q150" s="38">
        <f>IF($S149&lt;=0,0,ROUND($S149*Übersicht!$C$26,2))</f>
        <v>456.62</v>
      </c>
      <c r="R150" s="38">
        <f>IF($S149&lt;=0,0,MIN($S149,IF(Übersicht!$C$14="Annuitätendarlehen",MAX(0,Übersicht!$C$28-$Q150),IF(Übersicht!$C$14="Ratendarlehen",Übersicht!$C$29,IF($A150&gt;=Übersicht!$C$30,$S149,0)))))</f>
        <v>782.95999999999992</v>
      </c>
      <c r="S150" s="38">
        <f>IF($S149&lt;=0,0,ROUND($S149-$R150-IF($S149-$R150&lt;=0,0,IF(MOD($A150,Übersicht!$C$25)=0,MIN(Szenarien!$C$8,$S149-$R150),0)),2))</f>
        <v>158039.65</v>
      </c>
      <c r="T150" s="38">
        <f>IF($V149&lt;=0,0,ROUND($V149*Übersicht!$C$26,2))</f>
        <v>359.38</v>
      </c>
      <c r="U150" s="38">
        <f>IF($V149&lt;=0,0,MIN($V149,IF(Übersicht!$C$14="Annuitätendarlehen",MAX(0,Übersicht!$C$28-$T150),IF(Übersicht!$C$14="Ratendarlehen",Übersicht!$C$29,IF($A150&gt;=Übersicht!$C$30,$V149,0)))))</f>
        <v>880.19999999999993</v>
      </c>
      <c r="V150" s="38">
        <f>IF($V149&lt;=0,0,ROUND($V149-$U150-IF($V149-$U150&lt;=0,0,IF(MOD($A150,Übersicht!$C$25)=0,MIN(Szenarien!$C$9,$V149-$U150),0)),2))</f>
        <v>124121.71</v>
      </c>
      <c r="W150" s="38">
        <f>IF($Y149&lt;=0,0,ROUND($Y149*Übersicht!$C$26,2))</f>
        <v>262.14999999999998</v>
      </c>
      <c r="X150" s="38">
        <f>IF($Y149&lt;=0,0,MIN($Y149,IF(Übersicht!$C$14="Annuitätendarlehen",MAX(0,Übersicht!$C$28-$W150),IF(Übersicht!$C$14="Ratendarlehen",Übersicht!$C$29,IF($A150&gt;=Übersicht!$C$30,$Y149,0)))))</f>
        <v>977.43</v>
      </c>
      <c r="Y150" s="38">
        <f>IF($Y149&lt;=0,0,ROUND($Y149-$X150-IF($Y149-$X150&lt;=0,0,IF(MOD($A150,Übersicht!$C$25)=0,MIN(Szenarien!$C$10,$Y149-$X150),0)),2))</f>
        <v>90203.69</v>
      </c>
      <c r="Z150" s="38">
        <f>IF($AB149&lt;=0,0,ROUND($AB149*Übersicht!$C$26,2))</f>
        <v>164.91</v>
      </c>
      <c r="AA150" s="38">
        <f>IF($AB149&lt;=0,0,MIN($AB149,IF(Übersicht!$C$14="Annuitätendarlehen",MAX(0,Übersicht!$C$28-$Z150),IF(Übersicht!$C$14="Ratendarlehen",Übersicht!$C$29,IF($A150&gt;=Übersicht!$C$30,$AB149,0)))))</f>
        <v>1074.6699999999998</v>
      </c>
      <c r="AB150" s="38">
        <f>IF($AB149&lt;=0,0,ROUND($AB149-$AA150-IF($AB149-$AA150&lt;=0,0,IF(MOD($A150,Übersicht!$C$25)=0,MIN(Szenarien!$C$11,$AB149-$AA150),0)),2))</f>
        <v>56285.68</v>
      </c>
      <c r="AC150" s="38">
        <f>IF($AE149&lt;=0,0,ROUND($AE149*Übersicht!$C$26,2))</f>
        <v>0</v>
      </c>
      <c r="AD150" s="38">
        <f>IF($AE149&lt;=0,0,MIN($AE149,IF(Übersicht!$C$14="Annuitätendarlehen",MAX(0,Übersicht!$C$28-$AC150),IF(Übersicht!$C$14="Ratendarlehen",Übersicht!$C$29,IF($A150&gt;=Übersicht!$C$30,$AE149,0)))))</f>
        <v>0</v>
      </c>
      <c r="AE150" s="38">
        <f>IF($AE149&lt;=0,0,ROUND($AE149-$AD150-IF($AE149-$AD150&lt;=0,0,IF(MOD($A150,Übersicht!$C$25)=0,MIN(Szenarien!$C$12,$AE149-$AD150),0)),2))</f>
        <v>0</v>
      </c>
    </row>
    <row r="151" spans="1:31" ht="15" customHeight="1" x14ac:dyDescent="0.25">
      <c r="A151" s="26">
        <v>144</v>
      </c>
      <c r="B151" s="39">
        <f>IF($D151&lt;=0,"",EDATE(Übersicht!$C$18,($A151-1)*12/Übersicht!$C$25))</f>
        <v>50405</v>
      </c>
      <c r="C151" s="26">
        <f t="shared" si="14"/>
        <v>2037</v>
      </c>
      <c r="D151" s="40">
        <f t="shared" si="18"/>
        <v>90203.69</v>
      </c>
      <c r="E151" s="28">
        <f t="shared" si="15"/>
        <v>1239.58</v>
      </c>
      <c r="F151" s="28">
        <f>IF($D151&lt;=0,0,ROUND($D151*Übersicht!$C$26,2))</f>
        <v>259.33999999999997</v>
      </c>
      <c r="G151" s="28">
        <f>IF($D151&lt;=0,0,MIN($D151,IF(Übersicht!$C$14="Annuitätendarlehen",MAX(0,Übersicht!$C$28-$F151),IF(Übersicht!$C$14="Ratendarlehen",Übersicht!$C$29,IF($A151&gt;=Übersicht!$C$30,$D151,0)))))</f>
        <v>980.24</v>
      </c>
      <c r="H151" s="28">
        <f>IF($D151-$G151&lt;=0,0,IF(MOD($A151,Übersicht!$C$25)=0,MIN(Übersicht!$C$31,$D151-$G151),0))</f>
        <v>5000</v>
      </c>
      <c r="I151" s="28">
        <f t="shared" si="16"/>
        <v>6239.58</v>
      </c>
      <c r="J151" s="28">
        <f t="shared" si="17"/>
        <v>84223.45</v>
      </c>
      <c r="K151" s="28">
        <f t="shared" si="19"/>
        <v>72722.969999999958</v>
      </c>
      <c r="L151" s="28">
        <f t="shared" si="20"/>
        <v>165776.54999999999</v>
      </c>
      <c r="M151" s="29">
        <f>IF($D151&lt;=0,"",IF(Übersicht!$C$11=0,0,$L151/Übersicht!$C$11))</f>
        <v>0.66310619999999998</v>
      </c>
      <c r="N151" s="30" t="str">
        <f>IF($D151&lt;=0,"",IF($J151&lt;=0.005,"Volltilgung erreicht",IF($A151=Übersicht!$C$19*Übersicht!$C$25,"Ende der Zinsbindung",IF($H151&gt;0,"Sondertilgung verrechnet",""))))</f>
        <v>Sondertilgung verrechnet</v>
      </c>
      <c r="Q151" s="38">
        <f>IF($S150&lt;=0,0,ROUND($S150*Übersicht!$C$26,2))</f>
        <v>454.36</v>
      </c>
      <c r="R151" s="38">
        <f>IF($S150&lt;=0,0,MIN($S150,IF(Übersicht!$C$14="Annuitätendarlehen",MAX(0,Übersicht!$C$28-$Q151),IF(Übersicht!$C$14="Ratendarlehen",Übersicht!$C$29,IF($A151&gt;=Übersicht!$C$30,$S150,0)))))</f>
        <v>785.21999999999991</v>
      </c>
      <c r="S151" s="38">
        <f>IF($S150&lt;=0,0,ROUND($S150-$R151-IF($S150-$R151&lt;=0,0,IF(MOD($A151,Übersicht!$C$25)=0,MIN(Szenarien!$C$8,$S150-$R151),0)),2))</f>
        <v>157254.43</v>
      </c>
      <c r="T151" s="38">
        <f>IF($V150&lt;=0,0,ROUND($V150*Übersicht!$C$26,2))</f>
        <v>356.85</v>
      </c>
      <c r="U151" s="38">
        <f>IF($V150&lt;=0,0,MIN($V150,IF(Übersicht!$C$14="Annuitätendarlehen",MAX(0,Übersicht!$C$28-$T151),IF(Übersicht!$C$14="Ratendarlehen",Übersicht!$C$29,IF($A151&gt;=Übersicht!$C$30,$V150,0)))))</f>
        <v>882.7299999999999</v>
      </c>
      <c r="V151" s="38">
        <f>IF($V150&lt;=0,0,ROUND($V150-$U151-IF($V150-$U151&lt;=0,0,IF(MOD($A151,Übersicht!$C$25)=0,MIN(Szenarien!$C$9,$V150-$U151),0)),2))</f>
        <v>120738.98</v>
      </c>
      <c r="W151" s="38">
        <f>IF($Y150&lt;=0,0,ROUND($Y150*Übersicht!$C$26,2))</f>
        <v>259.33999999999997</v>
      </c>
      <c r="X151" s="38">
        <f>IF($Y150&lt;=0,0,MIN($Y150,IF(Übersicht!$C$14="Annuitätendarlehen",MAX(0,Übersicht!$C$28-$W151),IF(Übersicht!$C$14="Ratendarlehen",Übersicht!$C$29,IF($A151&gt;=Übersicht!$C$30,$Y150,0)))))</f>
        <v>980.24</v>
      </c>
      <c r="Y151" s="38">
        <f>IF($Y150&lt;=0,0,ROUND($Y150-$X151-IF($Y150-$X151&lt;=0,0,IF(MOD($A151,Übersicht!$C$25)=0,MIN(Szenarien!$C$10,$Y150-$X151),0)),2))</f>
        <v>84223.45</v>
      </c>
      <c r="Z151" s="38">
        <f>IF($AB150&lt;=0,0,ROUND($AB150*Übersicht!$C$26,2))</f>
        <v>161.82</v>
      </c>
      <c r="AA151" s="38">
        <f>IF($AB150&lt;=0,0,MIN($AB150,IF(Übersicht!$C$14="Annuitätendarlehen",MAX(0,Übersicht!$C$28-$Z151),IF(Übersicht!$C$14="Ratendarlehen",Übersicht!$C$29,IF($A151&gt;=Übersicht!$C$30,$AB150,0)))))</f>
        <v>1077.76</v>
      </c>
      <c r="AB151" s="38">
        <f>IF($AB150&lt;=0,0,ROUND($AB150-$AA151-IF($AB150-$AA151&lt;=0,0,IF(MOD($A151,Übersicht!$C$25)=0,MIN(Szenarien!$C$11,$AB150-$AA151),0)),2))</f>
        <v>47707.92</v>
      </c>
      <c r="AC151" s="38">
        <f>IF($AE150&lt;=0,0,ROUND($AE150*Übersicht!$C$26,2))</f>
        <v>0</v>
      </c>
      <c r="AD151" s="38">
        <f>IF($AE150&lt;=0,0,MIN($AE150,IF(Übersicht!$C$14="Annuitätendarlehen",MAX(0,Übersicht!$C$28-$AC151),IF(Übersicht!$C$14="Ratendarlehen",Übersicht!$C$29,IF($A151&gt;=Übersicht!$C$30,$AE150,0)))))</f>
        <v>0</v>
      </c>
      <c r="AE151" s="38">
        <f>IF($AE150&lt;=0,0,ROUND($AE150-$AD151-IF($AE150-$AD151&lt;=0,0,IF(MOD($A151,Übersicht!$C$25)=0,MIN(Szenarien!$C$12,$AE150-$AD151),0)),2))</f>
        <v>0</v>
      </c>
    </row>
    <row r="152" spans="1:31" ht="15" customHeight="1" x14ac:dyDescent="0.25">
      <c r="A152" s="21">
        <v>145</v>
      </c>
      <c r="B152" s="36">
        <f>IF($D152&lt;=0,"",EDATE(Übersicht!$C$18,($A152-1)*12/Übersicht!$C$25))</f>
        <v>50436</v>
      </c>
      <c r="C152" s="21">
        <f t="shared" si="14"/>
        <v>2038</v>
      </c>
      <c r="D152" s="37">
        <f t="shared" si="18"/>
        <v>84223.45</v>
      </c>
      <c r="E152" s="23">
        <f t="shared" si="15"/>
        <v>1239.58</v>
      </c>
      <c r="F152" s="23">
        <f>IF($D152&lt;=0,0,ROUND($D152*Übersicht!$C$26,2))</f>
        <v>242.14</v>
      </c>
      <c r="G152" s="23">
        <f>IF($D152&lt;=0,0,MIN($D152,IF(Übersicht!$C$14="Annuitätendarlehen",MAX(0,Übersicht!$C$28-$F152),IF(Übersicht!$C$14="Ratendarlehen",Übersicht!$C$29,IF($A152&gt;=Übersicht!$C$30,$D152,0)))))</f>
        <v>997.43999999999994</v>
      </c>
      <c r="H152" s="23">
        <f>IF($D152-$G152&lt;=0,0,IF(MOD($A152,Übersicht!$C$25)=0,MIN(Übersicht!$C$31,$D152-$G152),0))</f>
        <v>0</v>
      </c>
      <c r="I152" s="23">
        <f t="shared" si="16"/>
        <v>1239.58</v>
      </c>
      <c r="J152" s="23">
        <f t="shared" si="17"/>
        <v>83226.009999999995</v>
      </c>
      <c r="K152" s="23">
        <f t="shared" si="19"/>
        <v>72965.109999999957</v>
      </c>
      <c r="L152" s="23">
        <f t="shared" si="20"/>
        <v>166773.99</v>
      </c>
      <c r="M152" s="24">
        <f>IF($D152&lt;=0,"",IF(Übersicht!$C$11=0,0,$L152/Übersicht!$C$11))</f>
        <v>0.66709595999999993</v>
      </c>
      <c r="N152" s="25" t="str">
        <f>IF($D152&lt;=0,"",IF($J152&lt;=0.005,"Volltilgung erreicht",IF($A152=Übersicht!$C$19*Übersicht!$C$25,"Ende der Zinsbindung",IF($H152&gt;0,"Sondertilgung verrechnet",""))))</f>
        <v/>
      </c>
      <c r="Q152" s="38">
        <f>IF($S151&lt;=0,0,ROUND($S151*Übersicht!$C$26,2))</f>
        <v>452.11</v>
      </c>
      <c r="R152" s="38">
        <f>IF($S151&lt;=0,0,MIN($S151,IF(Übersicht!$C$14="Annuitätendarlehen",MAX(0,Übersicht!$C$28-$Q152),IF(Übersicht!$C$14="Ratendarlehen",Übersicht!$C$29,IF($A152&gt;=Übersicht!$C$30,$S151,0)))))</f>
        <v>787.46999999999991</v>
      </c>
      <c r="S152" s="38">
        <f>IF($S151&lt;=0,0,ROUND($S151-$R152-IF($S151-$R152&lt;=0,0,IF(MOD($A152,Übersicht!$C$25)=0,MIN(Szenarien!$C$8,$S151-$R152),0)),2))</f>
        <v>156466.96</v>
      </c>
      <c r="T152" s="38">
        <f>IF($V151&lt;=0,0,ROUND($V151*Übersicht!$C$26,2))</f>
        <v>347.12</v>
      </c>
      <c r="U152" s="38">
        <f>IF($V151&lt;=0,0,MIN($V151,IF(Übersicht!$C$14="Annuitätendarlehen",MAX(0,Übersicht!$C$28-$T152),IF(Übersicht!$C$14="Ratendarlehen",Übersicht!$C$29,IF($A152&gt;=Übersicht!$C$30,$V151,0)))))</f>
        <v>892.45999999999992</v>
      </c>
      <c r="V152" s="38">
        <f>IF($V151&lt;=0,0,ROUND($V151-$U152-IF($V151-$U152&lt;=0,0,IF(MOD($A152,Übersicht!$C$25)=0,MIN(Szenarien!$C$9,$V151-$U152),0)),2))</f>
        <v>119846.52</v>
      </c>
      <c r="W152" s="38">
        <f>IF($Y151&lt;=0,0,ROUND($Y151*Übersicht!$C$26,2))</f>
        <v>242.14</v>
      </c>
      <c r="X152" s="38">
        <f>IF($Y151&lt;=0,0,MIN($Y151,IF(Übersicht!$C$14="Annuitätendarlehen",MAX(0,Übersicht!$C$28-$W152),IF(Übersicht!$C$14="Ratendarlehen",Übersicht!$C$29,IF($A152&gt;=Übersicht!$C$30,$Y151,0)))))</f>
        <v>997.43999999999994</v>
      </c>
      <c r="Y152" s="38">
        <f>IF($Y151&lt;=0,0,ROUND($Y151-$X152-IF($Y151-$X152&lt;=0,0,IF(MOD($A152,Übersicht!$C$25)=0,MIN(Szenarien!$C$10,$Y151-$X152),0)),2))</f>
        <v>83226.009999999995</v>
      </c>
      <c r="Z152" s="38">
        <f>IF($AB151&lt;=0,0,ROUND($AB151*Übersicht!$C$26,2))</f>
        <v>137.16</v>
      </c>
      <c r="AA152" s="38">
        <f>IF($AB151&lt;=0,0,MIN($AB151,IF(Übersicht!$C$14="Annuitätendarlehen",MAX(0,Übersicht!$C$28-$Z152),IF(Übersicht!$C$14="Ratendarlehen",Übersicht!$C$29,IF($A152&gt;=Übersicht!$C$30,$AB151,0)))))</f>
        <v>1102.4199999999998</v>
      </c>
      <c r="AB152" s="38">
        <f>IF($AB151&lt;=0,0,ROUND($AB151-$AA152-IF($AB151-$AA152&lt;=0,0,IF(MOD($A152,Übersicht!$C$25)=0,MIN(Szenarien!$C$11,$AB151-$AA152),0)),2))</f>
        <v>46605.5</v>
      </c>
      <c r="AC152" s="38">
        <f>IF($AE151&lt;=0,0,ROUND($AE151*Übersicht!$C$26,2))</f>
        <v>0</v>
      </c>
      <c r="AD152" s="38">
        <f>IF($AE151&lt;=0,0,MIN($AE151,IF(Übersicht!$C$14="Annuitätendarlehen",MAX(0,Übersicht!$C$28-$AC152),IF(Übersicht!$C$14="Ratendarlehen",Übersicht!$C$29,IF($A152&gt;=Übersicht!$C$30,$AE151,0)))))</f>
        <v>0</v>
      </c>
      <c r="AE152" s="38">
        <f>IF($AE151&lt;=0,0,ROUND($AE151-$AD152-IF($AE151-$AD152&lt;=0,0,IF(MOD($A152,Übersicht!$C$25)=0,MIN(Szenarien!$C$12,$AE151-$AD152),0)),2))</f>
        <v>0</v>
      </c>
    </row>
    <row r="153" spans="1:31" ht="15" customHeight="1" x14ac:dyDescent="0.25">
      <c r="A153" s="26">
        <v>146</v>
      </c>
      <c r="B153" s="39">
        <f>IF($D153&lt;=0,"",EDATE(Übersicht!$C$18,($A153-1)*12/Übersicht!$C$25))</f>
        <v>50464</v>
      </c>
      <c r="C153" s="26">
        <f t="shared" si="14"/>
        <v>2038</v>
      </c>
      <c r="D153" s="40">
        <f t="shared" si="18"/>
        <v>83226.009999999995</v>
      </c>
      <c r="E153" s="28">
        <f t="shared" si="15"/>
        <v>1239.58</v>
      </c>
      <c r="F153" s="28">
        <f>IF($D153&lt;=0,0,ROUND($D153*Übersicht!$C$26,2))</f>
        <v>239.27</v>
      </c>
      <c r="G153" s="28">
        <f>IF($D153&lt;=0,0,MIN($D153,IF(Übersicht!$C$14="Annuitätendarlehen",MAX(0,Übersicht!$C$28-$F153),IF(Übersicht!$C$14="Ratendarlehen",Übersicht!$C$29,IF($A153&gt;=Übersicht!$C$30,$D153,0)))))</f>
        <v>1000.31</v>
      </c>
      <c r="H153" s="28">
        <f>IF($D153-$G153&lt;=0,0,IF(MOD($A153,Übersicht!$C$25)=0,MIN(Übersicht!$C$31,$D153-$G153),0))</f>
        <v>0</v>
      </c>
      <c r="I153" s="28">
        <f t="shared" si="16"/>
        <v>1239.58</v>
      </c>
      <c r="J153" s="28">
        <f t="shared" si="17"/>
        <v>82225.7</v>
      </c>
      <c r="K153" s="28">
        <f t="shared" si="19"/>
        <v>73204.379999999961</v>
      </c>
      <c r="L153" s="28">
        <f t="shared" si="20"/>
        <v>167774.3</v>
      </c>
      <c r="M153" s="29">
        <f>IF($D153&lt;=0,"",IF(Übersicht!$C$11=0,0,$L153/Übersicht!$C$11))</f>
        <v>0.67109719999999995</v>
      </c>
      <c r="N153" s="30" t="str">
        <f>IF($D153&lt;=0,"",IF($J153&lt;=0.005,"Volltilgung erreicht",IF($A153=Übersicht!$C$19*Übersicht!$C$25,"Ende der Zinsbindung",IF($H153&gt;0,"Sondertilgung verrechnet",""))))</f>
        <v/>
      </c>
      <c r="Q153" s="38">
        <f>IF($S152&lt;=0,0,ROUND($S152*Übersicht!$C$26,2))</f>
        <v>449.84</v>
      </c>
      <c r="R153" s="38">
        <f>IF($S152&lt;=0,0,MIN($S152,IF(Übersicht!$C$14="Annuitätendarlehen",MAX(0,Übersicht!$C$28-$Q153),IF(Übersicht!$C$14="Ratendarlehen",Übersicht!$C$29,IF($A153&gt;=Übersicht!$C$30,$S152,0)))))</f>
        <v>789.74</v>
      </c>
      <c r="S153" s="38">
        <f>IF($S152&lt;=0,0,ROUND($S152-$R153-IF($S152-$R153&lt;=0,0,IF(MOD($A153,Übersicht!$C$25)=0,MIN(Szenarien!$C$8,$S152-$R153),0)),2))</f>
        <v>155677.22</v>
      </c>
      <c r="T153" s="38">
        <f>IF($V152&lt;=0,0,ROUND($V152*Übersicht!$C$26,2))</f>
        <v>344.56</v>
      </c>
      <c r="U153" s="38">
        <f>IF($V152&lt;=0,0,MIN($V152,IF(Übersicht!$C$14="Annuitätendarlehen",MAX(0,Übersicht!$C$28-$T153),IF(Übersicht!$C$14="Ratendarlehen",Übersicht!$C$29,IF($A153&gt;=Übersicht!$C$30,$V152,0)))))</f>
        <v>895.02</v>
      </c>
      <c r="V153" s="38">
        <f>IF($V152&lt;=0,0,ROUND($V152-$U153-IF($V152-$U153&lt;=0,0,IF(MOD($A153,Übersicht!$C$25)=0,MIN(Szenarien!$C$9,$V152-$U153),0)),2))</f>
        <v>118951.5</v>
      </c>
      <c r="W153" s="38">
        <f>IF($Y152&lt;=0,0,ROUND($Y152*Übersicht!$C$26,2))</f>
        <v>239.27</v>
      </c>
      <c r="X153" s="38">
        <f>IF($Y152&lt;=0,0,MIN($Y152,IF(Übersicht!$C$14="Annuitätendarlehen",MAX(0,Übersicht!$C$28-$W153),IF(Übersicht!$C$14="Ratendarlehen",Übersicht!$C$29,IF($A153&gt;=Übersicht!$C$30,$Y152,0)))))</f>
        <v>1000.31</v>
      </c>
      <c r="Y153" s="38">
        <f>IF($Y152&lt;=0,0,ROUND($Y152-$X153-IF($Y152-$X153&lt;=0,0,IF(MOD($A153,Übersicht!$C$25)=0,MIN(Szenarien!$C$10,$Y152-$X153),0)),2))</f>
        <v>82225.7</v>
      </c>
      <c r="Z153" s="38">
        <f>IF($AB152&lt;=0,0,ROUND($AB152*Übersicht!$C$26,2))</f>
        <v>133.99</v>
      </c>
      <c r="AA153" s="38">
        <f>IF($AB152&lt;=0,0,MIN($AB152,IF(Übersicht!$C$14="Annuitätendarlehen",MAX(0,Übersicht!$C$28-$Z153),IF(Übersicht!$C$14="Ratendarlehen",Übersicht!$C$29,IF($A153&gt;=Übersicht!$C$30,$AB152,0)))))</f>
        <v>1105.5899999999999</v>
      </c>
      <c r="AB153" s="38">
        <f>IF($AB152&lt;=0,0,ROUND($AB152-$AA153-IF($AB152-$AA153&lt;=0,0,IF(MOD($A153,Übersicht!$C$25)=0,MIN(Szenarien!$C$11,$AB152-$AA153),0)),2))</f>
        <v>45499.91</v>
      </c>
      <c r="AC153" s="38">
        <f>IF($AE152&lt;=0,0,ROUND($AE152*Übersicht!$C$26,2))</f>
        <v>0</v>
      </c>
      <c r="AD153" s="38">
        <f>IF($AE152&lt;=0,0,MIN($AE152,IF(Übersicht!$C$14="Annuitätendarlehen",MAX(0,Übersicht!$C$28-$AC153),IF(Übersicht!$C$14="Ratendarlehen",Übersicht!$C$29,IF($A153&gt;=Übersicht!$C$30,$AE152,0)))))</f>
        <v>0</v>
      </c>
      <c r="AE153" s="38">
        <f>IF($AE152&lt;=0,0,ROUND($AE152-$AD153-IF($AE152-$AD153&lt;=0,0,IF(MOD($A153,Übersicht!$C$25)=0,MIN(Szenarien!$C$12,$AE152-$AD153),0)),2))</f>
        <v>0</v>
      </c>
    </row>
    <row r="154" spans="1:31" ht="15" customHeight="1" x14ac:dyDescent="0.25">
      <c r="A154" s="21">
        <v>147</v>
      </c>
      <c r="B154" s="36">
        <f>IF($D154&lt;=0,"",EDATE(Übersicht!$C$18,($A154-1)*12/Übersicht!$C$25))</f>
        <v>50495</v>
      </c>
      <c r="C154" s="21">
        <f t="shared" si="14"/>
        <v>2038</v>
      </c>
      <c r="D154" s="37">
        <f t="shared" si="18"/>
        <v>82225.7</v>
      </c>
      <c r="E154" s="23">
        <f t="shared" si="15"/>
        <v>1239.58</v>
      </c>
      <c r="F154" s="23">
        <f>IF($D154&lt;=0,0,ROUND($D154*Übersicht!$C$26,2))</f>
        <v>236.4</v>
      </c>
      <c r="G154" s="23">
        <f>IF($D154&lt;=0,0,MIN($D154,IF(Übersicht!$C$14="Annuitätendarlehen",MAX(0,Übersicht!$C$28-$F154),IF(Übersicht!$C$14="Ratendarlehen",Übersicht!$C$29,IF($A154&gt;=Übersicht!$C$30,$D154,0)))))</f>
        <v>1003.18</v>
      </c>
      <c r="H154" s="23">
        <f>IF($D154-$G154&lt;=0,0,IF(MOD($A154,Übersicht!$C$25)=0,MIN(Übersicht!$C$31,$D154-$G154),0))</f>
        <v>0</v>
      </c>
      <c r="I154" s="23">
        <f t="shared" si="16"/>
        <v>1239.58</v>
      </c>
      <c r="J154" s="23">
        <f t="shared" si="17"/>
        <v>81222.52</v>
      </c>
      <c r="K154" s="23">
        <f t="shared" si="19"/>
        <v>73440.779999999955</v>
      </c>
      <c r="L154" s="23">
        <f t="shared" si="20"/>
        <v>168777.48</v>
      </c>
      <c r="M154" s="24">
        <f>IF($D154&lt;=0,"",IF(Übersicht!$C$11=0,0,$L154/Übersicht!$C$11))</f>
        <v>0.67510992000000003</v>
      </c>
      <c r="N154" s="25" t="str">
        <f>IF($D154&lt;=0,"",IF($J154&lt;=0.005,"Volltilgung erreicht",IF($A154=Übersicht!$C$19*Übersicht!$C$25,"Ende der Zinsbindung",IF($H154&gt;0,"Sondertilgung verrechnet",""))))</f>
        <v/>
      </c>
      <c r="Q154" s="38">
        <f>IF($S153&lt;=0,0,ROUND($S153*Übersicht!$C$26,2))</f>
        <v>447.57</v>
      </c>
      <c r="R154" s="38">
        <f>IF($S153&lt;=0,0,MIN($S153,IF(Übersicht!$C$14="Annuitätendarlehen",MAX(0,Übersicht!$C$28-$Q154),IF(Übersicht!$C$14="Ratendarlehen",Übersicht!$C$29,IF($A154&gt;=Übersicht!$C$30,$S153,0)))))</f>
        <v>792.01</v>
      </c>
      <c r="S154" s="38">
        <f>IF($S153&lt;=0,0,ROUND($S153-$R154-IF($S153-$R154&lt;=0,0,IF(MOD($A154,Übersicht!$C$25)=0,MIN(Szenarien!$C$8,$S153-$R154),0)),2))</f>
        <v>154885.21</v>
      </c>
      <c r="T154" s="38">
        <f>IF($V153&lt;=0,0,ROUND($V153*Übersicht!$C$26,2))</f>
        <v>341.99</v>
      </c>
      <c r="U154" s="38">
        <f>IF($V153&lt;=0,0,MIN($V153,IF(Übersicht!$C$14="Annuitätendarlehen",MAX(0,Übersicht!$C$28-$T154),IF(Übersicht!$C$14="Ratendarlehen",Übersicht!$C$29,IF($A154&gt;=Übersicht!$C$30,$V153,0)))))</f>
        <v>897.58999999999992</v>
      </c>
      <c r="V154" s="38">
        <f>IF($V153&lt;=0,0,ROUND($V153-$U154-IF($V153-$U154&lt;=0,0,IF(MOD($A154,Übersicht!$C$25)=0,MIN(Szenarien!$C$9,$V153-$U154),0)),2))</f>
        <v>118053.91</v>
      </c>
      <c r="W154" s="38">
        <f>IF($Y153&lt;=0,0,ROUND($Y153*Übersicht!$C$26,2))</f>
        <v>236.4</v>
      </c>
      <c r="X154" s="38">
        <f>IF($Y153&lt;=0,0,MIN($Y153,IF(Übersicht!$C$14="Annuitätendarlehen",MAX(0,Übersicht!$C$28-$W154),IF(Übersicht!$C$14="Ratendarlehen",Übersicht!$C$29,IF($A154&gt;=Übersicht!$C$30,$Y153,0)))))</f>
        <v>1003.18</v>
      </c>
      <c r="Y154" s="38">
        <f>IF($Y153&lt;=0,0,ROUND($Y153-$X154-IF($Y153-$X154&lt;=0,0,IF(MOD($A154,Übersicht!$C$25)=0,MIN(Szenarien!$C$10,$Y153-$X154),0)),2))</f>
        <v>81222.52</v>
      </c>
      <c r="Z154" s="38">
        <f>IF($AB153&lt;=0,0,ROUND($AB153*Übersicht!$C$26,2))</f>
        <v>130.81</v>
      </c>
      <c r="AA154" s="38">
        <f>IF($AB153&lt;=0,0,MIN($AB153,IF(Übersicht!$C$14="Annuitätendarlehen",MAX(0,Übersicht!$C$28-$Z154),IF(Übersicht!$C$14="Ratendarlehen",Übersicht!$C$29,IF($A154&gt;=Übersicht!$C$30,$AB153,0)))))</f>
        <v>1108.77</v>
      </c>
      <c r="AB154" s="38">
        <f>IF($AB153&lt;=0,0,ROUND($AB153-$AA154-IF($AB153-$AA154&lt;=0,0,IF(MOD($A154,Übersicht!$C$25)=0,MIN(Szenarien!$C$11,$AB153-$AA154),0)),2))</f>
        <v>44391.14</v>
      </c>
      <c r="AC154" s="38">
        <f>IF($AE153&lt;=0,0,ROUND($AE153*Übersicht!$C$26,2))</f>
        <v>0</v>
      </c>
      <c r="AD154" s="38">
        <f>IF($AE153&lt;=0,0,MIN($AE153,IF(Übersicht!$C$14="Annuitätendarlehen",MAX(0,Übersicht!$C$28-$AC154),IF(Übersicht!$C$14="Ratendarlehen",Übersicht!$C$29,IF($A154&gt;=Übersicht!$C$30,$AE153,0)))))</f>
        <v>0</v>
      </c>
      <c r="AE154" s="38">
        <f>IF($AE153&lt;=0,0,ROUND($AE153-$AD154-IF($AE153-$AD154&lt;=0,0,IF(MOD($A154,Übersicht!$C$25)=0,MIN(Szenarien!$C$12,$AE153-$AD154),0)),2))</f>
        <v>0</v>
      </c>
    </row>
    <row r="155" spans="1:31" ht="15" customHeight="1" x14ac:dyDescent="0.25">
      <c r="A155" s="26">
        <v>148</v>
      </c>
      <c r="B155" s="39">
        <f>IF($D155&lt;=0,"",EDATE(Übersicht!$C$18,($A155-1)*12/Übersicht!$C$25))</f>
        <v>50525</v>
      </c>
      <c r="C155" s="26">
        <f t="shared" si="14"/>
        <v>2038</v>
      </c>
      <c r="D155" s="40">
        <f t="shared" si="18"/>
        <v>81222.52</v>
      </c>
      <c r="E155" s="28">
        <f t="shared" si="15"/>
        <v>1239.58</v>
      </c>
      <c r="F155" s="28">
        <f>IF($D155&lt;=0,0,ROUND($D155*Übersicht!$C$26,2))</f>
        <v>233.51</v>
      </c>
      <c r="G155" s="28">
        <f>IF($D155&lt;=0,0,MIN($D155,IF(Übersicht!$C$14="Annuitätendarlehen",MAX(0,Übersicht!$C$28-$F155),IF(Übersicht!$C$14="Ratendarlehen",Übersicht!$C$29,IF($A155&gt;=Übersicht!$C$30,$D155,0)))))</f>
        <v>1006.0699999999999</v>
      </c>
      <c r="H155" s="28">
        <f>IF($D155-$G155&lt;=0,0,IF(MOD($A155,Übersicht!$C$25)=0,MIN(Übersicht!$C$31,$D155-$G155),0))</f>
        <v>0</v>
      </c>
      <c r="I155" s="28">
        <f t="shared" si="16"/>
        <v>1239.58</v>
      </c>
      <c r="J155" s="28">
        <f t="shared" si="17"/>
        <v>80216.45</v>
      </c>
      <c r="K155" s="28">
        <f t="shared" si="19"/>
        <v>73674.28999999995</v>
      </c>
      <c r="L155" s="28">
        <f t="shared" si="20"/>
        <v>169783.55</v>
      </c>
      <c r="M155" s="29">
        <f>IF($D155&lt;=0,"",IF(Übersicht!$C$11=0,0,$L155/Übersicht!$C$11))</f>
        <v>0.67913419999999991</v>
      </c>
      <c r="N155" s="30" t="str">
        <f>IF($D155&lt;=0,"",IF($J155&lt;=0.005,"Volltilgung erreicht",IF($A155=Übersicht!$C$19*Übersicht!$C$25,"Ende der Zinsbindung",IF($H155&gt;0,"Sondertilgung verrechnet",""))))</f>
        <v/>
      </c>
      <c r="Q155" s="38">
        <f>IF($S154&lt;=0,0,ROUND($S154*Übersicht!$C$26,2))</f>
        <v>445.29</v>
      </c>
      <c r="R155" s="38">
        <f>IF($S154&lt;=0,0,MIN($S154,IF(Übersicht!$C$14="Annuitätendarlehen",MAX(0,Übersicht!$C$28-$Q155),IF(Übersicht!$C$14="Ratendarlehen",Übersicht!$C$29,IF($A155&gt;=Übersicht!$C$30,$S154,0)))))</f>
        <v>794.29</v>
      </c>
      <c r="S155" s="38">
        <f>IF($S154&lt;=0,0,ROUND($S154-$R155-IF($S154-$R155&lt;=0,0,IF(MOD($A155,Übersicht!$C$25)=0,MIN(Szenarien!$C$8,$S154-$R155),0)),2))</f>
        <v>154090.92000000001</v>
      </c>
      <c r="T155" s="38">
        <f>IF($V154&lt;=0,0,ROUND($V154*Übersicht!$C$26,2))</f>
        <v>339.4</v>
      </c>
      <c r="U155" s="38">
        <f>IF($V154&lt;=0,0,MIN($V154,IF(Übersicht!$C$14="Annuitätendarlehen",MAX(0,Übersicht!$C$28-$T155),IF(Übersicht!$C$14="Ratendarlehen",Übersicht!$C$29,IF($A155&gt;=Übersicht!$C$30,$V154,0)))))</f>
        <v>900.18</v>
      </c>
      <c r="V155" s="38">
        <f>IF($V154&lt;=0,0,ROUND($V154-$U155-IF($V154-$U155&lt;=0,0,IF(MOD($A155,Übersicht!$C$25)=0,MIN(Szenarien!$C$9,$V154-$U155),0)),2))</f>
        <v>117153.73</v>
      </c>
      <c r="W155" s="38">
        <f>IF($Y154&lt;=0,0,ROUND($Y154*Übersicht!$C$26,2))</f>
        <v>233.51</v>
      </c>
      <c r="X155" s="38">
        <f>IF($Y154&lt;=0,0,MIN($Y154,IF(Übersicht!$C$14="Annuitätendarlehen",MAX(0,Übersicht!$C$28-$W155),IF(Übersicht!$C$14="Ratendarlehen",Übersicht!$C$29,IF($A155&gt;=Übersicht!$C$30,$Y154,0)))))</f>
        <v>1006.0699999999999</v>
      </c>
      <c r="Y155" s="38">
        <f>IF($Y154&lt;=0,0,ROUND($Y154-$X155-IF($Y154-$X155&lt;=0,0,IF(MOD($A155,Übersicht!$C$25)=0,MIN(Szenarien!$C$10,$Y154-$X155),0)),2))</f>
        <v>80216.45</v>
      </c>
      <c r="Z155" s="38">
        <f>IF($AB154&lt;=0,0,ROUND($AB154*Übersicht!$C$26,2))</f>
        <v>127.62</v>
      </c>
      <c r="AA155" s="38">
        <f>IF($AB154&lt;=0,0,MIN($AB154,IF(Übersicht!$C$14="Annuitätendarlehen",MAX(0,Übersicht!$C$28-$Z155),IF(Übersicht!$C$14="Ratendarlehen",Übersicht!$C$29,IF($A155&gt;=Übersicht!$C$30,$AB154,0)))))</f>
        <v>1111.96</v>
      </c>
      <c r="AB155" s="38">
        <f>IF($AB154&lt;=0,0,ROUND($AB154-$AA155-IF($AB154-$AA155&lt;=0,0,IF(MOD($A155,Übersicht!$C$25)=0,MIN(Szenarien!$C$11,$AB154-$AA155),0)),2))</f>
        <v>43279.18</v>
      </c>
      <c r="AC155" s="38">
        <f>IF($AE154&lt;=0,0,ROUND($AE154*Übersicht!$C$26,2))</f>
        <v>0</v>
      </c>
      <c r="AD155" s="38">
        <f>IF($AE154&lt;=0,0,MIN($AE154,IF(Übersicht!$C$14="Annuitätendarlehen",MAX(0,Übersicht!$C$28-$AC155),IF(Übersicht!$C$14="Ratendarlehen",Übersicht!$C$29,IF($A155&gt;=Übersicht!$C$30,$AE154,0)))))</f>
        <v>0</v>
      </c>
      <c r="AE155" s="38">
        <f>IF($AE154&lt;=0,0,ROUND($AE154-$AD155-IF($AE154-$AD155&lt;=0,0,IF(MOD($A155,Übersicht!$C$25)=0,MIN(Szenarien!$C$12,$AE154-$AD155),0)),2))</f>
        <v>0</v>
      </c>
    </row>
    <row r="156" spans="1:31" ht="15" customHeight="1" x14ac:dyDescent="0.25">
      <c r="A156" s="21">
        <v>149</v>
      </c>
      <c r="B156" s="36">
        <f>IF($D156&lt;=0,"",EDATE(Übersicht!$C$18,($A156-1)*12/Übersicht!$C$25))</f>
        <v>50556</v>
      </c>
      <c r="C156" s="21">
        <f t="shared" si="14"/>
        <v>2038</v>
      </c>
      <c r="D156" s="37">
        <f t="shared" si="18"/>
        <v>80216.45</v>
      </c>
      <c r="E156" s="23">
        <f t="shared" si="15"/>
        <v>1239.58</v>
      </c>
      <c r="F156" s="23">
        <f>IF($D156&lt;=0,0,ROUND($D156*Übersicht!$C$26,2))</f>
        <v>230.62</v>
      </c>
      <c r="G156" s="23">
        <f>IF($D156&lt;=0,0,MIN($D156,IF(Übersicht!$C$14="Annuitätendarlehen",MAX(0,Übersicht!$C$28-$F156),IF(Übersicht!$C$14="Ratendarlehen",Übersicht!$C$29,IF($A156&gt;=Übersicht!$C$30,$D156,0)))))</f>
        <v>1008.9599999999999</v>
      </c>
      <c r="H156" s="23">
        <f>IF($D156-$G156&lt;=0,0,IF(MOD($A156,Übersicht!$C$25)=0,MIN(Übersicht!$C$31,$D156-$G156),0))</f>
        <v>0</v>
      </c>
      <c r="I156" s="23">
        <f t="shared" si="16"/>
        <v>1239.58</v>
      </c>
      <c r="J156" s="23">
        <f t="shared" si="17"/>
        <v>79207.490000000005</v>
      </c>
      <c r="K156" s="23">
        <f t="shared" si="19"/>
        <v>73904.909999999945</v>
      </c>
      <c r="L156" s="23">
        <f t="shared" si="20"/>
        <v>170792.51</v>
      </c>
      <c r="M156" s="24">
        <f>IF($D156&lt;=0,"",IF(Übersicht!$C$11=0,0,$L156/Übersicht!$C$11))</f>
        <v>0.68317004000000003</v>
      </c>
      <c r="N156" s="25" t="str">
        <f>IF($D156&lt;=0,"",IF($J156&lt;=0.005,"Volltilgung erreicht",IF($A156=Übersicht!$C$19*Übersicht!$C$25,"Ende der Zinsbindung",IF($H156&gt;0,"Sondertilgung verrechnet",""))))</f>
        <v/>
      </c>
      <c r="Q156" s="38">
        <f>IF($S155&lt;=0,0,ROUND($S155*Übersicht!$C$26,2))</f>
        <v>443.01</v>
      </c>
      <c r="R156" s="38">
        <f>IF($S155&lt;=0,0,MIN($S155,IF(Übersicht!$C$14="Annuitätendarlehen",MAX(0,Übersicht!$C$28-$Q156),IF(Übersicht!$C$14="Ratendarlehen",Übersicht!$C$29,IF($A156&gt;=Übersicht!$C$30,$S155,0)))))</f>
        <v>796.56999999999994</v>
      </c>
      <c r="S156" s="38">
        <f>IF($S155&lt;=0,0,ROUND($S155-$R156-IF($S155-$R156&lt;=0,0,IF(MOD($A156,Übersicht!$C$25)=0,MIN(Szenarien!$C$8,$S155-$R156),0)),2))</f>
        <v>153294.35</v>
      </c>
      <c r="T156" s="38">
        <f>IF($V155&lt;=0,0,ROUND($V155*Übersicht!$C$26,2))</f>
        <v>336.82</v>
      </c>
      <c r="U156" s="38">
        <f>IF($V155&lt;=0,0,MIN($V155,IF(Übersicht!$C$14="Annuitätendarlehen",MAX(0,Übersicht!$C$28-$T156),IF(Übersicht!$C$14="Ratendarlehen",Übersicht!$C$29,IF($A156&gt;=Übersicht!$C$30,$V155,0)))))</f>
        <v>902.76</v>
      </c>
      <c r="V156" s="38">
        <f>IF($V155&lt;=0,0,ROUND($V155-$U156-IF($V155-$U156&lt;=0,0,IF(MOD($A156,Übersicht!$C$25)=0,MIN(Szenarien!$C$9,$V155-$U156),0)),2))</f>
        <v>116250.97</v>
      </c>
      <c r="W156" s="38">
        <f>IF($Y155&lt;=0,0,ROUND($Y155*Übersicht!$C$26,2))</f>
        <v>230.62</v>
      </c>
      <c r="X156" s="38">
        <f>IF($Y155&lt;=0,0,MIN($Y155,IF(Übersicht!$C$14="Annuitätendarlehen",MAX(0,Übersicht!$C$28-$W156),IF(Übersicht!$C$14="Ratendarlehen",Übersicht!$C$29,IF($A156&gt;=Übersicht!$C$30,$Y155,0)))))</f>
        <v>1008.9599999999999</v>
      </c>
      <c r="Y156" s="38">
        <f>IF($Y155&lt;=0,0,ROUND($Y155-$X156-IF($Y155-$X156&lt;=0,0,IF(MOD($A156,Übersicht!$C$25)=0,MIN(Szenarien!$C$10,$Y155-$X156),0)),2))</f>
        <v>79207.490000000005</v>
      </c>
      <c r="Z156" s="38">
        <f>IF($AB155&lt;=0,0,ROUND($AB155*Übersicht!$C$26,2))</f>
        <v>124.43</v>
      </c>
      <c r="AA156" s="38">
        <f>IF($AB155&lt;=0,0,MIN($AB155,IF(Übersicht!$C$14="Annuitätendarlehen",MAX(0,Übersicht!$C$28-$Z156),IF(Übersicht!$C$14="Ratendarlehen",Übersicht!$C$29,IF($A156&gt;=Übersicht!$C$30,$AB155,0)))))</f>
        <v>1115.1499999999999</v>
      </c>
      <c r="AB156" s="38">
        <f>IF($AB155&lt;=0,0,ROUND($AB155-$AA156-IF($AB155-$AA156&lt;=0,0,IF(MOD($A156,Übersicht!$C$25)=0,MIN(Szenarien!$C$11,$AB155-$AA156),0)),2))</f>
        <v>42164.03</v>
      </c>
      <c r="AC156" s="38">
        <f>IF($AE155&lt;=0,0,ROUND($AE155*Übersicht!$C$26,2))</f>
        <v>0</v>
      </c>
      <c r="AD156" s="38">
        <f>IF($AE155&lt;=0,0,MIN($AE155,IF(Übersicht!$C$14="Annuitätendarlehen",MAX(0,Übersicht!$C$28-$AC156),IF(Übersicht!$C$14="Ratendarlehen",Übersicht!$C$29,IF($A156&gt;=Übersicht!$C$30,$AE155,0)))))</f>
        <v>0</v>
      </c>
      <c r="AE156" s="38">
        <f>IF($AE155&lt;=0,0,ROUND($AE155-$AD156-IF($AE155-$AD156&lt;=0,0,IF(MOD($A156,Übersicht!$C$25)=0,MIN(Szenarien!$C$12,$AE155-$AD156),0)),2))</f>
        <v>0</v>
      </c>
    </row>
    <row r="157" spans="1:31" ht="15" customHeight="1" x14ac:dyDescent="0.25">
      <c r="A157" s="26">
        <v>150</v>
      </c>
      <c r="B157" s="39">
        <f>IF($D157&lt;=0,"",EDATE(Übersicht!$C$18,($A157-1)*12/Übersicht!$C$25))</f>
        <v>50586</v>
      </c>
      <c r="C157" s="26">
        <f t="shared" si="14"/>
        <v>2038</v>
      </c>
      <c r="D157" s="40">
        <f t="shared" si="18"/>
        <v>79207.490000000005</v>
      </c>
      <c r="E157" s="28">
        <f t="shared" si="15"/>
        <v>1239.58</v>
      </c>
      <c r="F157" s="28">
        <f>IF($D157&lt;=0,0,ROUND($D157*Übersicht!$C$26,2))</f>
        <v>227.72</v>
      </c>
      <c r="G157" s="28">
        <f>IF($D157&lt;=0,0,MIN($D157,IF(Übersicht!$C$14="Annuitätendarlehen",MAX(0,Übersicht!$C$28-$F157),IF(Übersicht!$C$14="Ratendarlehen",Übersicht!$C$29,IF($A157&gt;=Übersicht!$C$30,$D157,0)))))</f>
        <v>1011.8599999999999</v>
      </c>
      <c r="H157" s="28">
        <f>IF($D157-$G157&lt;=0,0,IF(MOD($A157,Übersicht!$C$25)=0,MIN(Übersicht!$C$31,$D157-$G157),0))</f>
        <v>0</v>
      </c>
      <c r="I157" s="28">
        <f t="shared" si="16"/>
        <v>1239.58</v>
      </c>
      <c r="J157" s="28">
        <f t="shared" si="17"/>
        <v>78195.63</v>
      </c>
      <c r="K157" s="28">
        <f t="shared" si="19"/>
        <v>74132.629999999946</v>
      </c>
      <c r="L157" s="28">
        <f t="shared" si="20"/>
        <v>171804.37</v>
      </c>
      <c r="M157" s="29">
        <f>IF($D157&lt;=0,"",IF(Übersicht!$C$11=0,0,$L157/Übersicht!$C$11))</f>
        <v>0.68721747999999994</v>
      </c>
      <c r="N157" s="30" t="str">
        <f>IF($D157&lt;=0,"",IF($J157&lt;=0.005,"Volltilgung erreicht",IF($A157=Übersicht!$C$19*Übersicht!$C$25,"Ende der Zinsbindung",IF($H157&gt;0,"Sondertilgung verrechnet",""))))</f>
        <v/>
      </c>
      <c r="Q157" s="38">
        <f>IF($S156&lt;=0,0,ROUND($S156*Übersicht!$C$26,2))</f>
        <v>440.72</v>
      </c>
      <c r="R157" s="38">
        <f>IF($S156&lt;=0,0,MIN($S156,IF(Übersicht!$C$14="Annuitätendarlehen",MAX(0,Übersicht!$C$28-$Q157),IF(Übersicht!$C$14="Ratendarlehen",Übersicht!$C$29,IF($A157&gt;=Übersicht!$C$30,$S156,0)))))</f>
        <v>798.8599999999999</v>
      </c>
      <c r="S157" s="38">
        <f>IF($S156&lt;=0,0,ROUND($S156-$R157-IF($S156-$R157&lt;=0,0,IF(MOD($A157,Übersicht!$C$25)=0,MIN(Szenarien!$C$8,$S156-$R157),0)),2))</f>
        <v>152495.49</v>
      </c>
      <c r="T157" s="38">
        <f>IF($V156&lt;=0,0,ROUND($V156*Übersicht!$C$26,2))</f>
        <v>334.22</v>
      </c>
      <c r="U157" s="38">
        <f>IF($V156&lt;=0,0,MIN($V156,IF(Übersicht!$C$14="Annuitätendarlehen",MAX(0,Übersicht!$C$28-$T157),IF(Übersicht!$C$14="Ratendarlehen",Übersicht!$C$29,IF($A157&gt;=Übersicht!$C$30,$V156,0)))))</f>
        <v>905.3599999999999</v>
      </c>
      <c r="V157" s="38">
        <f>IF($V156&lt;=0,0,ROUND($V156-$U157-IF($V156-$U157&lt;=0,0,IF(MOD($A157,Übersicht!$C$25)=0,MIN(Szenarien!$C$9,$V156-$U157),0)),2))</f>
        <v>115345.61</v>
      </c>
      <c r="W157" s="38">
        <f>IF($Y156&lt;=0,0,ROUND($Y156*Übersicht!$C$26,2))</f>
        <v>227.72</v>
      </c>
      <c r="X157" s="38">
        <f>IF($Y156&lt;=0,0,MIN($Y156,IF(Übersicht!$C$14="Annuitätendarlehen",MAX(0,Übersicht!$C$28-$W157),IF(Übersicht!$C$14="Ratendarlehen",Übersicht!$C$29,IF($A157&gt;=Übersicht!$C$30,$Y156,0)))))</f>
        <v>1011.8599999999999</v>
      </c>
      <c r="Y157" s="38">
        <f>IF($Y156&lt;=0,0,ROUND($Y156-$X157-IF($Y156-$X157&lt;=0,0,IF(MOD($A157,Übersicht!$C$25)=0,MIN(Szenarien!$C$10,$Y156-$X157),0)),2))</f>
        <v>78195.63</v>
      </c>
      <c r="Z157" s="38">
        <f>IF($AB156&lt;=0,0,ROUND($AB156*Übersicht!$C$26,2))</f>
        <v>121.22</v>
      </c>
      <c r="AA157" s="38">
        <f>IF($AB156&lt;=0,0,MIN($AB156,IF(Übersicht!$C$14="Annuitätendarlehen",MAX(0,Übersicht!$C$28-$Z157),IF(Übersicht!$C$14="Ratendarlehen",Übersicht!$C$29,IF($A157&gt;=Übersicht!$C$30,$AB156,0)))))</f>
        <v>1118.3599999999999</v>
      </c>
      <c r="AB157" s="38">
        <f>IF($AB156&lt;=0,0,ROUND($AB156-$AA157-IF($AB156-$AA157&lt;=0,0,IF(MOD($A157,Übersicht!$C$25)=0,MIN(Szenarien!$C$11,$AB156-$AA157),0)),2))</f>
        <v>41045.67</v>
      </c>
      <c r="AC157" s="38">
        <f>IF($AE156&lt;=0,0,ROUND($AE156*Übersicht!$C$26,2))</f>
        <v>0</v>
      </c>
      <c r="AD157" s="38">
        <f>IF($AE156&lt;=0,0,MIN($AE156,IF(Übersicht!$C$14="Annuitätendarlehen",MAX(0,Übersicht!$C$28-$AC157),IF(Übersicht!$C$14="Ratendarlehen",Übersicht!$C$29,IF($A157&gt;=Übersicht!$C$30,$AE156,0)))))</f>
        <v>0</v>
      </c>
      <c r="AE157" s="38">
        <f>IF($AE156&lt;=0,0,ROUND($AE156-$AD157-IF($AE156-$AD157&lt;=0,0,IF(MOD($A157,Übersicht!$C$25)=0,MIN(Szenarien!$C$12,$AE156-$AD157),0)),2))</f>
        <v>0</v>
      </c>
    </row>
    <row r="158" spans="1:31" ht="15" customHeight="1" x14ac:dyDescent="0.25">
      <c r="A158" s="21">
        <v>151</v>
      </c>
      <c r="B158" s="36">
        <f>IF($D158&lt;=0,"",EDATE(Übersicht!$C$18,($A158-1)*12/Übersicht!$C$25))</f>
        <v>50617</v>
      </c>
      <c r="C158" s="21">
        <f t="shared" si="14"/>
        <v>2038</v>
      </c>
      <c r="D158" s="37">
        <f t="shared" si="18"/>
        <v>78195.63</v>
      </c>
      <c r="E158" s="23">
        <f t="shared" si="15"/>
        <v>1239.58</v>
      </c>
      <c r="F158" s="23">
        <f>IF($D158&lt;=0,0,ROUND($D158*Übersicht!$C$26,2))</f>
        <v>224.81</v>
      </c>
      <c r="G158" s="23">
        <f>IF($D158&lt;=0,0,MIN($D158,IF(Übersicht!$C$14="Annuitätendarlehen",MAX(0,Übersicht!$C$28-$F158),IF(Übersicht!$C$14="Ratendarlehen",Übersicht!$C$29,IF($A158&gt;=Übersicht!$C$30,$D158,0)))))</f>
        <v>1014.77</v>
      </c>
      <c r="H158" s="23">
        <f>IF($D158-$G158&lt;=0,0,IF(MOD($A158,Übersicht!$C$25)=0,MIN(Übersicht!$C$31,$D158-$G158),0))</f>
        <v>0</v>
      </c>
      <c r="I158" s="23">
        <f t="shared" si="16"/>
        <v>1239.58</v>
      </c>
      <c r="J158" s="23">
        <f t="shared" si="17"/>
        <v>77180.86</v>
      </c>
      <c r="K158" s="23">
        <f t="shared" si="19"/>
        <v>74357.439999999944</v>
      </c>
      <c r="L158" s="23">
        <f t="shared" si="20"/>
        <v>172819.14</v>
      </c>
      <c r="M158" s="24">
        <f>IF($D158&lt;=0,"",IF(Übersicht!$C$11=0,0,$L158/Übersicht!$C$11))</f>
        <v>0.69127656000000004</v>
      </c>
      <c r="N158" s="25" t="str">
        <f>IF($D158&lt;=0,"",IF($J158&lt;=0.005,"Volltilgung erreicht",IF($A158=Übersicht!$C$19*Übersicht!$C$25,"Ende der Zinsbindung",IF($H158&gt;0,"Sondertilgung verrechnet",""))))</f>
        <v/>
      </c>
      <c r="Q158" s="38">
        <f>IF($S157&lt;=0,0,ROUND($S157*Übersicht!$C$26,2))</f>
        <v>438.42</v>
      </c>
      <c r="R158" s="38">
        <f>IF($S157&lt;=0,0,MIN($S157,IF(Übersicht!$C$14="Annuitätendarlehen",MAX(0,Übersicht!$C$28-$Q158),IF(Übersicht!$C$14="Ratendarlehen",Übersicht!$C$29,IF($A158&gt;=Übersicht!$C$30,$S157,0)))))</f>
        <v>801.15999999999985</v>
      </c>
      <c r="S158" s="38">
        <f>IF($S157&lt;=0,0,ROUND($S157-$R158-IF($S157-$R158&lt;=0,0,IF(MOD($A158,Übersicht!$C$25)=0,MIN(Szenarien!$C$8,$S157-$R158),0)),2))</f>
        <v>151694.32999999999</v>
      </c>
      <c r="T158" s="38">
        <f>IF($V157&lt;=0,0,ROUND($V157*Übersicht!$C$26,2))</f>
        <v>331.62</v>
      </c>
      <c r="U158" s="38">
        <f>IF($V157&lt;=0,0,MIN($V157,IF(Übersicht!$C$14="Annuitätendarlehen",MAX(0,Übersicht!$C$28-$T158),IF(Übersicht!$C$14="Ratendarlehen",Übersicht!$C$29,IF($A158&gt;=Übersicht!$C$30,$V157,0)))))</f>
        <v>907.95999999999992</v>
      </c>
      <c r="V158" s="38">
        <f>IF($V157&lt;=0,0,ROUND($V157-$U158-IF($V157-$U158&lt;=0,0,IF(MOD($A158,Übersicht!$C$25)=0,MIN(Szenarien!$C$9,$V157-$U158),0)),2))</f>
        <v>114437.65</v>
      </c>
      <c r="W158" s="38">
        <f>IF($Y157&lt;=0,0,ROUND($Y157*Übersicht!$C$26,2))</f>
        <v>224.81</v>
      </c>
      <c r="X158" s="38">
        <f>IF($Y157&lt;=0,0,MIN($Y157,IF(Übersicht!$C$14="Annuitätendarlehen",MAX(0,Übersicht!$C$28-$W158),IF(Übersicht!$C$14="Ratendarlehen",Übersicht!$C$29,IF($A158&gt;=Übersicht!$C$30,$Y157,0)))))</f>
        <v>1014.77</v>
      </c>
      <c r="Y158" s="38">
        <f>IF($Y157&lt;=0,0,ROUND($Y157-$X158-IF($Y157-$X158&lt;=0,0,IF(MOD($A158,Übersicht!$C$25)=0,MIN(Szenarien!$C$10,$Y157-$X158),0)),2))</f>
        <v>77180.86</v>
      </c>
      <c r="Z158" s="38">
        <f>IF($AB157&lt;=0,0,ROUND($AB157*Übersicht!$C$26,2))</f>
        <v>118.01</v>
      </c>
      <c r="AA158" s="38">
        <f>IF($AB157&lt;=0,0,MIN($AB157,IF(Übersicht!$C$14="Annuitätendarlehen",MAX(0,Übersicht!$C$28-$Z158),IF(Übersicht!$C$14="Ratendarlehen",Übersicht!$C$29,IF($A158&gt;=Übersicht!$C$30,$AB157,0)))))</f>
        <v>1121.57</v>
      </c>
      <c r="AB158" s="38">
        <f>IF($AB157&lt;=0,0,ROUND($AB157-$AA158-IF($AB157-$AA158&lt;=0,0,IF(MOD($A158,Übersicht!$C$25)=0,MIN(Szenarien!$C$11,$AB157-$AA158),0)),2))</f>
        <v>39924.1</v>
      </c>
      <c r="AC158" s="38">
        <f>IF($AE157&lt;=0,0,ROUND($AE157*Übersicht!$C$26,2))</f>
        <v>0</v>
      </c>
      <c r="AD158" s="38">
        <f>IF($AE157&lt;=0,0,MIN($AE157,IF(Übersicht!$C$14="Annuitätendarlehen",MAX(0,Übersicht!$C$28-$AC158),IF(Übersicht!$C$14="Ratendarlehen",Übersicht!$C$29,IF($A158&gt;=Übersicht!$C$30,$AE157,0)))))</f>
        <v>0</v>
      </c>
      <c r="AE158" s="38">
        <f>IF($AE157&lt;=0,0,ROUND($AE157-$AD158-IF($AE157-$AD158&lt;=0,0,IF(MOD($A158,Übersicht!$C$25)=0,MIN(Szenarien!$C$12,$AE157-$AD158),0)),2))</f>
        <v>0</v>
      </c>
    </row>
    <row r="159" spans="1:31" ht="15" customHeight="1" x14ac:dyDescent="0.25">
      <c r="A159" s="26">
        <v>152</v>
      </c>
      <c r="B159" s="39">
        <f>IF($D159&lt;=0,"",EDATE(Übersicht!$C$18,($A159-1)*12/Übersicht!$C$25))</f>
        <v>50648</v>
      </c>
      <c r="C159" s="26">
        <f t="shared" si="14"/>
        <v>2038</v>
      </c>
      <c r="D159" s="40">
        <f t="shared" si="18"/>
        <v>77180.86</v>
      </c>
      <c r="E159" s="28">
        <f t="shared" si="15"/>
        <v>1239.58</v>
      </c>
      <c r="F159" s="28">
        <f>IF($D159&lt;=0,0,ROUND($D159*Übersicht!$C$26,2))</f>
        <v>221.89</v>
      </c>
      <c r="G159" s="28">
        <f>IF($D159&lt;=0,0,MIN($D159,IF(Übersicht!$C$14="Annuitätendarlehen",MAX(0,Übersicht!$C$28-$F159),IF(Übersicht!$C$14="Ratendarlehen",Übersicht!$C$29,IF($A159&gt;=Übersicht!$C$30,$D159,0)))))</f>
        <v>1017.6899999999999</v>
      </c>
      <c r="H159" s="28">
        <f>IF($D159-$G159&lt;=0,0,IF(MOD($A159,Übersicht!$C$25)=0,MIN(Übersicht!$C$31,$D159-$G159),0))</f>
        <v>0</v>
      </c>
      <c r="I159" s="28">
        <f t="shared" si="16"/>
        <v>1239.58</v>
      </c>
      <c r="J159" s="28">
        <f t="shared" si="17"/>
        <v>76163.17</v>
      </c>
      <c r="K159" s="28">
        <f t="shared" si="19"/>
        <v>74579.329999999944</v>
      </c>
      <c r="L159" s="28">
        <f t="shared" si="20"/>
        <v>173836.83</v>
      </c>
      <c r="M159" s="29">
        <f>IF($D159&lt;=0,"",IF(Übersicht!$C$11=0,0,$L159/Übersicht!$C$11))</f>
        <v>0.69534731999999999</v>
      </c>
      <c r="N159" s="30" t="str">
        <f>IF($D159&lt;=0,"",IF($J159&lt;=0.005,"Volltilgung erreicht",IF($A159=Übersicht!$C$19*Übersicht!$C$25,"Ende der Zinsbindung",IF($H159&gt;0,"Sondertilgung verrechnet",""))))</f>
        <v/>
      </c>
      <c r="Q159" s="38">
        <f>IF($S158&lt;=0,0,ROUND($S158*Übersicht!$C$26,2))</f>
        <v>436.12</v>
      </c>
      <c r="R159" s="38">
        <f>IF($S158&lt;=0,0,MIN($S158,IF(Übersicht!$C$14="Annuitätendarlehen",MAX(0,Übersicht!$C$28-$Q159),IF(Übersicht!$C$14="Ratendarlehen",Übersicht!$C$29,IF($A159&gt;=Übersicht!$C$30,$S158,0)))))</f>
        <v>803.45999999999992</v>
      </c>
      <c r="S159" s="38">
        <f>IF($S158&lt;=0,0,ROUND($S158-$R159-IF($S158-$R159&lt;=0,0,IF(MOD($A159,Übersicht!$C$25)=0,MIN(Szenarien!$C$8,$S158-$R159),0)),2))</f>
        <v>150890.87</v>
      </c>
      <c r="T159" s="38">
        <f>IF($V158&lt;=0,0,ROUND($V158*Übersicht!$C$26,2))</f>
        <v>329.01</v>
      </c>
      <c r="U159" s="38">
        <f>IF($V158&lt;=0,0,MIN($V158,IF(Übersicht!$C$14="Annuitätendarlehen",MAX(0,Übersicht!$C$28-$T159),IF(Übersicht!$C$14="Ratendarlehen",Übersicht!$C$29,IF($A159&gt;=Übersicht!$C$30,$V158,0)))))</f>
        <v>910.56999999999994</v>
      </c>
      <c r="V159" s="38">
        <f>IF($V158&lt;=0,0,ROUND($V158-$U159-IF($V158-$U159&lt;=0,0,IF(MOD($A159,Übersicht!$C$25)=0,MIN(Szenarien!$C$9,$V158-$U159),0)),2))</f>
        <v>113527.08</v>
      </c>
      <c r="W159" s="38">
        <f>IF($Y158&lt;=0,0,ROUND($Y158*Übersicht!$C$26,2))</f>
        <v>221.89</v>
      </c>
      <c r="X159" s="38">
        <f>IF($Y158&lt;=0,0,MIN($Y158,IF(Übersicht!$C$14="Annuitätendarlehen",MAX(0,Übersicht!$C$28-$W159),IF(Übersicht!$C$14="Ratendarlehen",Übersicht!$C$29,IF($A159&gt;=Übersicht!$C$30,$Y158,0)))))</f>
        <v>1017.6899999999999</v>
      </c>
      <c r="Y159" s="38">
        <f>IF($Y158&lt;=0,0,ROUND($Y158-$X159-IF($Y158-$X159&lt;=0,0,IF(MOD($A159,Übersicht!$C$25)=0,MIN(Szenarien!$C$10,$Y158-$X159),0)),2))</f>
        <v>76163.17</v>
      </c>
      <c r="Z159" s="38">
        <f>IF($AB158&lt;=0,0,ROUND($AB158*Übersicht!$C$26,2))</f>
        <v>114.78</v>
      </c>
      <c r="AA159" s="38">
        <f>IF($AB158&lt;=0,0,MIN($AB158,IF(Übersicht!$C$14="Annuitätendarlehen",MAX(0,Übersicht!$C$28-$Z159),IF(Übersicht!$C$14="Ratendarlehen",Übersicht!$C$29,IF($A159&gt;=Übersicht!$C$30,$AB158,0)))))</f>
        <v>1124.8</v>
      </c>
      <c r="AB159" s="38">
        <f>IF($AB158&lt;=0,0,ROUND($AB158-$AA159-IF($AB158-$AA159&lt;=0,0,IF(MOD($A159,Übersicht!$C$25)=0,MIN(Szenarien!$C$11,$AB158-$AA159),0)),2))</f>
        <v>38799.300000000003</v>
      </c>
      <c r="AC159" s="38">
        <f>IF($AE158&lt;=0,0,ROUND($AE158*Übersicht!$C$26,2))</f>
        <v>0</v>
      </c>
      <c r="AD159" s="38">
        <f>IF($AE158&lt;=0,0,MIN($AE158,IF(Übersicht!$C$14="Annuitätendarlehen",MAX(0,Übersicht!$C$28-$AC159),IF(Übersicht!$C$14="Ratendarlehen",Übersicht!$C$29,IF($A159&gt;=Übersicht!$C$30,$AE158,0)))))</f>
        <v>0</v>
      </c>
      <c r="AE159" s="38">
        <f>IF($AE158&lt;=0,0,ROUND($AE158-$AD159-IF($AE158-$AD159&lt;=0,0,IF(MOD($A159,Übersicht!$C$25)=0,MIN(Szenarien!$C$12,$AE158-$AD159),0)),2))</f>
        <v>0</v>
      </c>
    </row>
    <row r="160" spans="1:31" ht="15" customHeight="1" x14ac:dyDescent="0.25">
      <c r="A160" s="21">
        <v>153</v>
      </c>
      <c r="B160" s="36">
        <f>IF($D160&lt;=0,"",EDATE(Übersicht!$C$18,($A160-1)*12/Übersicht!$C$25))</f>
        <v>50678</v>
      </c>
      <c r="C160" s="21">
        <f t="shared" si="14"/>
        <v>2038</v>
      </c>
      <c r="D160" s="37">
        <f t="shared" si="18"/>
        <v>76163.17</v>
      </c>
      <c r="E160" s="23">
        <f t="shared" si="15"/>
        <v>1239.58</v>
      </c>
      <c r="F160" s="23">
        <f>IF($D160&lt;=0,0,ROUND($D160*Übersicht!$C$26,2))</f>
        <v>218.97</v>
      </c>
      <c r="G160" s="23">
        <f>IF($D160&lt;=0,0,MIN($D160,IF(Übersicht!$C$14="Annuitätendarlehen",MAX(0,Übersicht!$C$28-$F160),IF(Übersicht!$C$14="Ratendarlehen",Übersicht!$C$29,IF($A160&gt;=Übersicht!$C$30,$D160,0)))))</f>
        <v>1020.6099999999999</v>
      </c>
      <c r="H160" s="23">
        <f>IF($D160-$G160&lt;=0,0,IF(MOD($A160,Übersicht!$C$25)=0,MIN(Übersicht!$C$31,$D160-$G160),0))</f>
        <v>0</v>
      </c>
      <c r="I160" s="23">
        <f t="shared" si="16"/>
        <v>1239.58</v>
      </c>
      <c r="J160" s="23">
        <f t="shared" si="17"/>
        <v>75142.559999999998</v>
      </c>
      <c r="K160" s="23">
        <f t="shared" si="19"/>
        <v>74798.299999999945</v>
      </c>
      <c r="L160" s="23">
        <f t="shared" si="20"/>
        <v>174857.44</v>
      </c>
      <c r="M160" s="24">
        <f>IF($D160&lt;=0,"",IF(Übersicht!$C$11=0,0,$L160/Übersicht!$C$11))</f>
        <v>0.69942976000000001</v>
      </c>
      <c r="N160" s="25" t="str">
        <f>IF($D160&lt;=0,"",IF($J160&lt;=0.005,"Volltilgung erreicht",IF($A160=Übersicht!$C$19*Übersicht!$C$25,"Ende der Zinsbindung",IF($H160&gt;0,"Sondertilgung verrechnet",""))))</f>
        <v/>
      </c>
      <c r="Q160" s="38">
        <f>IF($S159&lt;=0,0,ROUND($S159*Übersicht!$C$26,2))</f>
        <v>433.81</v>
      </c>
      <c r="R160" s="38">
        <f>IF($S159&lt;=0,0,MIN($S159,IF(Übersicht!$C$14="Annuitätendarlehen",MAX(0,Übersicht!$C$28-$Q160),IF(Übersicht!$C$14="Ratendarlehen",Übersicht!$C$29,IF($A160&gt;=Übersicht!$C$30,$S159,0)))))</f>
        <v>805.77</v>
      </c>
      <c r="S160" s="38">
        <f>IF($S159&lt;=0,0,ROUND($S159-$R160-IF($S159-$R160&lt;=0,0,IF(MOD($A160,Übersicht!$C$25)=0,MIN(Szenarien!$C$8,$S159-$R160),0)),2))</f>
        <v>150085.1</v>
      </c>
      <c r="T160" s="38">
        <f>IF($V159&lt;=0,0,ROUND($V159*Übersicht!$C$26,2))</f>
        <v>326.39</v>
      </c>
      <c r="U160" s="38">
        <f>IF($V159&lt;=0,0,MIN($V159,IF(Übersicht!$C$14="Annuitätendarlehen",MAX(0,Übersicht!$C$28-$T160),IF(Übersicht!$C$14="Ratendarlehen",Übersicht!$C$29,IF($A160&gt;=Übersicht!$C$30,$V159,0)))))</f>
        <v>913.18999999999994</v>
      </c>
      <c r="V160" s="38">
        <f>IF($V159&lt;=0,0,ROUND($V159-$U160-IF($V159-$U160&lt;=0,0,IF(MOD($A160,Übersicht!$C$25)=0,MIN(Szenarien!$C$9,$V159-$U160),0)),2))</f>
        <v>112613.89</v>
      </c>
      <c r="W160" s="38">
        <f>IF($Y159&lt;=0,0,ROUND($Y159*Übersicht!$C$26,2))</f>
        <v>218.97</v>
      </c>
      <c r="X160" s="38">
        <f>IF($Y159&lt;=0,0,MIN($Y159,IF(Übersicht!$C$14="Annuitätendarlehen",MAX(0,Übersicht!$C$28-$W160),IF(Übersicht!$C$14="Ratendarlehen",Übersicht!$C$29,IF($A160&gt;=Übersicht!$C$30,$Y159,0)))))</f>
        <v>1020.6099999999999</v>
      </c>
      <c r="Y160" s="38">
        <f>IF($Y159&lt;=0,0,ROUND($Y159-$X160-IF($Y159-$X160&lt;=0,0,IF(MOD($A160,Übersicht!$C$25)=0,MIN(Szenarien!$C$10,$Y159-$X160),0)),2))</f>
        <v>75142.559999999998</v>
      </c>
      <c r="Z160" s="38">
        <f>IF($AB159&lt;=0,0,ROUND($AB159*Übersicht!$C$26,2))</f>
        <v>111.55</v>
      </c>
      <c r="AA160" s="38">
        <f>IF($AB159&lt;=0,0,MIN($AB159,IF(Übersicht!$C$14="Annuitätendarlehen",MAX(0,Übersicht!$C$28-$Z160),IF(Übersicht!$C$14="Ratendarlehen",Übersicht!$C$29,IF($A160&gt;=Übersicht!$C$30,$AB159,0)))))</f>
        <v>1128.03</v>
      </c>
      <c r="AB160" s="38">
        <f>IF($AB159&lt;=0,0,ROUND($AB159-$AA160-IF($AB159-$AA160&lt;=0,0,IF(MOD($A160,Übersicht!$C$25)=0,MIN(Szenarien!$C$11,$AB159-$AA160),0)),2))</f>
        <v>37671.269999999997</v>
      </c>
      <c r="AC160" s="38">
        <f>IF($AE159&lt;=0,0,ROUND($AE159*Übersicht!$C$26,2))</f>
        <v>0</v>
      </c>
      <c r="AD160" s="38">
        <f>IF($AE159&lt;=0,0,MIN($AE159,IF(Übersicht!$C$14="Annuitätendarlehen",MAX(0,Übersicht!$C$28-$AC160),IF(Übersicht!$C$14="Ratendarlehen",Übersicht!$C$29,IF($A160&gt;=Übersicht!$C$30,$AE159,0)))))</f>
        <v>0</v>
      </c>
      <c r="AE160" s="38">
        <f>IF($AE159&lt;=0,0,ROUND($AE159-$AD160-IF($AE159-$AD160&lt;=0,0,IF(MOD($A160,Übersicht!$C$25)=0,MIN(Szenarien!$C$12,$AE159-$AD160),0)),2))</f>
        <v>0</v>
      </c>
    </row>
    <row r="161" spans="1:31" ht="15" customHeight="1" x14ac:dyDescent="0.25">
      <c r="A161" s="26">
        <v>154</v>
      </c>
      <c r="B161" s="39">
        <f>IF($D161&lt;=0,"",EDATE(Übersicht!$C$18,($A161-1)*12/Übersicht!$C$25))</f>
        <v>50709</v>
      </c>
      <c r="C161" s="26">
        <f t="shared" si="14"/>
        <v>2038</v>
      </c>
      <c r="D161" s="40">
        <f t="shared" si="18"/>
        <v>75142.559999999998</v>
      </c>
      <c r="E161" s="28">
        <f t="shared" si="15"/>
        <v>1239.58</v>
      </c>
      <c r="F161" s="28">
        <f>IF($D161&lt;=0,0,ROUND($D161*Übersicht!$C$26,2))</f>
        <v>216.03</v>
      </c>
      <c r="G161" s="28">
        <f>IF($D161&lt;=0,0,MIN($D161,IF(Übersicht!$C$14="Annuitätendarlehen",MAX(0,Übersicht!$C$28-$F161),IF(Übersicht!$C$14="Ratendarlehen",Übersicht!$C$29,IF($A161&gt;=Übersicht!$C$30,$D161,0)))))</f>
        <v>1023.55</v>
      </c>
      <c r="H161" s="28">
        <f>IF($D161-$G161&lt;=0,0,IF(MOD($A161,Übersicht!$C$25)=0,MIN(Übersicht!$C$31,$D161-$G161),0))</f>
        <v>0</v>
      </c>
      <c r="I161" s="28">
        <f t="shared" si="16"/>
        <v>1239.58</v>
      </c>
      <c r="J161" s="28">
        <f t="shared" si="17"/>
        <v>74119.009999999995</v>
      </c>
      <c r="K161" s="28">
        <f t="shared" si="19"/>
        <v>75014.329999999944</v>
      </c>
      <c r="L161" s="28">
        <f t="shared" si="20"/>
        <v>175880.99</v>
      </c>
      <c r="M161" s="29">
        <f>IF($D161&lt;=0,"",IF(Übersicht!$C$11=0,0,$L161/Übersicht!$C$11))</f>
        <v>0.70352395999999995</v>
      </c>
      <c r="N161" s="30" t="str">
        <f>IF($D161&lt;=0,"",IF($J161&lt;=0.005,"Volltilgung erreicht",IF($A161=Übersicht!$C$19*Übersicht!$C$25,"Ende der Zinsbindung",IF($H161&gt;0,"Sondertilgung verrechnet",""))))</f>
        <v/>
      </c>
      <c r="Q161" s="38">
        <f>IF($S160&lt;=0,0,ROUND($S160*Übersicht!$C$26,2))</f>
        <v>431.49</v>
      </c>
      <c r="R161" s="38">
        <f>IF($S160&lt;=0,0,MIN($S160,IF(Übersicht!$C$14="Annuitätendarlehen",MAX(0,Übersicht!$C$28-$Q161),IF(Übersicht!$C$14="Ratendarlehen",Übersicht!$C$29,IF($A161&gt;=Übersicht!$C$30,$S160,0)))))</f>
        <v>808.08999999999992</v>
      </c>
      <c r="S161" s="38">
        <f>IF($S160&lt;=0,0,ROUND($S160-$R161-IF($S160-$R161&lt;=0,0,IF(MOD($A161,Übersicht!$C$25)=0,MIN(Szenarien!$C$8,$S160-$R161),0)),2))</f>
        <v>149277.01</v>
      </c>
      <c r="T161" s="38">
        <f>IF($V160&lt;=0,0,ROUND($V160*Übersicht!$C$26,2))</f>
        <v>323.76</v>
      </c>
      <c r="U161" s="38">
        <f>IF($V160&lt;=0,0,MIN($V160,IF(Übersicht!$C$14="Annuitätendarlehen",MAX(0,Übersicht!$C$28-$T161),IF(Übersicht!$C$14="Ratendarlehen",Übersicht!$C$29,IF($A161&gt;=Übersicht!$C$30,$V160,0)))))</f>
        <v>915.81999999999994</v>
      </c>
      <c r="V161" s="38">
        <f>IF($V160&lt;=0,0,ROUND($V160-$U161-IF($V160-$U161&lt;=0,0,IF(MOD($A161,Übersicht!$C$25)=0,MIN(Szenarien!$C$9,$V160-$U161),0)),2))</f>
        <v>111698.07</v>
      </c>
      <c r="W161" s="38">
        <f>IF($Y160&lt;=0,0,ROUND($Y160*Übersicht!$C$26,2))</f>
        <v>216.03</v>
      </c>
      <c r="X161" s="38">
        <f>IF($Y160&lt;=0,0,MIN($Y160,IF(Übersicht!$C$14="Annuitätendarlehen",MAX(0,Übersicht!$C$28-$W161),IF(Übersicht!$C$14="Ratendarlehen",Übersicht!$C$29,IF($A161&gt;=Übersicht!$C$30,$Y160,0)))))</f>
        <v>1023.55</v>
      </c>
      <c r="Y161" s="38">
        <f>IF($Y160&lt;=0,0,ROUND($Y160-$X161-IF($Y160-$X161&lt;=0,0,IF(MOD($A161,Übersicht!$C$25)=0,MIN(Szenarien!$C$10,$Y160-$X161),0)),2))</f>
        <v>74119.009999999995</v>
      </c>
      <c r="Z161" s="38">
        <f>IF($AB160&lt;=0,0,ROUND($AB160*Übersicht!$C$26,2))</f>
        <v>108.3</v>
      </c>
      <c r="AA161" s="38">
        <f>IF($AB160&lt;=0,0,MIN($AB160,IF(Übersicht!$C$14="Annuitätendarlehen",MAX(0,Übersicht!$C$28-$Z161),IF(Übersicht!$C$14="Ratendarlehen",Übersicht!$C$29,IF($A161&gt;=Übersicht!$C$30,$AB160,0)))))</f>
        <v>1131.28</v>
      </c>
      <c r="AB161" s="38">
        <f>IF($AB160&lt;=0,0,ROUND($AB160-$AA161-IF($AB160-$AA161&lt;=0,0,IF(MOD($A161,Übersicht!$C$25)=0,MIN(Szenarien!$C$11,$AB160-$AA161),0)),2))</f>
        <v>36539.99</v>
      </c>
      <c r="AC161" s="38">
        <f>IF($AE160&lt;=0,0,ROUND($AE160*Übersicht!$C$26,2))</f>
        <v>0</v>
      </c>
      <c r="AD161" s="38">
        <f>IF($AE160&lt;=0,0,MIN($AE160,IF(Übersicht!$C$14="Annuitätendarlehen",MAX(0,Übersicht!$C$28-$AC161),IF(Übersicht!$C$14="Ratendarlehen",Übersicht!$C$29,IF($A161&gt;=Übersicht!$C$30,$AE160,0)))))</f>
        <v>0</v>
      </c>
      <c r="AE161" s="38">
        <f>IF($AE160&lt;=0,0,ROUND($AE160-$AD161-IF($AE160-$AD161&lt;=0,0,IF(MOD($A161,Übersicht!$C$25)=0,MIN(Szenarien!$C$12,$AE160-$AD161),0)),2))</f>
        <v>0</v>
      </c>
    </row>
    <row r="162" spans="1:31" ht="15" customHeight="1" x14ac:dyDescent="0.25">
      <c r="A162" s="21">
        <v>155</v>
      </c>
      <c r="B162" s="36">
        <f>IF($D162&lt;=0,"",EDATE(Übersicht!$C$18,($A162-1)*12/Übersicht!$C$25))</f>
        <v>50739</v>
      </c>
      <c r="C162" s="21">
        <f t="shared" si="14"/>
        <v>2038</v>
      </c>
      <c r="D162" s="37">
        <f t="shared" si="18"/>
        <v>74119.009999999995</v>
      </c>
      <c r="E162" s="23">
        <f t="shared" si="15"/>
        <v>1239.58</v>
      </c>
      <c r="F162" s="23">
        <f>IF($D162&lt;=0,0,ROUND($D162*Übersicht!$C$26,2))</f>
        <v>213.09</v>
      </c>
      <c r="G162" s="23">
        <f>IF($D162&lt;=0,0,MIN($D162,IF(Übersicht!$C$14="Annuitätendarlehen",MAX(0,Übersicht!$C$28-$F162),IF(Übersicht!$C$14="Ratendarlehen",Übersicht!$C$29,IF($A162&gt;=Übersicht!$C$30,$D162,0)))))</f>
        <v>1026.49</v>
      </c>
      <c r="H162" s="23">
        <f>IF($D162-$G162&lt;=0,0,IF(MOD($A162,Übersicht!$C$25)=0,MIN(Übersicht!$C$31,$D162-$G162),0))</f>
        <v>0</v>
      </c>
      <c r="I162" s="23">
        <f t="shared" si="16"/>
        <v>1239.58</v>
      </c>
      <c r="J162" s="23">
        <f t="shared" si="17"/>
        <v>73092.52</v>
      </c>
      <c r="K162" s="23">
        <f t="shared" si="19"/>
        <v>75227.41999999994</v>
      </c>
      <c r="L162" s="23">
        <f t="shared" si="20"/>
        <v>176907.48</v>
      </c>
      <c r="M162" s="24">
        <f>IF($D162&lt;=0,"",IF(Übersicht!$C$11=0,0,$L162/Übersicht!$C$11))</f>
        <v>0.70762992000000002</v>
      </c>
      <c r="N162" s="25" t="str">
        <f>IF($D162&lt;=0,"",IF($J162&lt;=0.005,"Volltilgung erreicht",IF($A162=Übersicht!$C$19*Übersicht!$C$25,"Ende der Zinsbindung",IF($H162&gt;0,"Sondertilgung verrechnet",""))))</f>
        <v/>
      </c>
      <c r="Q162" s="38">
        <f>IF($S161&lt;=0,0,ROUND($S161*Übersicht!$C$26,2))</f>
        <v>429.17</v>
      </c>
      <c r="R162" s="38">
        <f>IF($S161&lt;=0,0,MIN($S161,IF(Übersicht!$C$14="Annuitätendarlehen",MAX(0,Übersicht!$C$28-$Q162),IF(Übersicht!$C$14="Ratendarlehen",Übersicht!$C$29,IF($A162&gt;=Übersicht!$C$30,$S161,0)))))</f>
        <v>810.40999999999985</v>
      </c>
      <c r="S162" s="38">
        <f>IF($S161&lt;=0,0,ROUND($S161-$R162-IF($S161-$R162&lt;=0,0,IF(MOD($A162,Übersicht!$C$25)=0,MIN(Szenarien!$C$8,$S161-$R162),0)),2))</f>
        <v>148466.6</v>
      </c>
      <c r="T162" s="38">
        <f>IF($V161&lt;=0,0,ROUND($V161*Übersicht!$C$26,2))</f>
        <v>321.13</v>
      </c>
      <c r="U162" s="38">
        <f>IF($V161&lt;=0,0,MIN($V161,IF(Übersicht!$C$14="Annuitätendarlehen",MAX(0,Übersicht!$C$28-$T162),IF(Übersicht!$C$14="Ratendarlehen",Übersicht!$C$29,IF($A162&gt;=Übersicht!$C$30,$V161,0)))))</f>
        <v>918.44999999999993</v>
      </c>
      <c r="V162" s="38">
        <f>IF($V161&lt;=0,0,ROUND($V161-$U162-IF($V161-$U162&lt;=0,0,IF(MOD($A162,Übersicht!$C$25)=0,MIN(Szenarien!$C$9,$V161-$U162),0)),2))</f>
        <v>110779.62</v>
      </c>
      <c r="W162" s="38">
        <f>IF($Y161&lt;=0,0,ROUND($Y161*Übersicht!$C$26,2))</f>
        <v>213.09</v>
      </c>
      <c r="X162" s="38">
        <f>IF($Y161&lt;=0,0,MIN($Y161,IF(Übersicht!$C$14="Annuitätendarlehen",MAX(0,Übersicht!$C$28-$W162),IF(Übersicht!$C$14="Ratendarlehen",Übersicht!$C$29,IF($A162&gt;=Übersicht!$C$30,$Y161,0)))))</f>
        <v>1026.49</v>
      </c>
      <c r="Y162" s="38">
        <f>IF($Y161&lt;=0,0,ROUND($Y161-$X162-IF($Y161-$X162&lt;=0,0,IF(MOD($A162,Übersicht!$C$25)=0,MIN(Szenarien!$C$10,$Y161-$X162),0)),2))</f>
        <v>73092.52</v>
      </c>
      <c r="Z162" s="38">
        <f>IF($AB161&lt;=0,0,ROUND($AB161*Übersicht!$C$26,2))</f>
        <v>105.05</v>
      </c>
      <c r="AA162" s="38">
        <f>IF($AB161&lt;=0,0,MIN($AB161,IF(Übersicht!$C$14="Annuitätendarlehen",MAX(0,Übersicht!$C$28-$Z162),IF(Übersicht!$C$14="Ratendarlehen",Übersicht!$C$29,IF($A162&gt;=Übersicht!$C$30,$AB161,0)))))</f>
        <v>1134.53</v>
      </c>
      <c r="AB162" s="38">
        <f>IF($AB161&lt;=0,0,ROUND($AB161-$AA162-IF($AB161-$AA162&lt;=0,0,IF(MOD($A162,Übersicht!$C$25)=0,MIN(Szenarien!$C$11,$AB161-$AA162),0)),2))</f>
        <v>35405.46</v>
      </c>
      <c r="AC162" s="38">
        <f>IF($AE161&lt;=0,0,ROUND($AE161*Übersicht!$C$26,2))</f>
        <v>0</v>
      </c>
      <c r="AD162" s="38">
        <f>IF($AE161&lt;=0,0,MIN($AE161,IF(Übersicht!$C$14="Annuitätendarlehen",MAX(0,Übersicht!$C$28-$AC162),IF(Übersicht!$C$14="Ratendarlehen",Übersicht!$C$29,IF($A162&gt;=Übersicht!$C$30,$AE161,0)))))</f>
        <v>0</v>
      </c>
      <c r="AE162" s="38">
        <f>IF($AE161&lt;=0,0,ROUND($AE161-$AD162-IF($AE161-$AD162&lt;=0,0,IF(MOD($A162,Übersicht!$C$25)=0,MIN(Szenarien!$C$12,$AE161-$AD162),0)),2))</f>
        <v>0</v>
      </c>
    </row>
    <row r="163" spans="1:31" ht="15" customHeight="1" x14ac:dyDescent="0.25">
      <c r="A163" s="26">
        <v>156</v>
      </c>
      <c r="B163" s="39">
        <f>IF($D163&lt;=0,"",EDATE(Übersicht!$C$18,($A163-1)*12/Übersicht!$C$25))</f>
        <v>50770</v>
      </c>
      <c r="C163" s="26">
        <f t="shared" si="14"/>
        <v>2038</v>
      </c>
      <c r="D163" s="40">
        <f t="shared" si="18"/>
        <v>73092.52</v>
      </c>
      <c r="E163" s="28">
        <f t="shared" si="15"/>
        <v>1239.58</v>
      </c>
      <c r="F163" s="28">
        <f>IF($D163&lt;=0,0,ROUND($D163*Übersicht!$C$26,2))</f>
        <v>210.14</v>
      </c>
      <c r="G163" s="28">
        <f>IF($D163&lt;=0,0,MIN($D163,IF(Übersicht!$C$14="Annuitätendarlehen",MAX(0,Übersicht!$C$28-$F163),IF(Übersicht!$C$14="Ratendarlehen",Übersicht!$C$29,IF($A163&gt;=Übersicht!$C$30,$D163,0)))))</f>
        <v>1029.44</v>
      </c>
      <c r="H163" s="28">
        <f>IF($D163-$G163&lt;=0,0,IF(MOD($A163,Übersicht!$C$25)=0,MIN(Übersicht!$C$31,$D163-$G163),0))</f>
        <v>5000</v>
      </c>
      <c r="I163" s="28">
        <f t="shared" si="16"/>
        <v>6239.58</v>
      </c>
      <c r="J163" s="28">
        <f t="shared" si="17"/>
        <v>67063.08</v>
      </c>
      <c r="K163" s="28">
        <f t="shared" si="19"/>
        <v>75437.559999999939</v>
      </c>
      <c r="L163" s="28">
        <f t="shared" si="20"/>
        <v>182936.92</v>
      </c>
      <c r="M163" s="29">
        <f>IF($D163&lt;=0,"",IF(Übersicht!$C$11=0,0,$L163/Übersicht!$C$11))</f>
        <v>0.73174768000000001</v>
      </c>
      <c r="N163" s="30" t="str">
        <f>IF($D163&lt;=0,"",IF($J163&lt;=0.005,"Volltilgung erreicht",IF($A163=Übersicht!$C$19*Übersicht!$C$25,"Ende der Zinsbindung",IF($H163&gt;0,"Sondertilgung verrechnet",""))))</f>
        <v>Sondertilgung verrechnet</v>
      </c>
      <c r="Q163" s="38">
        <f>IF($S162&lt;=0,0,ROUND($S162*Übersicht!$C$26,2))</f>
        <v>426.84</v>
      </c>
      <c r="R163" s="38">
        <f>IF($S162&lt;=0,0,MIN($S162,IF(Übersicht!$C$14="Annuitätendarlehen",MAX(0,Übersicht!$C$28-$Q163),IF(Übersicht!$C$14="Ratendarlehen",Übersicht!$C$29,IF($A163&gt;=Übersicht!$C$30,$S162,0)))))</f>
        <v>812.74</v>
      </c>
      <c r="S163" s="38">
        <f>IF($S162&lt;=0,0,ROUND($S162-$R163-IF($S162-$R163&lt;=0,0,IF(MOD($A163,Übersicht!$C$25)=0,MIN(Szenarien!$C$8,$S162-$R163),0)),2))</f>
        <v>147653.85999999999</v>
      </c>
      <c r="T163" s="38">
        <f>IF($V162&lt;=0,0,ROUND($V162*Übersicht!$C$26,2))</f>
        <v>318.49</v>
      </c>
      <c r="U163" s="38">
        <f>IF($V162&lt;=0,0,MIN($V162,IF(Übersicht!$C$14="Annuitätendarlehen",MAX(0,Übersicht!$C$28-$T163),IF(Übersicht!$C$14="Ratendarlehen",Übersicht!$C$29,IF($A163&gt;=Übersicht!$C$30,$V162,0)))))</f>
        <v>921.08999999999992</v>
      </c>
      <c r="V163" s="38">
        <f>IF($V162&lt;=0,0,ROUND($V162-$U163-IF($V162-$U163&lt;=0,0,IF(MOD($A163,Übersicht!$C$25)=0,MIN(Szenarien!$C$9,$V162-$U163),0)),2))</f>
        <v>107358.53</v>
      </c>
      <c r="W163" s="38">
        <f>IF($Y162&lt;=0,0,ROUND($Y162*Übersicht!$C$26,2))</f>
        <v>210.14</v>
      </c>
      <c r="X163" s="38">
        <f>IF($Y162&lt;=0,0,MIN($Y162,IF(Übersicht!$C$14="Annuitätendarlehen",MAX(0,Übersicht!$C$28-$W163),IF(Übersicht!$C$14="Ratendarlehen",Übersicht!$C$29,IF($A163&gt;=Übersicht!$C$30,$Y162,0)))))</f>
        <v>1029.44</v>
      </c>
      <c r="Y163" s="38">
        <f>IF($Y162&lt;=0,0,ROUND($Y162-$X163-IF($Y162-$X163&lt;=0,0,IF(MOD($A163,Übersicht!$C$25)=0,MIN(Szenarien!$C$10,$Y162-$X163),0)),2))</f>
        <v>67063.08</v>
      </c>
      <c r="Z163" s="38">
        <f>IF($AB162&lt;=0,0,ROUND($AB162*Übersicht!$C$26,2))</f>
        <v>101.79</v>
      </c>
      <c r="AA163" s="38">
        <f>IF($AB162&lt;=0,0,MIN($AB162,IF(Übersicht!$C$14="Annuitätendarlehen",MAX(0,Übersicht!$C$28-$Z163),IF(Übersicht!$C$14="Ratendarlehen",Übersicht!$C$29,IF($A163&gt;=Übersicht!$C$30,$AB162,0)))))</f>
        <v>1137.79</v>
      </c>
      <c r="AB163" s="38">
        <f>IF($AB162&lt;=0,0,ROUND($AB162-$AA163-IF($AB162-$AA163&lt;=0,0,IF(MOD($A163,Übersicht!$C$25)=0,MIN(Szenarien!$C$11,$AB162-$AA163),0)),2))</f>
        <v>26767.67</v>
      </c>
      <c r="AC163" s="38">
        <f>IF($AE162&lt;=0,0,ROUND($AE162*Übersicht!$C$26,2))</f>
        <v>0</v>
      </c>
      <c r="AD163" s="38">
        <f>IF($AE162&lt;=0,0,MIN($AE162,IF(Übersicht!$C$14="Annuitätendarlehen",MAX(0,Übersicht!$C$28-$AC163),IF(Übersicht!$C$14="Ratendarlehen",Übersicht!$C$29,IF($A163&gt;=Übersicht!$C$30,$AE162,0)))))</f>
        <v>0</v>
      </c>
      <c r="AE163" s="38">
        <f>IF($AE162&lt;=0,0,ROUND($AE162-$AD163-IF($AE162-$AD163&lt;=0,0,IF(MOD($A163,Übersicht!$C$25)=0,MIN(Szenarien!$C$12,$AE162-$AD163),0)),2))</f>
        <v>0</v>
      </c>
    </row>
    <row r="164" spans="1:31" ht="15" customHeight="1" x14ac:dyDescent="0.25">
      <c r="A164" s="21">
        <v>157</v>
      </c>
      <c r="B164" s="36">
        <f>IF($D164&lt;=0,"",EDATE(Übersicht!$C$18,($A164-1)*12/Übersicht!$C$25))</f>
        <v>50801</v>
      </c>
      <c r="C164" s="21">
        <f t="shared" si="14"/>
        <v>2039</v>
      </c>
      <c r="D164" s="37">
        <f t="shared" si="18"/>
        <v>67063.08</v>
      </c>
      <c r="E164" s="23">
        <f t="shared" si="15"/>
        <v>1239.58</v>
      </c>
      <c r="F164" s="23">
        <f>IF($D164&lt;=0,0,ROUND($D164*Übersicht!$C$26,2))</f>
        <v>192.81</v>
      </c>
      <c r="G164" s="23">
        <f>IF($D164&lt;=0,0,MIN($D164,IF(Übersicht!$C$14="Annuitätendarlehen",MAX(0,Übersicht!$C$28-$F164),IF(Übersicht!$C$14="Ratendarlehen",Übersicht!$C$29,IF($A164&gt;=Übersicht!$C$30,$D164,0)))))</f>
        <v>1046.77</v>
      </c>
      <c r="H164" s="23">
        <f>IF($D164-$G164&lt;=0,0,IF(MOD($A164,Übersicht!$C$25)=0,MIN(Übersicht!$C$31,$D164-$G164),0))</f>
        <v>0</v>
      </c>
      <c r="I164" s="23">
        <f t="shared" si="16"/>
        <v>1239.58</v>
      </c>
      <c r="J164" s="23">
        <f t="shared" si="17"/>
        <v>66016.31</v>
      </c>
      <c r="K164" s="23">
        <f t="shared" si="19"/>
        <v>75630.369999999937</v>
      </c>
      <c r="L164" s="23">
        <f t="shared" si="20"/>
        <v>183983.69</v>
      </c>
      <c r="M164" s="24">
        <f>IF($D164&lt;=0,"",IF(Übersicht!$C$11=0,0,$L164/Übersicht!$C$11))</f>
        <v>0.73593476000000002</v>
      </c>
      <c r="N164" s="25" t="str">
        <f>IF($D164&lt;=0,"",IF($J164&lt;=0.005,"Volltilgung erreicht",IF($A164=Übersicht!$C$19*Übersicht!$C$25,"Ende der Zinsbindung",IF($H164&gt;0,"Sondertilgung verrechnet",""))))</f>
        <v/>
      </c>
      <c r="Q164" s="38">
        <f>IF($S163&lt;=0,0,ROUND($S163*Übersicht!$C$26,2))</f>
        <v>424.5</v>
      </c>
      <c r="R164" s="38">
        <f>IF($S163&lt;=0,0,MIN($S163,IF(Übersicht!$C$14="Annuitätendarlehen",MAX(0,Übersicht!$C$28-$Q164),IF(Übersicht!$C$14="Ratendarlehen",Übersicht!$C$29,IF($A164&gt;=Übersicht!$C$30,$S163,0)))))</f>
        <v>815.07999999999993</v>
      </c>
      <c r="S164" s="38">
        <f>IF($S163&lt;=0,0,ROUND($S163-$R164-IF($S163-$R164&lt;=0,0,IF(MOD($A164,Übersicht!$C$25)=0,MIN(Szenarien!$C$8,$S163-$R164),0)),2))</f>
        <v>146838.78</v>
      </c>
      <c r="T164" s="38">
        <f>IF($V163&lt;=0,0,ROUND($V163*Übersicht!$C$26,2))</f>
        <v>308.66000000000003</v>
      </c>
      <c r="U164" s="38">
        <f>IF($V163&lt;=0,0,MIN($V163,IF(Übersicht!$C$14="Annuitätendarlehen",MAX(0,Übersicht!$C$28-$T164),IF(Übersicht!$C$14="Ratendarlehen",Übersicht!$C$29,IF($A164&gt;=Übersicht!$C$30,$V163,0)))))</f>
        <v>930.91999999999985</v>
      </c>
      <c r="V164" s="38">
        <f>IF($V163&lt;=0,0,ROUND($V163-$U164-IF($V163-$U164&lt;=0,0,IF(MOD($A164,Übersicht!$C$25)=0,MIN(Szenarien!$C$9,$V163-$U164),0)),2))</f>
        <v>106427.61</v>
      </c>
      <c r="W164" s="38">
        <f>IF($Y163&lt;=0,0,ROUND($Y163*Übersicht!$C$26,2))</f>
        <v>192.81</v>
      </c>
      <c r="X164" s="38">
        <f>IF($Y163&lt;=0,0,MIN($Y163,IF(Übersicht!$C$14="Annuitätendarlehen",MAX(0,Übersicht!$C$28-$W164),IF(Übersicht!$C$14="Ratendarlehen",Übersicht!$C$29,IF($A164&gt;=Übersicht!$C$30,$Y163,0)))))</f>
        <v>1046.77</v>
      </c>
      <c r="Y164" s="38">
        <f>IF($Y163&lt;=0,0,ROUND($Y163-$X164-IF($Y163-$X164&lt;=0,0,IF(MOD($A164,Übersicht!$C$25)=0,MIN(Szenarien!$C$10,$Y163-$X164),0)),2))</f>
        <v>66016.31</v>
      </c>
      <c r="Z164" s="38">
        <f>IF($AB163&lt;=0,0,ROUND($AB163*Übersicht!$C$26,2))</f>
        <v>76.959999999999994</v>
      </c>
      <c r="AA164" s="38">
        <f>IF($AB163&lt;=0,0,MIN($AB163,IF(Übersicht!$C$14="Annuitätendarlehen",MAX(0,Übersicht!$C$28-$Z164),IF(Übersicht!$C$14="Ratendarlehen",Übersicht!$C$29,IF($A164&gt;=Übersicht!$C$30,$AB163,0)))))</f>
        <v>1162.6199999999999</v>
      </c>
      <c r="AB164" s="38">
        <f>IF($AB163&lt;=0,0,ROUND($AB163-$AA164-IF($AB163-$AA164&lt;=0,0,IF(MOD($A164,Übersicht!$C$25)=0,MIN(Szenarien!$C$11,$AB163-$AA164),0)),2))</f>
        <v>25605.05</v>
      </c>
      <c r="AC164" s="38">
        <f>IF($AE163&lt;=0,0,ROUND($AE163*Übersicht!$C$26,2))</f>
        <v>0</v>
      </c>
      <c r="AD164" s="38">
        <f>IF($AE163&lt;=0,0,MIN($AE163,IF(Übersicht!$C$14="Annuitätendarlehen",MAX(0,Übersicht!$C$28-$AC164),IF(Übersicht!$C$14="Ratendarlehen",Übersicht!$C$29,IF($A164&gt;=Übersicht!$C$30,$AE163,0)))))</f>
        <v>0</v>
      </c>
      <c r="AE164" s="38">
        <f>IF($AE163&lt;=0,0,ROUND($AE163-$AD164-IF($AE163-$AD164&lt;=0,0,IF(MOD($A164,Übersicht!$C$25)=0,MIN(Szenarien!$C$12,$AE163-$AD164),0)),2))</f>
        <v>0</v>
      </c>
    </row>
    <row r="165" spans="1:31" ht="15" customHeight="1" x14ac:dyDescent="0.25">
      <c r="A165" s="26">
        <v>158</v>
      </c>
      <c r="B165" s="39">
        <f>IF($D165&lt;=0,"",EDATE(Übersicht!$C$18,($A165-1)*12/Übersicht!$C$25))</f>
        <v>50829</v>
      </c>
      <c r="C165" s="26">
        <f t="shared" si="14"/>
        <v>2039</v>
      </c>
      <c r="D165" s="40">
        <f t="shared" si="18"/>
        <v>66016.31</v>
      </c>
      <c r="E165" s="28">
        <f t="shared" si="15"/>
        <v>1239.58</v>
      </c>
      <c r="F165" s="28">
        <f>IF($D165&lt;=0,0,ROUND($D165*Übersicht!$C$26,2))</f>
        <v>189.8</v>
      </c>
      <c r="G165" s="28">
        <f>IF($D165&lt;=0,0,MIN($D165,IF(Übersicht!$C$14="Annuitätendarlehen",MAX(0,Übersicht!$C$28-$F165),IF(Übersicht!$C$14="Ratendarlehen",Übersicht!$C$29,IF($A165&gt;=Übersicht!$C$30,$D165,0)))))</f>
        <v>1049.78</v>
      </c>
      <c r="H165" s="28">
        <f>IF($D165-$G165&lt;=0,0,IF(MOD($A165,Übersicht!$C$25)=0,MIN(Übersicht!$C$31,$D165-$G165),0))</f>
        <v>0</v>
      </c>
      <c r="I165" s="28">
        <f t="shared" si="16"/>
        <v>1239.58</v>
      </c>
      <c r="J165" s="28">
        <f t="shared" si="17"/>
        <v>64966.53</v>
      </c>
      <c r="K165" s="28">
        <f t="shared" si="19"/>
        <v>75820.16999999994</v>
      </c>
      <c r="L165" s="28">
        <f t="shared" si="20"/>
        <v>185033.47</v>
      </c>
      <c r="M165" s="29">
        <f>IF($D165&lt;=0,"",IF(Übersicht!$C$11=0,0,$L165/Übersicht!$C$11))</f>
        <v>0.74013388000000002</v>
      </c>
      <c r="N165" s="30" t="str">
        <f>IF($D165&lt;=0,"",IF($J165&lt;=0.005,"Volltilgung erreicht",IF($A165=Übersicht!$C$19*Übersicht!$C$25,"Ende der Zinsbindung",IF($H165&gt;0,"Sondertilgung verrechnet",""))))</f>
        <v/>
      </c>
      <c r="Q165" s="38">
        <f>IF($S164&lt;=0,0,ROUND($S164*Übersicht!$C$26,2))</f>
        <v>422.16</v>
      </c>
      <c r="R165" s="38">
        <f>IF($S164&lt;=0,0,MIN($S164,IF(Übersicht!$C$14="Annuitätendarlehen",MAX(0,Übersicht!$C$28-$Q165),IF(Übersicht!$C$14="Ratendarlehen",Übersicht!$C$29,IF($A165&gt;=Übersicht!$C$30,$S164,0)))))</f>
        <v>817.41999999999985</v>
      </c>
      <c r="S165" s="38">
        <f>IF($S164&lt;=0,0,ROUND($S164-$R165-IF($S164-$R165&lt;=0,0,IF(MOD($A165,Übersicht!$C$25)=0,MIN(Szenarien!$C$8,$S164-$R165),0)),2))</f>
        <v>146021.35999999999</v>
      </c>
      <c r="T165" s="38">
        <f>IF($V164&lt;=0,0,ROUND($V164*Übersicht!$C$26,2))</f>
        <v>305.98</v>
      </c>
      <c r="U165" s="38">
        <f>IF($V164&lt;=0,0,MIN($V164,IF(Übersicht!$C$14="Annuitätendarlehen",MAX(0,Übersicht!$C$28-$T165),IF(Übersicht!$C$14="Ratendarlehen",Übersicht!$C$29,IF($A165&gt;=Übersicht!$C$30,$V164,0)))))</f>
        <v>933.59999999999991</v>
      </c>
      <c r="V165" s="38">
        <f>IF($V164&lt;=0,0,ROUND($V164-$U165-IF($V164-$U165&lt;=0,0,IF(MOD($A165,Übersicht!$C$25)=0,MIN(Szenarien!$C$9,$V164-$U165),0)),2))</f>
        <v>105494.01</v>
      </c>
      <c r="W165" s="38">
        <f>IF($Y164&lt;=0,0,ROUND($Y164*Übersicht!$C$26,2))</f>
        <v>189.8</v>
      </c>
      <c r="X165" s="38">
        <f>IF($Y164&lt;=0,0,MIN($Y164,IF(Übersicht!$C$14="Annuitätendarlehen",MAX(0,Übersicht!$C$28-$W165),IF(Übersicht!$C$14="Ratendarlehen",Übersicht!$C$29,IF($A165&gt;=Übersicht!$C$30,$Y164,0)))))</f>
        <v>1049.78</v>
      </c>
      <c r="Y165" s="38">
        <f>IF($Y164&lt;=0,0,ROUND($Y164-$X165-IF($Y164-$X165&lt;=0,0,IF(MOD($A165,Übersicht!$C$25)=0,MIN(Szenarien!$C$10,$Y164-$X165),0)),2))</f>
        <v>64966.53</v>
      </c>
      <c r="Z165" s="38">
        <f>IF($AB164&lt;=0,0,ROUND($AB164*Übersicht!$C$26,2))</f>
        <v>73.61</v>
      </c>
      <c r="AA165" s="38">
        <f>IF($AB164&lt;=0,0,MIN($AB164,IF(Übersicht!$C$14="Annuitätendarlehen",MAX(0,Übersicht!$C$28-$Z165),IF(Übersicht!$C$14="Ratendarlehen",Übersicht!$C$29,IF($A165&gt;=Übersicht!$C$30,$AB164,0)))))</f>
        <v>1165.97</v>
      </c>
      <c r="AB165" s="38">
        <f>IF($AB164&lt;=0,0,ROUND($AB164-$AA165-IF($AB164-$AA165&lt;=0,0,IF(MOD($A165,Übersicht!$C$25)=0,MIN(Szenarien!$C$11,$AB164-$AA165),0)),2))</f>
        <v>24439.08</v>
      </c>
      <c r="AC165" s="38">
        <f>IF($AE164&lt;=0,0,ROUND($AE164*Übersicht!$C$26,2))</f>
        <v>0</v>
      </c>
      <c r="AD165" s="38">
        <f>IF($AE164&lt;=0,0,MIN($AE164,IF(Übersicht!$C$14="Annuitätendarlehen",MAX(0,Übersicht!$C$28-$AC165),IF(Übersicht!$C$14="Ratendarlehen",Übersicht!$C$29,IF($A165&gt;=Übersicht!$C$30,$AE164,0)))))</f>
        <v>0</v>
      </c>
      <c r="AE165" s="38">
        <f>IF($AE164&lt;=0,0,ROUND($AE164-$AD165-IF($AE164-$AD165&lt;=0,0,IF(MOD($A165,Übersicht!$C$25)=0,MIN(Szenarien!$C$12,$AE164-$AD165),0)),2))</f>
        <v>0</v>
      </c>
    </row>
    <row r="166" spans="1:31" ht="15" customHeight="1" x14ac:dyDescent="0.25">
      <c r="A166" s="21">
        <v>159</v>
      </c>
      <c r="B166" s="36">
        <f>IF($D166&lt;=0,"",EDATE(Übersicht!$C$18,($A166-1)*12/Übersicht!$C$25))</f>
        <v>50860</v>
      </c>
      <c r="C166" s="21">
        <f t="shared" si="14"/>
        <v>2039</v>
      </c>
      <c r="D166" s="37">
        <f t="shared" si="18"/>
        <v>64966.53</v>
      </c>
      <c r="E166" s="23">
        <f t="shared" si="15"/>
        <v>1239.58</v>
      </c>
      <c r="F166" s="23">
        <f>IF($D166&lt;=0,0,ROUND($D166*Übersicht!$C$26,2))</f>
        <v>186.78</v>
      </c>
      <c r="G166" s="23">
        <f>IF($D166&lt;=0,0,MIN($D166,IF(Übersicht!$C$14="Annuitätendarlehen",MAX(0,Übersicht!$C$28-$F166),IF(Übersicht!$C$14="Ratendarlehen",Übersicht!$C$29,IF($A166&gt;=Übersicht!$C$30,$D166,0)))))</f>
        <v>1052.8</v>
      </c>
      <c r="H166" s="23">
        <f>IF($D166-$G166&lt;=0,0,IF(MOD($A166,Übersicht!$C$25)=0,MIN(Übersicht!$C$31,$D166-$G166),0))</f>
        <v>0</v>
      </c>
      <c r="I166" s="23">
        <f t="shared" si="16"/>
        <v>1239.58</v>
      </c>
      <c r="J166" s="23">
        <f t="shared" si="17"/>
        <v>63913.73</v>
      </c>
      <c r="K166" s="23">
        <f t="shared" si="19"/>
        <v>76006.949999999939</v>
      </c>
      <c r="L166" s="23">
        <f t="shared" si="20"/>
        <v>186086.27</v>
      </c>
      <c r="M166" s="24">
        <f>IF($D166&lt;=0,"",IF(Übersicht!$C$11=0,0,$L166/Übersicht!$C$11))</f>
        <v>0.74434507999999999</v>
      </c>
      <c r="N166" s="25" t="str">
        <f>IF($D166&lt;=0,"",IF($J166&lt;=0.005,"Volltilgung erreicht",IF($A166=Übersicht!$C$19*Übersicht!$C$25,"Ende der Zinsbindung",IF($H166&gt;0,"Sondertilgung verrechnet",""))))</f>
        <v/>
      </c>
      <c r="Q166" s="38">
        <f>IF($S165&lt;=0,0,ROUND($S165*Übersicht!$C$26,2))</f>
        <v>419.81</v>
      </c>
      <c r="R166" s="38">
        <f>IF($S165&lt;=0,0,MIN($S165,IF(Übersicht!$C$14="Annuitätendarlehen",MAX(0,Übersicht!$C$28-$Q166),IF(Übersicht!$C$14="Ratendarlehen",Übersicht!$C$29,IF($A166&gt;=Übersicht!$C$30,$S165,0)))))</f>
        <v>819.77</v>
      </c>
      <c r="S166" s="38">
        <f>IF($S165&lt;=0,0,ROUND($S165-$R166-IF($S165-$R166&lt;=0,0,IF(MOD($A166,Übersicht!$C$25)=0,MIN(Szenarien!$C$8,$S165-$R166),0)),2))</f>
        <v>145201.59</v>
      </c>
      <c r="T166" s="38">
        <f>IF($V165&lt;=0,0,ROUND($V165*Übersicht!$C$26,2))</f>
        <v>303.3</v>
      </c>
      <c r="U166" s="38">
        <f>IF($V165&lt;=0,0,MIN($V165,IF(Übersicht!$C$14="Annuitätendarlehen",MAX(0,Übersicht!$C$28-$T166),IF(Übersicht!$C$14="Ratendarlehen",Übersicht!$C$29,IF($A166&gt;=Übersicht!$C$30,$V165,0)))))</f>
        <v>936.28</v>
      </c>
      <c r="V166" s="38">
        <f>IF($V165&lt;=0,0,ROUND($V165-$U166-IF($V165-$U166&lt;=0,0,IF(MOD($A166,Übersicht!$C$25)=0,MIN(Szenarien!$C$9,$V165-$U166),0)),2))</f>
        <v>104557.73</v>
      </c>
      <c r="W166" s="38">
        <f>IF($Y165&lt;=0,0,ROUND($Y165*Übersicht!$C$26,2))</f>
        <v>186.78</v>
      </c>
      <c r="X166" s="38">
        <f>IF($Y165&lt;=0,0,MIN($Y165,IF(Übersicht!$C$14="Annuitätendarlehen",MAX(0,Übersicht!$C$28-$W166),IF(Übersicht!$C$14="Ratendarlehen",Übersicht!$C$29,IF($A166&gt;=Übersicht!$C$30,$Y165,0)))))</f>
        <v>1052.8</v>
      </c>
      <c r="Y166" s="38">
        <f>IF($Y165&lt;=0,0,ROUND($Y165-$X166-IF($Y165-$X166&lt;=0,0,IF(MOD($A166,Übersicht!$C$25)=0,MIN(Szenarien!$C$10,$Y165-$X166),0)),2))</f>
        <v>63913.73</v>
      </c>
      <c r="Z166" s="38">
        <f>IF($AB165&lt;=0,0,ROUND($AB165*Übersicht!$C$26,2))</f>
        <v>70.260000000000005</v>
      </c>
      <c r="AA166" s="38">
        <f>IF($AB165&lt;=0,0,MIN($AB165,IF(Übersicht!$C$14="Annuitätendarlehen",MAX(0,Übersicht!$C$28-$Z166),IF(Übersicht!$C$14="Ratendarlehen",Übersicht!$C$29,IF($A166&gt;=Übersicht!$C$30,$AB165,0)))))</f>
        <v>1169.32</v>
      </c>
      <c r="AB166" s="38">
        <f>IF($AB165&lt;=0,0,ROUND($AB165-$AA166-IF($AB165-$AA166&lt;=0,0,IF(MOD($A166,Übersicht!$C$25)=0,MIN(Szenarien!$C$11,$AB165-$AA166),0)),2))</f>
        <v>23269.759999999998</v>
      </c>
      <c r="AC166" s="38">
        <f>IF($AE165&lt;=0,0,ROUND($AE165*Übersicht!$C$26,2))</f>
        <v>0</v>
      </c>
      <c r="AD166" s="38">
        <f>IF($AE165&lt;=0,0,MIN($AE165,IF(Übersicht!$C$14="Annuitätendarlehen",MAX(0,Übersicht!$C$28-$AC166),IF(Übersicht!$C$14="Ratendarlehen",Übersicht!$C$29,IF($A166&gt;=Übersicht!$C$30,$AE165,0)))))</f>
        <v>0</v>
      </c>
      <c r="AE166" s="38">
        <f>IF($AE165&lt;=0,0,ROUND($AE165-$AD166-IF($AE165-$AD166&lt;=0,0,IF(MOD($A166,Übersicht!$C$25)=0,MIN(Szenarien!$C$12,$AE165-$AD166),0)),2))</f>
        <v>0</v>
      </c>
    </row>
    <row r="167" spans="1:31" ht="15" customHeight="1" x14ac:dyDescent="0.25">
      <c r="A167" s="26">
        <v>160</v>
      </c>
      <c r="B167" s="39">
        <f>IF($D167&lt;=0,"",EDATE(Übersicht!$C$18,($A167-1)*12/Übersicht!$C$25))</f>
        <v>50890</v>
      </c>
      <c r="C167" s="26">
        <f t="shared" si="14"/>
        <v>2039</v>
      </c>
      <c r="D167" s="40">
        <f t="shared" si="18"/>
        <v>63913.73</v>
      </c>
      <c r="E167" s="28">
        <f t="shared" si="15"/>
        <v>1239.58</v>
      </c>
      <c r="F167" s="28">
        <f>IF($D167&lt;=0,0,ROUND($D167*Übersicht!$C$26,2))</f>
        <v>183.75</v>
      </c>
      <c r="G167" s="28">
        <f>IF($D167&lt;=0,0,MIN($D167,IF(Übersicht!$C$14="Annuitätendarlehen",MAX(0,Übersicht!$C$28-$F167),IF(Übersicht!$C$14="Ratendarlehen",Übersicht!$C$29,IF($A167&gt;=Übersicht!$C$30,$D167,0)))))</f>
        <v>1055.83</v>
      </c>
      <c r="H167" s="28">
        <f>IF($D167-$G167&lt;=0,0,IF(MOD($A167,Übersicht!$C$25)=0,MIN(Übersicht!$C$31,$D167-$G167),0))</f>
        <v>0</v>
      </c>
      <c r="I167" s="28">
        <f t="shared" si="16"/>
        <v>1239.58</v>
      </c>
      <c r="J167" s="28">
        <f t="shared" si="17"/>
        <v>62857.9</v>
      </c>
      <c r="K167" s="28">
        <f t="shared" si="19"/>
        <v>76190.699999999939</v>
      </c>
      <c r="L167" s="28">
        <f t="shared" si="20"/>
        <v>187142.1</v>
      </c>
      <c r="M167" s="29">
        <f>IF($D167&lt;=0,"",IF(Übersicht!$C$11=0,0,$L167/Übersicht!$C$11))</f>
        <v>0.74856840000000002</v>
      </c>
      <c r="N167" s="30" t="str">
        <f>IF($D167&lt;=0,"",IF($J167&lt;=0.005,"Volltilgung erreicht",IF($A167=Übersicht!$C$19*Übersicht!$C$25,"Ende der Zinsbindung",IF($H167&gt;0,"Sondertilgung verrechnet",""))))</f>
        <v/>
      </c>
      <c r="Q167" s="38">
        <f>IF($S166&lt;=0,0,ROUND($S166*Übersicht!$C$26,2))</f>
        <v>417.45</v>
      </c>
      <c r="R167" s="38">
        <f>IF($S166&lt;=0,0,MIN($S166,IF(Übersicht!$C$14="Annuitätendarlehen",MAX(0,Übersicht!$C$28-$Q167),IF(Übersicht!$C$14="Ratendarlehen",Übersicht!$C$29,IF($A167&gt;=Übersicht!$C$30,$S166,0)))))</f>
        <v>822.12999999999988</v>
      </c>
      <c r="S167" s="38">
        <f>IF($S166&lt;=0,0,ROUND($S166-$R167-IF($S166-$R167&lt;=0,0,IF(MOD($A167,Übersicht!$C$25)=0,MIN(Szenarien!$C$8,$S166-$R167),0)),2))</f>
        <v>144379.46</v>
      </c>
      <c r="T167" s="38">
        <f>IF($V166&lt;=0,0,ROUND($V166*Übersicht!$C$26,2))</f>
        <v>300.60000000000002</v>
      </c>
      <c r="U167" s="38">
        <f>IF($V166&lt;=0,0,MIN($V166,IF(Übersicht!$C$14="Annuitätendarlehen",MAX(0,Übersicht!$C$28-$T167),IF(Übersicht!$C$14="Ratendarlehen",Übersicht!$C$29,IF($A167&gt;=Übersicht!$C$30,$V166,0)))))</f>
        <v>938.9799999999999</v>
      </c>
      <c r="V167" s="38">
        <f>IF($V166&lt;=0,0,ROUND($V166-$U167-IF($V166-$U167&lt;=0,0,IF(MOD($A167,Übersicht!$C$25)=0,MIN(Szenarien!$C$9,$V166-$U167),0)),2))</f>
        <v>103618.75</v>
      </c>
      <c r="W167" s="38">
        <f>IF($Y166&lt;=0,0,ROUND($Y166*Übersicht!$C$26,2))</f>
        <v>183.75</v>
      </c>
      <c r="X167" s="38">
        <f>IF($Y166&lt;=0,0,MIN($Y166,IF(Übersicht!$C$14="Annuitätendarlehen",MAX(0,Übersicht!$C$28-$W167),IF(Übersicht!$C$14="Ratendarlehen",Übersicht!$C$29,IF($A167&gt;=Übersicht!$C$30,$Y166,0)))))</f>
        <v>1055.83</v>
      </c>
      <c r="Y167" s="38">
        <f>IF($Y166&lt;=0,0,ROUND($Y166-$X167-IF($Y166-$X167&lt;=0,0,IF(MOD($A167,Übersicht!$C$25)=0,MIN(Szenarien!$C$10,$Y166-$X167),0)),2))</f>
        <v>62857.9</v>
      </c>
      <c r="Z167" s="38">
        <f>IF($AB166&lt;=0,0,ROUND($AB166*Übersicht!$C$26,2))</f>
        <v>66.900000000000006</v>
      </c>
      <c r="AA167" s="38">
        <f>IF($AB166&lt;=0,0,MIN($AB166,IF(Übersicht!$C$14="Annuitätendarlehen",MAX(0,Übersicht!$C$28-$Z167),IF(Übersicht!$C$14="Ratendarlehen",Übersicht!$C$29,IF($A167&gt;=Übersicht!$C$30,$AB166,0)))))</f>
        <v>1172.6799999999998</v>
      </c>
      <c r="AB167" s="38">
        <f>IF($AB166&lt;=0,0,ROUND($AB166-$AA167-IF($AB166-$AA167&lt;=0,0,IF(MOD($A167,Übersicht!$C$25)=0,MIN(Szenarien!$C$11,$AB166-$AA167),0)),2))</f>
        <v>22097.08</v>
      </c>
      <c r="AC167" s="38">
        <f>IF($AE166&lt;=0,0,ROUND($AE166*Übersicht!$C$26,2))</f>
        <v>0</v>
      </c>
      <c r="AD167" s="38">
        <f>IF($AE166&lt;=0,0,MIN($AE166,IF(Übersicht!$C$14="Annuitätendarlehen",MAX(0,Übersicht!$C$28-$AC167),IF(Übersicht!$C$14="Ratendarlehen",Übersicht!$C$29,IF($A167&gt;=Übersicht!$C$30,$AE166,0)))))</f>
        <v>0</v>
      </c>
      <c r="AE167" s="38">
        <f>IF($AE166&lt;=0,0,ROUND($AE166-$AD167-IF($AE166-$AD167&lt;=0,0,IF(MOD($A167,Übersicht!$C$25)=0,MIN(Szenarien!$C$12,$AE166-$AD167),0)),2))</f>
        <v>0</v>
      </c>
    </row>
    <row r="168" spans="1:31" ht="15" customHeight="1" x14ac:dyDescent="0.25">
      <c r="A168" s="21">
        <v>161</v>
      </c>
      <c r="B168" s="36">
        <f>IF($D168&lt;=0,"",EDATE(Übersicht!$C$18,($A168-1)*12/Übersicht!$C$25))</f>
        <v>50921</v>
      </c>
      <c r="C168" s="21">
        <f t="shared" si="14"/>
        <v>2039</v>
      </c>
      <c r="D168" s="37">
        <f t="shared" si="18"/>
        <v>62857.9</v>
      </c>
      <c r="E168" s="23">
        <f t="shared" si="15"/>
        <v>1239.58</v>
      </c>
      <c r="F168" s="23">
        <f>IF($D168&lt;=0,0,ROUND($D168*Übersicht!$C$26,2))</f>
        <v>180.72</v>
      </c>
      <c r="G168" s="23">
        <f>IF($D168&lt;=0,0,MIN($D168,IF(Übersicht!$C$14="Annuitätendarlehen",MAX(0,Übersicht!$C$28-$F168),IF(Übersicht!$C$14="Ratendarlehen",Übersicht!$C$29,IF($A168&gt;=Übersicht!$C$30,$D168,0)))))</f>
        <v>1058.8599999999999</v>
      </c>
      <c r="H168" s="23">
        <f>IF($D168-$G168&lt;=0,0,IF(MOD($A168,Übersicht!$C$25)=0,MIN(Übersicht!$C$31,$D168-$G168),0))</f>
        <v>0</v>
      </c>
      <c r="I168" s="23">
        <f t="shared" si="16"/>
        <v>1239.58</v>
      </c>
      <c r="J168" s="23">
        <f t="shared" si="17"/>
        <v>61799.040000000001</v>
      </c>
      <c r="K168" s="23">
        <f t="shared" si="19"/>
        <v>76371.41999999994</v>
      </c>
      <c r="L168" s="23">
        <f t="shared" si="20"/>
        <v>188200.95999999999</v>
      </c>
      <c r="M168" s="24">
        <f>IF($D168&lt;=0,"",IF(Übersicht!$C$11=0,0,$L168/Übersicht!$C$11))</f>
        <v>0.75280384</v>
      </c>
      <c r="N168" s="25" t="str">
        <f>IF($D168&lt;=0,"",IF($J168&lt;=0.005,"Volltilgung erreicht",IF($A168=Übersicht!$C$19*Übersicht!$C$25,"Ende der Zinsbindung",IF($H168&gt;0,"Sondertilgung verrechnet",""))))</f>
        <v/>
      </c>
      <c r="Q168" s="38">
        <f>IF($S167&lt;=0,0,ROUND($S167*Übersicht!$C$26,2))</f>
        <v>415.09</v>
      </c>
      <c r="R168" s="38">
        <f>IF($S167&lt;=0,0,MIN($S167,IF(Übersicht!$C$14="Annuitätendarlehen",MAX(0,Übersicht!$C$28-$Q168),IF(Übersicht!$C$14="Ratendarlehen",Übersicht!$C$29,IF($A168&gt;=Übersicht!$C$30,$S167,0)))))</f>
        <v>824.49</v>
      </c>
      <c r="S168" s="38">
        <f>IF($S167&lt;=0,0,ROUND($S167-$R168-IF($S167-$R168&lt;=0,0,IF(MOD($A168,Übersicht!$C$25)=0,MIN(Szenarien!$C$8,$S167-$R168),0)),2))</f>
        <v>143554.97</v>
      </c>
      <c r="T168" s="38">
        <f>IF($V167&lt;=0,0,ROUND($V167*Übersicht!$C$26,2))</f>
        <v>297.89999999999998</v>
      </c>
      <c r="U168" s="38">
        <f>IF($V167&lt;=0,0,MIN($V167,IF(Übersicht!$C$14="Annuitätendarlehen",MAX(0,Übersicht!$C$28-$T168),IF(Übersicht!$C$14="Ratendarlehen",Übersicht!$C$29,IF($A168&gt;=Übersicht!$C$30,$V167,0)))))</f>
        <v>941.68</v>
      </c>
      <c r="V168" s="38">
        <f>IF($V167&lt;=0,0,ROUND($V167-$U168-IF($V167-$U168&lt;=0,0,IF(MOD($A168,Übersicht!$C$25)=0,MIN(Szenarien!$C$9,$V167-$U168),0)),2))</f>
        <v>102677.07</v>
      </c>
      <c r="W168" s="38">
        <f>IF($Y167&lt;=0,0,ROUND($Y167*Übersicht!$C$26,2))</f>
        <v>180.72</v>
      </c>
      <c r="X168" s="38">
        <f>IF($Y167&lt;=0,0,MIN($Y167,IF(Übersicht!$C$14="Annuitätendarlehen",MAX(0,Übersicht!$C$28-$W168),IF(Übersicht!$C$14="Ratendarlehen",Übersicht!$C$29,IF($A168&gt;=Übersicht!$C$30,$Y167,0)))))</f>
        <v>1058.8599999999999</v>
      </c>
      <c r="Y168" s="38">
        <f>IF($Y167&lt;=0,0,ROUND($Y167-$X168-IF($Y167-$X168&lt;=0,0,IF(MOD($A168,Übersicht!$C$25)=0,MIN(Szenarien!$C$10,$Y167-$X168),0)),2))</f>
        <v>61799.040000000001</v>
      </c>
      <c r="Z168" s="38">
        <f>IF($AB167&lt;=0,0,ROUND($AB167*Übersicht!$C$26,2))</f>
        <v>63.53</v>
      </c>
      <c r="AA168" s="38">
        <f>IF($AB167&lt;=0,0,MIN($AB167,IF(Übersicht!$C$14="Annuitätendarlehen",MAX(0,Übersicht!$C$28-$Z168),IF(Übersicht!$C$14="Ratendarlehen",Übersicht!$C$29,IF($A168&gt;=Übersicht!$C$30,$AB167,0)))))</f>
        <v>1176.05</v>
      </c>
      <c r="AB168" s="38">
        <f>IF($AB167&lt;=0,0,ROUND($AB167-$AA168-IF($AB167-$AA168&lt;=0,0,IF(MOD($A168,Übersicht!$C$25)=0,MIN(Szenarien!$C$11,$AB167-$AA168),0)),2))</f>
        <v>20921.03</v>
      </c>
      <c r="AC168" s="38">
        <f>IF($AE167&lt;=0,0,ROUND($AE167*Übersicht!$C$26,2))</f>
        <v>0</v>
      </c>
      <c r="AD168" s="38">
        <f>IF($AE167&lt;=0,0,MIN($AE167,IF(Übersicht!$C$14="Annuitätendarlehen",MAX(0,Übersicht!$C$28-$AC168),IF(Übersicht!$C$14="Ratendarlehen",Übersicht!$C$29,IF($A168&gt;=Übersicht!$C$30,$AE167,0)))))</f>
        <v>0</v>
      </c>
      <c r="AE168" s="38">
        <f>IF($AE167&lt;=0,0,ROUND($AE167-$AD168-IF($AE167-$AD168&lt;=0,0,IF(MOD($A168,Übersicht!$C$25)=0,MIN(Szenarien!$C$12,$AE167-$AD168),0)),2))</f>
        <v>0</v>
      </c>
    </row>
    <row r="169" spans="1:31" ht="15" customHeight="1" x14ac:dyDescent="0.25">
      <c r="A169" s="26">
        <v>162</v>
      </c>
      <c r="B169" s="39">
        <f>IF($D169&lt;=0,"",EDATE(Übersicht!$C$18,($A169-1)*12/Übersicht!$C$25))</f>
        <v>50951</v>
      </c>
      <c r="C169" s="26">
        <f t="shared" si="14"/>
        <v>2039</v>
      </c>
      <c r="D169" s="40">
        <f t="shared" si="18"/>
        <v>61799.040000000001</v>
      </c>
      <c r="E169" s="28">
        <f t="shared" si="15"/>
        <v>1239.58</v>
      </c>
      <c r="F169" s="28">
        <f>IF($D169&lt;=0,0,ROUND($D169*Übersicht!$C$26,2))</f>
        <v>177.67</v>
      </c>
      <c r="G169" s="28">
        <f>IF($D169&lt;=0,0,MIN($D169,IF(Übersicht!$C$14="Annuitätendarlehen",MAX(0,Übersicht!$C$28-$F169),IF(Übersicht!$C$14="Ratendarlehen",Übersicht!$C$29,IF($A169&gt;=Übersicht!$C$30,$D169,0)))))</f>
        <v>1061.9099999999999</v>
      </c>
      <c r="H169" s="28">
        <f>IF($D169-$G169&lt;=0,0,IF(MOD($A169,Übersicht!$C$25)=0,MIN(Übersicht!$C$31,$D169-$G169),0))</f>
        <v>0</v>
      </c>
      <c r="I169" s="28">
        <f t="shared" si="16"/>
        <v>1239.58</v>
      </c>
      <c r="J169" s="28">
        <f t="shared" si="17"/>
        <v>60737.13</v>
      </c>
      <c r="K169" s="28">
        <f t="shared" si="19"/>
        <v>76549.089999999938</v>
      </c>
      <c r="L169" s="28">
        <f t="shared" si="20"/>
        <v>189262.87</v>
      </c>
      <c r="M169" s="29">
        <f>IF($D169&lt;=0,"",IF(Übersicht!$C$11=0,0,$L169/Übersicht!$C$11))</f>
        <v>0.75705148</v>
      </c>
      <c r="N169" s="30" t="str">
        <f>IF($D169&lt;=0,"",IF($J169&lt;=0.005,"Volltilgung erreicht",IF($A169=Übersicht!$C$19*Übersicht!$C$25,"Ende der Zinsbindung",IF($H169&gt;0,"Sondertilgung verrechnet",""))))</f>
        <v/>
      </c>
      <c r="Q169" s="38">
        <f>IF($S168&lt;=0,0,ROUND($S168*Übersicht!$C$26,2))</f>
        <v>412.72</v>
      </c>
      <c r="R169" s="38">
        <f>IF($S168&lt;=0,0,MIN($S168,IF(Übersicht!$C$14="Annuitätendarlehen",MAX(0,Übersicht!$C$28-$Q169),IF(Übersicht!$C$14="Ratendarlehen",Übersicht!$C$29,IF($A169&gt;=Übersicht!$C$30,$S168,0)))))</f>
        <v>826.8599999999999</v>
      </c>
      <c r="S169" s="38">
        <f>IF($S168&lt;=0,0,ROUND($S168-$R169-IF($S168-$R169&lt;=0,0,IF(MOD($A169,Übersicht!$C$25)=0,MIN(Szenarien!$C$8,$S168-$R169),0)),2))</f>
        <v>142728.10999999999</v>
      </c>
      <c r="T169" s="38">
        <f>IF($V168&lt;=0,0,ROUND($V168*Übersicht!$C$26,2))</f>
        <v>295.2</v>
      </c>
      <c r="U169" s="38">
        <f>IF($V168&lt;=0,0,MIN($V168,IF(Übersicht!$C$14="Annuitätendarlehen",MAX(0,Übersicht!$C$28-$T169),IF(Übersicht!$C$14="Ratendarlehen",Übersicht!$C$29,IF($A169&gt;=Übersicht!$C$30,$V168,0)))))</f>
        <v>944.37999999999988</v>
      </c>
      <c r="V169" s="38">
        <f>IF($V168&lt;=0,0,ROUND($V168-$U169-IF($V168-$U169&lt;=0,0,IF(MOD($A169,Übersicht!$C$25)=0,MIN(Szenarien!$C$9,$V168-$U169),0)),2))</f>
        <v>101732.69</v>
      </c>
      <c r="W169" s="38">
        <f>IF($Y168&lt;=0,0,ROUND($Y168*Übersicht!$C$26,2))</f>
        <v>177.67</v>
      </c>
      <c r="X169" s="38">
        <f>IF($Y168&lt;=0,0,MIN($Y168,IF(Übersicht!$C$14="Annuitätendarlehen",MAX(0,Übersicht!$C$28-$W169),IF(Übersicht!$C$14="Ratendarlehen",Übersicht!$C$29,IF($A169&gt;=Übersicht!$C$30,$Y168,0)))))</f>
        <v>1061.9099999999999</v>
      </c>
      <c r="Y169" s="38">
        <f>IF($Y168&lt;=0,0,ROUND($Y168-$X169-IF($Y168-$X169&lt;=0,0,IF(MOD($A169,Übersicht!$C$25)=0,MIN(Szenarien!$C$10,$Y168-$X169),0)),2))</f>
        <v>60737.13</v>
      </c>
      <c r="Z169" s="38">
        <f>IF($AB168&lt;=0,0,ROUND($AB168*Übersicht!$C$26,2))</f>
        <v>60.15</v>
      </c>
      <c r="AA169" s="38">
        <f>IF($AB168&lt;=0,0,MIN($AB168,IF(Übersicht!$C$14="Annuitätendarlehen",MAX(0,Übersicht!$C$28-$Z169),IF(Übersicht!$C$14="Ratendarlehen",Übersicht!$C$29,IF($A169&gt;=Übersicht!$C$30,$AB168,0)))))</f>
        <v>1179.4299999999998</v>
      </c>
      <c r="AB169" s="38">
        <f>IF($AB168&lt;=0,0,ROUND($AB168-$AA169-IF($AB168-$AA169&lt;=0,0,IF(MOD($A169,Übersicht!$C$25)=0,MIN(Szenarien!$C$11,$AB168-$AA169),0)),2))</f>
        <v>19741.599999999999</v>
      </c>
      <c r="AC169" s="38">
        <f>IF($AE168&lt;=0,0,ROUND($AE168*Übersicht!$C$26,2))</f>
        <v>0</v>
      </c>
      <c r="AD169" s="38">
        <f>IF($AE168&lt;=0,0,MIN($AE168,IF(Übersicht!$C$14="Annuitätendarlehen",MAX(0,Übersicht!$C$28-$AC169),IF(Übersicht!$C$14="Ratendarlehen",Übersicht!$C$29,IF($A169&gt;=Übersicht!$C$30,$AE168,0)))))</f>
        <v>0</v>
      </c>
      <c r="AE169" s="38">
        <f>IF($AE168&lt;=0,0,ROUND($AE168-$AD169-IF($AE168-$AD169&lt;=0,0,IF(MOD($A169,Übersicht!$C$25)=0,MIN(Szenarien!$C$12,$AE168-$AD169),0)),2))</f>
        <v>0</v>
      </c>
    </row>
    <row r="170" spans="1:31" ht="15" customHeight="1" x14ac:dyDescent="0.25">
      <c r="A170" s="21">
        <v>163</v>
      </c>
      <c r="B170" s="36">
        <f>IF($D170&lt;=0,"",EDATE(Übersicht!$C$18,($A170-1)*12/Übersicht!$C$25))</f>
        <v>50982</v>
      </c>
      <c r="C170" s="21">
        <f t="shared" si="14"/>
        <v>2039</v>
      </c>
      <c r="D170" s="37">
        <f t="shared" si="18"/>
        <v>60737.13</v>
      </c>
      <c r="E170" s="23">
        <f t="shared" si="15"/>
        <v>1239.58</v>
      </c>
      <c r="F170" s="23">
        <f>IF($D170&lt;=0,0,ROUND($D170*Übersicht!$C$26,2))</f>
        <v>174.62</v>
      </c>
      <c r="G170" s="23">
        <f>IF($D170&lt;=0,0,MIN($D170,IF(Übersicht!$C$14="Annuitätendarlehen",MAX(0,Übersicht!$C$28-$F170),IF(Übersicht!$C$14="Ratendarlehen",Übersicht!$C$29,IF($A170&gt;=Übersicht!$C$30,$D170,0)))))</f>
        <v>1064.96</v>
      </c>
      <c r="H170" s="23">
        <f>IF($D170-$G170&lt;=0,0,IF(MOD($A170,Übersicht!$C$25)=0,MIN(Übersicht!$C$31,$D170-$G170),0))</f>
        <v>0</v>
      </c>
      <c r="I170" s="23">
        <f t="shared" si="16"/>
        <v>1239.58</v>
      </c>
      <c r="J170" s="23">
        <f t="shared" si="17"/>
        <v>59672.17</v>
      </c>
      <c r="K170" s="23">
        <f t="shared" si="19"/>
        <v>76723.709999999934</v>
      </c>
      <c r="L170" s="23">
        <f t="shared" si="20"/>
        <v>190327.83</v>
      </c>
      <c r="M170" s="24">
        <f>IF($D170&lt;=0,"",IF(Übersicht!$C$11=0,0,$L170/Übersicht!$C$11))</f>
        <v>0.7613113199999999</v>
      </c>
      <c r="N170" s="25" t="str">
        <f>IF($D170&lt;=0,"",IF($J170&lt;=0.005,"Volltilgung erreicht",IF($A170=Übersicht!$C$19*Übersicht!$C$25,"Ende der Zinsbindung",IF($H170&gt;0,"Sondertilgung verrechnet",""))))</f>
        <v/>
      </c>
      <c r="Q170" s="38">
        <f>IF($S169&lt;=0,0,ROUND($S169*Übersicht!$C$26,2))</f>
        <v>410.34</v>
      </c>
      <c r="R170" s="38">
        <f>IF($S169&lt;=0,0,MIN($S169,IF(Übersicht!$C$14="Annuitätendarlehen",MAX(0,Übersicht!$C$28-$Q170),IF(Übersicht!$C$14="Ratendarlehen",Übersicht!$C$29,IF($A170&gt;=Übersicht!$C$30,$S169,0)))))</f>
        <v>829.24</v>
      </c>
      <c r="S170" s="38">
        <f>IF($S169&lt;=0,0,ROUND($S169-$R170-IF($S169-$R170&lt;=0,0,IF(MOD($A170,Übersicht!$C$25)=0,MIN(Szenarien!$C$8,$S169-$R170),0)),2))</f>
        <v>141898.87</v>
      </c>
      <c r="T170" s="38">
        <f>IF($V169&lt;=0,0,ROUND($V169*Übersicht!$C$26,2))</f>
        <v>292.48</v>
      </c>
      <c r="U170" s="38">
        <f>IF($V169&lt;=0,0,MIN($V169,IF(Übersicht!$C$14="Annuitätendarlehen",MAX(0,Übersicht!$C$28-$T170),IF(Übersicht!$C$14="Ratendarlehen",Übersicht!$C$29,IF($A170&gt;=Übersicht!$C$30,$V169,0)))))</f>
        <v>947.09999999999991</v>
      </c>
      <c r="V170" s="38">
        <f>IF($V169&lt;=0,0,ROUND($V169-$U170-IF($V169-$U170&lt;=0,0,IF(MOD($A170,Übersicht!$C$25)=0,MIN(Szenarien!$C$9,$V169-$U170),0)),2))</f>
        <v>100785.59</v>
      </c>
      <c r="W170" s="38">
        <f>IF($Y169&lt;=0,0,ROUND($Y169*Übersicht!$C$26,2))</f>
        <v>174.62</v>
      </c>
      <c r="X170" s="38">
        <f>IF($Y169&lt;=0,0,MIN($Y169,IF(Übersicht!$C$14="Annuitätendarlehen",MAX(0,Übersicht!$C$28-$W170),IF(Übersicht!$C$14="Ratendarlehen",Übersicht!$C$29,IF($A170&gt;=Übersicht!$C$30,$Y169,0)))))</f>
        <v>1064.96</v>
      </c>
      <c r="Y170" s="38">
        <f>IF($Y169&lt;=0,0,ROUND($Y169-$X170-IF($Y169-$X170&lt;=0,0,IF(MOD($A170,Übersicht!$C$25)=0,MIN(Szenarien!$C$10,$Y169-$X170),0)),2))</f>
        <v>59672.17</v>
      </c>
      <c r="Z170" s="38">
        <f>IF($AB169&lt;=0,0,ROUND($AB169*Übersicht!$C$26,2))</f>
        <v>56.76</v>
      </c>
      <c r="AA170" s="38">
        <f>IF($AB169&lt;=0,0,MIN($AB169,IF(Übersicht!$C$14="Annuitätendarlehen",MAX(0,Übersicht!$C$28-$Z170),IF(Übersicht!$C$14="Ratendarlehen",Übersicht!$C$29,IF($A170&gt;=Übersicht!$C$30,$AB169,0)))))</f>
        <v>1182.82</v>
      </c>
      <c r="AB170" s="38">
        <f>IF($AB169&lt;=0,0,ROUND($AB169-$AA170-IF($AB169-$AA170&lt;=0,0,IF(MOD($A170,Übersicht!$C$25)=0,MIN(Szenarien!$C$11,$AB169-$AA170),0)),2))</f>
        <v>18558.78</v>
      </c>
      <c r="AC170" s="38">
        <f>IF($AE169&lt;=0,0,ROUND($AE169*Übersicht!$C$26,2))</f>
        <v>0</v>
      </c>
      <c r="AD170" s="38">
        <f>IF($AE169&lt;=0,0,MIN($AE169,IF(Übersicht!$C$14="Annuitätendarlehen",MAX(0,Übersicht!$C$28-$AC170),IF(Übersicht!$C$14="Ratendarlehen",Übersicht!$C$29,IF($A170&gt;=Übersicht!$C$30,$AE169,0)))))</f>
        <v>0</v>
      </c>
      <c r="AE170" s="38">
        <f>IF($AE169&lt;=0,0,ROUND($AE169-$AD170-IF($AE169-$AD170&lt;=0,0,IF(MOD($A170,Übersicht!$C$25)=0,MIN(Szenarien!$C$12,$AE169-$AD170),0)),2))</f>
        <v>0</v>
      </c>
    </row>
    <row r="171" spans="1:31" ht="15" customHeight="1" x14ac:dyDescent="0.25">
      <c r="A171" s="26">
        <v>164</v>
      </c>
      <c r="B171" s="39">
        <f>IF($D171&lt;=0,"",EDATE(Übersicht!$C$18,($A171-1)*12/Übersicht!$C$25))</f>
        <v>51013</v>
      </c>
      <c r="C171" s="26">
        <f t="shared" si="14"/>
        <v>2039</v>
      </c>
      <c r="D171" s="40">
        <f t="shared" si="18"/>
        <v>59672.17</v>
      </c>
      <c r="E171" s="28">
        <f t="shared" si="15"/>
        <v>1239.58</v>
      </c>
      <c r="F171" s="28">
        <f>IF($D171&lt;=0,0,ROUND($D171*Übersicht!$C$26,2))</f>
        <v>171.56</v>
      </c>
      <c r="G171" s="28">
        <f>IF($D171&lt;=0,0,MIN($D171,IF(Übersicht!$C$14="Annuitätendarlehen",MAX(0,Übersicht!$C$28-$F171),IF(Übersicht!$C$14="Ratendarlehen",Übersicht!$C$29,IF($A171&gt;=Übersicht!$C$30,$D171,0)))))</f>
        <v>1068.02</v>
      </c>
      <c r="H171" s="28">
        <f>IF($D171-$G171&lt;=0,0,IF(MOD($A171,Übersicht!$C$25)=0,MIN(Übersicht!$C$31,$D171-$G171),0))</f>
        <v>0</v>
      </c>
      <c r="I171" s="28">
        <f t="shared" si="16"/>
        <v>1239.58</v>
      </c>
      <c r="J171" s="28">
        <f t="shared" si="17"/>
        <v>58604.15</v>
      </c>
      <c r="K171" s="28">
        <f t="shared" si="19"/>
        <v>76895.269999999931</v>
      </c>
      <c r="L171" s="28">
        <f t="shared" si="20"/>
        <v>191395.85</v>
      </c>
      <c r="M171" s="29">
        <f>IF($D171&lt;=0,"",IF(Übersicht!$C$11=0,0,$L171/Übersicht!$C$11))</f>
        <v>0.76558340000000003</v>
      </c>
      <c r="N171" s="30" t="str">
        <f>IF($D171&lt;=0,"",IF($J171&lt;=0.005,"Volltilgung erreicht",IF($A171=Übersicht!$C$19*Übersicht!$C$25,"Ende der Zinsbindung",IF($H171&gt;0,"Sondertilgung verrechnet",""))))</f>
        <v/>
      </c>
      <c r="Q171" s="38">
        <f>IF($S170&lt;=0,0,ROUND($S170*Übersicht!$C$26,2))</f>
        <v>407.96</v>
      </c>
      <c r="R171" s="38">
        <f>IF($S170&lt;=0,0,MIN($S170,IF(Übersicht!$C$14="Annuitätendarlehen",MAX(0,Übersicht!$C$28-$Q171),IF(Übersicht!$C$14="Ratendarlehen",Übersicht!$C$29,IF($A171&gt;=Übersicht!$C$30,$S170,0)))))</f>
        <v>831.61999999999989</v>
      </c>
      <c r="S171" s="38">
        <f>IF($S170&lt;=0,0,ROUND($S170-$R171-IF($S170-$R171&lt;=0,0,IF(MOD($A171,Übersicht!$C$25)=0,MIN(Szenarien!$C$8,$S170-$R171),0)),2))</f>
        <v>141067.25</v>
      </c>
      <c r="T171" s="38">
        <f>IF($V170&lt;=0,0,ROUND($V170*Übersicht!$C$26,2))</f>
        <v>289.76</v>
      </c>
      <c r="U171" s="38">
        <f>IF($V170&lt;=0,0,MIN($V170,IF(Übersicht!$C$14="Annuitätendarlehen",MAX(0,Übersicht!$C$28-$T171),IF(Übersicht!$C$14="Ratendarlehen",Übersicht!$C$29,IF($A171&gt;=Übersicht!$C$30,$V170,0)))))</f>
        <v>949.81999999999994</v>
      </c>
      <c r="V171" s="38">
        <f>IF($V170&lt;=0,0,ROUND($V170-$U171-IF($V170-$U171&lt;=0,0,IF(MOD($A171,Übersicht!$C$25)=0,MIN(Szenarien!$C$9,$V170-$U171),0)),2))</f>
        <v>99835.77</v>
      </c>
      <c r="W171" s="38">
        <f>IF($Y170&lt;=0,0,ROUND($Y170*Übersicht!$C$26,2))</f>
        <v>171.56</v>
      </c>
      <c r="X171" s="38">
        <f>IF($Y170&lt;=0,0,MIN($Y170,IF(Übersicht!$C$14="Annuitätendarlehen",MAX(0,Übersicht!$C$28-$W171),IF(Übersicht!$C$14="Ratendarlehen",Übersicht!$C$29,IF($A171&gt;=Übersicht!$C$30,$Y170,0)))))</f>
        <v>1068.02</v>
      </c>
      <c r="Y171" s="38">
        <f>IF($Y170&lt;=0,0,ROUND($Y170-$X171-IF($Y170-$X171&lt;=0,0,IF(MOD($A171,Übersicht!$C$25)=0,MIN(Szenarien!$C$10,$Y170-$X171),0)),2))</f>
        <v>58604.15</v>
      </c>
      <c r="Z171" s="38">
        <f>IF($AB170&lt;=0,0,ROUND($AB170*Übersicht!$C$26,2))</f>
        <v>53.36</v>
      </c>
      <c r="AA171" s="38">
        <f>IF($AB170&lt;=0,0,MIN($AB170,IF(Übersicht!$C$14="Annuitätendarlehen",MAX(0,Übersicht!$C$28-$Z171),IF(Übersicht!$C$14="Ratendarlehen",Übersicht!$C$29,IF($A171&gt;=Übersicht!$C$30,$AB170,0)))))</f>
        <v>1186.22</v>
      </c>
      <c r="AB171" s="38">
        <f>IF($AB170&lt;=0,0,ROUND($AB170-$AA171-IF($AB170-$AA171&lt;=0,0,IF(MOD($A171,Übersicht!$C$25)=0,MIN(Szenarien!$C$11,$AB170-$AA171),0)),2))</f>
        <v>17372.560000000001</v>
      </c>
      <c r="AC171" s="38">
        <f>IF($AE170&lt;=0,0,ROUND($AE170*Übersicht!$C$26,2))</f>
        <v>0</v>
      </c>
      <c r="AD171" s="38">
        <f>IF($AE170&lt;=0,0,MIN($AE170,IF(Übersicht!$C$14="Annuitätendarlehen",MAX(0,Übersicht!$C$28-$AC171),IF(Übersicht!$C$14="Ratendarlehen",Übersicht!$C$29,IF($A171&gt;=Übersicht!$C$30,$AE170,0)))))</f>
        <v>0</v>
      </c>
      <c r="AE171" s="38">
        <f>IF($AE170&lt;=0,0,ROUND($AE170-$AD171-IF($AE170-$AD171&lt;=0,0,IF(MOD($A171,Übersicht!$C$25)=0,MIN(Szenarien!$C$12,$AE170-$AD171),0)),2))</f>
        <v>0</v>
      </c>
    </row>
    <row r="172" spans="1:31" ht="15" customHeight="1" x14ac:dyDescent="0.25">
      <c r="A172" s="21">
        <v>165</v>
      </c>
      <c r="B172" s="36">
        <f>IF($D172&lt;=0,"",EDATE(Übersicht!$C$18,($A172-1)*12/Übersicht!$C$25))</f>
        <v>51043</v>
      </c>
      <c r="C172" s="21">
        <f t="shared" si="14"/>
        <v>2039</v>
      </c>
      <c r="D172" s="37">
        <f t="shared" si="18"/>
        <v>58604.15</v>
      </c>
      <c r="E172" s="23">
        <f t="shared" si="15"/>
        <v>1239.58</v>
      </c>
      <c r="F172" s="23">
        <f>IF($D172&lt;=0,0,ROUND($D172*Übersicht!$C$26,2))</f>
        <v>168.49</v>
      </c>
      <c r="G172" s="23">
        <f>IF($D172&lt;=0,0,MIN($D172,IF(Übersicht!$C$14="Annuitätendarlehen",MAX(0,Übersicht!$C$28-$F172),IF(Übersicht!$C$14="Ratendarlehen",Übersicht!$C$29,IF($A172&gt;=Übersicht!$C$30,$D172,0)))))</f>
        <v>1071.0899999999999</v>
      </c>
      <c r="H172" s="23">
        <f>IF($D172-$G172&lt;=0,0,IF(MOD($A172,Übersicht!$C$25)=0,MIN(Übersicht!$C$31,$D172-$G172),0))</f>
        <v>0</v>
      </c>
      <c r="I172" s="23">
        <f t="shared" si="16"/>
        <v>1239.58</v>
      </c>
      <c r="J172" s="23">
        <f t="shared" si="17"/>
        <v>57533.06</v>
      </c>
      <c r="K172" s="23">
        <f t="shared" si="19"/>
        <v>77063.759999999937</v>
      </c>
      <c r="L172" s="23">
        <f t="shared" si="20"/>
        <v>192466.94</v>
      </c>
      <c r="M172" s="24">
        <f>IF($D172&lt;=0,"",IF(Übersicht!$C$11=0,0,$L172/Übersicht!$C$11))</f>
        <v>0.76986776000000001</v>
      </c>
      <c r="N172" s="25" t="str">
        <f>IF($D172&lt;=0,"",IF($J172&lt;=0.005,"Volltilgung erreicht",IF($A172=Übersicht!$C$19*Übersicht!$C$25,"Ende der Zinsbindung",IF($H172&gt;0,"Sondertilgung verrechnet",""))))</f>
        <v/>
      </c>
      <c r="Q172" s="38">
        <f>IF($S171&lt;=0,0,ROUND($S171*Übersicht!$C$26,2))</f>
        <v>405.57</v>
      </c>
      <c r="R172" s="38">
        <f>IF($S171&lt;=0,0,MIN($S171,IF(Übersicht!$C$14="Annuitätendarlehen",MAX(0,Übersicht!$C$28-$Q172),IF(Übersicht!$C$14="Ratendarlehen",Übersicht!$C$29,IF($A172&gt;=Übersicht!$C$30,$S171,0)))))</f>
        <v>834.01</v>
      </c>
      <c r="S172" s="38">
        <f>IF($S171&lt;=0,0,ROUND($S171-$R172-IF($S171-$R172&lt;=0,0,IF(MOD($A172,Übersicht!$C$25)=0,MIN(Szenarien!$C$8,$S171-$R172),0)),2))</f>
        <v>140233.24</v>
      </c>
      <c r="T172" s="38">
        <f>IF($V171&lt;=0,0,ROUND($V171*Übersicht!$C$26,2))</f>
        <v>287.02999999999997</v>
      </c>
      <c r="U172" s="38">
        <f>IF($V171&lt;=0,0,MIN($V171,IF(Übersicht!$C$14="Annuitätendarlehen",MAX(0,Übersicht!$C$28-$T172),IF(Übersicht!$C$14="Ratendarlehen",Übersicht!$C$29,IF($A172&gt;=Übersicht!$C$30,$V171,0)))))</f>
        <v>952.55</v>
      </c>
      <c r="V172" s="38">
        <f>IF($V171&lt;=0,0,ROUND($V171-$U172-IF($V171-$U172&lt;=0,0,IF(MOD($A172,Übersicht!$C$25)=0,MIN(Szenarien!$C$9,$V171-$U172),0)),2))</f>
        <v>98883.22</v>
      </c>
      <c r="W172" s="38">
        <f>IF($Y171&lt;=0,0,ROUND($Y171*Übersicht!$C$26,2))</f>
        <v>168.49</v>
      </c>
      <c r="X172" s="38">
        <f>IF($Y171&lt;=0,0,MIN($Y171,IF(Übersicht!$C$14="Annuitätendarlehen",MAX(0,Übersicht!$C$28-$W172),IF(Übersicht!$C$14="Ratendarlehen",Übersicht!$C$29,IF($A172&gt;=Übersicht!$C$30,$Y171,0)))))</f>
        <v>1071.0899999999999</v>
      </c>
      <c r="Y172" s="38">
        <f>IF($Y171&lt;=0,0,ROUND($Y171-$X172-IF($Y171-$X172&lt;=0,0,IF(MOD($A172,Übersicht!$C$25)=0,MIN(Szenarien!$C$10,$Y171-$X172),0)),2))</f>
        <v>57533.06</v>
      </c>
      <c r="Z172" s="38">
        <f>IF($AB171&lt;=0,0,ROUND($AB171*Übersicht!$C$26,2))</f>
        <v>49.95</v>
      </c>
      <c r="AA172" s="38">
        <f>IF($AB171&lt;=0,0,MIN($AB171,IF(Übersicht!$C$14="Annuitätendarlehen",MAX(0,Übersicht!$C$28-$Z172),IF(Übersicht!$C$14="Ratendarlehen",Übersicht!$C$29,IF($A172&gt;=Übersicht!$C$30,$AB171,0)))))</f>
        <v>1189.6299999999999</v>
      </c>
      <c r="AB172" s="38">
        <f>IF($AB171&lt;=0,0,ROUND($AB171-$AA172-IF($AB171-$AA172&lt;=0,0,IF(MOD($A172,Übersicht!$C$25)=0,MIN(Szenarien!$C$11,$AB171-$AA172),0)),2))</f>
        <v>16182.93</v>
      </c>
      <c r="AC172" s="38">
        <f>IF($AE171&lt;=0,0,ROUND($AE171*Übersicht!$C$26,2))</f>
        <v>0</v>
      </c>
      <c r="AD172" s="38">
        <f>IF($AE171&lt;=0,0,MIN($AE171,IF(Übersicht!$C$14="Annuitätendarlehen",MAX(0,Übersicht!$C$28-$AC172),IF(Übersicht!$C$14="Ratendarlehen",Übersicht!$C$29,IF($A172&gt;=Übersicht!$C$30,$AE171,0)))))</f>
        <v>0</v>
      </c>
      <c r="AE172" s="38">
        <f>IF($AE171&lt;=0,0,ROUND($AE171-$AD172-IF($AE171-$AD172&lt;=0,0,IF(MOD($A172,Übersicht!$C$25)=0,MIN(Szenarien!$C$12,$AE171-$AD172),0)),2))</f>
        <v>0</v>
      </c>
    </row>
    <row r="173" spans="1:31" ht="15" customHeight="1" x14ac:dyDescent="0.25">
      <c r="A173" s="26">
        <v>166</v>
      </c>
      <c r="B173" s="39">
        <f>IF($D173&lt;=0,"",EDATE(Übersicht!$C$18,($A173-1)*12/Übersicht!$C$25))</f>
        <v>51074</v>
      </c>
      <c r="C173" s="26">
        <f t="shared" si="14"/>
        <v>2039</v>
      </c>
      <c r="D173" s="40">
        <f t="shared" si="18"/>
        <v>57533.06</v>
      </c>
      <c r="E173" s="28">
        <f t="shared" si="15"/>
        <v>1239.58</v>
      </c>
      <c r="F173" s="28">
        <f>IF($D173&lt;=0,0,ROUND($D173*Übersicht!$C$26,2))</f>
        <v>165.41</v>
      </c>
      <c r="G173" s="28">
        <f>IF($D173&lt;=0,0,MIN($D173,IF(Übersicht!$C$14="Annuitätendarlehen",MAX(0,Übersicht!$C$28-$F173),IF(Übersicht!$C$14="Ratendarlehen",Übersicht!$C$29,IF($A173&gt;=Übersicht!$C$30,$D173,0)))))</f>
        <v>1074.1699999999998</v>
      </c>
      <c r="H173" s="28">
        <f>IF($D173-$G173&lt;=0,0,IF(MOD($A173,Übersicht!$C$25)=0,MIN(Übersicht!$C$31,$D173-$G173),0))</f>
        <v>0</v>
      </c>
      <c r="I173" s="28">
        <f t="shared" si="16"/>
        <v>1239.58</v>
      </c>
      <c r="J173" s="28">
        <f t="shared" si="17"/>
        <v>56458.89</v>
      </c>
      <c r="K173" s="28">
        <f t="shared" si="19"/>
        <v>77229.16999999994</v>
      </c>
      <c r="L173" s="28">
        <f t="shared" si="20"/>
        <v>193541.11</v>
      </c>
      <c r="M173" s="29">
        <f>IF($D173&lt;=0,"",IF(Übersicht!$C$11=0,0,$L173/Übersicht!$C$11))</f>
        <v>0.77416443999999995</v>
      </c>
      <c r="N173" s="30" t="str">
        <f>IF($D173&lt;=0,"",IF($J173&lt;=0.005,"Volltilgung erreicht",IF($A173=Übersicht!$C$19*Übersicht!$C$25,"Ende der Zinsbindung",IF($H173&gt;0,"Sondertilgung verrechnet",""))))</f>
        <v/>
      </c>
      <c r="Q173" s="38">
        <f>IF($S172&lt;=0,0,ROUND($S172*Übersicht!$C$26,2))</f>
        <v>403.17</v>
      </c>
      <c r="R173" s="38">
        <f>IF($S172&lt;=0,0,MIN($S172,IF(Übersicht!$C$14="Annuitätendarlehen",MAX(0,Übersicht!$C$28-$Q173),IF(Übersicht!$C$14="Ratendarlehen",Übersicht!$C$29,IF($A173&gt;=Übersicht!$C$30,$S172,0)))))</f>
        <v>836.40999999999985</v>
      </c>
      <c r="S173" s="38">
        <f>IF($S172&lt;=0,0,ROUND($S172-$R173-IF($S172-$R173&lt;=0,0,IF(MOD($A173,Übersicht!$C$25)=0,MIN(Szenarien!$C$8,$S172-$R173),0)),2))</f>
        <v>139396.82999999999</v>
      </c>
      <c r="T173" s="38">
        <f>IF($V172&lt;=0,0,ROUND($V172*Übersicht!$C$26,2))</f>
        <v>284.29000000000002</v>
      </c>
      <c r="U173" s="38">
        <f>IF($V172&lt;=0,0,MIN($V172,IF(Übersicht!$C$14="Annuitätendarlehen",MAX(0,Übersicht!$C$28-$T173),IF(Übersicht!$C$14="Ratendarlehen",Übersicht!$C$29,IF($A173&gt;=Übersicht!$C$30,$V172,0)))))</f>
        <v>955.29</v>
      </c>
      <c r="V173" s="38">
        <f>IF($V172&lt;=0,0,ROUND($V172-$U173-IF($V172-$U173&lt;=0,0,IF(MOD($A173,Übersicht!$C$25)=0,MIN(Szenarien!$C$9,$V172-$U173),0)),2))</f>
        <v>97927.93</v>
      </c>
      <c r="W173" s="38">
        <f>IF($Y172&lt;=0,0,ROUND($Y172*Übersicht!$C$26,2))</f>
        <v>165.41</v>
      </c>
      <c r="X173" s="38">
        <f>IF($Y172&lt;=0,0,MIN($Y172,IF(Übersicht!$C$14="Annuitätendarlehen",MAX(0,Übersicht!$C$28-$W173),IF(Übersicht!$C$14="Ratendarlehen",Übersicht!$C$29,IF($A173&gt;=Übersicht!$C$30,$Y172,0)))))</f>
        <v>1074.1699999999998</v>
      </c>
      <c r="Y173" s="38">
        <f>IF($Y172&lt;=0,0,ROUND($Y172-$X173-IF($Y172-$X173&lt;=0,0,IF(MOD($A173,Übersicht!$C$25)=0,MIN(Szenarien!$C$10,$Y172-$X173),0)),2))</f>
        <v>56458.89</v>
      </c>
      <c r="Z173" s="38">
        <f>IF($AB172&lt;=0,0,ROUND($AB172*Übersicht!$C$26,2))</f>
        <v>46.53</v>
      </c>
      <c r="AA173" s="38">
        <f>IF($AB172&lt;=0,0,MIN($AB172,IF(Übersicht!$C$14="Annuitätendarlehen",MAX(0,Übersicht!$C$28-$Z173),IF(Übersicht!$C$14="Ratendarlehen",Übersicht!$C$29,IF($A173&gt;=Übersicht!$C$30,$AB172,0)))))</f>
        <v>1193.05</v>
      </c>
      <c r="AB173" s="38">
        <f>IF($AB172&lt;=0,0,ROUND($AB172-$AA173-IF($AB172-$AA173&lt;=0,0,IF(MOD($A173,Übersicht!$C$25)=0,MIN(Szenarien!$C$11,$AB172-$AA173),0)),2))</f>
        <v>14989.88</v>
      </c>
      <c r="AC173" s="38">
        <f>IF($AE172&lt;=0,0,ROUND($AE172*Übersicht!$C$26,2))</f>
        <v>0</v>
      </c>
      <c r="AD173" s="38">
        <f>IF($AE172&lt;=0,0,MIN($AE172,IF(Übersicht!$C$14="Annuitätendarlehen",MAX(0,Übersicht!$C$28-$AC173),IF(Übersicht!$C$14="Ratendarlehen",Übersicht!$C$29,IF($A173&gt;=Übersicht!$C$30,$AE172,0)))))</f>
        <v>0</v>
      </c>
      <c r="AE173" s="38">
        <f>IF($AE172&lt;=0,0,ROUND($AE172-$AD173-IF($AE172-$AD173&lt;=0,0,IF(MOD($A173,Übersicht!$C$25)=0,MIN(Szenarien!$C$12,$AE172-$AD173),0)),2))</f>
        <v>0</v>
      </c>
    </row>
    <row r="174" spans="1:31" ht="15" customHeight="1" x14ac:dyDescent="0.25">
      <c r="A174" s="21">
        <v>167</v>
      </c>
      <c r="B174" s="36">
        <f>IF($D174&lt;=0,"",EDATE(Übersicht!$C$18,($A174-1)*12/Übersicht!$C$25))</f>
        <v>51104</v>
      </c>
      <c r="C174" s="21">
        <f t="shared" si="14"/>
        <v>2039</v>
      </c>
      <c r="D174" s="37">
        <f t="shared" si="18"/>
        <v>56458.89</v>
      </c>
      <c r="E174" s="23">
        <f t="shared" si="15"/>
        <v>1239.58</v>
      </c>
      <c r="F174" s="23">
        <f>IF($D174&lt;=0,0,ROUND($D174*Übersicht!$C$26,2))</f>
        <v>162.32</v>
      </c>
      <c r="G174" s="23">
        <f>IF($D174&lt;=0,0,MIN($D174,IF(Übersicht!$C$14="Annuitätendarlehen",MAX(0,Übersicht!$C$28-$F174),IF(Übersicht!$C$14="Ratendarlehen",Übersicht!$C$29,IF($A174&gt;=Übersicht!$C$30,$D174,0)))))</f>
        <v>1077.26</v>
      </c>
      <c r="H174" s="23">
        <f>IF($D174-$G174&lt;=0,0,IF(MOD($A174,Übersicht!$C$25)=0,MIN(Übersicht!$C$31,$D174-$G174),0))</f>
        <v>0</v>
      </c>
      <c r="I174" s="23">
        <f t="shared" si="16"/>
        <v>1239.58</v>
      </c>
      <c r="J174" s="23">
        <f t="shared" si="17"/>
        <v>55381.63</v>
      </c>
      <c r="K174" s="23">
        <f t="shared" si="19"/>
        <v>77391.489999999947</v>
      </c>
      <c r="L174" s="23">
        <f t="shared" si="20"/>
        <v>194618.37</v>
      </c>
      <c r="M174" s="24">
        <f>IF($D174&lt;=0,"",IF(Übersicht!$C$11=0,0,$L174/Übersicht!$C$11))</f>
        <v>0.77847347999999994</v>
      </c>
      <c r="N174" s="25" t="str">
        <f>IF($D174&lt;=0,"",IF($J174&lt;=0.005,"Volltilgung erreicht",IF($A174=Übersicht!$C$19*Übersicht!$C$25,"Ende der Zinsbindung",IF($H174&gt;0,"Sondertilgung verrechnet",""))))</f>
        <v/>
      </c>
      <c r="Q174" s="38">
        <f>IF($S173&lt;=0,0,ROUND($S173*Übersicht!$C$26,2))</f>
        <v>400.77</v>
      </c>
      <c r="R174" s="38">
        <f>IF($S173&lt;=0,0,MIN($S173,IF(Übersicht!$C$14="Annuitätendarlehen",MAX(0,Übersicht!$C$28-$Q174),IF(Übersicht!$C$14="Ratendarlehen",Übersicht!$C$29,IF($A174&gt;=Übersicht!$C$30,$S173,0)))))</f>
        <v>838.81</v>
      </c>
      <c r="S174" s="38">
        <f>IF($S173&lt;=0,0,ROUND($S173-$R174-IF($S173-$R174&lt;=0,0,IF(MOD($A174,Übersicht!$C$25)=0,MIN(Szenarien!$C$8,$S173-$R174),0)),2))</f>
        <v>138558.01999999999</v>
      </c>
      <c r="T174" s="38">
        <f>IF($V173&lt;=0,0,ROUND($V173*Übersicht!$C$26,2))</f>
        <v>281.54000000000002</v>
      </c>
      <c r="U174" s="38">
        <f>IF($V173&lt;=0,0,MIN($V173,IF(Übersicht!$C$14="Annuitätendarlehen",MAX(0,Übersicht!$C$28-$T174),IF(Übersicht!$C$14="Ratendarlehen",Übersicht!$C$29,IF($A174&gt;=Übersicht!$C$30,$V173,0)))))</f>
        <v>958.04</v>
      </c>
      <c r="V174" s="38">
        <f>IF($V173&lt;=0,0,ROUND($V173-$U174-IF($V173-$U174&lt;=0,0,IF(MOD($A174,Übersicht!$C$25)=0,MIN(Szenarien!$C$9,$V173-$U174),0)),2))</f>
        <v>96969.89</v>
      </c>
      <c r="W174" s="38">
        <f>IF($Y173&lt;=0,0,ROUND($Y173*Übersicht!$C$26,2))</f>
        <v>162.32</v>
      </c>
      <c r="X174" s="38">
        <f>IF($Y173&lt;=0,0,MIN($Y173,IF(Übersicht!$C$14="Annuitätendarlehen",MAX(0,Übersicht!$C$28-$W174),IF(Übersicht!$C$14="Ratendarlehen",Übersicht!$C$29,IF($A174&gt;=Übersicht!$C$30,$Y173,0)))))</f>
        <v>1077.26</v>
      </c>
      <c r="Y174" s="38">
        <f>IF($Y173&lt;=0,0,ROUND($Y173-$X174-IF($Y173-$X174&lt;=0,0,IF(MOD($A174,Übersicht!$C$25)=0,MIN(Szenarien!$C$10,$Y173-$X174),0)),2))</f>
        <v>55381.63</v>
      </c>
      <c r="Z174" s="38">
        <f>IF($AB173&lt;=0,0,ROUND($AB173*Übersicht!$C$26,2))</f>
        <v>43.1</v>
      </c>
      <c r="AA174" s="38">
        <f>IF($AB173&lt;=0,0,MIN($AB173,IF(Übersicht!$C$14="Annuitätendarlehen",MAX(0,Übersicht!$C$28-$Z174),IF(Übersicht!$C$14="Ratendarlehen",Übersicht!$C$29,IF($A174&gt;=Übersicht!$C$30,$AB173,0)))))</f>
        <v>1196.48</v>
      </c>
      <c r="AB174" s="38">
        <f>IF($AB173&lt;=0,0,ROUND($AB173-$AA174-IF($AB173-$AA174&lt;=0,0,IF(MOD($A174,Übersicht!$C$25)=0,MIN(Szenarien!$C$11,$AB173-$AA174),0)),2))</f>
        <v>13793.4</v>
      </c>
      <c r="AC174" s="38">
        <f>IF($AE173&lt;=0,0,ROUND($AE173*Übersicht!$C$26,2))</f>
        <v>0</v>
      </c>
      <c r="AD174" s="38">
        <f>IF($AE173&lt;=0,0,MIN($AE173,IF(Übersicht!$C$14="Annuitätendarlehen",MAX(0,Übersicht!$C$28-$AC174),IF(Übersicht!$C$14="Ratendarlehen",Übersicht!$C$29,IF($A174&gt;=Übersicht!$C$30,$AE173,0)))))</f>
        <v>0</v>
      </c>
      <c r="AE174" s="38">
        <f>IF($AE173&lt;=0,0,ROUND($AE173-$AD174-IF($AE173-$AD174&lt;=0,0,IF(MOD($A174,Übersicht!$C$25)=0,MIN(Szenarien!$C$12,$AE173-$AD174),0)),2))</f>
        <v>0</v>
      </c>
    </row>
    <row r="175" spans="1:31" ht="15" customHeight="1" x14ac:dyDescent="0.25">
      <c r="A175" s="26">
        <v>168</v>
      </c>
      <c r="B175" s="39">
        <f>IF($D175&lt;=0,"",EDATE(Übersicht!$C$18,($A175-1)*12/Übersicht!$C$25))</f>
        <v>51135</v>
      </c>
      <c r="C175" s="26">
        <f t="shared" si="14"/>
        <v>2039</v>
      </c>
      <c r="D175" s="40">
        <f t="shared" si="18"/>
        <v>55381.63</v>
      </c>
      <c r="E175" s="28">
        <f t="shared" si="15"/>
        <v>1239.58</v>
      </c>
      <c r="F175" s="28">
        <f>IF($D175&lt;=0,0,ROUND($D175*Übersicht!$C$26,2))</f>
        <v>159.22</v>
      </c>
      <c r="G175" s="28">
        <f>IF($D175&lt;=0,0,MIN($D175,IF(Übersicht!$C$14="Annuitätendarlehen",MAX(0,Übersicht!$C$28-$F175),IF(Übersicht!$C$14="Ratendarlehen",Übersicht!$C$29,IF($A175&gt;=Übersicht!$C$30,$D175,0)))))</f>
        <v>1080.3599999999999</v>
      </c>
      <c r="H175" s="28">
        <f>IF($D175-$G175&lt;=0,0,IF(MOD($A175,Übersicht!$C$25)=0,MIN(Übersicht!$C$31,$D175-$G175),0))</f>
        <v>5000</v>
      </c>
      <c r="I175" s="28">
        <f t="shared" si="16"/>
        <v>6239.58</v>
      </c>
      <c r="J175" s="28">
        <f t="shared" si="17"/>
        <v>49301.27</v>
      </c>
      <c r="K175" s="28">
        <f t="shared" si="19"/>
        <v>77550.709999999948</v>
      </c>
      <c r="L175" s="28">
        <f t="shared" si="20"/>
        <v>200698.73</v>
      </c>
      <c r="M175" s="29">
        <f>IF($D175&lt;=0,"",IF(Übersicht!$C$11=0,0,$L175/Übersicht!$C$11))</f>
        <v>0.80279492000000008</v>
      </c>
      <c r="N175" s="30" t="str">
        <f>IF($D175&lt;=0,"",IF($J175&lt;=0.005,"Volltilgung erreicht",IF($A175=Übersicht!$C$19*Übersicht!$C$25,"Ende der Zinsbindung",IF($H175&gt;0,"Sondertilgung verrechnet",""))))</f>
        <v>Sondertilgung verrechnet</v>
      </c>
      <c r="Q175" s="38">
        <f>IF($S174&lt;=0,0,ROUND($S174*Übersicht!$C$26,2))</f>
        <v>398.35</v>
      </c>
      <c r="R175" s="38">
        <f>IF($S174&lt;=0,0,MIN($S174,IF(Übersicht!$C$14="Annuitätendarlehen",MAX(0,Übersicht!$C$28-$Q175),IF(Übersicht!$C$14="Ratendarlehen",Übersicht!$C$29,IF($A175&gt;=Übersicht!$C$30,$S174,0)))))</f>
        <v>841.2299999999999</v>
      </c>
      <c r="S175" s="38">
        <f>IF($S174&lt;=0,0,ROUND($S174-$R175-IF($S174-$R175&lt;=0,0,IF(MOD($A175,Übersicht!$C$25)=0,MIN(Szenarien!$C$8,$S174-$R175),0)),2))</f>
        <v>137716.79</v>
      </c>
      <c r="T175" s="38">
        <f>IF($V174&lt;=0,0,ROUND($V174*Übersicht!$C$26,2))</f>
        <v>278.79000000000002</v>
      </c>
      <c r="U175" s="38">
        <f>IF($V174&lt;=0,0,MIN($V174,IF(Übersicht!$C$14="Annuitätendarlehen",MAX(0,Übersicht!$C$28-$T175),IF(Übersicht!$C$14="Ratendarlehen",Übersicht!$C$29,IF($A175&gt;=Übersicht!$C$30,$V174,0)))))</f>
        <v>960.79</v>
      </c>
      <c r="V175" s="38">
        <f>IF($V174&lt;=0,0,ROUND($V174-$U175-IF($V174-$U175&lt;=0,0,IF(MOD($A175,Übersicht!$C$25)=0,MIN(Szenarien!$C$9,$V174-$U175),0)),2))</f>
        <v>93509.1</v>
      </c>
      <c r="W175" s="38">
        <f>IF($Y174&lt;=0,0,ROUND($Y174*Übersicht!$C$26,2))</f>
        <v>159.22</v>
      </c>
      <c r="X175" s="38">
        <f>IF($Y174&lt;=0,0,MIN($Y174,IF(Übersicht!$C$14="Annuitätendarlehen",MAX(0,Übersicht!$C$28-$W175),IF(Übersicht!$C$14="Ratendarlehen",Übersicht!$C$29,IF($A175&gt;=Übersicht!$C$30,$Y174,0)))))</f>
        <v>1080.3599999999999</v>
      </c>
      <c r="Y175" s="38">
        <f>IF($Y174&lt;=0,0,ROUND($Y174-$X175-IF($Y174-$X175&lt;=0,0,IF(MOD($A175,Übersicht!$C$25)=0,MIN(Szenarien!$C$10,$Y174-$X175),0)),2))</f>
        <v>49301.27</v>
      </c>
      <c r="Z175" s="38">
        <f>IF($AB174&lt;=0,0,ROUND($AB174*Übersicht!$C$26,2))</f>
        <v>39.659999999999997</v>
      </c>
      <c r="AA175" s="38">
        <f>IF($AB174&lt;=0,0,MIN($AB174,IF(Übersicht!$C$14="Annuitätendarlehen",MAX(0,Übersicht!$C$28-$Z175),IF(Übersicht!$C$14="Ratendarlehen",Übersicht!$C$29,IF($A175&gt;=Übersicht!$C$30,$AB174,0)))))</f>
        <v>1199.9199999999998</v>
      </c>
      <c r="AB175" s="38">
        <f>IF($AB174&lt;=0,0,ROUND($AB174-$AA175-IF($AB174-$AA175&lt;=0,0,IF(MOD($A175,Übersicht!$C$25)=0,MIN(Szenarien!$C$11,$AB174-$AA175),0)),2))</f>
        <v>5093.4799999999996</v>
      </c>
      <c r="AC175" s="38">
        <f>IF($AE174&lt;=0,0,ROUND($AE174*Übersicht!$C$26,2))</f>
        <v>0</v>
      </c>
      <c r="AD175" s="38">
        <f>IF($AE174&lt;=0,0,MIN($AE174,IF(Übersicht!$C$14="Annuitätendarlehen",MAX(0,Übersicht!$C$28-$AC175),IF(Übersicht!$C$14="Ratendarlehen",Übersicht!$C$29,IF($A175&gt;=Übersicht!$C$30,$AE174,0)))))</f>
        <v>0</v>
      </c>
      <c r="AE175" s="38">
        <f>IF($AE174&lt;=0,0,ROUND($AE174-$AD175-IF($AE174-$AD175&lt;=0,0,IF(MOD($A175,Übersicht!$C$25)=0,MIN(Szenarien!$C$12,$AE174-$AD175),0)),2))</f>
        <v>0</v>
      </c>
    </row>
    <row r="176" spans="1:31" ht="15" customHeight="1" x14ac:dyDescent="0.25">
      <c r="A176" s="21">
        <v>169</v>
      </c>
      <c r="B176" s="36">
        <f>IF($D176&lt;=0,"",EDATE(Übersicht!$C$18,($A176-1)*12/Übersicht!$C$25))</f>
        <v>51166</v>
      </c>
      <c r="C176" s="21">
        <f t="shared" si="14"/>
        <v>2040</v>
      </c>
      <c r="D176" s="37">
        <f t="shared" si="18"/>
        <v>49301.27</v>
      </c>
      <c r="E176" s="23">
        <f t="shared" si="15"/>
        <v>1239.58</v>
      </c>
      <c r="F176" s="23">
        <f>IF($D176&lt;=0,0,ROUND($D176*Übersicht!$C$26,2))</f>
        <v>141.74</v>
      </c>
      <c r="G176" s="23">
        <f>IF($D176&lt;=0,0,MIN($D176,IF(Übersicht!$C$14="Annuitätendarlehen",MAX(0,Übersicht!$C$28-$F176),IF(Übersicht!$C$14="Ratendarlehen",Übersicht!$C$29,IF($A176&gt;=Übersicht!$C$30,$D176,0)))))</f>
        <v>1097.8399999999999</v>
      </c>
      <c r="H176" s="23">
        <f>IF($D176-$G176&lt;=0,0,IF(MOD($A176,Übersicht!$C$25)=0,MIN(Übersicht!$C$31,$D176-$G176),0))</f>
        <v>0</v>
      </c>
      <c r="I176" s="23">
        <f t="shared" si="16"/>
        <v>1239.58</v>
      </c>
      <c r="J176" s="23">
        <f t="shared" si="17"/>
        <v>48203.43</v>
      </c>
      <c r="K176" s="23">
        <f t="shared" si="19"/>
        <v>77692.449999999953</v>
      </c>
      <c r="L176" s="23">
        <f t="shared" si="20"/>
        <v>201796.57</v>
      </c>
      <c r="M176" s="24">
        <f>IF($D176&lt;=0,"",IF(Übersicht!$C$11=0,0,$L176/Übersicht!$C$11))</f>
        <v>0.80718628000000003</v>
      </c>
      <c r="N176" s="25" t="str">
        <f>IF($D176&lt;=0,"",IF($J176&lt;=0.005,"Volltilgung erreicht",IF($A176=Übersicht!$C$19*Übersicht!$C$25,"Ende der Zinsbindung",IF($H176&gt;0,"Sondertilgung verrechnet",""))))</f>
        <v/>
      </c>
      <c r="Q176" s="38">
        <f>IF($S175&lt;=0,0,ROUND($S175*Übersicht!$C$26,2))</f>
        <v>395.94</v>
      </c>
      <c r="R176" s="38">
        <f>IF($S175&lt;=0,0,MIN($S175,IF(Übersicht!$C$14="Annuitätendarlehen",MAX(0,Übersicht!$C$28-$Q176),IF(Übersicht!$C$14="Ratendarlehen",Übersicht!$C$29,IF($A176&gt;=Übersicht!$C$30,$S175,0)))))</f>
        <v>843.63999999999987</v>
      </c>
      <c r="S176" s="38">
        <f>IF($S175&lt;=0,0,ROUND($S175-$R176-IF($S175-$R176&lt;=0,0,IF(MOD($A176,Übersicht!$C$25)=0,MIN(Szenarien!$C$8,$S175-$R176),0)),2))</f>
        <v>136873.15</v>
      </c>
      <c r="T176" s="38">
        <f>IF($V175&lt;=0,0,ROUND($V175*Übersicht!$C$26,2))</f>
        <v>268.83999999999997</v>
      </c>
      <c r="U176" s="38">
        <f>IF($V175&lt;=0,0,MIN($V175,IF(Übersicht!$C$14="Annuitätendarlehen",MAX(0,Übersicht!$C$28-$T176),IF(Übersicht!$C$14="Ratendarlehen",Übersicht!$C$29,IF($A176&gt;=Übersicht!$C$30,$V175,0)))))</f>
        <v>970.74</v>
      </c>
      <c r="V176" s="38">
        <f>IF($V175&lt;=0,0,ROUND($V175-$U176-IF($V175-$U176&lt;=0,0,IF(MOD($A176,Übersicht!$C$25)=0,MIN(Szenarien!$C$9,$V175-$U176),0)),2))</f>
        <v>92538.36</v>
      </c>
      <c r="W176" s="38">
        <f>IF($Y175&lt;=0,0,ROUND($Y175*Übersicht!$C$26,2))</f>
        <v>141.74</v>
      </c>
      <c r="X176" s="38">
        <f>IF($Y175&lt;=0,0,MIN($Y175,IF(Übersicht!$C$14="Annuitätendarlehen",MAX(0,Übersicht!$C$28-$W176),IF(Übersicht!$C$14="Ratendarlehen",Übersicht!$C$29,IF($A176&gt;=Übersicht!$C$30,$Y175,0)))))</f>
        <v>1097.8399999999999</v>
      </c>
      <c r="Y176" s="38">
        <f>IF($Y175&lt;=0,0,ROUND($Y175-$X176-IF($Y175-$X176&lt;=0,0,IF(MOD($A176,Übersicht!$C$25)=0,MIN(Szenarien!$C$10,$Y175-$X176),0)),2))</f>
        <v>48203.43</v>
      </c>
      <c r="Z176" s="38">
        <f>IF($AB175&lt;=0,0,ROUND($AB175*Übersicht!$C$26,2))</f>
        <v>14.64</v>
      </c>
      <c r="AA176" s="38">
        <f>IF($AB175&lt;=0,0,MIN($AB175,IF(Übersicht!$C$14="Annuitätendarlehen",MAX(0,Übersicht!$C$28-$Z176),IF(Übersicht!$C$14="Ratendarlehen",Übersicht!$C$29,IF($A176&gt;=Übersicht!$C$30,$AB175,0)))))</f>
        <v>1224.9399999999998</v>
      </c>
      <c r="AB176" s="38">
        <f>IF($AB175&lt;=0,0,ROUND($AB175-$AA176-IF($AB175-$AA176&lt;=0,0,IF(MOD($A176,Übersicht!$C$25)=0,MIN(Szenarien!$C$11,$AB175-$AA176),0)),2))</f>
        <v>3868.54</v>
      </c>
      <c r="AC176" s="38">
        <f>IF($AE175&lt;=0,0,ROUND($AE175*Übersicht!$C$26,2))</f>
        <v>0</v>
      </c>
      <c r="AD176" s="38">
        <f>IF($AE175&lt;=0,0,MIN($AE175,IF(Übersicht!$C$14="Annuitätendarlehen",MAX(0,Übersicht!$C$28-$AC176),IF(Übersicht!$C$14="Ratendarlehen",Übersicht!$C$29,IF($A176&gt;=Übersicht!$C$30,$AE175,0)))))</f>
        <v>0</v>
      </c>
      <c r="AE176" s="38">
        <f>IF($AE175&lt;=0,0,ROUND($AE175-$AD176-IF($AE175-$AD176&lt;=0,0,IF(MOD($A176,Übersicht!$C$25)=0,MIN(Szenarien!$C$12,$AE175-$AD176),0)),2))</f>
        <v>0</v>
      </c>
    </row>
    <row r="177" spans="1:31" ht="15" customHeight="1" x14ac:dyDescent="0.25">
      <c r="A177" s="26">
        <v>170</v>
      </c>
      <c r="B177" s="39">
        <f>IF($D177&lt;=0,"",EDATE(Übersicht!$C$18,($A177-1)*12/Übersicht!$C$25))</f>
        <v>51195</v>
      </c>
      <c r="C177" s="26">
        <f t="shared" si="14"/>
        <v>2040</v>
      </c>
      <c r="D177" s="40">
        <f t="shared" si="18"/>
        <v>48203.43</v>
      </c>
      <c r="E177" s="28">
        <f t="shared" si="15"/>
        <v>1239.58</v>
      </c>
      <c r="F177" s="28">
        <f>IF($D177&lt;=0,0,ROUND($D177*Übersicht!$C$26,2))</f>
        <v>138.58000000000001</v>
      </c>
      <c r="G177" s="28">
        <f>IF($D177&lt;=0,0,MIN($D177,IF(Übersicht!$C$14="Annuitätendarlehen",MAX(0,Übersicht!$C$28-$F177),IF(Übersicht!$C$14="Ratendarlehen",Übersicht!$C$29,IF($A177&gt;=Übersicht!$C$30,$D177,0)))))</f>
        <v>1101</v>
      </c>
      <c r="H177" s="28">
        <f>IF($D177-$G177&lt;=0,0,IF(MOD($A177,Übersicht!$C$25)=0,MIN(Übersicht!$C$31,$D177-$G177),0))</f>
        <v>0</v>
      </c>
      <c r="I177" s="28">
        <f t="shared" si="16"/>
        <v>1239.58</v>
      </c>
      <c r="J177" s="28">
        <f t="shared" si="17"/>
        <v>47102.43</v>
      </c>
      <c r="K177" s="28">
        <f t="shared" si="19"/>
        <v>77831.029999999955</v>
      </c>
      <c r="L177" s="28">
        <f t="shared" si="20"/>
        <v>202897.57</v>
      </c>
      <c r="M177" s="29">
        <f>IF($D177&lt;=0,"",IF(Übersicht!$C$11=0,0,$L177/Übersicht!$C$11))</f>
        <v>0.81159028</v>
      </c>
      <c r="N177" s="30" t="str">
        <f>IF($D177&lt;=0,"",IF($J177&lt;=0.005,"Volltilgung erreicht",IF($A177=Übersicht!$C$19*Übersicht!$C$25,"Ende der Zinsbindung",IF($H177&gt;0,"Sondertilgung verrechnet",""))))</f>
        <v/>
      </c>
      <c r="Q177" s="38">
        <f>IF($S176&lt;=0,0,ROUND($S176*Übersicht!$C$26,2))</f>
        <v>393.51</v>
      </c>
      <c r="R177" s="38">
        <f>IF($S176&lt;=0,0,MIN($S176,IF(Übersicht!$C$14="Annuitätendarlehen",MAX(0,Übersicht!$C$28-$Q177),IF(Übersicht!$C$14="Ratendarlehen",Übersicht!$C$29,IF($A177&gt;=Übersicht!$C$30,$S176,0)))))</f>
        <v>846.06999999999994</v>
      </c>
      <c r="S177" s="38">
        <f>IF($S176&lt;=0,0,ROUND($S176-$R177-IF($S176-$R177&lt;=0,0,IF(MOD($A177,Übersicht!$C$25)=0,MIN(Szenarien!$C$8,$S176-$R177),0)),2))</f>
        <v>136027.07999999999</v>
      </c>
      <c r="T177" s="38">
        <f>IF($V176&lt;=0,0,ROUND($V176*Übersicht!$C$26,2))</f>
        <v>266.05</v>
      </c>
      <c r="U177" s="38">
        <f>IF($V176&lt;=0,0,MIN($V176,IF(Übersicht!$C$14="Annuitätendarlehen",MAX(0,Übersicht!$C$28-$T177),IF(Übersicht!$C$14="Ratendarlehen",Übersicht!$C$29,IF($A177&gt;=Übersicht!$C$30,$V176,0)))))</f>
        <v>973.53</v>
      </c>
      <c r="V177" s="38">
        <f>IF($V176&lt;=0,0,ROUND($V176-$U177-IF($V176-$U177&lt;=0,0,IF(MOD($A177,Übersicht!$C$25)=0,MIN(Szenarien!$C$9,$V176-$U177),0)),2))</f>
        <v>91564.83</v>
      </c>
      <c r="W177" s="38">
        <f>IF($Y176&lt;=0,0,ROUND($Y176*Übersicht!$C$26,2))</f>
        <v>138.58000000000001</v>
      </c>
      <c r="X177" s="38">
        <f>IF($Y176&lt;=0,0,MIN($Y176,IF(Übersicht!$C$14="Annuitätendarlehen",MAX(0,Übersicht!$C$28-$W177),IF(Übersicht!$C$14="Ratendarlehen",Übersicht!$C$29,IF($A177&gt;=Übersicht!$C$30,$Y176,0)))))</f>
        <v>1101</v>
      </c>
      <c r="Y177" s="38">
        <f>IF($Y176&lt;=0,0,ROUND($Y176-$X177-IF($Y176-$X177&lt;=0,0,IF(MOD($A177,Übersicht!$C$25)=0,MIN(Szenarien!$C$10,$Y176-$X177),0)),2))</f>
        <v>47102.43</v>
      </c>
      <c r="Z177" s="38">
        <f>IF($AB176&lt;=0,0,ROUND($AB176*Übersicht!$C$26,2))</f>
        <v>11.12</v>
      </c>
      <c r="AA177" s="38">
        <f>IF($AB176&lt;=0,0,MIN($AB176,IF(Übersicht!$C$14="Annuitätendarlehen",MAX(0,Übersicht!$C$28-$Z177),IF(Übersicht!$C$14="Ratendarlehen",Übersicht!$C$29,IF($A177&gt;=Übersicht!$C$30,$AB176,0)))))</f>
        <v>1228.46</v>
      </c>
      <c r="AB177" s="38">
        <f>IF($AB176&lt;=0,0,ROUND($AB176-$AA177-IF($AB176-$AA177&lt;=0,0,IF(MOD($A177,Übersicht!$C$25)=0,MIN(Szenarien!$C$11,$AB176-$AA177),0)),2))</f>
        <v>2640.08</v>
      </c>
      <c r="AC177" s="38">
        <f>IF($AE176&lt;=0,0,ROUND($AE176*Übersicht!$C$26,2))</f>
        <v>0</v>
      </c>
      <c r="AD177" s="38">
        <f>IF($AE176&lt;=0,0,MIN($AE176,IF(Übersicht!$C$14="Annuitätendarlehen",MAX(0,Übersicht!$C$28-$AC177),IF(Übersicht!$C$14="Ratendarlehen",Übersicht!$C$29,IF($A177&gt;=Übersicht!$C$30,$AE176,0)))))</f>
        <v>0</v>
      </c>
      <c r="AE177" s="38">
        <f>IF($AE176&lt;=0,0,ROUND($AE176-$AD177-IF($AE176-$AD177&lt;=0,0,IF(MOD($A177,Übersicht!$C$25)=0,MIN(Szenarien!$C$12,$AE176-$AD177),0)),2))</f>
        <v>0</v>
      </c>
    </row>
    <row r="178" spans="1:31" ht="15" customHeight="1" x14ac:dyDescent="0.25">
      <c r="A178" s="21">
        <v>171</v>
      </c>
      <c r="B178" s="36">
        <f>IF($D178&lt;=0,"",EDATE(Übersicht!$C$18,($A178-1)*12/Übersicht!$C$25))</f>
        <v>51226</v>
      </c>
      <c r="C178" s="21">
        <f t="shared" si="14"/>
        <v>2040</v>
      </c>
      <c r="D178" s="37">
        <f t="shared" si="18"/>
        <v>47102.43</v>
      </c>
      <c r="E178" s="23">
        <f t="shared" si="15"/>
        <v>1239.58</v>
      </c>
      <c r="F178" s="23">
        <f>IF($D178&lt;=0,0,ROUND($D178*Übersicht!$C$26,2))</f>
        <v>135.41999999999999</v>
      </c>
      <c r="G178" s="23">
        <f>IF($D178&lt;=0,0,MIN($D178,IF(Übersicht!$C$14="Annuitätendarlehen",MAX(0,Übersicht!$C$28-$F178),IF(Übersicht!$C$14="Ratendarlehen",Übersicht!$C$29,IF($A178&gt;=Übersicht!$C$30,$D178,0)))))</f>
        <v>1104.1599999999999</v>
      </c>
      <c r="H178" s="23">
        <f>IF($D178-$G178&lt;=0,0,IF(MOD($A178,Übersicht!$C$25)=0,MIN(Übersicht!$C$31,$D178-$G178),0))</f>
        <v>0</v>
      </c>
      <c r="I178" s="23">
        <f t="shared" si="16"/>
        <v>1239.58</v>
      </c>
      <c r="J178" s="23">
        <f t="shared" si="17"/>
        <v>45998.27</v>
      </c>
      <c r="K178" s="23">
        <f t="shared" si="19"/>
        <v>77966.449999999953</v>
      </c>
      <c r="L178" s="23">
        <f t="shared" si="20"/>
        <v>204001.73</v>
      </c>
      <c r="M178" s="24">
        <f>IF($D178&lt;=0,"",IF(Übersicht!$C$11=0,0,$L178/Übersicht!$C$11))</f>
        <v>0.81600692000000008</v>
      </c>
      <c r="N178" s="25" t="str">
        <f>IF($D178&lt;=0,"",IF($J178&lt;=0.005,"Volltilgung erreicht",IF($A178=Übersicht!$C$19*Übersicht!$C$25,"Ende der Zinsbindung",IF($H178&gt;0,"Sondertilgung verrechnet",""))))</f>
        <v/>
      </c>
      <c r="Q178" s="38">
        <f>IF($S177&lt;=0,0,ROUND($S177*Übersicht!$C$26,2))</f>
        <v>391.08</v>
      </c>
      <c r="R178" s="38">
        <f>IF($S177&lt;=0,0,MIN($S177,IF(Übersicht!$C$14="Annuitätendarlehen",MAX(0,Übersicht!$C$28-$Q178),IF(Übersicht!$C$14="Ratendarlehen",Übersicht!$C$29,IF($A178&gt;=Übersicht!$C$30,$S177,0)))))</f>
        <v>848.5</v>
      </c>
      <c r="S178" s="38">
        <f>IF($S177&lt;=0,0,ROUND($S177-$R178-IF($S177-$R178&lt;=0,0,IF(MOD($A178,Übersicht!$C$25)=0,MIN(Szenarien!$C$8,$S177-$R178),0)),2))</f>
        <v>135178.57999999999</v>
      </c>
      <c r="T178" s="38">
        <f>IF($V177&lt;=0,0,ROUND($V177*Übersicht!$C$26,2))</f>
        <v>263.25</v>
      </c>
      <c r="U178" s="38">
        <f>IF($V177&lt;=0,0,MIN($V177,IF(Übersicht!$C$14="Annuitätendarlehen",MAX(0,Übersicht!$C$28-$T178),IF(Übersicht!$C$14="Ratendarlehen",Übersicht!$C$29,IF($A178&gt;=Übersicht!$C$30,$V177,0)))))</f>
        <v>976.32999999999993</v>
      </c>
      <c r="V178" s="38">
        <f>IF($V177&lt;=0,0,ROUND($V177-$U178-IF($V177-$U178&lt;=0,0,IF(MOD($A178,Übersicht!$C$25)=0,MIN(Szenarien!$C$9,$V177-$U178),0)),2))</f>
        <v>90588.5</v>
      </c>
      <c r="W178" s="38">
        <f>IF($Y177&lt;=0,0,ROUND($Y177*Übersicht!$C$26,2))</f>
        <v>135.41999999999999</v>
      </c>
      <c r="X178" s="38">
        <f>IF($Y177&lt;=0,0,MIN($Y177,IF(Übersicht!$C$14="Annuitätendarlehen",MAX(0,Übersicht!$C$28-$W178),IF(Übersicht!$C$14="Ratendarlehen",Übersicht!$C$29,IF($A178&gt;=Übersicht!$C$30,$Y177,0)))))</f>
        <v>1104.1599999999999</v>
      </c>
      <c r="Y178" s="38">
        <f>IF($Y177&lt;=0,0,ROUND($Y177-$X178-IF($Y177-$X178&lt;=0,0,IF(MOD($A178,Übersicht!$C$25)=0,MIN(Szenarien!$C$10,$Y177-$X178),0)),2))</f>
        <v>45998.27</v>
      </c>
      <c r="Z178" s="38">
        <f>IF($AB177&lt;=0,0,ROUND($AB177*Übersicht!$C$26,2))</f>
        <v>7.59</v>
      </c>
      <c r="AA178" s="38">
        <f>IF($AB177&lt;=0,0,MIN($AB177,IF(Übersicht!$C$14="Annuitätendarlehen",MAX(0,Übersicht!$C$28-$Z178),IF(Übersicht!$C$14="Ratendarlehen",Übersicht!$C$29,IF($A178&gt;=Übersicht!$C$30,$AB177,0)))))</f>
        <v>1231.99</v>
      </c>
      <c r="AB178" s="38">
        <f>IF($AB177&lt;=0,0,ROUND($AB177-$AA178-IF($AB177-$AA178&lt;=0,0,IF(MOD($A178,Übersicht!$C$25)=0,MIN(Szenarien!$C$11,$AB177-$AA178),0)),2))</f>
        <v>1408.09</v>
      </c>
      <c r="AC178" s="38">
        <f>IF($AE177&lt;=0,0,ROUND($AE177*Übersicht!$C$26,2))</f>
        <v>0</v>
      </c>
      <c r="AD178" s="38">
        <f>IF($AE177&lt;=0,0,MIN($AE177,IF(Übersicht!$C$14="Annuitätendarlehen",MAX(0,Übersicht!$C$28-$AC178),IF(Übersicht!$C$14="Ratendarlehen",Übersicht!$C$29,IF($A178&gt;=Übersicht!$C$30,$AE177,0)))))</f>
        <v>0</v>
      </c>
      <c r="AE178" s="38">
        <f>IF($AE177&lt;=0,0,ROUND($AE177-$AD178-IF($AE177-$AD178&lt;=0,0,IF(MOD($A178,Übersicht!$C$25)=0,MIN(Szenarien!$C$12,$AE177-$AD178),0)),2))</f>
        <v>0</v>
      </c>
    </row>
    <row r="179" spans="1:31" ht="15" customHeight="1" x14ac:dyDescent="0.25">
      <c r="A179" s="26">
        <v>172</v>
      </c>
      <c r="B179" s="39">
        <f>IF($D179&lt;=0,"",EDATE(Übersicht!$C$18,($A179-1)*12/Übersicht!$C$25))</f>
        <v>51256</v>
      </c>
      <c r="C179" s="26">
        <f t="shared" si="14"/>
        <v>2040</v>
      </c>
      <c r="D179" s="40">
        <f t="shared" si="18"/>
        <v>45998.27</v>
      </c>
      <c r="E179" s="28">
        <f t="shared" si="15"/>
        <v>1239.58</v>
      </c>
      <c r="F179" s="28">
        <f>IF($D179&lt;=0,0,ROUND($D179*Übersicht!$C$26,2))</f>
        <v>132.25</v>
      </c>
      <c r="G179" s="28">
        <f>IF($D179&lt;=0,0,MIN($D179,IF(Übersicht!$C$14="Annuitätendarlehen",MAX(0,Übersicht!$C$28-$F179),IF(Übersicht!$C$14="Ratendarlehen",Übersicht!$C$29,IF($A179&gt;=Übersicht!$C$30,$D179,0)))))</f>
        <v>1107.33</v>
      </c>
      <c r="H179" s="28">
        <f>IF($D179-$G179&lt;=0,0,IF(MOD($A179,Übersicht!$C$25)=0,MIN(Übersicht!$C$31,$D179-$G179),0))</f>
        <v>0</v>
      </c>
      <c r="I179" s="28">
        <f t="shared" si="16"/>
        <v>1239.58</v>
      </c>
      <c r="J179" s="28">
        <f t="shared" si="17"/>
        <v>44890.94</v>
      </c>
      <c r="K179" s="28">
        <f t="shared" si="19"/>
        <v>78098.699999999953</v>
      </c>
      <c r="L179" s="28">
        <f t="shared" si="20"/>
        <v>205109.06</v>
      </c>
      <c r="M179" s="29">
        <f>IF($D179&lt;=0,"",IF(Übersicht!$C$11=0,0,$L179/Übersicht!$C$11))</f>
        <v>0.82043624000000004</v>
      </c>
      <c r="N179" s="30" t="str">
        <f>IF($D179&lt;=0,"",IF($J179&lt;=0.005,"Volltilgung erreicht",IF($A179=Übersicht!$C$19*Übersicht!$C$25,"Ende der Zinsbindung",IF($H179&gt;0,"Sondertilgung verrechnet",""))))</f>
        <v/>
      </c>
      <c r="Q179" s="38">
        <f>IF($S178&lt;=0,0,ROUND($S178*Übersicht!$C$26,2))</f>
        <v>388.64</v>
      </c>
      <c r="R179" s="38">
        <f>IF($S178&lt;=0,0,MIN($S178,IF(Übersicht!$C$14="Annuitätendarlehen",MAX(0,Übersicht!$C$28-$Q179),IF(Übersicht!$C$14="Ratendarlehen",Übersicht!$C$29,IF($A179&gt;=Übersicht!$C$30,$S178,0)))))</f>
        <v>850.93999999999994</v>
      </c>
      <c r="S179" s="38">
        <f>IF($S178&lt;=0,0,ROUND($S178-$R179-IF($S178-$R179&lt;=0,0,IF(MOD($A179,Übersicht!$C$25)=0,MIN(Szenarien!$C$8,$S178-$R179),0)),2))</f>
        <v>134327.64000000001</v>
      </c>
      <c r="T179" s="38">
        <f>IF($V178&lt;=0,0,ROUND($V178*Übersicht!$C$26,2))</f>
        <v>260.44</v>
      </c>
      <c r="U179" s="38">
        <f>IF($V178&lt;=0,0,MIN($V178,IF(Übersicht!$C$14="Annuitätendarlehen",MAX(0,Übersicht!$C$28-$T179),IF(Übersicht!$C$14="Ratendarlehen",Übersicht!$C$29,IF($A179&gt;=Übersicht!$C$30,$V178,0)))))</f>
        <v>979.13999999999987</v>
      </c>
      <c r="V179" s="38">
        <f>IF($V178&lt;=0,0,ROUND($V178-$U179-IF($V178-$U179&lt;=0,0,IF(MOD($A179,Übersicht!$C$25)=0,MIN(Szenarien!$C$9,$V178-$U179),0)),2))</f>
        <v>89609.36</v>
      </c>
      <c r="W179" s="38">
        <f>IF($Y178&lt;=0,0,ROUND($Y178*Übersicht!$C$26,2))</f>
        <v>132.25</v>
      </c>
      <c r="X179" s="38">
        <f>IF($Y178&lt;=0,0,MIN($Y178,IF(Übersicht!$C$14="Annuitätendarlehen",MAX(0,Übersicht!$C$28-$W179),IF(Übersicht!$C$14="Ratendarlehen",Übersicht!$C$29,IF($A179&gt;=Übersicht!$C$30,$Y178,0)))))</f>
        <v>1107.33</v>
      </c>
      <c r="Y179" s="38">
        <f>IF($Y178&lt;=0,0,ROUND($Y178-$X179-IF($Y178-$X179&lt;=0,0,IF(MOD($A179,Übersicht!$C$25)=0,MIN(Szenarien!$C$10,$Y178-$X179),0)),2))</f>
        <v>44890.94</v>
      </c>
      <c r="Z179" s="38">
        <f>IF($AB178&lt;=0,0,ROUND($AB178*Übersicht!$C$26,2))</f>
        <v>4.05</v>
      </c>
      <c r="AA179" s="38">
        <f>IF($AB178&lt;=0,0,MIN($AB178,IF(Übersicht!$C$14="Annuitätendarlehen",MAX(0,Übersicht!$C$28-$Z179),IF(Übersicht!$C$14="Ratendarlehen",Übersicht!$C$29,IF($A179&gt;=Übersicht!$C$30,$AB178,0)))))</f>
        <v>1235.53</v>
      </c>
      <c r="AB179" s="38">
        <f>IF($AB178&lt;=0,0,ROUND($AB178-$AA179-IF($AB178-$AA179&lt;=0,0,IF(MOD($A179,Übersicht!$C$25)=0,MIN(Szenarien!$C$11,$AB178-$AA179),0)),2))</f>
        <v>172.56</v>
      </c>
      <c r="AC179" s="38">
        <f>IF($AE178&lt;=0,0,ROUND($AE178*Übersicht!$C$26,2))</f>
        <v>0</v>
      </c>
      <c r="AD179" s="38">
        <f>IF($AE178&lt;=0,0,MIN($AE178,IF(Übersicht!$C$14="Annuitätendarlehen",MAX(0,Übersicht!$C$28-$AC179),IF(Übersicht!$C$14="Ratendarlehen",Übersicht!$C$29,IF($A179&gt;=Übersicht!$C$30,$AE178,0)))))</f>
        <v>0</v>
      </c>
      <c r="AE179" s="38">
        <f>IF($AE178&lt;=0,0,ROUND($AE178-$AD179-IF($AE178-$AD179&lt;=0,0,IF(MOD($A179,Übersicht!$C$25)=0,MIN(Szenarien!$C$12,$AE178-$AD179),0)),2))</f>
        <v>0</v>
      </c>
    </row>
    <row r="180" spans="1:31" ht="15" customHeight="1" x14ac:dyDescent="0.25">
      <c r="A180" s="21">
        <v>173</v>
      </c>
      <c r="B180" s="36">
        <f>IF($D180&lt;=0,"",EDATE(Übersicht!$C$18,($A180-1)*12/Übersicht!$C$25))</f>
        <v>51287</v>
      </c>
      <c r="C180" s="21">
        <f t="shared" si="14"/>
        <v>2040</v>
      </c>
      <c r="D180" s="37">
        <f t="shared" si="18"/>
        <v>44890.94</v>
      </c>
      <c r="E180" s="23">
        <f t="shared" si="15"/>
        <v>1239.58</v>
      </c>
      <c r="F180" s="23">
        <f>IF($D180&lt;=0,0,ROUND($D180*Übersicht!$C$26,2))</f>
        <v>129.06</v>
      </c>
      <c r="G180" s="23">
        <f>IF($D180&lt;=0,0,MIN($D180,IF(Übersicht!$C$14="Annuitätendarlehen",MAX(0,Übersicht!$C$28-$F180),IF(Übersicht!$C$14="Ratendarlehen",Übersicht!$C$29,IF($A180&gt;=Übersicht!$C$30,$D180,0)))))</f>
        <v>1110.52</v>
      </c>
      <c r="H180" s="23">
        <f>IF($D180-$G180&lt;=0,0,IF(MOD($A180,Übersicht!$C$25)=0,MIN(Übersicht!$C$31,$D180-$G180),0))</f>
        <v>0</v>
      </c>
      <c r="I180" s="23">
        <f t="shared" si="16"/>
        <v>1239.58</v>
      </c>
      <c r="J180" s="23">
        <f t="shared" si="17"/>
        <v>43780.42</v>
      </c>
      <c r="K180" s="23">
        <f t="shared" si="19"/>
        <v>78227.759999999951</v>
      </c>
      <c r="L180" s="23">
        <f t="shared" si="20"/>
        <v>206219.58</v>
      </c>
      <c r="M180" s="24">
        <f>IF($D180&lt;=0,"",IF(Übersicht!$C$11=0,0,$L180/Übersicht!$C$11))</f>
        <v>0.82487831999999994</v>
      </c>
      <c r="N180" s="25" t="str">
        <f>IF($D180&lt;=0,"",IF($J180&lt;=0.005,"Volltilgung erreicht",IF($A180=Übersicht!$C$19*Übersicht!$C$25,"Ende der Zinsbindung",IF($H180&gt;0,"Sondertilgung verrechnet",""))))</f>
        <v/>
      </c>
      <c r="Q180" s="38">
        <f>IF($S179&lt;=0,0,ROUND($S179*Übersicht!$C$26,2))</f>
        <v>386.19</v>
      </c>
      <c r="R180" s="38">
        <f>IF($S179&lt;=0,0,MIN($S179,IF(Übersicht!$C$14="Annuitätendarlehen",MAX(0,Übersicht!$C$28-$Q180),IF(Übersicht!$C$14="Ratendarlehen",Übersicht!$C$29,IF($A180&gt;=Übersicht!$C$30,$S179,0)))))</f>
        <v>853.38999999999987</v>
      </c>
      <c r="S180" s="38">
        <f>IF($S179&lt;=0,0,ROUND($S179-$R180-IF($S179-$R180&lt;=0,0,IF(MOD($A180,Übersicht!$C$25)=0,MIN(Szenarien!$C$8,$S179-$R180),0)),2))</f>
        <v>133474.25</v>
      </c>
      <c r="T180" s="38">
        <f>IF($V179&lt;=0,0,ROUND($V179*Übersicht!$C$26,2))</f>
        <v>257.63</v>
      </c>
      <c r="U180" s="38">
        <f>IF($V179&lt;=0,0,MIN($V179,IF(Übersicht!$C$14="Annuitätendarlehen",MAX(0,Übersicht!$C$28-$T180),IF(Übersicht!$C$14="Ratendarlehen",Übersicht!$C$29,IF($A180&gt;=Übersicht!$C$30,$V179,0)))))</f>
        <v>981.94999999999993</v>
      </c>
      <c r="V180" s="38">
        <f>IF($V179&lt;=0,0,ROUND($V179-$U180-IF($V179-$U180&lt;=0,0,IF(MOD($A180,Übersicht!$C$25)=0,MIN(Szenarien!$C$9,$V179-$U180),0)),2))</f>
        <v>88627.41</v>
      </c>
      <c r="W180" s="38">
        <f>IF($Y179&lt;=0,0,ROUND($Y179*Übersicht!$C$26,2))</f>
        <v>129.06</v>
      </c>
      <c r="X180" s="38">
        <f>IF($Y179&lt;=0,0,MIN($Y179,IF(Übersicht!$C$14="Annuitätendarlehen",MAX(0,Übersicht!$C$28-$W180),IF(Übersicht!$C$14="Ratendarlehen",Übersicht!$C$29,IF($A180&gt;=Übersicht!$C$30,$Y179,0)))))</f>
        <v>1110.52</v>
      </c>
      <c r="Y180" s="38">
        <f>IF($Y179&lt;=0,0,ROUND($Y179-$X180-IF($Y179-$X180&lt;=0,0,IF(MOD($A180,Übersicht!$C$25)=0,MIN(Szenarien!$C$10,$Y179-$X180),0)),2))</f>
        <v>43780.42</v>
      </c>
      <c r="Z180" s="38">
        <f>IF($AB179&lt;=0,0,ROUND($AB179*Übersicht!$C$26,2))</f>
        <v>0.5</v>
      </c>
      <c r="AA180" s="38">
        <f>IF($AB179&lt;=0,0,MIN($AB179,IF(Übersicht!$C$14="Annuitätendarlehen",MAX(0,Übersicht!$C$28-$Z180),IF(Übersicht!$C$14="Ratendarlehen",Übersicht!$C$29,IF($A180&gt;=Übersicht!$C$30,$AB179,0)))))</f>
        <v>172.56</v>
      </c>
      <c r="AB180" s="38">
        <f>IF($AB179&lt;=0,0,ROUND($AB179-$AA180-IF($AB179-$AA180&lt;=0,0,IF(MOD($A180,Übersicht!$C$25)=0,MIN(Szenarien!$C$11,$AB179-$AA180),0)),2))</f>
        <v>0</v>
      </c>
      <c r="AC180" s="38">
        <f>IF($AE179&lt;=0,0,ROUND($AE179*Übersicht!$C$26,2))</f>
        <v>0</v>
      </c>
      <c r="AD180" s="38">
        <f>IF($AE179&lt;=0,0,MIN($AE179,IF(Übersicht!$C$14="Annuitätendarlehen",MAX(0,Übersicht!$C$28-$AC180),IF(Übersicht!$C$14="Ratendarlehen",Übersicht!$C$29,IF($A180&gt;=Übersicht!$C$30,$AE179,0)))))</f>
        <v>0</v>
      </c>
      <c r="AE180" s="38">
        <f>IF($AE179&lt;=0,0,ROUND($AE179-$AD180-IF($AE179-$AD180&lt;=0,0,IF(MOD($A180,Übersicht!$C$25)=0,MIN(Szenarien!$C$12,$AE179-$AD180),0)),2))</f>
        <v>0</v>
      </c>
    </row>
    <row r="181" spans="1:31" ht="15" customHeight="1" x14ac:dyDescent="0.25">
      <c r="A181" s="26">
        <v>174</v>
      </c>
      <c r="B181" s="39">
        <f>IF($D181&lt;=0,"",EDATE(Übersicht!$C$18,($A181-1)*12/Übersicht!$C$25))</f>
        <v>51317</v>
      </c>
      <c r="C181" s="26">
        <f t="shared" si="14"/>
        <v>2040</v>
      </c>
      <c r="D181" s="40">
        <f t="shared" si="18"/>
        <v>43780.42</v>
      </c>
      <c r="E181" s="28">
        <f t="shared" si="15"/>
        <v>1239.58</v>
      </c>
      <c r="F181" s="28">
        <f>IF($D181&lt;=0,0,ROUND($D181*Übersicht!$C$26,2))</f>
        <v>125.87</v>
      </c>
      <c r="G181" s="28">
        <f>IF($D181&lt;=0,0,MIN($D181,IF(Übersicht!$C$14="Annuitätendarlehen",MAX(0,Übersicht!$C$28-$F181),IF(Übersicht!$C$14="Ratendarlehen",Übersicht!$C$29,IF($A181&gt;=Übersicht!$C$30,$D181,0)))))</f>
        <v>1113.71</v>
      </c>
      <c r="H181" s="28">
        <f>IF($D181-$G181&lt;=0,0,IF(MOD($A181,Übersicht!$C$25)=0,MIN(Übersicht!$C$31,$D181-$G181),0))</f>
        <v>0</v>
      </c>
      <c r="I181" s="28">
        <f t="shared" si="16"/>
        <v>1239.58</v>
      </c>
      <c r="J181" s="28">
        <f t="shared" si="17"/>
        <v>42666.71</v>
      </c>
      <c r="K181" s="28">
        <f t="shared" si="19"/>
        <v>78353.629999999946</v>
      </c>
      <c r="L181" s="28">
        <f t="shared" si="20"/>
        <v>207333.29</v>
      </c>
      <c r="M181" s="29">
        <f>IF($D181&lt;=0,"",IF(Übersicht!$C$11=0,0,$L181/Übersicht!$C$11))</f>
        <v>0.82933316000000001</v>
      </c>
      <c r="N181" s="30" t="str">
        <f>IF($D181&lt;=0,"",IF($J181&lt;=0.005,"Volltilgung erreicht",IF($A181=Übersicht!$C$19*Übersicht!$C$25,"Ende der Zinsbindung",IF($H181&gt;0,"Sondertilgung verrechnet",""))))</f>
        <v/>
      </c>
      <c r="Q181" s="38">
        <f>IF($S180&lt;=0,0,ROUND($S180*Übersicht!$C$26,2))</f>
        <v>383.74</v>
      </c>
      <c r="R181" s="38">
        <f>IF($S180&lt;=0,0,MIN($S180,IF(Übersicht!$C$14="Annuitätendarlehen",MAX(0,Übersicht!$C$28-$Q181),IF(Übersicht!$C$14="Ratendarlehen",Übersicht!$C$29,IF($A181&gt;=Übersicht!$C$30,$S180,0)))))</f>
        <v>855.83999999999992</v>
      </c>
      <c r="S181" s="38">
        <f>IF($S180&lt;=0,0,ROUND($S180-$R181-IF($S180-$R181&lt;=0,0,IF(MOD($A181,Übersicht!$C$25)=0,MIN(Szenarien!$C$8,$S180-$R181),0)),2))</f>
        <v>132618.41</v>
      </c>
      <c r="T181" s="38">
        <f>IF($V180&lt;=0,0,ROUND($V180*Übersicht!$C$26,2))</f>
        <v>254.8</v>
      </c>
      <c r="U181" s="38">
        <f>IF($V180&lt;=0,0,MIN($V180,IF(Übersicht!$C$14="Annuitätendarlehen",MAX(0,Übersicht!$C$28-$T181),IF(Übersicht!$C$14="Ratendarlehen",Übersicht!$C$29,IF($A181&gt;=Übersicht!$C$30,$V180,0)))))</f>
        <v>984.78</v>
      </c>
      <c r="V181" s="38">
        <f>IF($V180&lt;=0,0,ROUND($V180-$U181-IF($V180-$U181&lt;=0,0,IF(MOD($A181,Übersicht!$C$25)=0,MIN(Szenarien!$C$9,$V180-$U181),0)),2))</f>
        <v>87642.63</v>
      </c>
      <c r="W181" s="38">
        <f>IF($Y180&lt;=0,0,ROUND($Y180*Übersicht!$C$26,2))</f>
        <v>125.87</v>
      </c>
      <c r="X181" s="38">
        <f>IF($Y180&lt;=0,0,MIN($Y180,IF(Übersicht!$C$14="Annuitätendarlehen",MAX(0,Übersicht!$C$28-$W181),IF(Übersicht!$C$14="Ratendarlehen",Übersicht!$C$29,IF($A181&gt;=Übersicht!$C$30,$Y180,0)))))</f>
        <v>1113.71</v>
      </c>
      <c r="Y181" s="38">
        <f>IF($Y180&lt;=0,0,ROUND($Y180-$X181-IF($Y180-$X181&lt;=0,0,IF(MOD($A181,Übersicht!$C$25)=0,MIN(Szenarien!$C$10,$Y180-$X181),0)),2))</f>
        <v>42666.71</v>
      </c>
      <c r="Z181" s="38">
        <f>IF($AB180&lt;=0,0,ROUND($AB180*Übersicht!$C$26,2))</f>
        <v>0</v>
      </c>
      <c r="AA181" s="38">
        <f>IF($AB180&lt;=0,0,MIN($AB180,IF(Übersicht!$C$14="Annuitätendarlehen",MAX(0,Übersicht!$C$28-$Z181),IF(Übersicht!$C$14="Ratendarlehen",Übersicht!$C$29,IF($A181&gt;=Übersicht!$C$30,$AB180,0)))))</f>
        <v>0</v>
      </c>
      <c r="AB181" s="38">
        <f>IF($AB180&lt;=0,0,ROUND($AB180-$AA181-IF($AB180-$AA181&lt;=0,0,IF(MOD($A181,Übersicht!$C$25)=0,MIN(Szenarien!$C$11,$AB180-$AA181),0)),2))</f>
        <v>0</v>
      </c>
      <c r="AC181" s="38">
        <f>IF($AE180&lt;=0,0,ROUND($AE180*Übersicht!$C$26,2))</f>
        <v>0</v>
      </c>
      <c r="AD181" s="38">
        <f>IF($AE180&lt;=0,0,MIN($AE180,IF(Übersicht!$C$14="Annuitätendarlehen",MAX(0,Übersicht!$C$28-$AC181),IF(Übersicht!$C$14="Ratendarlehen",Übersicht!$C$29,IF($A181&gt;=Übersicht!$C$30,$AE180,0)))))</f>
        <v>0</v>
      </c>
      <c r="AE181" s="38">
        <f>IF($AE180&lt;=0,0,ROUND($AE180-$AD181-IF($AE180-$AD181&lt;=0,0,IF(MOD($A181,Übersicht!$C$25)=0,MIN(Szenarien!$C$12,$AE180-$AD181),0)),2))</f>
        <v>0</v>
      </c>
    </row>
    <row r="182" spans="1:31" ht="15" customHeight="1" x14ac:dyDescent="0.25">
      <c r="A182" s="21">
        <v>175</v>
      </c>
      <c r="B182" s="36">
        <f>IF($D182&lt;=0,"",EDATE(Übersicht!$C$18,($A182-1)*12/Übersicht!$C$25))</f>
        <v>51348</v>
      </c>
      <c r="C182" s="21">
        <f t="shared" si="14"/>
        <v>2040</v>
      </c>
      <c r="D182" s="37">
        <f t="shared" si="18"/>
        <v>42666.71</v>
      </c>
      <c r="E182" s="23">
        <f t="shared" si="15"/>
        <v>1239.58</v>
      </c>
      <c r="F182" s="23">
        <f>IF($D182&lt;=0,0,ROUND($D182*Übersicht!$C$26,2))</f>
        <v>122.67</v>
      </c>
      <c r="G182" s="23">
        <f>IF($D182&lt;=0,0,MIN($D182,IF(Übersicht!$C$14="Annuitätendarlehen",MAX(0,Übersicht!$C$28-$F182),IF(Übersicht!$C$14="Ratendarlehen",Übersicht!$C$29,IF($A182&gt;=Übersicht!$C$30,$D182,0)))))</f>
        <v>1116.9099999999999</v>
      </c>
      <c r="H182" s="23">
        <f>IF($D182-$G182&lt;=0,0,IF(MOD($A182,Übersicht!$C$25)=0,MIN(Übersicht!$C$31,$D182-$G182),0))</f>
        <v>0</v>
      </c>
      <c r="I182" s="23">
        <f t="shared" si="16"/>
        <v>1239.58</v>
      </c>
      <c r="J182" s="23">
        <f t="shared" si="17"/>
        <v>41549.800000000003</v>
      </c>
      <c r="K182" s="23">
        <f t="shared" si="19"/>
        <v>78476.299999999945</v>
      </c>
      <c r="L182" s="23">
        <f t="shared" si="20"/>
        <v>208450.2</v>
      </c>
      <c r="M182" s="24">
        <f>IF($D182&lt;=0,"",IF(Übersicht!$C$11=0,0,$L182/Übersicht!$C$11))</f>
        <v>0.83380080000000001</v>
      </c>
      <c r="N182" s="25" t="str">
        <f>IF($D182&lt;=0,"",IF($J182&lt;=0.005,"Volltilgung erreicht",IF($A182=Übersicht!$C$19*Übersicht!$C$25,"Ende der Zinsbindung",IF($H182&gt;0,"Sondertilgung verrechnet",""))))</f>
        <v/>
      </c>
      <c r="Q182" s="38">
        <f>IF($S181&lt;=0,0,ROUND($S181*Übersicht!$C$26,2))</f>
        <v>381.28</v>
      </c>
      <c r="R182" s="38">
        <f>IF($S181&lt;=0,0,MIN($S181,IF(Übersicht!$C$14="Annuitätendarlehen",MAX(0,Übersicht!$C$28-$Q182),IF(Übersicht!$C$14="Ratendarlehen",Übersicht!$C$29,IF($A182&gt;=Übersicht!$C$30,$S181,0)))))</f>
        <v>858.3</v>
      </c>
      <c r="S182" s="38">
        <f>IF($S181&lt;=0,0,ROUND($S181-$R182-IF($S181-$R182&lt;=0,0,IF(MOD($A182,Übersicht!$C$25)=0,MIN(Szenarien!$C$8,$S181-$R182),0)),2))</f>
        <v>131760.10999999999</v>
      </c>
      <c r="T182" s="38">
        <f>IF($V181&lt;=0,0,ROUND($V181*Übersicht!$C$26,2))</f>
        <v>251.97</v>
      </c>
      <c r="U182" s="38">
        <f>IF($V181&lt;=0,0,MIN($V181,IF(Übersicht!$C$14="Annuitätendarlehen",MAX(0,Übersicht!$C$28-$T182),IF(Übersicht!$C$14="Ratendarlehen",Übersicht!$C$29,IF($A182&gt;=Übersicht!$C$30,$V181,0)))))</f>
        <v>987.6099999999999</v>
      </c>
      <c r="V182" s="38">
        <f>IF($V181&lt;=0,0,ROUND($V181-$U182-IF($V181-$U182&lt;=0,0,IF(MOD($A182,Übersicht!$C$25)=0,MIN(Szenarien!$C$9,$V181-$U182),0)),2))</f>
        <v>86655.02</v>
      </c>
      <c r="W182" s="38">
        <f>IF($Y181&lt;=0,0,ROUND($Y181*Übersicht!$C$26,2))</f>
        <v>122.67</v>
      </c>
      <c r="X182" s="38">
        <f>IF($Y181&lt;=0,0,MIN($Y181,IF(Übersicht!$C$14="Annuitätendarlehen",MAX(0,Übersicht!$C$28-$W182),IF(Übersicht!$C$14="Ratendarlehen",Übersicht!$C$29,IF($A182&gt;=Übersicht!$C$30,$Y181,0)))))</f>
        <v>1116.9099999999999</v>
      </c>
      <c r="Y182" s="38">
        <f>IF($Y181&lt;=0,0,ROUND($Y181-$X182-IF($Y181-$X182&lt;=0,0,IF(MOD($A182,Übersicht!$C$25)=0,MIN(Szenarien!$C$10,$Y181-$X182),0)),2))</f>
        <v>41549.800000000003</v>
      </c>
      <c r="Z182" s="38">
        <f>IF($AB181&lt;=0,0,ROUND($AB181*Übersicht!$C$26,2))</f>
        <v>0</v>
      </c>
      <c r="AA182" s="38">
        <f>IF($AB181&lt;=0,0,MIN($AB181,IF(Übersicht!$C$14="Annuitätendarlehen",MAX(0,Übersicht!$C$28-$Z182),IF(Übersicht!$C$14="Ratendarlehen",Übersicht!$C$29,IF($A182&gt;=Übersicht!$C$30,$AB181,0)))))</f>
        <v>0</v>
      </c>
      <c r="AB182" s="38">
        <f>IF($AB181&lt;=0,0,ROUND($AB181-$AA182-IF($AB181-$AA182&lt;=0,0,IF(MOD($A182,Übersicht!$C$25)=0,MIN(Szenarien!$C$11,$AB181-$AA182),0)),2))</f>
        <v>0</v>
      </c>
      <c r="AC182" s="38">
        <f>IF($AE181&lt;=0,0,ROUND($AE181*Übersicht!$C$26,2))</f>
        <v>0</v>
      </c>
      <c r="AD182" s="38">
        <f>IF($AE181&lt;=0,0,MIN($AE181,IF(Übersicht!$C$14="Annuitätendarlehen",MAX(0,Übersicht!$C$28-$AC182),IF(Übersicht!$C$14="Ratendarlehen",Übersicht!$C$29,IF($A182&gt;=Übersicht!$C$30,$AE181,0)))))</f>
        <v>0</v>
      </c>
      <c r="AE182" s="38">
        <f>IF($AE181&lt;=0,0,ROUND($AE181-$AD182-IF($AE181-$AD182&lt;=0,0,IF(MOD($A182,Übersicht!$C$25)=0,MIN(Szenarien!$C$12,$AE181-$AD182),0)),2))</f>
        <v>0</v>
      </c>
    </row>
    <row r="183" spans="1:31" ht="15" customHeight="1" x14ac:dyDescent="0.25">
      <c r="A183" s="26">
        <v>176</v>
      </c>
      <c r="B183" s="39">
        <f>IF($D183&lt;=0,"",EDATE(Übersicht!$C$18,($A183-1)*12/Übersicht!$C$25))</f>
        <v>51379</v>
      </c>
      <c r="C183" s="26">
        <f t="shared" si="14"/>
        <v>2040</v>
      </c>
      <c r="D183" s="40">
        <f t="shared" si="18"/>
        <v>41549.800000000003</v>
      </c>
      <c r="E183" s="28">
        <f t="shared" si="15"/>
        <v>1239.58</v>
      </c>
      <c r="F183" s="28">
        <f>IF($D183&lt;=0,0,ROUND($D183*Übersicht!$C$26,2))</f>
        <v>119.46</v>
      </c>
      <c r="G183" s="28">
        <f>IF($D183&lt;=0,0,MIN($D183,IF(Übersicht!$C$14="Annuitätendarlehen",MAX(0,Übersicht!$C$28-$F183),IF(Übersicht!$C$14="Ratendarlehen",Übersicht!$C$29,IF($A183&gt;=Übersicht!$C$30,$D183,0)))))</f>
        <v>1120.1199999999999</v>
      </c>
      <c r="H183" s="28">
        <f>IF($D183-$G183&lt;=0,0,IF(MOD($A183,Übersicht!$C$25)=0,MIN(Übersicht!$C$31,$D183-$G183),0))</f>
        <v>0</v>
      </c>
      <c r="I183" s="28">
        <f t="shared" si="16"/>
        <v>1239.58</v>
      </c>
      <c r="J183" s="28">
        <f t="shared" si="17"/>
        <v>40429.68</v>
      </c>
      <c r="K183" s="28">
        <f t="shared" si="19"/>
        <v>78595.759999999951</v>
      </c>
      <c r="L183" s="28">
        <f t="shared" si="20"/>
        <v>209570.32</v>
      </c>
      <c r="M183" s="29">
        <f>IF($D183&lt;=0,"",IF(Übersicht!$C$11=0,0,$L183/Übersicht!$C$11))</f>
        <v>0.83828128000000002</v>
      </c>
      <c r="N183" s="30" t="str">
        <f>IF($D183&lt;=0,"",IF($J183&lt;=0.005,"Volltilgung erreicht",IF($A183=Übersicht!$C$19*Übersicht!$C$25,"Ende der Zinsbindung",IF($H183&gt;0,"Sondertilgung verrechnet",""))))</f>
        <v/>
      </c>
      <c r="Q183" s="38">
        <f>IF($S182&lt;=0,0,ROUND($S182*Übersicht!$C$26,2))</f>
        <v>378.81</v>
      </c>
      <c r="R183" s="38">
        <f>IF($S182&lt;=0,0,MIN($S182,IF(Übersicht!$C$14="Annuitätendarlehen",MAX(0,Übersicht!$C$28-$Q183),IF(Übersicht!$C$14="Ratendarlehen",Übersicht!$C$29,IF($A183&gt;=Übersicht!$C$30,$S182,0)))))</f>
        <v>860.77</v>
      </c>
      <c r="S183" s="38">
        <f>IF($S182&lt;=0,0,ROUND($S182-$R183-IF($S182-$R183&lt;=0,0,IF(MOD($A183,Übersicht!$C$25)=0,MIN(Szenarien!$C$8,$S182-$R183),0)),2))</f>
        <v>130899.34</v>
      </c>
      <c r="T183" s="38">
        <f>IF($V182&lt;=0,0,ROUND($V182*Übersicht!$C$26,2))</f>
        <v>249.13</v>
      </c>
      <c r="U183" s="38">
        <f>IF($V182&lt;=0,0,MIN($V182,IF(Übersicht!$C$14="Annuitätendarlehen",MAX(0,Übersicht!$C$28-$T183),IF(Übersicht!$C$14="Ratendarlehen",Übersicht!$C$29,IF($A183&gt;=Übersicht!$C$30,$V182,0)))))</f>
        <v>990.44999999999993</v>
      </c>
      <c r="V183" s="38">
        <f>IF($V182&lt;=0,0,ROUND($V182-$U183-IF($V182-$U183&lt;=0,0,IF(MOD($A183,Übersicht!$C$25)=0,MIN(Szenarien!$C$9,$V182-$U183),0)),2))</f>
        <v>85664.57</v>
      </c>
      <c r="W183" s="38">
        <f>IF($Y182&lt;=0,0,ROUND($Y182*Übersicht!$C$26,2))</f>
        <v>119.46</v>
      </c>
      <c r="X183" s="38">
        <f>IF($Y182&lt;=0,0,MIN($Y182,IF(Übersicht!$C$14="Annuitätendarlehen",MAX(0,Übersicht!$C$28-$W183),IF(Übersicht!$C$14="Ratendarlehen",Übersicht!$C$29,IF($A183&gt;=Übersicht!$C$30,$Y182,0)))))</f>
        <v>1120.1199999999999</v>
      </c>
      <c r="Y183" s="38">
        <f>IF($Y182&lt;=0,0,ROUND($Y182-$X183-IF($Y182-$X183&lt;=0,0,IF(MOD($A183,Übersicht!$C$25)=0,MIN(Szenarien!$C$10,$Y182-$X183),0)),2))</f>
        <v>40429.68</v>
      </c>
      <c r="Z183" s="38">
        <f>IF($AB182&lt;=0,0,ROUND($AB182*Übersicht!$C$26,2))</f>
        <v>0</v>
      </c>
      <c r="AA183" s="38">
        <f>IF($AB182&lt;=0,0,MIN($AB182,IF(Übersicht!$C$14="Annuitätendarlehen",MAX(0,Übersicht!$C$28-$Z183),IF(Übersicht!$C$14="Ratendarlehen",Übersicht!$C$29,IF($A183&gt;=Übersicht!$C$30,$AB182,0)))))</f>
        <v>0</v>
      </c>
      <c r="AB183" s="38">
        <f>IF($AB182&lt;=0,0,ROUND($AB182-$AA183-IF($AB182-$AA183&lt;=0,0,IF(MOD($A183,Übersicht!$C$25)=0,MIN(Szenarien!$C$11,$AB182-$AA183),0)),2))</f>
        <v>0</v>
      </c>
      <c r="AC183" s="38">
        <f>IF($AE182&lt;=0,0,ROUND($AE182*Übersicht!$C$26,2))</f>
        <v>0</v>
      </c>
      <c r="AD183" s="38">
        <f>IF($AE182&lt;=0,0,MIN($AE182,IF(Übersicht!$C$14="Annuitätendarlehen",MAX(0,Übersicht!$C$28-$AC183),IF(Übersicht!$C$14="Ratendarlehen",Übersicht!$C$29,IF($A183&gt;=Übersicht!$C$30,$AE182,0)))))</f>
        <v>0</v>
      </c>
      <c r="AE183" s="38">
        <f>IF($AE182&lt;=0,0,ROUND($AE182-$AD183-IF($AE182-$AD183&lt;=0,0,IF(MOD($A183,Übersicht!$C$25)=0,MIN(Szenarien!$C$12,$AE182-$AD183),0)),2))</f>
        <v>0</v>
      </c>
    </row>
    <row r="184" spans="1:31" ht="15" customHeight="1" x14ac:dyDescent="0.25">
      <c r="A184" s="21">
        <v>177</v>
      </c>
      <c r="B184" s="36">
        <f>IF($D184&lt;=0,"",EDATE(Übersicht!$C$18,($A184-1)*12/Übersicht!$C$25))</f>
        <v>51409</v>
      </c>
      <c r="C184" s="21">
        <f t="shared" si="14"/>
        <v>2040</v>
      </c>
      <c r="D184" s="37">
        <f t="shared" si="18"/>
        <v>40429.68</v>
      </c>
      <c r="E184" s="23">
        <f t="shared" si="15"/>
        <v>1239.58</v>
      </c>
      <c r="F184" s="23">
        <f>IF($D184&lt;=0,0,ROUND($D184*Übersicht!$C$26,2))</f>
        <v>116.24</v>
      </c>
      <c r="G184" s="23">
        <f>IF($D184&lt;=0,0,MIN($D184,IF(Übersicht!$C$14="Annuitätendarlehen",MAX(0,Übersicht!$C$28-$F184),IF(Übersicht!$C$14="Ratendarlehen",Übersicht!$C$29,IF($A184&gt;=Übersicht!$C$30,$D184,0)))))</f>
        <v>1123.3399999999999</v>
      </c>
      <c r="H184" s="23">
        <f>IF($D184-$G184&lt;=0,0,IF(MOD($A184,Übersicht!$C$25)=0,MIN(Übersicht!$C$31,$D184-$G184),0))</f>
        <v>0</v>
      </c>
      <c r="I184" s="23">
        <f t="shared" si="16"/>
        <v>1239.58</v>
      </c>
      <c r="J184" s="23">
        <f t="shared" si="17"/>
        <v>39306.339999999997</v>
      </c>
      <c r="K184" s="23">
        <f t="shared" si="19"/>
        <v>78711.999999999956</v>
      </c>
      <c r="L184" s="23">
        <f t="shared" si="20"/>
        <v>210693.66</v>
      </c>
      <c r="M184" s="24">
        <f>IF($D184&lt;=0,"",IF(Übersicht!$C$11=0,0,$L184/Übersicht!$C$11))</f>
        <v>0.84277464000000002</v>
      </c>
      <c r="N184" s="25" t="str">
        <f>IF($D184&lt;=0,"",IF($J184&lt;=0.005,"Volltilgung erreicht",IF($A184=Übersicht!$C$19*Übersicht!$C$25,"Ende der Zinsbindung",IF($H184&gt;0,"Sondertilgung verrechnet",""))))</f>
        <v/>
      </c>
      <c r="Q184" s="38">
        <f>IF($S183&lt;=0,0,ROUND($S183*Übersicht!$C$26,2))</f>
        <v>376.34</v>
      </c>
      <c r="R184" s="38">
        <f>IF($S183&lt;=0,0,MIN($S183,IF(Übersicht!$C$14="Annuitätendarlehen",MAX(0,Übersicht!$C$28-$Q184),IF(Übersicht!$C$14="Ratendarlehen",Übersicht!$C$29,IF($A184&gt;=Übersicht!$C$30,$S183,0)))))</f>
        <v>863.24</v>
      </c>
      <c r="S184" s="38">
        <f>IF($S183&lt;=0,0,ROUND($S183-$R184-IF($S183-$R184&lt;=0,0,IF(MOD($A184,Übersicht!$C$25)=0,MIN(Szenarien!$C$8,$S183-$R184),0)),2))</f>
        <v>130036.1</v>
      </c>
      <c r="T184" s="38">
        <f>IF($V183&lt;=0,0,ROUND($V183*Übersicht!$C$26,2))</f>
        <v>246.29</v>
      </c>
      <c r="U184" s="38">
        <f>IF($V183&lt;=0,0,MIN($V183,IF(Übersicht!$C$14="Annuitätendarlehen",MAX(0,Übersicht!$C$28-$T184),IF(Übersicht!$C$14="Ratendarlehen",Übersicht!$C$29,IF($A184&gt;=Übersicht!$C$30,$V183,0)))))</f>
        <v>993.29</v>
      </c>
      <c r="V184" s="38">
        <f>IF($V183&lt;=0,0,ROUND($V183-$U184-IF($V183-$U184&lt;=0,0,IF(MOD($A184,Übersicht!$C$25)=0,MIN(Szenarien!$C$9,$V183-$U184),0)),2))</f>
        <v>84671.28</v>
      </c>
      <c r="W184" s="38">
        <f>IF($Y183&lt;=0,0,ROUND($Y183*Übersicht!$C$26,2))</f>
        <v>116.24</v>
      </c>
      <c r="X184" s="38">
        <f>IF($Y183&lt;=0,0,MIN($Y183,IF(Übersicht!$C$14="Annuitätendarlehen",MAX(0,Übersicht!$C$28-$W184),IF(Übersicht!$C$14="Ratendarlehen",Übersicht!$C$29,IF($A184&gt;=Übersicht!$C$30,$Y183,0)))))</f>
        <v>1123.3399999999999</v>
      </c>
      <c r="Y184" s="38">
        <f>IF($Y183&lt;=0,0,ROUND($Y183-$X184-IF($Y183-$X184&lt;=0,0,IF(MOD($A184,Übersicht!$C$25)=0,MIN(Szenarien!$C$10,$Y183-$X184),0)),2))</f>
        <v>39306.339999999997</v>
      </c>
      <c r="Z184" s="38">
        <f>IF($AB183&lt;=0,0,ROUND($AB183*Übersicht!$C$26,2))</f>
        <v>0</v>
      </c>
      <c r="AA184" s="38">
        <f>IF($AB183&lt;=0,0,MIN($AB183,IF(Übersicht!$C$14="Annuitätendarlehen",MAX(0,Übersicht!$C$28-$Z184),IF(Übersicht!$C$14="Ratendarlehen",Übersicht!$C$29,IF($A184&gt;=Übersicht!$C$30,$AB183,0)))))</f>
        <v>0</v>
      </c>
      <c r="AB184" s="38">
        <f>IF($AB183&lt;=0,0,ROUND($AB183-$AA184-IF($AB183-$AA184&lt;=0,0,IF(MOD($A184,Übersicht!$C$25)=0,MIN(Szenarien!$C$11,$AB183-$AA184),0)),2))</f>
        <v>0</v>
      </c>
      <c r="AC184" s="38">
        <f>IF($AE183&lt;=0,0,ROUND($AE183*Übersicht!$C$26,2))</f>
        <v>0</v>
      </c>
      <c r="AD184" s="38">
        <f>IF($AE183&lt;=0,0,MIN($AE183,IF(Übersicht!$C$14="Annuitätendarlehen",MAX(0,Übersicht!$C$28-$AC184),IF(Übersicht!$C$14="Ratendarlehen",Übersicht!$C$29,IF($A184&gt;=Übersicht!$C$30,$AE183,0)))))</f>
        <v>0</v>
      </c>
      <c r="AE184" s="38">
        <f>IF($AE183&lt;=0,0,ROUND($AE183-$AD184-IF($AE183-$AD184&lt;=0,0,IF(MOD($A184,Übersicht!$C$25)=0,MIN(Szenarien!$C$12,$AE183-$AD184),0)),2))</f>
        <v>0</v>
      </c>
    </row>
    <row r="185" spans="1:31" ht="15" customHeight="1" x14ac:dyDescent="0.25">
      <c r="A185" s="26">
        <v>178</v>
      </c>
      <c r="B185" s="39">
        <f>IF($D185&lt;=0,"",EDATE(Übersicht!$C$18,($A185-1)*12/Übersicht!$C$25))</f>
        <v>51440</v>
      </c>
      <c r="C185" s="26">
        <f t="shared" si="14"/>
        <v>2040</v>
      </c>
      <c r="D185" s="40">
        <f t="shared" si="18"/>
        <v>39306.339999999997</v>
      </c>
      <c r="E185" s="28">
        <f t="shared" si="15"/>
        <v>1239.58</v>
      </c>
      <c r="F185" s="28">
        <f>IF($D185&lt;=0,0,ROUND($D185*Übersicht!$C$26,2))</f>
        <v>113.01</v>
      </c>
      <c r="G185" s="28">
        <f>IF($D185&lt;=0,0,MIN($D185,IF(Übersicht!$C$14="Annuitätendarlehen",MAX(0,Übersicht!$C$28-$F185),IF(Übersicht!$C$14="Ratendarlehen",Übersicht!$C$29,IF($A185&gt;=Übersicht!$C$30,$D185,0)))))</f>
        <v>1126.57</v>
      </c>
      <c r="H185" s="28">
        <f>IF($D185-$G185&lt;=0,0,IF(MOD($A185,Übersicht!$C$25)=0,MIN(Übersicht!$C$31,$D185-$G185),0))</f>
        <v>0</v>
      </c>
      <c r="I185" s="28">
        <f t="shared" si="16"/>
        <v>1239.58</v>
      </c>
      <c r="J185" s="28">
        <f t="shared" si="17"/>
        <v>38179.769999999997</v>
      </c>
      <c r="K185" s="28">
        <f t="shared" si="19"/>
        <v>78825.009999999951</v>
      </c>
      <c r="L185" s="28">
        <f t="shared" si="20"/>
        <v>211820.23</v>
      </c>
      <c r="M185" s="29">
        <f>IF($D185&lt;=0,"",IF(Übersicht!$C$11=0,0,$L185/Übersicht!$C$11))</f>
        <v>0.84728091999999999</v>
      </c>
      <c r="N185" s="30" t="str">
        <f>IF($D185&lt;=0,"",IF($J185&lt;=0.005,"Volltilgung erreicht",IF($A185=Übersicht!$C$19*Übersicht!$C$25,"Ende der Zinsbindung",IF($H185&gt;0,"Sondertilgung verrechnet",""))))</f>
        <v/>
      </c>
      <c r="Q185" s="38">
        <f>IF($S184&lt;=0,0,ROUND($S184*Übersicht!$C$26,2))</f>
        <v>373.85</v>
      </c>
      <c r="R185" s="38">
        <f>IF($S184&lt;=0,0,MIN($S184,IF(Übersicht!$C$14="Annuitätendarlehen",MAX(0,Übersicht!$C$28-$Q185),IF(Übersicht!$C$14="Ratendarlehen",Übersicht!$C$29,IF($A185&gt;=Übersicht!$C$30,$S184,0)))))</f>
        <v>865.7299999999999</v>
      </c>
      <c r="S185" s="38">
        <f>IF($S184&lt;=0,0,ROUND($S184-$R185-IF($S184-$R185&lt;=0,0,IF(MOD($A185,Übersicht!$C$25)=0,MIN(Szenarien!$C$8,$S184-$R185),0)),2))</f>
        <v>129170.37</v>
      </c>
      <c r="T185" s="38">
        <f>IF($V184&lt;=0,0,ROUND($V184*Übersicht!$C$26,2))</f>
        <v>243.43</v>
      </c>
      <c r="U185" s="38">
        <f>IF($V184&lt;=0,0,MIN($V184,IF(Übersicht!$C$14="Annuitätendarlehen",MAX(0,Übersicht!$C$28-$T185),IF(Übersicht!$C$14="Ratendarlehen",Übersicht!$C$29,IF($A185&gt;=Übersicht!$C$30,$V184,0)))))</f>
        <v>996.14999999999986</v>
      </c>
      <c r="V185" s="38">
        <f>IF($V184&lt;=0,0,ROUND($V184-$U185-IF($V184-$U185&lt;=0,0,IF(MOD($A185,Übersicht!$C$25)=0,MIN(Szenarien!$C$9,$V184-$U185),0)),2))</f>
        <v>83675.13</v>
      </c>
      <c r="W185" s="38">
        <f>IF($Y184&lt;=0,0,ROUND($Y184*Übersicht!$C$26,2))</f>
        <v>113.01</v>
      </c>
      <c r="X185" s="38">
        <f>IF($Y184&lt;=0,0,MIN($Y184,IF(Übersicht!$C$14="Annuitätendarlehen",MAX(0,Übersicht!$C$28-$W185),IF(Übersicht!$C$14="Ratendarlehen",Übersicht!$C$29,IF($A185&gt;=Übersicht!$C$30,$Y184,0)))))</f>
        <v>1126.57</v>
      </c>
      <c r="Y185" s="38">
        <f>IF($Y184&lt;=0,0,ROUND($Y184-$X185-IF($Y184-$X185&lt;=0,0,IF(MOD($A185,Übersicht!$C$25)=0,MIN(Szenarien!$C$10,$Y184-$X185),0)),2))</f>
        <v>38179.769999999997</v>
      </c>
      <c r="Z185" s="38">
        <f>IF($AB184&lt;=0,0,ROUND($AB184*Übersicht!$C$26,2))</f>
        <v>0</v>
      </c>
      <c r="AA185" s="38">
        <f>IF($AB184&lt;=0,0,MIN($AB184,IF(Übersicht!$C$14="Annuitätendarlehen",MAX(0,Übersicht!$C$28-$Z185),IF(Übersicht!$C$14="Ratendarlehen",Übersicht!$C$29,IF($A185&gt;=Übersicht!$C$30,$AB184,0)))))</f>
        <v>0</v>
      </c>
      <c r="AB185" s="38">
        <f>IF($AB184&lt;=0,0,ROUND($AB184-$AA185-IF($AB184-$AA185&lt;=0,0,IF(MOD($A185,Übersicht!$C$25)=0,MIN(Szenarien!$C$11,$AB184-$AA185),0)),2))</f>
        <v>0</v>
      </c>
      <c r="AC185" s="38">
        <f>IF($AE184&lt;=0,0,ROUND($AE184*Übersicht!$C$26,2))</f>
        <v>0</v>
      </c>
      <c r="AD185" s="38">
        <f>IF($AE184&lt;=0,0,MIN($AE184,IF(Übersicht!$C$14="Annuitätendarlehen",MAX(0,Übersicht!$C$28-$AC185),IF(Übersicht!$C$14="Ratendarlehen",Übersicht!$C$29,IF($A185&gt;=Übersicht!$C$30,$AE184,0)))))</f>
        <v>0</v>
      </c>
      <c r="AE185" s="38">
        <f>IF($AE184&lt;=0,0,ROUND($AE184-$AD185-IF($AE184-$AD185&lt;=0,0,IF(MOD($A185,Übersicht!$C$25)=0,MIN(Szenarien!$C$12,$AE184-$AD185),0)),2))</f>
        <v>0</v>
      </c>
    </row>
    <row r="186" spans="1:31" ht="15" customHeight="1" x14ac:dyDescent="0.25">
      <c r="A186" s="21">
        <v>179</v>
      </c>
      <c r="B186" s="36">
        <f>IF($D186&lt;=0,"",EDATE(Übersicht!$C$18,($A186-1)*12/Übersicht!$C$25))</f>
        <v>51470</v>
      </c>
      <c r="C186" s="21">
        <f t="shared" si="14"/>
        <v>2040</v>
      </c>
      <c r="D186" s="37">
        <f t="shared" si="18"/>
        <v>38179.769999999997</v>
      </c>
      <c r="E186" s="23">
        <f t="shared" si="15"/>
        <v>1239.58</v>
      </c>
      <c r="F186" s="23">
        <f>IF($D186&lt;=0,0,ROUND($D186*Übersicht!$C$26,2))</f>
        <v>109.77</v>
      </c>
      <c r="G186" s="23">
        <f>IF($D186&lt;=0,0,MIN($D186,IF(Übersicht!$C$14="Annuitätendarlehen",MAX(0,Übersicht!$C$28-$F186),IF(Übersicht!$C$14="Ratendarlehen",Übersicht!$C$29,IF($A186&gt;=Übersicht!$C$30,$D186,0)))))</f>
        <v>1129.81</v>
      </c>
      <c r="H186" s="23">
        <f>IF($D186-$G186&lt;=0,0,IF(MOD($A186,Übersicht!$C$25)=0,MIN(Übersicht!$C$31,$D186-$G186),0))</f>
        <v>0</v>
      </c>
      <c r="I186" s="23">
        <f t="shared" si="16"/>
        <v>1239.58</v>
      </c>
      <c r="J186" s="23">
        <f t="shared" si="17"/>
        <v>37049.96</v>
      </c>
      <c r="K186" s="23">
        <f t="shared" si="19"/>
        <v>78934.779999999955</v>
      </c>
      <c r="L186" s="23">
        <f t="shared" si="20"/>
        <v>212950.04</v>
      </c>
      <c r="M186" s="24">
        <f>IF($D186&lt;=0,"",IF(Übersicht!$C$11=0,0,$L186/Übersicht!$C$11))</f>
        <v>0.85180016000000003</v>
      </c>
      <c r="N186" s="25" t="str">
        <f>IF($D186&lt;=0,"",IF($J186&lt;=0.005,"Volltilgung erreicht",IF($A186=Übersicht!$C$19*Übersicht!$C$25,"Ende der Zinsbindung",IF($H186&gt;0,"Sondertilgung verrechnet",""))))</f>
        <v/>
      </c>
      <c r="Q186" s="38">
        <f>IF($S185&lt;=0,0,ROUND($S185*Übersicht!$C$26,2))</f>
        <v>371.36</v>
      </c>
      <c r="R186" s="38">
        <f>IF($S185&lt;=0,0,MIN($S185,IF(Übersicht!$C$14="Annuitätendarlehen",MAX(0,Übersicht!$C$28-$Q186),IF(Übersicht!$C$14="Ratendarlehen",Übersicht!$C$29,IF($A186&gt;=Übersicht!$C$30,$S185,0)))))</f>
        <v>868.21999999999991</v>
      </c>
      <c r="S186" s="38">
        <f>IF($S185&lt;=0,0,ROUND($S185-$R186-IF($S185-$R186&lt;=0,0,IF(MOD($A186,Übersicht!$C$25)=0,MIN(Szenarien!$C$8,$S185-$R186),0)),2))</f>
        <v>128302.15</v>
      </c>
      <c r="T186" s="38">
        <f>IF($V185&lt;=0,0,ROUND($V185*Übersicht!$C$26,2))</f>
        <v>240.57</v>
      </c>
      <c r="U186" s="38">
        <f>IF($V185&lt;=0,0,MIN($V185,IF(Übersicht!$C$14="Annuitätendarlehen",MAX(0,Übersicht!$C$28-$T186),IF(Übersicht!$C$14="Ratendarlehen",Übersicht!$C$29,IF($A186&gt;=Übersicht!$C$30,$V185,0)))))</f>
        <v>999.01</v>
      </c>
      <c r="V186" s="38">
        <f>IF($V185&lt;=0,0,ROUND($V185-$U186-IF($V185-$U186&lt;=0,0,IF(MOD($A186,Übersicht!$C$25)=0,MIN(Szenarien!$C$9,$V185-$U186),0)),2))</f>
        <v>82676.12</v>
      </c>
      <c r="W186" s="38">
        <f>IF($Y185&lt;=0,0,ROUND($Y185*Übersicht!$C$26,2))</f>
        <v>109.77</v>
      </c>
      <c r="X186" s="38">
        <f>IF($Y185&lt;=0,0,MIN($Y185,IF(Übersicht!$C$14="Annuitätendarlehen",MAX(0,Übersicht!$C$28-$W186),IF(Übersicht!$C$14="Ratendarlehen",Übersicht!$C$29,IF($A186&gt;=Übersicht!$C$30,$Y185,0)))))</f>
        <v>1129.81</v>
      </c>
      <c r="Y186" s="38">
        <f>IF($Y185&lt;=0,0,ROUND($Y185-$X186-IF($Y185-$X186&lt;=0,0,IF(MOD($A186,Übersicht!$C$25)=0,MIN(Szenarien!$C$10,$Y185-$X186),0)),2))</f>
        <v>37049.96</v>
      </c>
      <c r="Z186" s="38">
        <f>IF($AB185&lt;=0,0,ROUND($AB185*Übersicht!$C$26,2))</f>
        <v>0</v>
      </c>
      <c r="AA186" s="38">
        <f>IF($AB185&lt;=0,0,MIN($AB185,IF(Übersicht!$C$14="Annuitätendarlehen",MAX(0,Übersicht!$C$28-$Z186),IF(Übersicht!$C$14="Ratendarlehen",Übersicht!$C$29,IF($A186&gt;=Übersicht!$C$30,$AB185,0)))))</f>
        <v>0</v>
      </c>
      <c r="AB186" s="38">
        <f>IF($AB185&lt;=0,0,ROUND($AB185-$AA186-IF($AB185-$AA186&lt;=0,0,IF(MOD($A186,Übersicht!$C$25)=0,MIN(Szenarien!$C$11,$AB185-$AA186),0)),2))</f>
        <v>0</v>
      </c>
      <c r="AC186" s="38">
        <f>IF($AE185&lt;=0,0,ROUND($AE185*Übersicht!$C$26,2))</f>
        <v>0</v>
      </c>
      <c r="AD186" s="38">
        <f>IF($AE185&lt;=0,0,MIN($AE185,IF(Übersicht!$C$14="Annuitätendarlehen",MAX(0,Übersicht!$C$28-$AC186),IF(Übersicht!$C$14="Ratendarlehen",Übersicht!$C$29,IF($A186&gt;=Übersicht!$C$30,$AE185,0)))))</f>
        <v>0</v>
      </c>
      <c r="AE186" s="38">
        <f>IF($AE185&lt;=0,0,ROUND($AE185-$AD186-IF($AE185-$AD186&lt;=0,0,IF(MOD($A186,Übersicht!$C$25)=0,MIN(Szenarien!$C$12,$AE185-$AD186),0)),2))</f>
        <v>0</v>
      </c>
    </row>
    <row r="187" spans="1:31" ht="15" customHeight="1" x14ac:dyDescent="0.25">
      <c r="A187" s="26">
        <v>180</v>
      </c>
      <c r="B187" s="39">
        <f>IF($D187&lt;=0,"",EDATE(Übersicht!$C$18,($A187-1)*12/Übersicht!$C$25))</f>
        <v>51501</v>
      </c>
      <c r="C187" s="26">
        <f t="shared" si="14"/>
        <v>2040</v>
      </c>
      <c r="D187" s="40">
        <f t="shared" si="18"/>
        <v>37049.96</v>
      </c>
      <c r="E187" s="28">
        <f t="shared" si="15"/>
        <v>1239.58</v>
      </c>
      <c r="F187" s="28">
        <f>IF($D187&lt;=0,0,ROUND($D187*Übersicht!$C$26,2))</f>
        <v>106.52</v>
      </c>
      <c r="G187" s="28">
        <f>IF($D187&lt;=0,0,MIN($D187,IF(Übersicht!$C$14="Annuitätendarlehen",MAX(0,Übersicht!$C$28-$F187),IF(Übersicht!$C$14="Ratendarlehen",Übersicht!$C$29,IF($A187&gt;=Übersicht!$C$30,$D187,0)))))</f>
        <v>1133.06</v>
      </c>
      <c r="H187" s="28">
        <f>IF($D187-$G187&lt;=0,0,IF(MOD($A187,Übersicht!$C$25)=0,MIN(Übersicht!$C$31,$D187-$G187),0))</f>
        <v>5000</v>
      </c>
      <c r="I187" s="28">
        <f t="shared" si="16"/>
        <v>6239.58</v>
      </c>
      <c r="J187" s="28">
        <f t="shared" si="17"/>
        <v>30916.9</v>
      </c>
      <c r="K187" s="28">
        <f t="shared" si="19"/>
        <v>79041.299999999959</v>
      </c>
      <c r="L187" s="28">
        <f t="shared" si="20"/>
        <v>219083.1</v>
      </c>
      <c r="M187" s="29">
        <f>IF($D187&lt;=0,"",IF(Übersicht!$C$11=0,0,$L187/Übersicht!$C$11))</f>
        <v>0.87633240000000001</v>
      </c>
      <c r="N187" s="30" t="str">
        <f>IF($D187&lt;=0,"",IF($J187&lt;=0.005,"Volltilgung erreicht",IF($A187=Übersicht!$C$19*Übersicht!$C$25,"Ende der Zinsbindung",IF($H187&gt;0,"Sondertilgung verrechnet",""))))</f>
        <v>Sondertilgung verrechnet</v>
      </c>
      <c r="Q187" s="38">
        <f>IF($S186&lt;=0,0,ROUND($S186*Übersicht!$C$26,2))</f>
        <v>368.87</v>
      </c>
      <c r="R187" s="38">
        <f>IF($S186&lt;=0,0,MIN($S186,IF(Übersicht!$C$14="Annuitätendarlehen",MAX(0,Übersicht!$C$28-$Q187),IF(Übersicht!$C$14="Ratendarlehen",Übersicht!$C$29,IF($A187&gt;=Übersicht!$C$30,$S186,0)))))</f>
        <v>870.70999999999992</v>
      </c>
      <c r="S187" s="38">
        <f>IF($S186&lt;=0,0,ROUND($S186-$R187-IF($S186-$R187&lt;=0,0,IF(MOD($A187,Übersicht!$C$25)=0,MIN(Szenarien!$C$8,$S186-$R187),0)),2))</f>
        <v>127431.44</v>
      </c>
      <c r="T187" s="38">
        <f>IF($V186&lt;=0,0,ROUND($V186*Übersicht!$C$26,2))</f>
        <v>237.69</v>
      </c>
      <c r="U187" s="38">
        <f>IF($V186&lt;=0,0,MIN($V186,IF(Übersicht!$C$14="Annuitätendarlehen",MAX(0,Übersicht!$C$28-$T187),IF(Übersicht!$C$14="Ratendarlehen",Übersicht!$C$29,IF($A187&gt;=Übersicht!$C$30,$V186,0)))))</f>
        <v>1001.8899999999999</v>
      </c>
      <c r="V187" s="38">
        <f>IF($V186&lt;=0,0,ROUND($V186-$U187-IF($V186-$U187&lt;=0,0,IF(MOD($A187,Übersicht!$C$25)=0,MIN(Szenarien!$C$9,$V186-$U187),0)),2))</f>
        <v>79174.23</v>
      </c>
      <c r="W187" s="38">
        <f>IF($Y186&lt;=0,0,ROUND($Y186*Übersicht!$C$26,2))</f>
        <v>106.52</v>
      </c>
      <c r="X187" s="38">
        <f>IF($Y186&lt;=0,0,MIN($Y186,IF(Übersicht!$C$14="Annuitätendarlehen",MAX(0,Übersicht!$C$28-$W187),IF(Übersicht!$C$14="Ratendarlehen",Übersicht!$C$29,IF($A187&gt;=Übersicht!$C$30,$Y186,0)))))</f>
        <v>1133.06</v>
      </c>
      <c r="Y187" s="38">
        <f>IF($Y186&lt;=0,0,ROUND($Y186-$X187-IF($Y186-$X187&lt;=0,0,IF(MOD($A187,Übersicht!$C$25)=0,MIN(Szenarien!$C$10,$Y186-$X187),0)),2))</f>
        <v>30916.9</v>
      </c>
      <c r="Z187" s="38">
        <f>IF($AB186&lt;=0,0,ROUND($AB186*Übersicht!$C$26,2))</f>
        <v>0</v>
      </c>
      <c r="AA187" s="38">
        <f>IF($AB186&lt;=0,0,MIN($AB186,IF(Übersicht!$C$14="Annuitätendarlehen",MAX(0,Übersicht!$C$28-$Z187),IF(Übersicht!$C$14="Ratendarlehen",Übersicht!$C$29,IF($A187&gt;=Übersicht!$C$30,$AB186,0)))))</f>
        <v>0</v>
      </c>
      <c r="AB187" s="38">
        <f>IF($AB186&lt;=0,0,ROUND($AB186-$AA187-IF($AB186-$AA187&lt;=0,0,IF(MOD($A187,Übersicht!$C$25)=0,MIN(Szenarien!$C$11,$AB186-$AA187),0)),2))</f>
        <v>0</v>
      </c>
      <c r="AC187" s="38">
        <f>IF($AE186&lt;=0,0,ROUND($AE186*Übersicht!$C$26,2))</f>
        <v>0</v>
      </c>
      <c r="AD187" s="38">
        <f>IF($AE186&lt;=0,0,MIN($AE186,IF(Übersicht!$C$14="Annuitätendarlehen",MAX(0,Übersicht!$C$28-$AC187),IF(Übersicht!$C$14="Ratendarlehen",Übersicht!$C$29,IF($A187&gt;=Übersicht!$C$30,$AE186,0)))))</f>
        <v>0</v>
      </c>
      <c r="AE187" s="38">
        <f>IF($AE186&lt;=0,0,ROUND($AE186-$AD187-IF($AE186-$AD187&lt;=0,0,IF(MOD($A187,Übersicht!$C$25)=0,MIN(Szenarien!$C$12,$AE186-$AD187),0)),2))</f>
        <v>0</v>
      </c>
    </row>
    <row r="188" spans="1:31" ht="15" customHeight="1" x14ac:dyDescent="0.25">
      <c r="A188" s="21">
        <v>181</v>
      </c>
      <c r="B188" s="36">
        <f>IF($D188&lt;=0,"",EDATE(Übersicht!$C$18,($A188-1)*12/Übersicht!$C$25))</f>
        <v>51532</v>
      </c>
      <c r="C188" s="21">
        <f t="shared" si="14"/>
        <v>2041</v>
      </c>
      <c r="D188" s="37">
        <f t="shared" si="18"/>
        <v>30916.9</v>
      </c>
      <c r="E188" s="23">
        <f t="shared" si="15"/>
        <v>1239.58</v>
      </c>
      <c r="F188" s="23">
        <f>IF($D188&lt;=0,0,ROUND($D188*Übersicht!$C$26,2))</f>
        <v>88.89</v>
      </c>
      <c r="G188" s="23">
        <f>IF($D188&lt;=0,0,MIN($D188,IF(Übersicht!$C$14="Annuitätendarlehen",MAX(0,Übersicht!$C$28-$F188),IF(Übersicht!$C$14="Ratendarlehen",Übersicht!$C$29,IF($A188&gt;=Übersicht!$C$30,$D188,0)))))</f>
        <v>1150.6899999999998</v>
      </c>
      <c r="H188" s="23">
        <f>IF($D188-$G188&lt;=0,0,IF(MOD($A188,Übersicht!$C$25)=0,MIN(Übersicht!$C$31,$D188-$G188),0))</f>
        <v>0</v>
      </c>
      <c r="I188" s="23">
        <f t="shared" si="16"/>
        <v>1239.58</v>
      </c>
      <c r="J188" s="23">
        <f t="shared" si="17"/>
        <v>29766.21</v>
      </c>
      <c r="K188" s="23">
        <f t="shared" si="19"/>
        <v>79130.189999999959</v>
      </c>
      <c r="L188" s="23">
        <f t="shared" si="20"/>
        <v>220233.79</v>
      </c>
      <c r="M188" s="24">
        <f>IF($D188&lt;=0,"",IF(Übersicht!$C$11=0,0,$L188/Übersicht!$C$11))</f>
        <v>0.88093516000000005</v>
      </c>
      <c r="N188" s="25" t="str">
        <f>IF($D188&lt;=0,"",IF($J188&lt;=0.005,"Volltilgung erreicht",IF($A188=Übersicht!$C$19*Übersicht!$C$25,"Ende der Zinsbindung",IF($H188&gt;0,"Sondertilgung verrechnet",""))))</f>
        <v/>
      </c>
      <c r="Q188" s="38">
        <f>IF($S187&lt;=0,0,ROUND($S187*Übersicht!$C$26,2))</f>
        <v>366.37</v>
      </c>
      <c r="R188" s="38">
        <f>IF($S187&lt;=0,0,MIN($S187,IF(Übersicht!$C$14="Annuitätendarlehen",MAX(0,Übersicht!$C$28-$Q188),IF(Übersicht!$C$14="Ratendarlehen",Übersicht!$C$29,IF($A188&gt;=Übersicht!$C$30,$S187,0)))))</f>
        <v>873.20999999999992</v>
      </c>
      <c r="S188" s="38">
        <f>IF($S187&lt;=0,0,ROUND($S187-$R188-IF($S187-$R188&lt;=0,0,IF(MOD($A188,Übersicht!$C$25)=0,MIN(Szenarien!$C$8,$S187-$R188),0)),2))</f>
        <v>126558.23</v>
      </c>
      <c r="T188" s="38">
        <f>IF($V187&lt;=0,0,ROUND($V187*Übersicht!$C$26,2))</f>
        <v>227.63</v>
      </c>
      <c r="U188" s="38">
        <f>IF($V187&lt;=0,0,MIN($V187,IF(Übersicht!$C$14="Annuitätendarlehen",MAX(0,Übersicht!$C$28-$T188),IF(Übersicht!$C$14="Ratendarlehen",Übersicht!$C$29,IF($A188&gt;=Übersicht!$C$30,$V187,0)))))</f>
        <v>1011.9499999999999</v>
      </c>
      <c r="V188" s="38">
        <f>IF($V187&lt;=0,0,ROUND($V187-$U188-IF($V187-$U188&lt;=0,0,IF(MOD($A188,Übersicht!$C$25)=0,MIN(Szenarien!$C$9,$V187-$U188),0)),2))</f>
        <v>78162.28</v>
      </c>
      <c r="W188" s="38">
        <f>IF($Y187&lt;=0,0,ROUND($Y187*Übersicht!$C$26,2))</f>
        <v>88.89</v>
      </c>
      <c r="X188" s="38">
        <f>IF($Y187&lt;=0,0,MIN($Y187,IF(Übersicht!$C$14="Annuitätendarlehen",MAX(0,Übersicht!$C$28-$W188),IF(Übersicht!$C$14="Ratendarlehen",Übersicht!$C$29,IF($A188&gt;=Übersicht!$C$30,$Y187,0)))))</f>
        <v>1150.6899999999998</v>
      </c>
      <c r="Y188" s="38">
        <f>IF($Y187&lt;=0,0,ROUND($Y187-$X188-IF($Y187-$X188&lt;=0,0,IF(MOD($A188,Übersicht!$C$25)=0,MIN(Szenarien!$C$10,$Y187-$X188),0)),2))</f>
        <v>29766.21</v>
      </c>
      <c r="Z188" s="38">
        <f>IF($AB187&lt;=0,0,ROUND($AB187*Übersicht!$C$26,2))</f>
        <v>0</v>
      </c>
      <c r="AA188" s="38">
        <f>IF($AB187&lt;=0,0,MIN($AB187,IF(Übersicht!$C$14="Annuitätendarlehen",MAX(0,Übersicht!$C$28-$Z188),IF(Übersicht!$C$14="Ratendarlehen",Übersicht!$C$29,IF($A188&gt;=Übersicht!$C$30,$AB187,0)))))</f>
        <v>0</v>
      </c>
      <c r="AB188" s="38">
        <f>IF($AB187&lt;=0,0,ROUND($AB187-$AA188-IF($AB187-$AA188&lt;=0,0,IF(MOD($A188,Übersicht!$C$25)=0,MIN(Szenarien!$C$11,$AB187-$AA188),0)),2))</f>
        <v>0</v>
      </c>
      <c r="AC188" s="38">
        <f>IF($AE187&lt;=0,0,ROUND($AE187*Übersicht!$C$26,2))</f>
        <v>0</v>
      </c>
      <c r="AD188" s="38">
        <f>IF($AE187&lt;=0,0,MIN($AE187,IF(Übersicht!$C$14="Annuitätendarlehen",MAX(0,Übersicht!$C$28-$AC188),IF(Übersicht!$C$14="Ratendarlehen",Übersicht!$C$29,IF($A188&gt;=Übersicht!$C$30,$AE187,0)))))</f>
        <v>0</v>
      </c>
      <c r="AE188" s="38">
        <f>IF($AE187&lt;=0,0,ROUND($AE187-$AD188-IF($AE187-$AD188&lt;=0,0,IF(MOD($A188,Übersicht!$C$25)=0,MIN(Szenarien!$C$12,$AE187-$AD188),0)),2))</f>
        <v>0</v>
      </c>
    </row>
    <row r="189" spans="1:31" ht="15" customHeight="1" x14ac:dyDescent="0.25">
      <c r="A189" s="26">
        <v>182</v>
      </c>
      <c r="B189" s="39">
        <f>IF($D189&lt;=0,"",EDATE(Übersicht!$C$18,($A189-1)*12/Übersicht!$C$25))</f>
        <v>51560</v>
      </c>
      <c r="C189" s="26">
        <f t="shared" si="14"/>
        <v>2041</v>
      </c>
      <c r="D189" s="40">
        <f t="shared" si="18"/>
        <v>29766.21</v>
      </c>
      <c r="E189" s="28">
        <f t="shared" si="15"/>
        <v>1239.58</v>
      </c>
      <c r="F189" s="28">
        <f>IF($D189&lt;=0,0,ROUND($D189*Übersicht!$C$26,2))</f>
        <v>85.58</v>
      </c>
      <c r="G189" s="28">
        <f>IF($D189&lt;=0,0,MIN($D189,IF(Übersicht!$C$14="Annuitätendarlehen",MAX(0,Übersicht!$C$28-$F189),IF(Übersicht!$C$14="Ratendarlehen",Übersicht!$C$29,IF($A189&gt;=Übersicht!$C$30,$D189,0)))))</f>
        <v>1154</v>
      </c>
      <c r="H189" s="28">
        <f>IF($D189-$G189&lt;=0,0,IF(MOD($A189,Übersicht!$C$25)=0,MIN(Übersicht!$C$31,$D189-$G189),0))</f>
        <v>0</v>
      </c>
      <c r="I189" s="28">
        <f t="shared" si="16"/>
        <v>1239.58</v>
      </c>
      <c r="J189" s="28">
        <f t="shared" si="17"/>
        <v>28612.21</v>
      </c>
      <c r="K189" s="28">
        <f t="shared" si="19"/>
        <v>79215.76999999996</v>
      </c>
      <c r="L189" s="28">
        <f t="shared" si="20"/>
        <v>221387.79</v>
      </c>
      <c r="M189" s="29">
        <f>IF($D189&lt;=0,"",IF(Übersicht!$C$11=0,0,$L189/Übersicht!$C$11))</f>
        <v>0.88555116</v>
      </c>
      <c r="N189" s="30" t="str">
        <f>IF($D189&lt;=0,"",IF($J189&lt;=0.005,"Volltilgung erreicht",IF($A189=Übersicht!$C$19*Übersicht!$C$25,"Ende der Zinsbindung",IF($H189&gt;0,"Sondertilgung verrechnet",""))))</f>
        <v/>
      </c>
      <c r="Q189" s="38">
        <f>IF($S188&lt;=0,0,ROUND($S188*Übersicht!$C$26,2))</f>
        <v>363.85</v>
      </c>
      <c r="R189" s="38">
        <f>IF($S188&lt;=0,0,MIN($S188,IF(Übersicht!$C$14="Annuitätendarlehen",MAX(0,Übersicht!$C$28-$Q189),IF(Übersicht!$C$14="Ratendarlehen",Übersicht!$C$29,IF($A189&gt;=Übersicht!$C$30,$S188,0)))))</f>
        <v>875.7299999999999</v>
      </c>
      <c r="S189" s="38">
        <f>IF($S188&lt;=0,0,ROUND($S188-$R189-IF($S188-$R189&lt;=0,0,IF(MOD($A189,Übersicht!$C$25)=0,MIN(Szenarien!$C$8,$S188-$R189),0)),2))</f>
        <v>125682.5</v>
      </c>
      <c r="T189" s="38">
        <f>IF($V188&lt;=0,0,ROUND($V188*Übersicht!$C$26,2))</f>
        <v>224.72</v>
      </c>
      <c r="U189" s="38">
        <f>IF($V188&lt;=0,0,MIN($V188,IF(Übersicht!$C$14="Annuitätendarlehen",MAX(0,Übersicht!$C$28-$T189),IF(Übersicht!$C$14="Ratendarlehen",Übersicht!$C$29,IF($A189&gt;=Übersicht!$C$30,$V188,0)))))</f>
        <v>1014.8599999999999</v>
      </c>
      <c r="V189" s="38">
        <f>IF($V188&lt;=0,0,ROUND($V188-$U189-IF($V188-$U189&lt;=0,0,IF(MOD($A189,Übersicht!$C$25)=0,MIN(Szenarien!$C$9,$V188-$U189),0)),2))</f>
        <v>77147.42</v>
      </c>
      <c r="W189" s="38">
        <f>IF($Y188&lt;=0,0,ROUND($Y188*Übersicht!$C$26,2))</f>
        <v>85.58</v>
      </c>
      <c r="X189" s="38">
        <f>IF($Y188&lt;=0,0,MIN($Y188,IF(Übersicht!$C$14="Annuitätendarlehen",MAX(0,Übersicht!$C$28-$W189),IF(Übersicht!$C$14="Ratendarlehen",Übersicht!$C$29,IF($A189&gt;=Übersicht!$C$30,$Y188,0)))))</f>
        <v>1154</v>
      </c>
      <c r="Y189" s="38">
        <f>IF($Y188&lt;=0,0,ROUND($Y188-$X189-IF($Y188-$X189&lt;=0,0,IF(MOD($A189,Übersicht!$C$25)=0,MIN(Szenarien!$C$10,$Y188-$X189),0)),2))</f>
        <v>28612.21</v>
      </c>
      <c r="Z189" s="38">
        <f>IF($AB188&lt;=0,0,ROUND($AB188*Übersicht!$C$26,2))</f>
        <v>0</v>
      </c>
      <c r="AA189" s="38">
        <f>IF($AB188&lt;=0,0,MIN($AB188,IF(Übersicht!$C$14="Annuitätendarlehen",MAX(0,Übersicht!$C$28-$Z189),IF(Übersicht!$C$14="Ratendarlehen",Übersicht!$C$29,IF($A189&gt;=Übersicht!$C$30,$AB188,0)))))</f>
        <v>0</v>
      </c>
      <c r="AB189" s="38">
        <f>IF($AB188&lt;=0,0,ROUND($AB188-$AA189-IF($AB188-$AA189&lt;=0,0,IF(MOD($A189,Übersicht!$C$25)=0,MIN(Szenarien!$C$11,$AB188-$AA189),0)),2))</f>
        <v>0</v>
      </c>
      <c r="AC189" s="38">
        <f>IF($AE188&lt;=0,0,ROUND($AE188*Übersicht!$C$26,2))</f>
        <v>0</v>
      </c>
      <c r="AD189" s="38">
        <f>IF($AE188&lt;=0,0,MIN($AE188,IF(Übersicht!$C$14="Annuitätendarlehen",MAX(0,Übersicht!$C$28-$AC189),IF(Übersicht!$C$14="Ratendarlehen",Übersicht!$C$29,IF($A189&gt;=Übersicht!$C$30,$AE188,0)))))</f>
        <v>0</v>
      </c>
      <c r="AE189" s="38">
        <f>IF($AE188&lt;=0,0,ROUND($AE188-$AD189-IF($AE188-$AD189&lt;=0,0,IF(MOD($A189,Übersicht!$C$25)=0,MIN(Szenarien!$C$12,$AE188-$AD189),0)),2))</f>
        <v>0</v>
      </c>
    </row>
    <row r="190" spans="1:31" ht="15" customHeight="1" x14ac:dyDescent="0.25">
      <c r="A190" s="21">
        <v>183</v>
      </c>
      <c r="B190" s="36">
        <f>IF($D190&lt;=0,"",EDATE(Übersicht!$C$18,($A190-1)*12/Übersicht!$C$25))</f>
        <v>51591</v>
      </c>
      <c r="C190" s="21">
        <f t="shared" si="14"/>
        <v>2041</v>
      </c>
      <c r="D190" s="37">
        <f t="shared" si="18"/>
        <v>28612.21</v>
      </c>
      <c r="E190" s="23">
        <f t="shared" si="15"/>
        <v>1239.58</v>
      </c>
      <c r="F190" s="23">
        <f>IF($D190&lt;=0,0,ROUND($D190*Übersicht!$C$26,2))</f>
        <v>82.26</v>
      </c>
      <c r="G190" s="23">
        <f>IF($D190&lt;=0,0,MIN($D190,IF(Übersicht!$C$14="Annuitätendarlehen",MAX(0,Übersicht!$C$28-$F190),IF(Übersicht!$C$14="Ratendarlehen",Übersicht!$C$29,IF($A190&gt;=Übersicht!$C$30,$D190,0)))))</f>
        <v>1157.32</v>
      </c>
      <c r="H190" s="23">
        <f>IF($D190-$G190&lt;=0,0,IF(MOD($A190,Übersicht!$C$25)=0,MIN(Übersicht!$C$31,$D190-$G190),0))</f>
        <v>0</v>
      </c>
      <c r="I190" s="23">
        <f t="shared" si="16"/>
        <v>1239.58</v>
      </c>
      <c r="J190" s="23">
        <f t="shared" si="17"/>
        <v>27454.89</v>
      </c>
      <c r="K190" s="23">
        <f t="shared" si="19"/>
        <v>79298.029999999955</v>
      </c>
      <c r="L190" s="23">
        <f t="shared" si="20"/>
        <v>222545.11</v>
      </c>
      <c r="M190" s="24">
        <f>IF($D190&lt;=0,"",IF(Übersicht!$C$11=0,0,$L190/Übersicht!$C$11))</f>
        <v>0.89018043999999996</v>
      </c>
      <c r="N190" s="25" t="str">
        <f>IF($D190&lt;=0,"",IF($J190&lt;=0.005,"Volltilgung erreicht",IF($A190=Übersicht!$C$19*Übersicht!$C$25,"Ende der Zinsbindung",IF($H190&gt;0,"Sondertilgung verrechnet",""))))</f>
        <v/>
      </c>
      <c r="Q190" s="38">
        <f>IF($S189&lt;=0,0,ROUND($S189*Übersicht!$C$26,2))</f>
        <v>361.34</v>
      </c>
      <c r="R190" s="38">
        <f>IF($S189&lt;=0,0,MIN($S189,IF(Übersicht!$C$14="Annuitätendarlehen",MAX(0,Übersicht!$C$28-$Q190),IF(Übersicht!$C$14="Ratendarlehen",Übersicht!$C$29,IF($A190&gt;=Übersicht!$C$30,$S189,0)))))</f>
        <v>878.24</v>
      </c>
      <c r="S190" s="38">
        <f>IF($S189&lt;=0,0,ROUND($S189-$R190-IF($S189-$R190&lt;=0,0,IF(MOD($A190,Übersicht!$C$25)=0,MIN(Szenarien!$C$8,$S189-$R190),0)),2))</f>
        <v>124804.26</v>
      </c>
      <c r="T190" s="38">
        <f>IF($V189&lt;=0,0,ROUND($V189*Übersicht!$C$26,2))</f>
        <v>221.8</v>
      </c>
      <c r="U190" s="38">
        <f>IF($V189&lt;=0,0,MIN($V189,IF(Übersicht!$C$14="Annuitätendarlehen",MAX(0,Übersicht!$C$28-$T190),IF(Übersicht!$C$14="Ratendarlehen",Übersicht!$C$29,IF($A190&gt;=Übersicht!$C$30,$V189,0)))))</f>
        <v>1017.78</v>
      </c>
      <c r="V190" s="38">
        <f>IF($V189&lt;=0,0,ROUND($V189-$U190-IF($V189-$U190&lt;=0,0,IF(MOD($A190,Übersicht!$C$25)=0,MIN(Szenarien!$C$9,$V189-$U190),0)),2))</f>
        <v>76129.64</v>
      </c>
      <c r="W190" s="38">
        <f>IF($Y189&lt;=0,0,ROUND($Y189*Übersicht!$C$26,2))</f>
        <v>82.26</v>
      </c>
      <c r="X190" s="38">
        <f>IF($Y189&lt;=0,0,MIN($Y189,IF(Übersicht!$C$14="Annuitätendarlehen",MAX(0,Übersicht!$C$28-$W190),IF(Übersicht!$C$14="Ratendarlehen",Übersicht!$C$29,IF($A190&gt;=Übersicht!$C$30,$Y189,0)))))</f>
        <v>1157.32</v>
      </c>
      <c r="Y190" s="38">
        <f>IF($Y189&lt;=0,0,ROUND($Y189-$X190-IF($Y189-$X190&lt;=0,0,IF(MOD($A190,Übersicht!$C$25)=0,MIN(Szenarien!$C$10,$Y189-$X190),0)),2))</f>
        <v>27454.89</v>
      </c>
      <c r="Z190" s="38">
        <f>IF($AB189&lt;=0,0,ROUND($AB189*Übersicht!$C$26,2))</f>
        <v>0</v>
      </c>
      <c r="AA190" s="38">
        <f>IF($AB189&lt;=0,0,MIN($AB189,IF(Übersicht!$C$14="Annuitätendarlehen",MAX(0,Übersicht!$C$28-$Z190),IF(Übersicht!$C$14="Ratendarlehen",Übersicht!$C$29,IF($A190&gt;=Übersicht!$C$30,$AB189,0)))))</f>
        <v>0</v>
      </c>
      <c r="AB190" s="38">
        <f>IF($AB189&lt;=0,0,ROUND($AB189-$AA190-IF($AB189-$AA190&lt;=0,0,IF(MOD($A190,Übersicht!$C$25)=0,MIN(Szenarien!$C$11,$AB189-$AA190),0)),2))</f>
        <v>0</v>
      </c>
      <c r="AC190" s="38">
        <f>IF($AE189&lt;=0,0,ROUND($AE189*Übersicht!$C$26,2))</f>
        <v>0</v>
      </c>
      <c r="AD190" s="38">
        <f>IF($AE189&lt;=0,0,MIN($AE189,IF(Übersicht!$C$14="Annuitätendarlehen",MAX(0,Übersicht!$C$28-$AC190),IF(Übersicht!$C$14="Ratendarlehen",Übersicht!$C$29,IF($A190&gt;=Übersicht!$C$30,$AE189,0)))))</f>
        <v>0</v>
      </c>
      <c r="AE190" s="38">
        <f>IF($AE189&lt;=0,0,ROUND($AE189-$AD190-IF($AE189-$AD190&lt;=0,0,IF(MOD($A190,Übersicht!$C$25)=0,MIN(Szenarien!$C$12,$AE189-$AD190),0)),2))</f>
        <v>0</v>
      </c>
    </row>
    <row r="191" spans="1:31" ht="15" customHeight="1" x14ac:dyDescent="0.25">
      <c r="A191" s="26">
        <v>184</v>
      </c>
      <c r="B191" s="39">
        <f>IF($D191&lt;=0,"",EDATE(Übersicht!$C$18,($A191-1)*12/Übersicht!$C$25))</f>
        <v>51621</v>
      </c>
      <c r="C191" s="26">
        <f t="shared" si="14"/>
        <v>2041</v>
      </c>
      <c r="D191" s="40">
        <f t="shared" si="18"/>
        <v>27454.89</v>
      </c>
      <c r="E191" s="28">
        <f t="shared" si="15"/>
        <v>1239.58</v>
      </c>
      <c r="F191" s="28">
        <f>IF($D191&lt;=0,0,ROUND($D191*Übersicht!$C$26,2))</f>
        <v>78.930000000000007</v>
      </c>
      <c r="G191" s="28">
        <f>IF($D191&lt;=0,0,MIN($D191,IF(Übersicht!$C$14="Annuitätendarlehen",MAX(0,Übersicht!$C$28-$F191),IF(Übersicht!$C$14="Ratendarlehen",Übersicht!$C$29,IF($A191&gt;=Übersicht!$C$30,$D191,0)))))</f>
        <v>1160.6499999999999</v>
      </c>
      <c r="H191" s="28">
        <f>IF($D191-$G191&lt;=0,0,IF(MOD($A191,Übersicht!$C$25)=0,MIN(Übersicht!$C$31,$D191-$G191),0))</f>
        <v>0</v>
      </c>
      <c r="I191" s="28">
        <f t="shared" si="16"/>
        <v>1239.58</v>
      </c>
      <c r="J191" s="28">
        <f t="shared" si="17"/>
        <v>26294.240000000002</v>
      </c>
      <c r="K191" s="28">
        <f t="shared" si="19"/>
        <v>79376.959999999948</v>
      </c>
      <c r="L191" s="28">
        <f t="shared" si="20"/>
        <v>223705.76</v>
      </c>
      <c r="M191" s="29">
        <f>IF($D191&lt;=0,"",IF(Übersicht!$C$11=0,0,$L191/Übersicht!$C$11))</f>
        <v>0.89482304000000001</v>
      </c>
      <c r="N191" s="30" t="str">
        <f>IF($D191&lt;=0,"",IF($J191&lt;=0.005,"Volltilgung erreicht",IF($A191=Übersicht!$C$19*Übersicht!$C$25,"Ende der Zinsbindung",IF($H191&gt;0,"Sondertilgung verrechnet",""))))</f>
        <v/>
      </c>
      <c r="Q191" s="38">
        <f>IF($S190&lt;=0,0,ROUND($S190*Übersicht!$C$26,2))</f>
        <v>358.81</v>
      </c>
      <c r="R191" s="38">
        <f>IF($S190&lt;=0,0,MIN($S190,IF(Übersicht!$C$14="Annuitätendarlehen",MAX(0,Übersicht!$C$28-$Q191),IF(Übersicht!$C$14="Ratendarlehen",Übersicht!$C$29,IF($A191&gt;=Übersicht!$C$30,$S190,0)))))</f>
        <v>880.77</v>
      </c>
      <c r="S191" s="38">
        <f>IF($S190&lt;=0,0,ROUND($S190-$R191-IF($S190-$R191&lt;=0,0,IF(MOD($A191,Übersicht!$C$25)=0,MIN(Szenarien!$C$8,$S190-$R191),0)),2))</f>
        <v>123923.49</v>
      </c>
      <c r="T191" s="38">
        <f>IF($V190&lt;=0,0,ROUND($V190*Übersicht!$C$26,2))</f>
        <v>218.87</v>
      </c>
      <c r="U191" s="38">
        <f>IF($V190&lt;=0,0,MIN($V190,IF(Übersicht!$C$14="Annuitätendarlehen",MAX(0,Übersicht!$C$28-$T191),IF(Übersicht!$C$14="Ratendarlehen",Übersicht!$C$29,IF($A191&gt;=Übersicht!$C$30,$V190,0)))))</f>
        <v>1020.7099999999999</v>
      </c>
      <c r="V191" s="38">
        <f>IF($V190&lt;=0,0,ROUND($V190-$U191-IF($V190-$U191&lt;=0,0,IF(MOD($A191,Übersicht!$C$25)=0,MIN(Szenarien!$C$9,$V190-$U191),0)),2))</f>
        <v>75108.929999999993</v>
      </c>
      <c r="W191" s="38">
        <f>IF($Y190&lt;=0,0,ROUND($Y190*Übersicht!$C$26,2))</f>
        <v>78.930000000000007</v>
      </c>
      <c r="X191" s="38">
        <f>IF($Y190&lt;=0,0,MIN($Y190,IF(Übersicht!$C$14="Annuitätendarlehen",MAX(0,Übersicht!$C$28-$W191),IF(Übersicht!$C$14="Ratendarlehen",Übersicht!$C$29,IF($A191&gt;=Übersicht!$C$30,$Y190,0)))))</f>
        <v>1160.6499999999999</v>
      </c>
      <c r="Y191" s="38">
        <f>IF($Y190&lt;=0,0,ROUND($Y190-$X191-IF($Y190-$X191&lt;=0,0,IF(MOD($A191,Übersicht!$C$25)=0,MIN(Szenarien!$C$10,$Y190-$X191),0)),2))</f>
        <v>26294.240000000002</v>
      </c>
      <c r="Z191" s="38">
        <f>IF($AB190&lt;=0,0,ROUND($AB190*Übersicht!$C$26,2))</f>
        <v>0</v>
      </c>
      <c r="AA191" s="38">
        <f>IF($AB190&lt;=0,0,MIN($AB190,IF(Übersicht!$C$14="Annuitätendarlehen",MAX(0,Übersicht!$C$28-$Z191),IF(Übersicht!$C$14="Ratendarlehen",Übersicht!$C$29,IF($A191&gt;=Übersicht!$C$30,$AB190,0)))))</f>
        <v>0</v>
      </c>
      <c r="AB191" s="38">
        <f>IF($AB190&lt;=0,0,ROUND($AB190-$AA191-IF($AB190-$AA191&lt;=0,0,IF(MOD($A191,Übersicht!$C$25)=0,MIN(Szenarien!$C$11,$AB190-$AA191),0)),2))</f>
        <v>0</v>
      </c>
      <c r="AC191" s="38">
        <f>IF($AE190&lt;=0,0,ROUND($AE190*Übersicht!$C$26,2))</f>
        <v>0</v>
      </c>
      <c r="AD191" s="38">
        <f>IF($AE190&lt;=0,0,MIN($AE190,IF(Übersicht!$C$14="Annuitätendarlehen",MAX(0,Übersicht!$C$28-$AC191),IF(Übersicht!$C$14="Ratendarlehen",Übersicht!$C$29,IF($A191&gt;=Übersicht!$C$30,$AE190,0)))))</f>
        <v>0</v>
      </c>
      <c r="AE191" s="38">
        <f>IF($AE190&lt;=0,0,ROUND($AE190-$AD191-IF($AE190-$AD191&lt;=0,0,IF(MOD($A191,Übersicht!$C$25)=0,MIN(Szenarien!$C$12,$AE190-$AD191),0)),2))</f>
        <v>0</v>
      </c>
    </row>
    <row r="192" spans="1:31" ht="15" customHeight="1" x14ac:dyDescent="0.25">
      <c r="A192" s="21">
        <v>185</v>
      </c>
      <c r="B192" s="36">
        <f>IF($D192&lt;=0,"",EDATE(Übersicht!$C$18,($A192-1)*12/Übersicht!$C$25))</f>
        <v>51652</v>
      </c>
      <c r="C192" s="21">
        <f t="shared" si="14"/>
        <v>2041</v>
      </c>
      <c r="D192" s="37">
        <f t="shared" si="18"/>
        <v>26294.240000000002</v>
      </c>
      <c r="E192" s="23">
        <f t="shared" si="15"/>
        <v>1239.58</v>
      </c>
      <c r="F192" s="23">
        <f>IF($D192&lt;=0,0,ROUND($D192*Übersicht!$C$26,2))</f>
        <v>75.599999999999994</v>
      </c>
      <c r="G192" s="23">
        <f>IF($D192&lt;=0,0,MIN($D192,IF(Übersicht!$C$14="Annuitätendarlehen",MAX(0,Übersicht!$C$28-$F192),IF(Übersicht!$C$14="Ratendarlehen",Übersicht!$C$29,IF($A192&gt;=Übersicht!$C$30,$D192,0)))))</f>
        <v>1163.98</v>
      </c>
      <c r="H192" s="23">
        <f>IF($D192-$G192&lt;=0,0,IF(MOD($A192,Übersicht!$C$25)=0,MIN(Übersicht!$C$31,$D192-$G192),0))</f>
        <v>0</v>
      </c>
      <c r="I192" s="23">
        <f t="shared" si="16"/>
        <v>1239.58</v>
      </c>
      <c r="J192" s="23">
        <f t="shared" si="17"/>
        <v>25130.26</v>
      </c>
      <c r="K192" s="23">
        <f t="shared" si="19"/>
        <v>79452.559999999954</v>
      </c>
      <c r="L192" s="23">
        <f t="shared" si="20"/>
        <v>224869.74</v>
      </c>
      <c r="M192" s="24">
        <f>IF($D192&lt;=0,"",IF(Übersicht!$C$11=0,0,$L192/Übersicht!$C$11))</f>
        <v>0.89947895999999994</v>
      </c>
      <c r="N192" s="25" t="str">
        <f>IF($D192&lt;=0,"",IF($J192&lt;=0.005,"Volltilgung erreicht",IF($A192=Übersicht!$C$19*Übersicht!$C$25,"Ende der Zinsbindung",IF($H192&gt;0,"Sondertilgung verrechnet",""))))</f>
        <v/>
      </c>
      <c r="Q192" s="38">
        <f>IF($S191&lt;=0,0,ROUND($S191*Übersicht!$C$26,2))</f>
        <v>356.28</v>
      </c>
      <c r="R192" s="38">
        <f>IF($S191&lt;=0,0,MIN($S191,IF(Übersicht!$C$14="Annuitätendarlehen",MAX(0,Übersicht!$C$28-$Q192),IF(Übersicht!$C$14="Ratendarlehen",Übersicht!$C$29,IF($A192&gt;=Übersicht!$C$30,$S191,0)))))</f>
        <v>883.3</v>
      </c>
      <c r="S192" s="38">
        <f>IF($S191&lt;=0,0,ROUND($S191-$R192-IF($S191-$R192&lt;=0,0,IF(MOD($A192,Übersicht!$C$25)=0,MIN(Szenarien!$C$8,$S191-$R192),0)),2))</f>
        <v>123040.19</v>
      </c>
      <c r="T192" s="38">
        <f>IF($V191&lt;=0,0,ROUND($V191*Übersicht!$C$26,2))</f>
        <v>215.94</v>
      </c>
      <c r="U192" s="38">
        <f>IF($V191&lt;=0,0,MIN($V191,IF(Übersicht!$C$14="Annuitätendarlehen",MAX(0,Übersicht!$C$28-$T192),IF(Übersicht!$C$14="Ratendarlehen",Übersicht!$C$29,IF($A192&gt;=Übersicht!$C$30,$V191,0)))))</f>
        <v>1023.6399999999999</v>
      </c>
      <c r="V192" s="38">
        <f>IF($V191&lt;=0,0,ROUND($V191-$U192-IF($V191-$U192&lt;=0,0,IF(MOD($A192,Übersicht!$C$25)=0,MIN(Szenarien!$C$9,$V191-$U192),0)),2))</f>
        <v>74085.289999999994</v>
      </c>
      <c r="W192" s="38">
        <f>IF($Y191&lt;=0,0,ROUND($Y191*Übersicht!$C$26,2))</f>
        <v>75.599999999999994</v>
      </c>
      <c r="X192" s="38">
        <f>IF($Y191&lt;=0,0,MIN($Y191,IF(Übersicht!$C$14="Annuitätendarlehen",MAX(0,Übersicht!$C$28-$W192),IF(Übersicht!$C$14="Ratendarlehen",Übersicht!$C$29,IF($A192&gt;=Übersicht!$C$30,$Y191,0)))))</f>
        <v>1163.98</v>
      </c>
      <c r="Y192" s="38">
        <f>IF($Y191&lt;=0,0,ROUND($Y191-$X192-IF($Y191-$X192&lt;=0,0,IF(MOD($A192,Übersicht!$C$25)=0,MIN(Szenarien!$C$10,$Y191-$X192),0)),2))</f>
        <v>25130.26</v>
      </c>
      <c r="Z192" s="38">
        <f>IF($AB191&lt;=0,0,ROUND($AB191*Übersicht!$C$26,2))</f>
        <v>0</v>
      </c>
      <c r="AA192" s="38">
        <f>IF($AB191&lt;=0,0,MIN($AB191,IF(Übersicht!$C$14="Annuitätendarlehen",MAX(0,Übersicht!$C$28-$Z192),IF(Übersicht!$C$14="Ratendarlehen",Übersicht!$C$29,IF($A192&gt;=Übersicht!$C$30,$AB191,0)))))</f>
        <v>0</v>
      </c>
      <c r="AB192" s="38">
        <f>IF($AB191&lt;=0,0,ROUND($AB191-$AA192-IF($AB191-$AA192&lt;=0,0,IF(MOD($A192,Übersicht!$C$25)=0,MIN(Szenarien!$C$11,$AB191-$AA192),0)),2))</f>
        <v>0</v>
      </c>
      <c r="AC192" s="38">
        <f>IF($AE191&lt;=0,0,ROUND($AE191*Übersicht!$C$26,2))</f>
        <v>0</v>
      </c>
      <c r="AD192" s="38">
        <f>IF($AE191&lt;=0,0,MIN($AE191,IF(Übersicht!$C$14="Annuitätendarlehen",MAX(0,Übersicht!$C$28-$AC192),IF(Übersicht!$C$14="Ratendarlehen",Übersicht!$C$29,IF($A192&gt;=Übersicht!$C$30,$AE191,0)))))</f>
        <v>0</v>
      </c>
      <c r="AE192" s="38">
        <f>IF($AE191&lt;=0,0,ROUND($AE191-$AD192-IF($AE191-$AD192&lt;=0,0,IF(MOD($A192,Übersicht!$C$25)=0,MIN(Szenarien!$C$12,$AE191-$AD192),0)),2))</f>
        <v>0</v>
      </c>
    </row>
    <row r="193" spans="1:31" ht="15" customHeight="1" x14ac:dyDescent="0.25">
      <c r="A193" s="26">
        <v>186</v>
      </c>
      <c r="B193" s="39">
        <f>IF($D193&lt;=0,"",EDATE(Übersicht!$C$18,($A193-1)*12/Übersicht!$C$25))</f>
        <v>51682</v>
      </c>
      <c r="C193" s="26">
        <f t="shared" si="14"/>
        <v>2041</v>
      </c>
      <c r="D193" s="40">
        <f t="shared" si="18"/>
        <v>25130.26</v>
      </c>
      <c r="E193" s="28">
        <f t="shared" si="15"/>
        <v>1239.58</v>
      </c>
      <c r="F193" s="28">
        <f>IF($D193&lt;=0,0,ROUND($D193*Übersicht!$C$26,2))</f>
        <v>72.25</v>
      </c>
      <c r="G193" s="28">
        <f>IF($D193&lt;=0,0,MIN($D193,IF(Übersicht!$C$14="Annuitätendarlehen",MAX(0,Übersicht!$C$28-$F193),IF(Übersicht!$C$14="Ratendarlehen",Übersicht!$C$29,IF($A193&gt;=Übersicht!$C$30,$D193,0)))))</f>
        <v>1167.33</v>
      </c>
      <c r="H193" s="28">
        <f>IF($D193-$G193&lt;=0,0,IF(MOD($A193,Übersicht!$C$25)=0,MIN(Übersicht!$C$31,$D193-$G193),0))</f>
        <v>0</v>
      </c>
      <c r="I193" s="28">
        <f t="shared" si="16"/>
        <v>1239.58</v>
      </c>
      <c r="J193" s="28">
        <f t="shared" si="17"/>
        <v>23962.93</v>
      </c>
      <c r="K193" s="28">
        <f t="shared" si="19"/>
        <v>79524.809999999954</v>
      </c>
      <c r="L193" s="28">
        <f t="shared" si="20"/>
        <v>226037.07</v>
      </c>
      <c r="M193" s="29">
        <f>IF($D193&lt;=0,"",IF(Übersicht!$C$11=0,0,$L193/Übersicht!$C$11))</f>
        <v>0.90414828000000003</v>
      </c>
      <c r="N193" s="30" t="str">
        <f>IF($D193&lt;=0,"",IF($J193&lt;=0.005,"Volltilgung erreicht",IF($A193=Übersicht!$C$19*Übersicht!$C$25,"Ende der Zinsbindung",IF($H193&gt;0,"Sondertilgung verrechnet",""))))</f>
        <v/>
      </c>
      <c r="Q193" s="38">
        <f>IF($S192&lt;=0,0,ROUND($S192*Übersicht!$C$26,2))</f>
        <v>353.74</v>
      </c>
      <c r="R193" s="38">
        <f>IF($S192&lt;=0,0,MIN($S192,IF(Übersicht!$C$14="Annuitätendarlehen",MAX(0,Übersicht!$C$28-$Q193),IF(Übersicht!$C$14="Ratendarlehen",Übersicht!$C$29,IF($A193&gt;=Übersicht!$C$30,$S192,0)))))</f>
        <v>885.83999999999992</v>
      </c>
      <c r="S193" s="38">
        <f>IF($S192&lt;=0,0,ROUND($S192-$R193-IF($S192-$R193&lt;=0,0,IF(MOD($A193,Übersicht!$C$25)=0,MIN(Szenarien!$C$8,$S192-$R193),0)),2))</f>
        <v>122154.35</v>
      </c>
      <c r="T193" s="38">
        <f>IF($V192&lt;=0,0,ROUND($V192*Übersicht!$C$26,2))</f>
        <v>213</v>
      </c>
      <c r="U193" s="38">
        <f>IF($V192&lt;=0,0,MIN($V192,IF(Übersicht!$C$14="Annuitätendarlehen",MAX(0,Übersicht!$C$28-$T193),IF(Übersicht!$C$14="Ratendarlehen",Übersicht!$C$29,IF($A193&gt;=Übersicht!$C$30,$V192,0)))))</f>
        <v>1026.58</v>
      </c>
      <c r="V193" s="38">
        <f>IF($V192&lt;=0,0,ROUND($V192-$U193-IF($V192-$U193&lt;=0,0,IF(MOD($A193,Übersicht!$C$25)=0,MIN(Szenarien!$C$9,$V192-$U193),0)),2))</f>
        <v>73058.710000000006</v>
      </c>
      <c r="W193" s="38">
        <f>IF($Y192&lt;=0,0,ROUND($Y192*Übersicht!$C$26,2))</f>
        <v>72.25</v>
      </c>
      <c r="X193" s="38">
        <f>IF($Y192&lt;=0,0,MIN($Y192,IF(Übersicht!$C$14="Annuitätendarlehen",MAX(0,Übersicht!$C$28-$W193),IF(Übersicht!$C$14="Ratendarlehen",Übersicht!$C$29,IF($A193&gt;=Übersicht!$C$30,$Y192,0)))))</f>
        <v>1167.33</v>
      </c>
      <c r="Y193" s="38">
        <f>IF($Y192&lt;=0,0,ROUND($Y192-$X193-IF($Y192-$X193&lt;=0,0,IF(MOD($A193,Übersicht!$C$25)=0,MIN(Szenarien!$C$10,$Y192-$X193),0)),2))</f>
        <v>23962.93</v>
      </c>
      <c r="Z193" s="38">
        <f>IF($AB192&lt;=0,0,ROUND($AB192*Übersicht!$C$26,2))</f>
        <v>0</v>
      </c>
      <c r="AA193" s="38">
        <f>IF($AB192&lt;=0,0,MIN($AB192,IF(Übersicht!$C$14="Annuitätendarlehen",MAX(0,Übersicht!$C$28-$Z193),IF(Übersicht!$C$14="Ratendarlehen",Übersicht!$C$29,IF($A193&gt;=Übersicht!$C$30,$AB192,0)))))</f>
        <v>0</v>
      </c>
      <c r="AB193" s="38">
        <f>IF($AB192&lt;=0,0,ROUND($AB192-$AA193-IF($AB192-$AA193&lt;=0,0,IF(MOD($A193,Übersicht!$C$25)=0,MIN(Szenarien!$C$11,$AB192-$AA193),0)),2))</f>
        <v>0</v>
      </c>
      <c r="AC193" s="38">
        <f>IF($AE192&lt;=0,0,ROUND($AE192*Übersicht!$C$26,2))</f>
        <v>0</v>
      </c>
      <c r="AD193" s="38">
        <f>IF($AE192&lt;=0,0,MIN($AE192,IF(Übersicht!$C$14="Annuitätendarlehen",MAX(0,Übersicht!$C$28-$AC193),IF(Übersicht!$C$14="Ratendarlehen",Übersicht!$C$29,IF($A193&gt;=Übersicht!$C$30,$AE192,0)))))</f>
        <v>0</v>
      </c>
      <c r="AE193" s="38">
        <f>IF($AE192&lt;=0,0,ROUND($AE192-$AD193-IF($AE192-$AD193&lt;=0,0,IF(MOD($A193,Übersicht!$C$25)=0,MIN(Szenarien!$C$12,$AE192-$AD193),0)),2))</f>
        <v>0</v>
      </c>
    </row>
    <row r="194" spans="1:31" ht="15" customHeight="1" x14ac:dyDescent="0.25">
      <c r="A194" s="21">
        <v>187</v>
      </c>
      <c r="B194" s="36">
        <f>IF($D194&lt;=0,"",EDATE(Übersicht!$C$18,($A194-1)*12/Übersicht!$C$25))</f>
        <v>51713</v>
      </c>
      <c r="C194" s="21">
        <f t="shared" si="14"/>
        <v>2041</v>
      </c>
      <c r="D194" s="37">
        <f t="shared" si="18"/>
        <v>23962.93</v>
      </c>
      <c r="E194" s="23">
        <f t="shared" si="15"/>
        <v>1239.58</v>
      </c>
      <c r="F194" s="23">
        <f>IF($D194&lt;=0,0,ROUND($D194*Übersicht!$C$26,2))</f>
        <v>68.89</v>
      </c>
      <c r="G194" s="23">
        <f>IF($D194&lt;=0,0,MIN($D194,IF(Übersicht!$C$14="Annuitätendarlehen",MAX(0,Übersicht!$C$28-$F194),IF(Übersicht!$C$14="Ratendarlehen",Übersicht!$C$29,IF($A194&gt;=Übersicht!$C$30,$D194,0)))))</f>
        <v>1170.6899999999998</v>
      </c>
      <c r="H194" s="23">
        <f>IF($D194-$G194&lt;=0,0,IF(MOD($A194,Übersicht!$C$25)=0,MIN(Übersicht!$C$31,$D194-$G194),0))</f>
        <v>0</v>
      </c>
      <c r="I194" s="23">
        <f t="shared" si="16"/>
        <v>1239.58</v>
      </c>
      <c r="J194" s="23">
        <f t="shared" si="17"/>
        <v>22792.240000000002</v>
      </c>
      <c r="K194" s="23">
        <f t="shared" si="19"/>
        <v>79593.699999999953</v>
      </c>
      <c r="L194" s="23">
        <f t="shared" si="20"/>
        <v>227207.76</v>
      </c>
      <c r="M194" s="24">
        <f>IF($D194&lt;=0,"",IF(Übersicht!$C$11=0,0,$L194/Übersicht!$C$11))</f>
        <v>0.90883104000000003</v>
      </c>
      <c r="N194" s="25" t="str">
        <f>IF($D194&lt;=0,"",IF($J194&lt;=0.005,"Volltilgung erreicht",IF($A194=Übersicht!$C$19*Übersicht!$C$25,"Ende der Zinsbindung",IF($H194&gt;0,"Sondertilgung verrechnet",""))))</f>
        <v/>
      </c>
      <c r="Q194" s="38">
        <f>IF($S193&lt;=0,0,ROUND($S193*Übersicht!$C$26,2))</f>
        <v>351.19</v>
      </c>
      <c r="R194" s="38">
        <f>IF($S193&lt;=0,0,MIN($S193,IF(Übersicht!$C$14="Annuitätendarlehen",MAX(0,Übersicht!$C$28-$Q194),IF(Übersicht!$C$14="Ratendarlehen",Übersicht!$C$29,IF($A194&gt;=Übersicht!$C$30,$S193,0)))))</f>
        <v>888.38999999999987</v>
      </c>
      <c r="S194" s="38">
        <f>IF($S193&lt;=0,0,ROUND($S193-$R194-IF($S193-$R194&lt;=0,0,IF(MOD($A194,Übersicht!$C$25)=0,MIN(Szenarien!$C$8,$S193-$R194),0)),2))</f>
        <v>121265.96</v>
      </c>
      <c r="T194" s="38">
        <f>IF($V193&lt;=0,0,ROUND($V193*Übersicht!$C$26,2))</f>
        <v>210.04</v>
      </c>
      <c r="U194" s="38">
        <f>IF($V193&lt;=0,0,MIN($V193,IF(Übersicht!$C$14="Annuitätendarlehen",MAX(0,Übersicht!$C$28-$T194),IF(Übersicht!$C$14="Ratendarlehen",Übersicht!$C$29,IF($A194&gt;=Übersicht!$C$30,$V193,0)))))</f>
        <v>1029.54</v>
      </c>
      <c r="V194" s="38">
        <f>IF($V193&lt;=0,0,ROUND($V193-$U194-IF($V193-$U194&lt;=0,0,IF(MOD($A194,Übersicht!$C$25)=0,MIN(Szenarien!$C$9,$V193-$U194),0)),2))</f>
        <v>72029.17</v>
      </c>
      <c r="W194" s="38">
        <f>IF($Y193&lt;=0,0,ROUND($Y193*Übersicht!$C$26,2))</f>
        <v>68.89</v>
      </c>
      <c r="X194" s="38">
        <f>IF($Y193&lt;=0,0,MIN($Y193,IF(Übersicht!$C$14="Annuitätendarlehen",MAX(0,Übersicht!$C$28-$W194),IF(Übersicht!$C$14="Ratendarlehen",Übersicht!$C$29,IF($A194&gt;=Übersicht!$C$30,$Y193,0)))))</f>
        <v>1170.6899999999998</v>
      </c>
      <c r="Y194" s="38">
        <f>IF($Y193&lt;=0,0,ROUND($Y193-$X194-IF($Y193-$X194&lt;=0,0,IF(MOD($A194,Übersicht!$C$25)=0,MIN(Szenarien!$C$10,$Y193-$X194),0)),2))</f>
        <v>22792.240000000002</v>
      </c>
      <c r="Z194" s="38">
        <f>IF($AB193&lt;=0,0,ROUND($AB193*Übersicht!$C$26,2))</f>
        <v>0</v>
      </c>
      <c r="AA194" s="38">
        <f>IF($AB193&lt;=0,0,MIN($AB193,IF(Übersicht!$C$14="Annuitätendarlehen",MAX(0,Übersicht!$C$28-$Z194),IF(Übersicht!$C$14="Ratendarlehen",Übersicht!$C$29,IF($A194&gt;=Übersicht!$C$30,$AB193,0)))))</f>
        <v>0</v>
      </c>
      <c r="AB194" s="38">
        <f>IF($AB193&lt;=0,0,ROUND($AB193-$AA194-IF($AB193-$AA194&lt;=0,0,IF(MOD($A194,Übersicht!$C$25)=0,MIN(Szenarien!$C$11,$AB193-$AA194),0)),2))</f>
        <v>0</v>
      </c>
      <c r="AC194" s="38">
        <f>IF($AE193&lt;=0,0,ROUND($AE193*Übersicht!$C$26,2))</f>
        <v>0</v>
      </c>
      <c r="AD194" s="38">
        <f>IF($AE193&lt;=0,0,MIN($AE193,IF(Übersicht!$C$14="Annuitätendarlehen",MAX(0,Übersicht!$C$28-$AC194),IF(Übersicht!$C$14="Ratendarlehen",Übersicht!$C$29,IF($A194&gt;=Übersicht!$C$30,$AE193,0)))))</f>
        <v>0</v>
      </c>
      <c r="AE194" s="38">
        <f>IF($AE193&lt;=0,0,ROUND($AE193-$AD194-IF($AE193-$AD194&lt;=0,0,IF(MOD($A194,Übersicht!$C$25)=0,MIN(Szenarien!$C$12,$AE193-$AD194),0)),2))</f>
        <v>0</v>
      </c>
    </row>
    <row r="195" spans="1:31" ht="15" customHeight="1" x14ac:dyDescent="0.25">
      <c r="A195" s="26">
        <v>188</v>
      </c>
      <c r="B195" s="39">
        <f>IF($D195&lt;=0,"",EDATE(Übersicht!$C$18,($A195-1)*12/Übersicht!$C$25))</f>
        <v>51744</v>
      </c>
      <c r="C195" s="26">
        <f t="shared" si="14"/>
        <v>2041</v>
      </c>
      <c r="D195" s="40">
        <f t="shared" si="18"/>
        <v>22792.240000000002</v>
      </c>
      <c r="E195" s="28">
        <f t="shared" si="15"/>
        <v>1239.58</v>
      </c>
      <c r="F195" s="28">
        <f>IF($D195&lt;=0,0,ROUND($D195*Übersicht!$C$26,2))</f>
        <v>65.53</v>
      </c>
      <c r="G195" s="28">
        <f>IF($D195&lt;=0,0,MIN($D195,IF(Übersicht!$C$14="Annuitätendarlehen",MAX(0,Übersicht!$C$28-$F195),IF(Übersicht!$C$14="Ratendarlehen",Übersicht!$C$29,IF($A195&gt;=Übersicht!$C$30,$D195,0)))))</f>
        <v>1174.05</v>
      </c>
      <c r="H195" s="28">
        <f>IF($D195-$G195&lt;=0,0,IF(MOD($A195,Übersicht!$C$25)=0,MIN(Übersicht!$C$31,$D195-$G195),0))</f>
        <v>0</v>
      </c>
      <c r="I195" s="28">
        <f t="shared" si="16"/>
        <v>1239.58</v>
      </c>
      <c r="J195" s="28">
        <f t="shared" si="17"/>
        <v>21618.19</v>
      </c>
      <c r="K195" s="28">
        <f t="shared" si="19"/>
        <v>79659.229999999952</v>
      </c>
      <c r="L195" s="28">
        <f t="shared" si="20"/>
        <v>228381.81</v>
      </c>
      <c r="M195" s="29">
        <f>IF($D195&lt;=0,"",IF(Übersicht!$C$11=0,0,$L195/Übersicht!$C$11))</f>
        <v>0.91352723999999996</v>
      </c>
      <c r="N195" s="30" t="str">
        <f>IF($D195&lt;=0,"",IF($J195&lt;=0.005,"Volltilgung erreicht",IF($A195=Übersicht!$C$19*Übersicht!$C$25,"Ende der Zinsbindung",IF($H195&gt;0,"Sondertilgung verrechnet",""))))</f>
        <v/>
      </c>
      <c r="Q195" s="38">
        <f>IF($S194&lt;=0,0,ROUND($S194*Übersicht!$C$26,2))</f>
        <v>348.64</v>
      </c>
      <c r="R195" s="38">
        <f>IF($S194&lt;=0,0,MIN($S194,IF(Übersicht!$C$14="Annuitätendarlehen",MAX(0,Übersicht!$C$28-$Q195),IF(Übersicht!$C$14="Ratendarlehen",Übersicht!$C$29,IF($A195&gt;=Übersicht!$C$30,$S194,0)))))</f>
        <v>890.93999999999994</v>
      </c>
      <c r="S195" s="38">
        <f>IF($S194&lt;=0,0,ROUND($S194-$R195-IF($S194-$R195&lt;=0,0,IF(MOD($A195,Übersicht!$C$25)=0,MIN(Szenarien!$C$8,$S194-$R195),0)),2))</f>
        <v>120375.02</v>
      </c>
      <c r="T195" s="38">
        <f>IF($V194&lt;=0,0,ROUND($V194*Übersicht!$C$26,2))</f>
        <v>207.08</v>
      </c>
      <c r="U195" s="38">
        <f>IF($V194&lt;=0,0,MIN($V194,IF(Übersicht!$C$14="Annuitätendarlehen",MAX(0,Übersicht!$C$28-$T195),IF(Übersicht!$C$14="Ratendarlehen",Übersicht!$C$29,IF($A195&gt;=Übersicht!$C$30,$V194,0)))))</f>
        <v>1032.5</v>
      </c>
      <c r="V195" s="38">
        <f>IF($V194&lt;=0,0,ROUND($V194-$U195-IF($V194-$U195&lt;=0,0,IF(MOD($A195,Übersicht!$C$25)=0,MIN(Szenarien!$C$9,$V194-$U195),0)),2))</f>
        <v>70996.67</v>
      </c>
      <c r="W195" s="38">
        <f>IF($Y194&lt;=0,0,ROUND($Y194*Übersicht!$C$26,2))</f>
        <v>65.53</v>
      </c>
      <c r="X195" s="38">
        <f>IF($Y194&lt;=0,0,MIN($Y194,IF(Übersicht!$C$14="Annuitätendarlehen",MAX(0,Übersicht!$C$28-$W195),IF(Übersicht!$C$14="Ratendarlehen",Übersicht!$C$29,IF($A195&gt;=Übersicht!$C$30,$Y194,0)))))</f>
        <v>1174.05</v>
      </c>
      <c r="Y195" s="38">
        <f>IF($Y194&lt;=0,0,ROUND($Y194-$X195-IF($Y194-$X195&lt;=0,0,IF(MOD($A195,Übersicht!$C$25)=0,MIN(Szenarien!$C$10,$Y194-$X195),0)),2))</f>
        <v>21618.19</v>
      </c>
      <c r="Z195" s="38">
        <f>IF($AB194&lt;=0,0,ROUND($AB194*Übersicht!$C$26,2))</f>
        <v>0</v>
      </c>
      <c r="AA195" s="38">
        <f>IF($AB194&lt;=0,0,MIN($AB194,IF(Übersicht!$C$14="Annuitätendarlehen",MAX(0,Übersicht!$C$28-$Z195),IF(Übersicht!$C$14="Ratendarlehen",Übersicht!$C$29,IF($A195&gt;=Übersicht!$C$30,$AB194,0)))))</f>
        <v>0</v>
      </c>
      <c r="AB195" s="38">
        <f>IF($AB194&lt;=0,0,ROUND($AB194-$AA195-IF($AB194-$AA195&lt;=0,0,IF(MOD($A195,Übersicht!$C$25)=0,MIN(Szenarien!$C$11,$AB194-$AA195),0)),2))</f>
        <v>0</v>
      </c>
      <c r="AC195" s="38">
        <f>IF($AE194&lt;=0,0,ROUND($AE194*Übersicht!$C$26,2))</f>
        <v>0</v>
      </c>
      <c r="AD195" s="38">
        <f>IF($AE194&lt;=0,0,MIN($AE194,IF(Übersicht!$C$14="Annuitätendarlehen",MAX(0,Übersicht!$C$28-$AC195),IF(Übersicht!$C$14="Ratendarlehen",Übersicht!$C$29,IF($A195&gt;=Übersicht!$C$30,$AE194,0)))))</f>
        <v>0</v>
      </c>
      <c r="AE195" s="38">
        <f>IF($AE194&lt;=0,0,ROUND($AE194-$AD195-IF($AE194-$AD195&lt;=0,0,IF(MOD($A195,Übersicht!$C$25)=0,MIN(Szenarien!$C$12,$AE194-$AD195),0)),2))</f>
        <v>0</v>
      </c>
    </row>
    <row r="196" spans="1:31" ht="15" customHeight="1" x14ac:dyDescent="0.25">
      <c r="A196" s="21">
        <v>189</v>
      </c>
      <c r="B196" s="36">
        <f>IF($D196&lt;=0,"",EDATE(Übersicht!$C$18,($A196-1)*12/Übersicht!$C$25))</f>
        <v>51774</v>
      </c>
      <c r="C196" s="21">
        <f t="shared" si="14"/>
        <v>2041</v>
      </c>
      <c r="D196" s="37">
        <f t="shared" si="18"/>
        <v>21618.19</v>
      </c>
      <c r="E196" s="23">
        <f t="shared" si="15"/>
        <v>1239.58</v>
      </c>
      <c r="F196" s="23">
        <f>IF($D196&lt;=0,0,ROUND($D196*Übersicht!$C$26,2))</f>
        <v>62.15</v>
      </c>
      <c r="G196" s="23">
        <f>IF($D196&lt;=0,0,MIN($D196,IF(Übersicht!$C$14="Annuitätendarlehen",MAX(0,Übersicht!$C$28-$F196),IF(Übersicht!$C$14="Ratendarlehen",Übersicht!$C$29,IF($A196&gt;=Übersicht!$C$30,$D196,0)))))</f>
        <v>1177.4299999999998</v>
      </c>
      <c r="H196" s="23">
        <f>IF($D196-$G196&lt;=0,0,IF(MOD($A196,Übersicht!$C$25)=0,MIN(Übersicht!$C$31,$D196-$G196),0))</f>
        <v>0</v>
      </c>
      <c r="I196" s="23">
        <f t="shared" si="16"/>
        <v>1239.58</v>
      </c>
      <c r="J196" s="23">
        <f t="shared" si="17"/>
        <v>20440.759999999998</v>
      </c>
      <c r="K196" s="23">
        <f t="shared" si="19"/>
        <v>79721.379999999946</v>
      </c>
      <c r="L196" s="23">
        <f t="shared" si="20"/>
        <v>229559.24</v>
      </c>
      <c r="M196" s="24">
        <f>IF($D196&lt;=0,"",IF(Übersicht!$C$11=0,0,$L196/Übersicht!$C$11))</f>
        <v>0.91823695999999999</v>
      </c>
      <c r="N196" s="25" t="str">
        <f>IF($D196&lt;=0,"",IF($J196&lt;=0.005,"Volltilgung erreicht",IF($A196=Übersicht!$C$19*Übersicht!$C$25,"Ende der Zinsbindung",IF($H196&gt;0,"Sondertilgung verrechnet",""))))</f>
        <v/>
      </c>
      <c r="Q196" s="38">
        <f>IF($S195&lt;=0,0,ROUND($S195*Übersicht!$C$26,2))</f>
        <v>346.08</v>
      </c>
      <c r="R196" s="38">
        <f>IF($S195&lt;=0,0,MIN($S195,IF(Übersicht!$C$14="Annuitätendarlehen",MAX(0,Übersicht!$C$28-$Q196),IF(Übersicht!$C$14="Ratendarlehen",Übersicht!$C$29,IF($A196&gt;=Übersicht!$C$30,$S195,0)))))</f>
        <v>893.5</v>
      </c>
      <c r="S196" s="38">
        <f>IF($S195&lt;=0,0,ROUND($S195-$R196-IF($S195-$R196&lt;=0,0,IF(MOD($A196,Übersicht!$C$25)=0,MIN(Szenarien!$C$8,$S195-$R196),0)),2))</f>
        <v>119481.52</v>
      </c>
      <c r="T196" s="38">
        <f>IF($V195&lt;=0,0,ROUND($V195*Übersicht!$C$26,2))</f>
        <v>204.12</v>
      </c>
      <c r="U196" s="38">
        <f>IF($V195&lt;=0,0,MIN($V195,IF(Übersicht!$C$14="Annuitätendarlehen",MAX(0,Übersicht!$C$28-$T196),IF(Übersicht!$C$14="Ratendarlehen",Übersicht!$C$29,IF($A196&gt;=Übersicht!$C$30,$V195,0)))))</f>
        <v>1035.46</v>
      </c>
      <c r="V196" s="38">
        <f>IF($V195&lt;=0,0,ROUND($V195-$U196-IF($V195-$U196&lt;=0,0,IF(MOD($A196,Übersicht!$C$25)=0,MIN(Szenarien!$C$9,$V195-$U196),0)),2))</f>
        <v>69961.210000000006</v>
      </c>
      <c r="W196" s="38">
        <f>IF($Y195&lt;=0,0,ROUND($Y195*Übersicht!$C$26,2))</f>
        <v>62.15</v>
      </c>
      <c r="X196" s="38">
        <f>IF($Y195&lt;=0,0,MIN($Y195,IF(Übersicht!$C$14="Annuitätendarlehen",MAX(0,Übersicht!$C$28-$W196),IF(Übersicht!$C$14="Ratendarlehen",Übersicht!$C$29,IF($A196&gt;=Übersicht!$C$30,$Y195,0)))))</f>
        <v>1177.4299999999998</v>
      </c>
      <c r="Y196" s="38">
        <f>IF($Y195&lt;=0,0,ROUND($Y195-$X196-IF($Y195-$X196&lt;=0,0,IF(MOD($A196,Übersicht!$C$25)=0,MIN(Szenarien!$C$10,$Y195-$X196),0)),2))</f>
        <v>20440.759999999998</v>
      </c>
      <c r="Z196" s="38">
        <f>IF($AB195&lt;=0,0,ROUND($AB195*Übersicht!$C$26,2))</f>
        <v>0</v>
      </c>
      <c r="AA196" s="38">
        <f>IF($AB195&lt;=0,0,MIN($AB195,IF(Übersicht!$C$14="Annuitätendarlehen",MAX(0,Übersicht!$C$28-$Z196),IF(Übersicht!$C$14="Ratendarlehen",Übersicht!$C$29,IF($A196&gt;=Übersicht!$C$30,$AB195,0)))))</f>
        <v>0</v>
      </c>
      <c r="AB196" s="38">
        <f>IF($AB195&lt;=0,0,ROUND($AB195-$AA196-IF($AB195-$AA196&lt;=0,0,IF(MOD($A196,Übersicht!$C$25)=0,MIN(Szenarien!$C$11,$AB195-$AA196),0)),2))</f>
        <v>0</v>
      </c>
      <c r="AC196" s="38">
        <f>IF($AE195&lt;=0,0,ROUND($AE195*Übersicht!$C$26,2))</f>
        <v>0</v>
      </c>
      <c r="AD196" s="38">
        <f>IF($AE195&lt;=0,0,MIN($AE195,IF(Übersicht!$C$14="Annuitätendarlehen",MAX(0,Übersicht!$C$28-$AC196),IF(Übersicht!$C$14="Ratendarlehen",Übersicht!$C$29,IF($A196&gt;=Übersicht!$C$30,$AE195,0)))))</f>
        <v>0</v>
      </c>
      <c r="AE196" s="38">
        <f>IF($AE195&lt;=0,0,ROUND($AE195-$AD196-IF($AE195-$AD196&lt;=0,0,IF(MOD($A196,Übersicht!$C$25)=0,MIN(Szenarien!$C$12,$AE195-$AD196),0)),2))</f>
        <v>0</v>
      </c>
    </row>
    <row r="197" spans="1:31" ht="15" customHeight="1" x14ac:dyDescent="0.25">
      <c r="A197" s="26">
        <v>190</v>
      </c>
      <c r="B197" s="39">
        <f>IF($D197&lt;=0,"",EDATE(Übersicht!$C$18,($A197-1)*12/Übersicht!$C$25))</f>
        <v>51805</v>
      </c>
      <c r="C197" s="26">
        <f t="shared" si="14"/>
        <v>2041</v>
      </c>
      <c r="D197" s="40">
        <f t="shared" si="18"/>
        <v>20440.759999999998</v>
      </c>
      <c r="E197" s="28">
        <f t="shared" si="15"/>
        <v>1239.58</v>
      </c>
      <c r="F197" s="28">
        <f>IF($D197&lt;=0,0,ROUND($D197*Übersicht!$C$26,2))</f>
        <v>58.77</v>
      </c>
      <c r="G197" s="28">
        <f>IF($D197&lt;=0,0,MIN($D197,IF(Übersicht!$C$14="Annuitätendarlehen",MAX(0,Übersicht!$C$28-$F197),IF(Übersicht!$C$14="Ratendarlehen",Übersicht!$C$29,IF($A197&gt;=Übersicht!$C$30,$D197,0)))))</f>
        <v>1180.81</v>
      </c>
      <c r="H197" s="28">
        <f>IF($D197-$G197&lt;=0,0,IF(MOD($A197,Übersicht!$C$25)=0,MIN(Übersicht!$C$31,$D197-$G197),0))</f>
        <v>0</v>
      </c>
      <c r="I197" s="28">
        <f t="shared" si="16"/>
        <v>1239.58</v>
      </c>
      <c r="J197" s="28">
        <f t="shared" si="17"/>
        <v>19259.95</v>
      </c>
      <c r="K197" s="28">
        <f t="shared" si="19"/>
        <v>79780.149999999951</v>
      </c>
      <c r="L197" s="28">
        <f t="shared" si="20"/>
        <v>230740.05</v>
      </c>
      <c r="M197" s="29">
        <f>IF($D197&lt;=0,"",IF(Übersicht!$C$11=0,0,$L197/Übersicht!$C$11))</f>
        <v>0.92296020000000001</v>
      </c>
      <c r="N197" s="30" t="str">
        <f>IF($D197&lt;=0,"",IF($J197&lt;=0.005,"Volltilgung erreicht",IF($A197=Übersicht!$C$19*Übersicht!$C$25,"Ende der Zinsbindung",IF($H197&gt;0,"Sondertilgung verrechnet",""))))</f>
        <v/>
      </c>
      <c r="Q197" s="38">
        <f>IF($S196&lt;=0,0,ROUND($S196*Übersicht!$C$26,2))</f>
        <v>343.51</v>
      </c>
      <c r="R197" s="38">
        <f>IF($S196&lt;=0,0,MIN($S196,IF(Übersicht!$C$14="Annuitätendarlehen",MAX(0,Übersicht!$C$28-$Q197),IF(Übersicht!$C$14="Ratendarlehen",Übersicht!$C$29,IF($A197&gt;=Übersicht!$C$30,$S196,0)))))</f>
        <v>896.06999999999994</v>
      </c>
      <c r="S197" s="38">
        <f>IF($S196&lt;=0,0,ROUND($S196-$R197-IF($S196-$R197&lt;=0,0,IF(MOD($A197,Übersicht!$C$25)=0,MIN(Szenarien!$C$8,$S196-$R197),0)),2))</f>
        <v>118585.45</v>
      </c>
      <c r="T197" s="38">
        <f>IF($V196&lt;=0,0,ROUND($V196*Übersicht!$C$26,2))</f>
        <v>201.14</v>
      </c>
      <c r="U197" s="38">
        <f>IF($V196&lt;=0,0,MIN($V196,IF(Übersicht!$C$14="Annuitätendarlehen",MAX(0,Übersicht!$C$28-$T197),IF(Übersicht!$C$14="Ratendarlehen",Übersicht!$C$29,IF($A197&gt;=Übersicht!$C$30,$V196,0)))))</f>
        <v>1038.44</v>
      </c>
      <c r="V197" s="38">
        <f>IF($V196&lt;=0,0,ROUND($V196-$U197-IF($V196-$U197&lt;=0,0,IF(MOD($A197,Übersicht!$C$25)=0,MIN(Szenarien!$C$9,$V196-$U197),0)),2))</f>
        <v>68922.77</v>
      </c>
      <c r="W197" s="38">
        <f>IF($Y196&lt;=0,0,ROUND($Y196*Übersicht!$C$26,2))</f>
        <v>58.77</v>
      </c>
      <c r="X197" s="38">
        <f>IF($Y196&lt;=0,0,MIN($Y196,IF(Übersicht!$C$14="Annuitätendarlehen",MAX(0,Übersicht!$C$28-$W197),IF(Übersicht!$C$14="Ratendarlehen",Übersicht!$C$29,IF($A197&gt;=Übersicht!$C$30,$Y196,0)))))</f>
        <v>1180.81</v>
      </c>
      <c r="Y197" s="38">
        <f>IF($Y196&lt;=0,0,ROUND($Y196-$X197-IF($Y196-$X197&lt;=0,0,IF(MOD($A197,Übersicht!$C$25)=0,MIN(Szenarien!$C$10,$Y196-$X197),0)),2))</f>
        <v>19259.95</v>
      </c>
      <c r="Z197" s="38">
        <f>IF($AB196&lt;=0,0,ROUND($AB196*Übersicht!$C$26,2))</f>
        <v>0</v>
      </c>
      <c r="AA197" s="38">
        <f>IF($AB196&lt;=0,0,MIN($AB196,IF(Übersicht!$C$14="Annuitätendarlehen",MAX(0,Übersicht!$C$28-$Z197),IF(Übersicht!$C$14="Ratendarlehen",Übersicht!$C$29,IF($A197&gt;=Übersicht!$C$30,$AB196,0)))))</f>
        <v>0</v>
      </c>
      <c r="AB197" s="38">
        <f>IF($AB196&lt;=0,0,ROUND($AB196-$AA197-IF($AB196-$AA197&lt;=0,0,IF(MOD($A197,Übersicht!$C$25)=0,MIN(Szenarien!$C$11,$AB196-$AA197),0)),2))</f>
        <v>0</v>
      </c>
      <c r="AC197" s="38">
        <f>IF($AE196&lt;=0,0,ROUND($AE196*Übersicht!$C$26,2))</f>
        <v>0</v>
      </c>
      <c r="AD197" s="38">
        <f>IF($AE196&lt;=0,0,MIN($AE196,IF(Übersicht!$C$14="Annuitätendarlehen",MAX(0,Übersicht!$C$28-$AC197),IF(Übersicht!$C$14="Ratendarlehen",Übersicht!$C$29,IF($A197&gt;=Übersicht!$C$30,$AE196,0)))))</f>
        <v>0</v>
      </c>
      <c r="AE197" s="38">
        <f>IF($AE196&lt;=0,0,ROUND($AE196-$AD197-IF($AE196-$AD197&lt;=0,0,IF(MOD($A197,Übersicht!$C$25)=0,MIN(Szenarien!$C$12,$AE196-$AD197),0)),2))</f>
        <v>0</v>
      </c>
    </row>
    <row r="198" spans="1:31" ht="15" customHeight="1" x14ac:dyDescent="0.25">
      <c r="A198" s="21">
        <v>191</v>
      </c>
      <c r="B198" s="36">
        <f>IF($D198&lt;=0,"",EDATE(Übersicht!$C$18,($A198-1)*12/Übersicht!$C$25))</f>
        <v>51835</v>
      </c>
      <c r="C198" s="21">
        <f t="shared" si="14"/>
        <v>2041</v>
      </c>
      <c r="D198" s="37">
        <f t="shared" si="18"/>
        <v>19259.95</v>
      </c>
      <c r="E198" s="23">
        <f t="shared" si="15"/>
        <v>1239.58</v>
      </c>
      <c r="F198" s="23">
        <f>IF($D198&lt;=0,0,ROUND($D198*Übersicht!$C$26,2))</f>
        <v>55.37</v>
      </c>
      <c r="G198" s="23">
        <f>IF($D198&lt;=0,0,MIN($D198,IF(Übersicht!$C$14="Annuitätendarlehen",MAX(0,Übersicht!$C$28-$F198),IF(Übersicht!$C$14="Ratendarlehen",Übersicht!$C$29,IF($A198&gt;=Übersicht!$C$30,$D198,0)))))</f>
        <v>1184.21</v>
      </c>
      <c r="H198" s="23">
        <f>IF($D198-$G198&lt;=0,0,IF(MOD($A198,Übersicht!$C$25)=0,MIN(Übersicht!$C$31,$D198-$G198),0))</f>
        <v>0</v>
      </c>
      <c r="I198" s="23">
        <f t="shared" si="16"/>
        <v>1239.58</v>
      </c>
      <c r="J198" s="23">
        <f t="shared" si="17"/>
        <v>18075.740000000002</v>
      </c>
      <c r="K198" s="23">
        <f t="shared" si="19"/>
        <v>79835.519999999946</v>
      </c>
      <c r="L198" s="23">
        <f t="shared" si="20"/>
        <v>231924.26</v>
      </c>
      <c r="M198" s="24">
        <f>IF($D198&lt;=0,"",IF(Übersicht!$C$11=0,0,$L198/Übersicht!$C$11))</f>
        <v>0.92769704000000008</v>
      </c>
      <c r="N198" s="25" t="str">
        <f>IF($D198&lt;=0,"",IF($J198&lt;=0.005,"Volltilgung erreicht",IF($A198=Übersicht!$C$19*Übersicht!$C$25,"Ende der Zinsbindung",IF($H198&gt;0,"Sondertilgung verrechnet",""))))</f>
        <v/>
      </c>
      <c r="Q198" s="38">
        <f>IF($S197&lt;=0,0,ROUND($S197*Übersicht!$C$26,2))</f>
        <v>340.93</v>
      </c>
      <c r="R198" s="38">
        <f>IF($S197&lt;=0,0,MIN($S197,IF(Übersicht!$C$14="Annuitätendarlehen",MAX(0,Übersicht!$C$28-$Q198),IF(Übersicht!$C$14="Ratendarlehen",Übersicht!$C$29,IF($A198&gt;=Übersicht!$C$30,$S197,0)))))</f>
        <v>898.64999999999986</v>
      </c>
      <c r="S198" s="38">
        <f>IF($S197&lt;=0,0,ROUND($S197-$R198-IF($S197-$R198&lt;=0,0,IF(MOD($A198,Übersicht!$C$25)=0,MIN(Szenarien!$C$8,$S197-$R198),0)),2))</f>
        <v>117686.8</v>
      </c>
      <c r="T198" s="38">
        <f>IF($V197&lt;=0,0,ROUND($V197*Übersicht!$C$26,2))</f>
        <v>198.15</v>
      </c>
      <c r="U198" s="38">
        <f>IF($V197&lt;=0,0,MIN($V197,IF(Übersicht!$C$14="Annuitätendarlehen",MAX(0,Übersicht!$C$28-$T198),IF(Übersicht!$C$14="Ratendarlehen",Übersicht!$C$29,IF($A198&gt;=Übersicht!$C$30,$V197,0)))))</f>
        <v>1041.4299999999998</v>
      </c>
      <c r="V198" s="38">
        <f>IF($V197&lt;=0,0,ROUND($V197-$U198-IF($V197-$U198&lt;=0,0,IF(MOD($A198,Übersicht!$C$25)=0,MIN(Szenarien!$C$9,$V197-$U198),0)),2))</f>
        <v>67881.34</v>
      </c>
      <c r="W198" s="38">
        <f>IF($Y197&lt;=0,0,ROUND($Y197*Übersicht!$C$26,2))</f>
        <v>55.37</v>
      </c>
      <c r="X198" s="38">
        <f>IF($Y197&lt;=0,0,MIN($Y197,IF(Übersicht!$C$14="Annuitätendarlehen",MAX(0,Übersicht!$C$28-$W198),IF(Übersicht!$C$14="Ratendarlehen",Übersicht!$C$29,IF($A198&gt;=Übersicht!$C$30,$Y197,0)))))</f>
        <v>1184.21</v>
      </c>
      <c r="Y198" s="38">
        <f>IF($Y197&lt;=0,0,ROUND($Y197-$X198-IF($Y197-$X198&lt;=0,0,IF(MOD($A198,Übersicht!$C$25)=0,MIN(Szenarien!$C$10,$Y197-$X198),0)),2))</f>
        <v>18075.740000000002</v>
      </c>
      <c r="Z198" s="38">
        <f>IF($AB197&lt;=0,0,ROUND($AB197*Übersicht!$C$26,2))</f>
        <v>0</v>
      </c>
      <c r="AA198" s="38">
        <f>IF($AB197&lt;=0,0,MIN($AB197,IF(Übersicht!$C$14="Annuitätendarlehen",MAX(0,Übersicht!$C$28-$Z198),IF(Übersicht!$C$14="Ratendarlehen",Übersicht!$C$29,IF($A198&gt;=Übersicht!$C$30,$AB197,0)))))</f>
        <v>0</v>
      </c>
      <c r="AB198" s="38">
        <f>IF($AB197&lt;=0,0,ROUND($AB197-$AA198-IF($AB197-$AA198&lt;=0,0,IF(MOD($A198,Übersicht!$C$25)=0,MIN(Szenarien!$C$11,$AB197-$AA198),0)),2))</f>
        <v>0</v>
      </c>
      <c r="AC198" s="38">
        <f>IF($AE197&lt;=0,0,ROUND($AE197*Übersicht!$C$26,2))</f>
        <v>0</v>
      </c>
      <c r="AD198" s="38">
        <f>IF($AE197&lt;=0,0,MIN($AE197,IF(Übersicht!$C$14="Annuitätendarlehen",MAX(0,Übersicht!$C$28-$AC198),IF(Übersicht!$C$14="Ratendarlehen",Übersicht!$C$29,IF($A198&gt;=Übersicht!$C$30,$AE197,0)))))</f>
        <v>0</v>
      </c>
      <c r="AE198" s="38">
        <f>IF($AE197&lt;=0,0,ROUND($AE197-$AD198-IF($AE197-$AD198&lt;=0,0,IF(MOD($A198,Übersicht!$C$25)=0,MIN(Szenarien!$C$12,$AE197-$AD198),0)),2))</f>
        <v>0</v>
      </c>
    </row>
    <row r="199" spans="1:31" ht="15" customHeight="1" x14ac:dyDescent="0.25">
      <c r="A199" s="26">
        <v>192</v>
      </c>
      <c r="B199" s="39">
        <f>IF($D199&lt;=0,"",EDATE(Übersicht!$C$18,($A199-1)*12/Übersicht!$C$25))</f>
        <v>51866</v>
      </c>
      <c r="C199" s="26">
        <f t="shared" si="14"/>
        <v>2041</v>
      </c>
      <c r="D199" s="40">
        <f t="shared" si="18"/>
        <v>18075.740000000002</v>
      </c>
      <c r="E199" s="28">
        <f t="shared" si="15"/>
        <v>1239.58</v>
      </c>
      <c r="F199" s="28">
        <f>IF($D199&lt;=0,0,ROUND($D199*Übersicht!$C$26,2))</f>
        <v>51.97</v>
      </c>
      <c r="G199" s="28">
        <f>IF($D199&lt;=0,0,MIN($D199,IF(Übersicht!$C$14="Annuitätendarlehen",MAX(0,Übersicht!$C$28-$F199),IF(Übersicht!$C$14="Ratendarlehen",Übersicht!$C$29,IF($A199&gt;=Übersicht!$C$30,$D199,0)))))</f>
        <v>1187.6099999999999</v>
      </c>
      <c r="H199" s="28">
        <f>IF($D199-$G199&lt;=0,0,IF(MOD($A199,Übersicht!$C$25)=0,MIN(Übersicht!$C$31,$D199-$G199),0))</f>
        <v>5000</v>
      </c>
      <c r="I199" s="28">
        <f t="shared" si="16"/>
        <v>6239.58</v>
      </c>
      <c r="J199" s="28">
        <f t="shared" si="17"/>
        <v>11888.13</v>
      </c>
      <c r="K199" s="28">
        <f t="shared" si="19"/>
        <v>79887.489999999947</v>
      </c>
      <c r="L199" s="28">
        <f t="shared" si="20"/>
        <v>238111.87</v>
      </c>
      <c r="M199" s="29">
        <f>IF($D199&lt;=0,"",IF(Übersicht!$C$11=0,0,$L199/Übersicht!$C$11))</f>
        <v>0.95244748000000001</v>
      </c>
      <c r="N199" s="30" t="str">
        <f>IF($D199&lt;=0,"",IF($J199&lt;=0.005,"Volltilgung erreicht",IF($A199=Übersicht!$C$19*Übersicht!$C$25,"Ende der Zinsbindung",IF($H199&gt;0,"Sondertilgung verrechnet",""))))</f>
        <v>Sondertilgung verrechnet</v>
      </c>
      <c r="Q199" s="38">
        <f>IF($S198&lt;=0,0,ROUND($S198*Übersicht!$C$26,2))</f>
        <v>338.35</v>
      </c>
      <c r="R199" s="38">
        <f>IF($S198&lt;=0,0,MIN($S198,IF(Übersicht!$C$14="Annuitätendarlehen",MAX(0,Übersicht!$C$28-$Q199),IF(Übersicht!$C$14="Ratendarlehen",Übersicht!$C$29,IF($A199&gt;=Übersicht!$C$30,$S198,0)))))</f>
        <v>901.2299999999999</v>
      </c>
      <c r="S199" s="38">
        <f>IF($S198&lt;=0,0,ROUND($S198-$R199-IF($S198-$R199&lt;=0,0,IF(MOD($A199,Übersicht!$C$25)=0,MIN(Szenarien!$C$8,$S198-$R199),0)),2))</f>
        <v>116785.57</v>
      </c>
      <c r="T199" s="38">
        <f>IF($V198&lt;=0,0,ROUND($V198*Übersicht!$C$26,2))</f>
        <v>195.16</v>
      </c>
      <c r="U199" s="38">
        <f>IF($V198&lt;=0,0,MIN($V198,IF(Übersicht!$C$14="Annuitätendarlehen",MAX(0,Übersicht!$C$28-$T199),IF(Übersicht!$C$14="Ratendarlehen",Übersicht!$C$29,IF($A199&gt;=Übersicht!$C$30,$V198,0)))))</f>
        <v>1044.4199999999998</v>
      </c>
      <c r="V199" s="38">
        <f>IF($V198&lt;=0,0,ROUND($V198-$U199-IF($V198-$U199&lt;=0,0,IF(MOD($A199,Übersicht!$C$25)=0,MIN(Szenarien!$C$9,$V198-$U199),0)),2))</f>
        <v>64336.92</v>
      </c>
      <c r="W199" s="38">
        <f>IF($Y198&lt;=0,0,ROUND($Y198*Übersicht!$C$26,2))</f>
        <v>51.97</v>
      </c>
      <c r="X199" s="38">
        <f>IF($Y198&lt;=0,0,MIN($Y198,IF(Übersicht!$C$14="Annuitätendarlehen",MAX(0,Übersicht!$C$28-$W199),IF(Übersicht!$C$14="Ratendarlehen",Übersicht!$C$29,IF($A199&gt;=Übersicht!$C$30,$Y198,0)))))</f>
        <v>1187.6099999999999</v>
      </c>
      <c r="Y199" s="38">
        <f>IF($Y198&lt;=0,0,ROUND($Y198-$X199-IF($Y198-$X199&lt;=0,0,IF(MOD($A199,Übersicht!$C$25)=0,MIN(Szenarien!$C$10,$Y198-$X199),0)),2))</f>
        <v>11888.13</v>
      </c>
      <c r="Z199" s="38">
        <f>IF($AB198&lt;=0,0,ROUND($AB198*Übersicht!$C$26,2))</f>
        <v>0</v>
      </c>
      <c r="AA199" s="38">
        <f>IF($AB198&lt;=0,0,MIN($AB198,IF(Übersicht!$C$14="Annuitätendarlehen",MAX(0,Übersicht!$C$28-$Z199),IF(Übersicht!$C$14="Ratendarlehen",Übersicht!$C$29,IF($A199&gt;=Übersicht!$C$30,$AB198,0)))))</f>
        <v>0</v>
      </c>
      <c r="AB199" s="38">
        <f>IF($AB198&lt;=0,0,ROUND($AB198-$AA199-IF($AB198-$AA199&lt;=0,0,IF(MOD($A199,Übersicht!$C$25)=0,MIN(Szenarien!$C$11,$AB198-$AA199),0)),2))</f>
        <v>0</v>
      </c>
      <c r="AC199" s="38">
        <f>IF($AE198&lt;=0,0,ROUND($AE198*Übersicht!$C$26,2))</f>
        <v>0</v>
      </c>
      <c r="AD199" s="38">
        <f>IF($AE198&lt;=0,0,MIN($AE198,IF(Übersicht!$C$14="Annuitätendarlehen",MAX(0,Übersicht!$C$28-$AC199),IF(Übersicht!$C$14="Ratendarlehen",Übersicht!$C$29,IF($A199&gt;=Übersicht!$C$30,$AE198,0)))))</f>
        <v>0</v>
      </c>
      <c r="AE199" s="38">
        <f>IF($AE198&lt;=0,0,ROUND($AE198-$AD199-IF($AE198-$AD199&lt;=0,0,IF(MOD($A199,Übersicht!$C$25)=0,MIN(Szenarien!$C$12,$AE198-$AD199),0)),2))</f>
        <v>0</v>
      </c>
    </row>
    <row r="200" spans="1:31" ht="15" customHeight="1" x14ac:dyDescent="0.25">
      <c r="A200" s="21">
        <v>193</v>
      </c>
      <c r="B200" s="36">
        <f>IF($D200&lt;=0,"",EDATE(Übersicht!$C$18,($A200-1)*12/Übersicht!$C$25))</f>
        <v>51897</v>
      </c>
      <c r="C200" s="21">
        <f t="shared" ref="C200:C263" si="21">IF($B200="","",YEAR($B200))</f>
        <v>2042</v>
      </c>
      <c r="D200" s="37">
        <f t="shared" si="18"/>
        <v>11888.13</v>
      </c>
      <c r="E200" s="23">
        <f t="shared" ref="E200:E263" si="22">IF($D200&lt;=0,0,$F200+$G200)</f>
        <v>1239.58</v>
      </c>
      <c r="F200" s="23">
        <f>IF($D200&lt;=0,0,ROUND($D200*Übersicht!$C$26,2))</f>
        <v>34.18</v>
      </c>
      <c r="G200" s="23">
        <f>IF($D200&lt;=0,0,MIN($D200,IF(Übersicht!$C$14="Annuitätendarlehen",MAX(0,Übersicht!$C$28-$F200),IF(Übersicht!$C$14="Ratendarlehen",Übersicht!$C$29,IF($A200&gt;=Übersicht!$C$30,$D200,0)))))</f>
        <v>1205.3999999999999</v>
      </c>
      <c r="H200" s="23">
        <f>IF($D200-$G200&lt;=0,0,IF(MOD($A200,Übersicht!$C$25)=0,MIN(Übersicht!$C$31,$D200-$G200),0))</f>
        <v>0</v>
      </c>
      <c r="I200" s="23">
        <f t="shared" ref="I200:I263" si="23">IF($D200&lt;=0,0,$E200+$H200)</f>
        <v>1239.58</v>
      </c>
      <c r="J200" s="23">
        <f t="shared" ref="J200:J263" si="24">IF($D200&lt;=0,0,ROUND($D200-$G200-$H200,2))</f>
        <v>10682.73</v>
      </c>
      <c r="K200" s="23">
        <f t="shared" si="19"/>
        <v>79921.66999999994</v>
      </c>
      <c r="L200" s="23">
        <f t="shared" si="20"/>
        <v>239317.27</v>
      </c>
      <c r="M200" s="24">
        <f>IF($D200&lt;=0,"",IF(Übersicht!$C$11=0,0,$L200/Übersicht!$C$11))</f>
        <v>0.95726907999999999</v>
      </c>
      <c r="N200" s="25" t="str">
        <f>IF($D200&lt;=0,"",IF($J200&lt;=0.005,"Volltilgung erreicht",IF($A200=Übersicht!$C$19*Übersicht!$C$25,"Ende der Zinsbindung",IF($H200&gt;0,"Sondertilgung verrechnet",""))))</f>
        <v/>
      </c>
      <c r="Q200" s="38">
        <f>IF($S199&lt;=0,0,ROUND($S199*Übersicht!$C$26,2))</f>
        <v>335.76</v>
      </c>
      <c r="R200" s="38">
        <f>IF($S199&lt;=0,0,MIN($S199,IF(Übersicht!$C$14="Annuitätendarlehen",MAX(0,Übersicht!$C$28-$Q200),IF(Übersicht!$C$14="Ratendarlehen",Übersicht!$C$29,IF($A200&gt;=Übersicht!$C$30,$S199,0)))))</f>
        <v>903.81999999999994</v>
      </c>
      <c r="S200" s="38">
        <f>IF($S199&lt;=0,0,ROUND($S199-$R200-IF($S199-$R200&lt;=0,0,IF(MOD($A200,Übersicht!$C$25)=0,MIN(Szenarien!$C$8,$S199-$R200),0)),2))</f>
        <v>115881.75</v>
      </c>
      <c r="T200" s="38">
        <f>IF($V199&lt;=0,0,ROUND($V199*Übersicht!$C$26,2))</f>
        <v>184.97</v>
      </c>
      <c r="U200" s="38">
        <f>IF($V199&lt;=0,0,MIN($V199,IF(Übersicht!$C$14="Annuitätendarlehen",MAX(0,Übersicht!$C$28-$T200),IF(Übersicht!$C$14="Ratendarlehen",Übersicht!$C$29,IF($A200&gt;=Übersicht!$C$30,$V199,0)))))</f>
        <v>1054.6099999999999</v>
      </c>
      <c r="V200" s="38">
        <f>IF($V199&lt;=0,0,ROUND($V199-$U200-IF($V199-$U200&lt;=0,0,IF(MOD($A200,Übersicht!$C$25)=0,MIN(Szenarien!$C$9,$V199-$U200),0)),2))</f>
        <v>63282.31</v>
      </c>
      <c r="W200" s="38">
        <f>IF($Y199&lt;=0,0,ROUND($Y199*Übersicht!$C$26,2))</f>
        <v>34.18</v>
      </c>
      <c r="X200" s="38">
        <f>IF($Y199&lt;=0,0,MIN($Y199,IF(Übersicht!$C$14="Annuitätendarlehen",MAX(0,Übersicht!$C$28-$W200),IF(Übersicht!$C$14="Ratendarlehen",Übersicht!$C$29,IF($A200&gt;=Übersicht!$C$30,$Y199,0)))))</f>
        <v>1205.3999999999999</v>
      </c>
      <c r="Y200" s="38">
        <f>IF($Y199&lt;=0,0,ROUND($Y199-$X200-IF($Y199-$X200&lt;=0,0,IF(MOD($A200,Übersicht!$C$25)=0,MIN(Szenarien!$C$10,$Y199-$X200),0)),2))</f>
        <v>10682.73</v>
      </c>
      <c r="Z200" s="38">
        <f>IF($AB199&lt;=0,0,ROUND($AB199*Übersicht!$C$26,2))</f>
        <v>0</v>
      </c>
      <c r="AA200" s="38">
        <f>IF($AB199&lt;=0,0,MIN($AB199,IF(Übersicht!$C$14="Annuitätendarlehen",MAX(0,Übersicht!$C$28-$Z200),IF(Übersicht!$C$14="Ratendarlehen",Übersicht!$C$29,IF($A200&gt;=Übersicht!$C$30,$AB199,0)))))</f>
        <v>0</v>
      </c>
      <c r="AB200" s="38">
        <f>IF($AB199&lt;=0,0,ROUND($AB199-$AA200-IF($AB199-$AA200&lt;=0,0,IF(MOD($A200,Übersicht!$C$25)=0,MIN(Szenarien!$C$11,$AB199-$AA200),0)),2))</f>
        <v>0</v>
      </c>
      <c r="AC200" s="38">
        <f>IF($AE199&lt;=0,0,ROUND($AE199*Übersicht!$C$26,2))</f>
        <v>0</v>
      </c>
      <c r="AD200" s="38">
        <f>IF($AE199&lt;=0,0,MIN($AE199,IF(Übersicht!$C$14="Annuitätendarlehen",MAX(0,Übersicht!$C$28-$AC200),IF(Übersicht!$C$14="Ratendarlehen",Übersicht!$C$29,IF($A200&gt;=Übersicht!$C$30,$AE199,0)))))</f>
        <v>0</v>
      </c>
      <c r="AE200" s="38">
        <f>IF($AE199&lt;=0,0,ROUND($AE199-$AD200-IF($AE199-$AD200&lt;=0,0,IF(MOD($A200,Übersicht!$C$25)=0,MIN(Szenarien!$C$12,$AE199-$AD200),0)),2))</f>
        <v>0</v>
      </c>
    </row>
    <row r="201" spans="1:31" ht="15" customHeight="1" x14ac:dyDescent="0.25">
      <c r="A201" s="26">
        <v>194</v>
      </c>
      <c r="B201" s="39">
        <f>IF($D201&lt;=0,"",EDATE(Übersicht!$C$18,($A201-1)*12/Übersicht!$C$25))</f>
        <v>51925</v>
      </c>
      <c r="C201" s="26">
        <f t="shared" si="21"/>
        <v>2042</v>
      </c>
      <c r="D201" s="40">
        <f t="shared" ref="D201:D264" si="25">$J200</f>
        <v>10682.73</v>
      </c>
      <c r="E201" s="28">
        <f t="shared" si="22"/>
        <v>1239.58</v>
      </c>
      <c r="F201" s="28">
        <f>IF($D201&lt;=0,0,ROUND($D201*Übersicht!$C$26,2))</f>
        <v>30.71</v>
      </c>
      <c r="G201" s="28">
        <f>IF($D201&lt;=0,0,MIN($D201,IF(Übersicht!$C$14="Annuitätendarlehen",MAX(0,Übersicht!$C$28-$F201),IF(Übersicht!$C$14="Ratendarlehen",Übersicht!$C$29,IF($A201&gt;=Übersicht!$C$30,$D201,0)))))</f>
        <v>1208.8699999999999</v>
      </c>
      <c r="H201" s="28">
        <f>IF($D201-$G201&lt;=0,0,IF(MOD($A201,Übersicht!$C$25)=0,MIN(Übersicht!$C$31,$D201-$G201),0))</f>
        <v>0</v>
      </c>
      <c r="I201" s="28">
        <f t="shared" si="23"/>
        <v>1239.58</v>
      </c>
      <c r="J201" s="28">
        <f t="shared" si="24"/>
        <v>9473.86</v>
      </c>
      <c r="K201" s="28">
        <f t="shared" ref="K201:K264" si="26">$K200+$F201</f>
        <v>79952.379999999946</v>
      </c>
      <c r="L201" s="28">
        <f t="shared" ref="L201:L264" si="27">ROUND($L200+$G201+$H201,2)</f>
        <v>240526.14</v>
      </c>
      <c r="M201" s="29">
        <f>IF($D201&lt;=0,"",IF(Übersicht!$C$11=0,0,$L201/Übersicht!$C$11))</f>
        <v>0.96210456000000011</v>
      </c>
      <c r="N201" s="30" t="str">
        <f>IF($D201&lt;=0,"",IF($J201&lt;=0.005,"Volltilgung erreicht",IF($A201=Übersicht!$C$19*Übersicht!$C$25,"Ende der Zinsbindung",IF($H201&gt;0,"Sondertilgung verrechnet",""))))</f>
        <v/>
      </c>
      <c r="Q201" s="38">
        <f>IF($S200&lt;=0,0,ROUND($S200*Übersicht!$C$26,2))</f>
        <v>333.16</v>
      </c>
      <c r="R201" s="38">
        <f>IF($S200&lt;=0,0,MIN($S200,IF(Übersicht!$C$14="Annuitätendarlehen",MAX(0,Übersicht!$C$28-$Q201),IF(Übersicht!$C$14="Ratendarlehen",Übersicht!$C$29,IF($A201&gt;=Übersicht!$C$30,$S200,0)))))</f>
        <v>906.41999999999985</v>
      </c>
      <c r="S201" s="38">
        <f>IF($S200&lt;=0,0,ROUND($S200-$R201-IF($S200-$R201&lt;=0,0,IF(MOD($A201,Übersicht!$C$25)=0,MIN(Szenarien!$C$8,$S200-$R201),0)),2))</f>
        <v>114975.33</v>
      </c>
      <c r="T201" s="38">
        <f>IF($V200&lt;=0,0,ROUND($V200*Übersicht!$C$26,2))</f>
        <v>181.94</v>
      </c>
      <c r="U201" s="38">
        <f>IF($V200&lt;=0,0,MIN($V200,IF(Übersicht!$C$14="Annuitätendarlehen",MAX(0,Übersicht!$C$28-$T201),IF(Übersicht!$C$14="Ratendarlehen",Übersicht!$C$29,IF($A201&gt;=Übersicht!$C$30,$V200,0)))))</f>
        <v>1057.6399999999999</v>
      </c>
      <c r="V201" s="38">
        <f>IF($V200&lt;=0,0,ROUND($V200-$U201-IF($V200-$U201&lt;=0,0,IF(MOD($A201,Übersicht!$C$25)=0,MIN(Szenarien!$C$9,$V200-$U201),0)),2))</f>
        <v>62224.67</v>
      </c>
      <c r="W201" s="38">
        <f>IF($Y200&lt;=0,0,ROUND($Y200*Übersicht!$C$26,2))</f>
        <v>30.71</v>
      </c>
      <c r="X201" s="38">
        <f>IF($Y200&lt;=0,0,MIN($Y200,IF(Übersicht!$C$14="Annuitätendarlehen",MAX(0,Übersicht!$C$28-$W201),IF(Übersicht!$C$14="Ratendarlehen",Übersicht!$C$29,IF($A201&gt;=Übersicht!$C$30,$Y200,0)))))</f>
        <v>1208.8699999999999</v>
      </c>
      <c r="Y201" s="38">
        <f>IF($Y200&lt;=0,0,ROUND($Y200-$X201-IF($Y200-$X201&lt;=0,0,IF(MOD($A201,Übersicht!$C$25)=0,MIN(Szenarien!$C$10,$Y200-$X201),0)),2))</f>
        <v>9473.86</v>
      </c>
      <c r="Z201" s="38">
        <f>IF($AB200&lt;=0,0,ROUND($AB200*Übersicht!$C$26,2))</f>
        <v>0</v>
      </c>
      <c r="AA201" s="38">
        <f>IF($AB200&lt;=0,0,MIN($AB200,IF(Übersicht!$C$14="Annuitätendarlehen",MAX(0,Übersicht!$C$28-$Z201),IF(Übersicht!$C$14="Ratendarlehen",Übersicht!$C$29,IF($A201&gt;=Übersicht!$C$30,$AB200,0)))))</f>
        <v>0</v>
      </c>
      <c r="AB201" s="38">
        <f>IF($AB200&lt;=0,0,ROUND($AB200-$AA201-IF($AB200-$AA201&lt;=0,0,IF(MOD($A201,Übersicht!$C$25)=0,MIN(Szenarien!$C$11,$AB200-$AA201),0)),2))</f>
        <v>0</v>
      </c>
      <c r="AC201" s="38">
        <f>IF($AE200&lt;=0,0,ROUND($AE200*Übersicht!$C$26,2))</f>
        <v>0</v>
      </c>
      <c r="AD201" s="38">
        <f>IF($AE200&lt;=0,0,MIN($AE200,IF(Übersicht!$C$14="Annuitätendarlehen",MAX(0,Übersicht!$C$28-$AC201),IF(Übersicht!$C$14="Ratendarlehen",Übersicht!$C$29,IF($A201&gt;=Übersicht!$C$30,$AE200,0)))))</f>
        <v>0</v>
      </c>
      <c r="AE201" s="38">
        <f>IF($AE200&lt;=0,0,ROUND($AE200-$AD201-IF($AE200-$AD201&lt;=0,0,IF(MOD($A201,Übersicht!$C$25)=0,MIN(Szenarien!$C$12,$AE200-$AD201),0)),2))</f>
        <v>0</v>
      </c>
    </row>
    <row r="202" spans="1:31" ht="15" customHeight="1" x14ac:dyDescent="0.25">
      <c r="A202" s="21">
        <v>195</v>
      </c>
      <c r="B202" s="36">
        <f>IF($D202&lt;=0,"",EDATE(Übersicht!$C$18,($A202-1)*12/Übersicht!$C$25))</f>
        <v>51956</v>
      </c>
      <c r="C202" s="21">
        <f t="shared" si="21"/>
        <v>2042</v>
      </c>
      <c r="D202" s="37">
        <f t="shared" si="25"/>
        <v>9473.86</v>
      </c>
      <c r="E202" s="23">
        <f t="shared" si="22"/>
        <v>1239.58</v>
      </c>
      <c r="F202" s="23">
        <f>IF($D202&lt;=0,0,ROUND($D202*Übersicht!$C$26,2))</f>
        <v>27.24</v>
      </c>
      <c r="G202" s="23">
        <f>IF($D202&lt;=0,0,MIN($D202,IF(Übersicht!$C$14="Annuitätendarlehen",MAX(0,Übersicht!$C$28-$F202),IF(Übersicht!$C$14="Ratendarlehen",Übersicht!$C$29,IF($A202&gt;=Übersicht!$C$30,$D202,0)))))</f>
        <v>1212.3399999999999</v>
      </c>
      <c r="H202" s="23">
        <f>IF($D202-$G202&lt;=0,0,IF(MOD($A202,Übersicht!$C$25)=0,MIN(Übersicht!$C$31,$D202-$G202),0))</f>
        <v>0</v>
      </c>
      <c r="I202" s="23">
        <f t="shared" si="23"/>
        <v>1239.58</v>
      </c>
      <c r="J202" s="23">
        <f t="shared" si="24"/>
        <v>8261.52</v>
      </c>
      <c r="K202" s="23">
        <f t="shared" si="26"/>
        <v>79979.619999999952</v>
      </c>
      <c r="L202" s="23">
        <f t="shared" si="27"/>
        <v>241738.48</v>
      </c>
      <c r="M202" s="24">
        <f>IF($D202&lt;=0,"",IF(Übersicht!$C$11=0,0,$L202/Übersicht!$C$11))</f>
        <v>0.96695392000000002</v>
      </c>
      <c r="N202" s="25" t="str">
        <f>IF($D202&lt;=0,"",IF($J202&lt;=0.005,"Volltilgung erreicht",IF($A202=Übersicht!$C$19*Übersicht!$C$25,"Ende der Zinsbindung",IF($H202&gt;0,"Sondertilgung verrechnet",""))))</f>
        <v/>
      </c>
      <c r="Q202" s="38">
        <f>IF($S201&lt;=0,0,ROUND($S201*Übersicht!$C$26,2))</f>
        <v>330.55</v>
      </c>
      <c r="R202" s="38">
        <f>IF($S201&lt;=0,0,MIN($S201,IF(Übersicht!$C$14="Annuitätendarlehen",MAX(0,Übersicht!$C$28-$Q202),IF(Übersicht!$C$14="Ratendarlehen",Übersicht!$C$29,IF($A202&gt;=Übersicht!$C$30,$S201,0)))))</f>
        <v>909.03</v>
      </c>
      <c r="S202" s="38">
        <f>IF($S201&lt;=0,0,ROUND($S201-$R202-IF($S201-$R202&lt;=0,0,IF(MOD($A202,Übersicht!$C$25)=0,MIN(Szenarien!$C$8,$S201-$R202),0)),2))</f>
        <v>114066.3</v>
      </c>
      <c r="T202" s="38">
        <f>IF($V201&lt;=0,0,ROUND($V201*Übersicht!$C$26,2))</f>
        <v>178.9</v>
      </c>
      <c r="U202" s="38">
        <f>IF($V201&lt;=0,0,MIN($V201,IF(Übersicht!$C$14="Annuitätendarlehen",MAX(0,Übersicht!$C$28-$T202),IF(Übersicht!$C$14="Ratendarlehen",Übersicht!$C$29,IF($A202&gt;=Übersicht!$C$30,$V201,0)))))</f>
        <v>1060.6799999999998</v>
      </c>
      <c r="V202" s="38">
        <f>IF($V201&lt;=0,0,ROUND($V201-$U202-IF($V201-$U202&lt;=0,0,IF(MOD($A202,Übersicht!$C$25)=0,MIN(Szenarien!$C$9,$V201-$U202),0)),2))</f>
        <v>61163.99</v>
      </c>
      <c r="W202" s="38">
        <f>IF($Y201&lt;=0,0,ROUND($Y201*Übersicht!$C$26,2))</f>
        <v>27.24</v>
      </c>
      <c r="X202" s="38">
        <f>IF($Y201&lt;=0,0,MIN($Y201,IF(Übersicht!$C$14="Annuitätendarlehen",MAX(0,Übersicht!$C$28-$W202),IF(Übersicht!$C$14="Ratendarlehen",Übersicht!$C$29,IF($A202&gt;=Übersicht!$C$30,$Y201,0)))))</f>
        <v>1212.3399999999999</v>
      </c>
      <c r="Y202" s="38">
        <f>IF($Y201&lt;=0,0,ROUND($Y201-$X202-IF($Y201-$X202&lt;=0,0,IF(MOD($A202,Übersicht!$C$25)=0,MIN(Szenarien!$C$10,$Y201-$X202),0)),2))</f>
        <v>8261.52</v>
      </c>
      <c r="Z202" s="38">
        <f>IF($AB201&lt;=0,0,ROUND($AB201*Übersicht!$C$26,2))</f>
        <v>0</v>
      </c>
      <c r="AA202" s="38">
        <f>IF($AB201&lt;=0,0,MIN($AB201,IF(Übersicht!$C$14="Annuitätendarlehen",MAX(0,Übersicht!$C$28-$Z202),IF(Übersicht!$C$14="Ratendarlehen",Übersicht!$C$29,IF($A202&gt;=Übersicht!$C$30,$AB201,0)))))</f>
        <v>0</v>
      </c>
      <c r="AB202" s="38">
        <f>IF($AB201&lt;=0,0,ROUND($AB201-$AA202-IF($AB201-$AA202&lt;=0,0,IF(MOD($A202,Übersicht!$C$25)=0,MIN(Szenarien!$C$11,$AB201-$AA202),0)),2))</f>
        <v>0</v>
      </c>
      <c r="AC202" s="38">
        <f>IF($AE201&lt;=0,0,ROUND($AE201*Übersicht!$C$26,2))</f>
        <v>0</v>
      </c>
      <c r="AD202" s="38">
        <f>IF($AE201&lt;=0,0,MIN($AE201,IF(Übersicht!$C$14="Annuitätendarlehen",MAX(0,Übersicht!$C$28-$AC202),IF(Übersicht!$C$14="Ratendarlehen",Übersicht!$C$29,IF($A202&gt;=Übersicht!$C$30,$AE201,0)))))</f>
        <v>0</v>
      </c>
      <c r="AE202" s="38">
        <f>IF($AE201&lt;=0,0,ROUND($AE201-$AD202-IF($AE201-$AD202&lt;=0,0,IF(MOD($A202,Übersicht!$C$25)=0,MIN(Szenarien!$C$12,$AE201-$AD202),0)),2))</f>
        <v>0</v>
      </c>
    </row>
    <row r="203" spans="1:31" ht="15" customHeight="1" x14ac:dyDescent="0.25">
      <c r="A203" s="26">
        <v>196</v>
      </c>
      <c r="B203" s="39">
        <f>IF($D203&lt;=0,"",EDATE(Übersicht!$C$18,($A203-1)*12/Übersicht!$C$25))</f>
        <v>51986</v>
      </c>
      <c r="C203" s="26">
        <f t="shared" si="21"/>
        <v>2042</v>
      </c>
      <c r="D203" s="40">
        <f t="shared" si="25"/>
        <v>8261.52</v>
      </c>
      <c r="E203" s="28">
        <f t="shared" si="22"/>
        <v>1239.58</v>
      </c>
      <c r="F203" s="28">
        <f>IF($D203&lt;=0,0,ROUND($D203*Übersicht!$C$26,2))</f>
        <v>23.75</v>
      </c>
      <c r="G203" s="28">
        <f>IF($D203&lt;=0,0,MIN($D203,IF(Übersicht!$C$14="Annuitätendarlehen",MAX(0,Übersicht!$C$28-$F203),IF(Übersicht!$C$14="Ratendarlehen",Übersicht!$C$29,IF($A203&gt;=Übersicht!$C$30,$D203,0)))))</f>
        <v>1215.83</v>
      </c>
      <c r="H203" s="28">
        <f>IF($D203-$G203&lt;=0,0,IF(MOD($A203,Übersicht!$C$25)=0,MIN(Übersicht!$C$31,$D203-$G203),0))</f>
        <v>0</v>
      </c>
      <c r="I203" s="28">
        <f t="shared" si="23"/>
        <v>1239.58</v>
      </c>
      <c r="J203" s="28">
        <f t="shared" si="24"/>
        <v>7045.69</v>
      </c>
      <c r="K203" s="28">
        <f t="shared" si="26"/>
        <v>80003.369999999952</v>
      </c>
      <c r="L203" s="28">
        <f t="shared" si="27"/>
        <v>242954.31</v>
      </c>
      <c r="M203" s="29">
        <f>IF($D203&lt;=0,"",IF(Übersicht!$C$11=0,0,$L203/Übersicht!$C$11))</f>
        <v>0.97181724000000003</v>
      </c>
      <c r="N203" s="30" t="str">
        <f>IF($D203&lt;=0,"",IF($J203&lt;=0.005,"Volltilgung erreicht",IF($A203=Übersicht!$C$19*Übersicht!$C$25,"Ende der Zinsbindung",IF($H203&gt;0,"Sondertilgung verrechnet",""))))</f>
        <v/>
      </c>
      <c r="Q203" s="38">
        <f>IF($S202&lt;=0,0,ROUND($S202*Übersicht!$C$26,2))</f>
        <v>327.94</v>
      </c>
      <c r="R203" s="38">
        <f>IF($S202&lt;=0,0,MIN($S202,IF(Übersicht!$C$14="Annuitätendarlehen",MAX(0,Übersicht!$C$28-$Q203),IF(Übersicht!$C$14="Ratendarlehen",Übersicht!$C$29,IF($A203&gt;=Übersicht!$C$30,$S202,0)))))</f>
        <v>911.63999999999987</v>
      </c>
      <c r="S203" s="38">
        <f>IF($S202&lt;=0,0,ROUND($S202-$R203-IF($S202-$R203&lt;=0,0,IF(MOD($A203,Übersicht!$C$25)=0,MIN(Szenarien!$C$8,$S202-$R203),0)),2))</f>
        <v>113154.66</v>
      </c>
      <c r="T203" s="38">
        <f>IF($V202&lt;=0,0,ROUND($V202*Übersicht!$C$26,2))</f>
        <v>175.85</v>
      </c>
      <c r="U203" s="38">
        <f>IF($V202&lt;=0,0,MIN($V202,IF(Übersicht!$C$14="Annuitätendarlehen",MAX(0,Übersicht!$C$28-$T203),IF(Übersicht!$C$14="Ratendarlehen",Übersicht!$C$29,IF($A203&gt;=Übersicht!$C$30,$V202,0)))))</f>
        <v>1063.73</v>
      </c>
      <c r="V203" s="38">
        <f>IF($V202&lt;=0,0,ROUND($V202-$U203-IF($V202-$U203&lt;=0,0,IF(MOD($A203,Übersicht!$C$25)=0,MIN(Szenarien!$C$9,$V202-$U203),0)),2))</f>
        <v>60100.26</v>
      </c>
      <c r="W203" s="38">
        <f>IF($Y202&lt;=0,0,ROUND($Y202*Übersicht!$C$26,2))</f>
        <v>23.75</v>
      </c>
      <c r="X203" s="38">
        <f>IF($Y202&lt;=0,0,MIN($Y202,IF(Übersicht!$C$14="Annuitätendarlehen",MAX(0,Übersicht!$C$28-$W203),IF(Übersicht!$C$14="Ratendarlehen",Übersicht!$C$29,IF($A203&gt;=Übersicht!$C$30,$Y202,0)))))</f>
        <v>1215.83</v>
      </c>
      <c r="Y203" s="38">
        <f>IF($Y202&lt;=0,0,ROUND($Y202-$X203-IF($Y202-$X203&lt;=0,0,IF(MOD($A203,Übersicht!$C$25)=0,MIN(Szenarien!$C$10,$Y202-$X203),0)),2))</f>
        <v>7045.69</v>
      </c>
      <c r="Z203" s="38">
        <f>IF($AB202&lt;=0,0,ROUND($AB202*Übersicht!$C$26,2))</f>
        <v>0</v>
      </c>
      <c r="AA203" s="38">
        <f>IF($AB202&lt;=0,0,MIN($AB202,IF(Übersicht!$C$14="Annuitätendarlehen",MAX(0,Übersicht!$C$28-$Z203),IF(Übersicht!$C$14="Ratendarlehen",Übersicht!$C$29,IF($A203&gt;=Übersicht!$C$30,$AB202,0)))))</f>
        <v>0</v>
      </c>
      <c r="AB203" s="38">
        <f>IF($AB202&lt;=0,0,ROUND($AB202-$AA203-IF($AB202-$AA203&lt;=0,0,IF(MOD($A203,Übersicht!$C$25)=0,MIN(Szenarien!$C$11,$AB202-$AA203),0)),2))</f>
        <v>0</v>
      </c>
      <c r="AC203" s="38">
        <f>IF($AE202&lt;=0,0,ROUND($AE202*Übersicht!$C$26,2))</f>
        <v>0</v>
      </c>
      <c r="AD203" s="38">
        <f>IF($AE202&lt;=0,0,MIN($AE202,IF(Übersicht!$C$14="Annuitätendarlehen",MAX(0,Übersicht!$C$28-$AC203),IF(Übersicht!$C$14="Ratendarlehen",Übersicht!$C$29,IF($A203&gt;=Übersicht!$C$30,$AE202,0)))))</f>
        <v>0</v>
      </c>
      <c r="AE203" s="38">
        <f>IF($AE202&lt;=0,0,ROUND($AE202-$AD203-IF($AE202-$AD203&lt;=0,0,IF(MOD($A203,Übersicht!$C$25)=0,MIN(Szenarien!$C$12,$AE202-$AD203),0)),2))</f>
        <v>0</v>
      </c>
    </row>
    <row r="204" spans="1:31" ht="15" customHeight="1" x14ac:dyDescent="0.25">
      <c r="A204" s="21">
        <v>197</v>
      </c>
      <c r="B204" s="36">
        <f>IF($D204&lt;=0,"",EDATE(Übersicht!$C$18,($A204-1)*12/Übersicht!$C$25))</f>
        <v>52017</v>
      </c>
      <c r="C204" s="21">
        <f t="shared" si="21"/>
        <v>2042</v>
      </c>
      <c r="D204" s="37">
        <f t="shared" si="25"/>
        <v>7045.69</v>
      </c>
      <c r="E204" s="23">
        <f t="shared" si="22"/>
        <v>1239.58</v>
      </c>
      <c r="F204" s="23">
        <f>IF($D204&lt;=0,0,ROUND($D204*Übersicht!$C$26,2))</f>
        <v>20.260000000000002</v>
      </c>
      <c r="G204" s="23">
        <f>IF($D204&lt;=0,0,MIN($D204,IF(Übersicht!$C$14="Annuitätendarlehen",MAX(0,Übersicht!$C$28-$F204),IF(Übersicht!$C$14="Ratendarlehen",Übersicht!$C$29,IF($A204&gt;=Übersicht!$C$30,$D204,0)))))</f>
        <v>1219.32</v>
      </c>
      <c r="H204" s="23">
        <f>IF($D204-$G204&lt;=0,0,IF(MOD($A204,Übersicht!$C$25)=0,MIN(Übersicht!$C$31,$D204-$G204),0))</f>
        <v>0</v>
      </c>
      <c r="I204" s="23">
        <f t="shared" si="23"/>
        <v>1239.58</v>
      </c>
      <c r="J204" s="23">
        <f t="shared" si="24"/>
        <v>5826.37</v>
      </c>
      <c r="K204" s="23">
        <f t="shared" si="26"/>
        <v>80023.629999999946</v>
      </c>
      <c r="L204" s="23">
        <f t="shared" si="27"/>
        <v>244173.63</v>
      </c>
      <c r="M204" s="24">
        <f>IF($D204&lt;=0,"",IF(Übersicht!$C$11=0,0,$L204/Übersicht!$C$11))</f>
        <v>0.97669452000000001</v>
      </c>
      <c r="N204" s="25" t="str">
        <f>IF($D204&lt;=0,"",IF($J204&lt;=0.005,"Volltilgung erreicht",IF($A204=Übersicht!$C$19*Übersicht!$C$25,"Ende der Zinsbindung",IF($H204&gt;0,"Sondertilgung verrechnet",""))))</f>
        <v/>
      </c>
      <c r="Q204" s="38">
        <f>IF($S203&lt;=0,0,ROUND($S203*Übersicht!$C$26,2))</f>
        <v>325.32</v>
      </c>
      <c r="R204" s="38">
        <f>IF($S203&lt;=0,0,MIN($S203,IF(Übersicht!$C$14="Annuitätendarlehen",MAX(0,Übersicht!$C$28-$Q204),IF(Übersicht!$C$14="Ratendarlehen",Übersicht!$C$29,IF($A204&gt;=Übersicht!$C$30,$S203,0)))))</f>
        <v>914.26</v>
      </c>
      <c r="S204" s="38">
        <f>IF($S203&lt;=0,0,ROUND($S203-$R204-IF($S203-$R204&lt;=0,0,IF(MOD($A204,Übersicht!$C$25)=0,MIN(Szenarien!$C$8,$S203-$R204),0)),2))</f>
        <v>112240.4</v>
      </c>
      <c r="T204" s="38">
        <f>IF($V203&lt;=0,0,ROUND($V203*Übersicht!$C$26,2))</f>
        <v>172.79</v>
      </c>
      <c r="U204" s="38">
        <f>IF($V203&lt;=0,0,MIN($V203,IF(Übersicht!$C$14="Annuitätendarlehen",MAX(0,Übersicht!$C$28-$T204),IF(Übersicht!$C$14="Ratendarlehen",Übersicht!$C$29,IF($A204&gt;=Übersicht!$C$30,$V203,0)))))</f>
        <v>1066.79</v>
      </c>
      <c r="V204" s="38">
        <f>IF($V203&lt;=0,0,ROUND($V203-$U204-IF($V203-$U204&lt;=0,0,IF(MOD($A204,Übersicht!$C$25)=0,MIN(Szenarien!$C$9,$V203-$U204),0)),2))</f>
        <v>59033.47</v>
      </c>
      <c r="W204" s="38">
        <f>IF($Y203&lt;=0,0,ROUND($Y203*Übersicht!$C$26,2))</f>
        <v>20.260000000000002</v>
      </c>
      <c r="X204" s="38">
        <f>IF($Y203&lt;=0,0,MIN($Y203,IF(Übersicht!$C$14="Annuitätendarlehen",MAX(0,Übersicht!$C$28-$W204),IF(Übersicht!$C$14="Ratendarlehen",Übersicht!$C$29,IF($A204&gt;=Übersicht!$C$30,$Y203,0)))))</f>
        <v>1219.32</v>
      </c>
      <c r="Y204" s="38">
        <f>IF($Y203&lt;=0,0,ROUND($Y203-$X204-IF($Y203-$X204&lt;=0,0,IF(MOD($A204,Übersicht!$C$25)=0,MIN(Szenarien!$C$10,$Y203-$X204),0)),2))</f>
        <v>5826.37</v>
      </c>
      <c r="Z204" s="38">
        <f>IF($AB203&lt;=0,0,ROUND($AB203*Übersicht!$C$26,2))</f>
        <v>0</v>
      </c>
      <c r="AA204" s="38">
        <f>IF($AB203&lt;=0,0,MIN($AB203,IF(Übersicht!$C$14="Annuitätendarlehen",MAX(0,Übersicht!$C$28-$Z204),IF(Übersicht!$C$14="Ratendarlehen",Übersicht!$C$29,IF($A204&gt;=Übersicht!$C$30,$AB203,0)))))</f>
        <v>0</v>
      </c>
      <c r="AB204" s="38">
        <f>IF($AB203&lt;=0,0,ROUND($AB203-$AA204-IF($AB203-$AA204&lt;=0,0,IF(MOD($A204,Übersicht!$C$25)=0,MIN(Szenarien!$C$11,$AB203-$AA204),0)),2))</f>
        <v>0</v>
      </c>
      <c r="AC204" s="38">
        <f>IF($AE203&lt;=0,0,ROUND($AE203*Übersicht!$C$26,2))</f>
        <v>0</v>
      </c>
      <c r="AD204" s="38">
        <f>IF($AE203&lt;=0,0,MIN($AE203,IF(Übersicht!$C$14="Annuitätendarlehen",MAX(0,Übersicht!$C$28-$AC204),IF(Übersicht!$C$14="Ratendarlehen",Übersicht!$C$29,IF($A204&gt;=Übersicht!$C$30,$AE203,0)))))</f>
        <v>0</v>
      </c>
      <c r="AE204" s="38">
        <f>IF($AE203&lt;=0,0,ROUND($AE203-$AD204-IF($AE203-$AD204&lt;=0,0,IF(MOD($A204,Übersicht!$C$25)=0,MIN(Szenarien!$C$12,$AE203-$AD204),0)),2))</f>
        <v>0</v>
      </c>
    </row>
    <row r="205" spans="1:31" ht="15" customHeight="1" x14ac:dyDescent="0.25">
      <c r="A205" s="26">
        <v>198</v>
      </c>
      <c r="B205" s="39">
        <f>IF($D205&lt;=0,"",EDATE(Übersicht!$C$18,($A205-1)*12/Übersicht!$C$25))</f>
        <v>52047</v>
      </c>
      <c r="C205" s="26">
        <f t="shared" si="21"/>
        <v>2042</v>
      </c>
      <c r="D205" s="40">
        <f t="shared" si="25"/>
        <v>5826.37</v>
      </c>
      <c r="E205" s="28">
        <f t="shared" si="22"/>
        <v>1239.58</v>
      </c>
      <c r="F205" s="28">
        <f>IF($D205&lt;=0,0,ROUND($D205*Übersicht!$C$26,2))</f>
        <v>16.75</v>
      </c>
      <c r="G205" s="28">
        <f>IF($D205&lt;=0,0,MIN($D205,IF(Übersicht!$C$14="Annuitätendarlehen",MAX(0,Übersicht!$C$28-$F205),IF(Übersicht!$C$14="Ratendarlehen",Übersicht!$C$29,IF($A205&gt;=Übersicht!$C$30,$D205,0)))))</f>
        <v>1222.83</v>
      </c>
      <c r="H205" s="28">
        <f>IF($D205-$G205&lt;=0,0,IF(MOD($A205,Übersicht!$C$25)=0,MIN(Übersicht!$C$31,$D205-$G205),0))</f>
        <v>0</v>
      </c>
      <c r="I205" s="28">
        <f t="shared" si="23"/>
        <v>1239.58</v>
      </c>
      <c r="J205" s="28">
        <f t="shared" si="24"/>
        <v>4603.54</v>
      </c>
      <c r="K205" s="28">
        <f t="shared" si="26"/>
        <v>80040.379999999946</v>
      </c>
      <c r="L205" s="28">
        <f t="shared" si="27"/>
        <v>245396.46</v>
      </c>
      <c r="M205" s="29">
        <f>IF($D205&lt;=0,"",IF(Übersicht!$C$11=0,0,$L205/Übersicht!$C$11))</f>
        <v>0.98158583999999993</v>
      </c>
      <c r="N205" s="30" t="str">
        <f>IF($D205&lt;=0,"",IF($J205&lt;=0.005,"Volltilgung erreicht",IF($A205=Übersicht!$C$19*Übersicht!$C$25,"Ende der Zinsbindung",IF($H205&gt;0,"Sondertilgung verrechnet",""))))</f>
        <v/>
      </c>
      <c r="Q205" s="38">
        <f>IF($S204&lt;=0,0,ROUND($S204*Übersicht!$C$26,2))</f>
        <v>322.69</v>
      </c>
      <c r="R205" s="38">
        <f>IF($S204&lt;=0,0,MIN($S204,IF(Übersicht!$C$14="Annuitätendarlehen",MAX(0,Übersicht!$C$28-$Q205),IF(Übersicht!$C$14="Ratendarlehen",Übersicht!$C$29,IF($A205&gt;=Übersicht!$C$30,$S204,0)))))</f>
        <v>916.88999999999987</v>
      </c>
      <c r="S205" s="38">
        <f>IF($S204&lt;=0,0,ROUND($S204-$R205-IF($S204-$R205&lt;=0,0,IF(MOD($A205,Übersicht!$C$25)=0,MIN(Szenarien!$C$8,$S204-$R205),0)),2))</f>
        <v>111323.51</v>
      </c>
      <c r="T205" s="38">
        <f>IF($V204&lt;=0,0,ROUND($V204*Übersicht!$C$26,2))</f>
        <v>169.72</v>
      </c>
      <c r="U205" s="38">
        <f>IF($V204&lt;=0,0,MIN($V204,IF(Übersicht!$C$14="Annuitätendarlehen",MAX(0,Übersicht!$C$28-$T205),IF(Übersicht!$C$14="Ratendarlehen",Übersicht!$C$29,IF($A205&gt;=Übersicht!$C$30,$V204,0)))))</f>
        <v>1069.8599999999999</v>
      </c>
      <c r="V205" s="38">
        <f>IF($V204&lt;=0,0,ROUND($V204-$U205-IF($V204-$U205&lt;=0,0,IF(MOD($A205,Übersicht!$C$25)=0,MIN(Szenarien!$C$9,$V204-$U205),0)),2))</f>
        <v>57963.61</v>
      </c>
      <c r="W205" s="38">
        <f>IF($Y204&lt;=0,0,ROUND($Y204*Übersicht!$C$26,2))</f>
        <v>16.75</v>
      </c>
      <c r="X205" s="38">
        <f>IF($Y204&lt;=0,0,MIN($Y204,IF(Übersicht!$C$14="Annuitätendarlehen",MAX(0,Übersicht!$C$28-$W205),IF(Übersicht!$C$14="Ratendarlehen",Übersicht!$C$29,IF($A205&gt;=Übersicht!$C$30,$Y204,0)))))</f>
        <v>1222.83</v>
      </c>
      <c r="Y205" s="38">
        <f>IF($Y204&lt;=0,0,ROUND($Y204-$X205-IF($Y204-$X205&lt;=0,0,IF(MOD($A205,Übersicht!$C$25)=0,MIN(Szenarien!$C$10,$Y204-$X205),0)),2))</f>
        <v>4603.54</v>
      </c>
      <c r="Z205" s="38">
        <f>IF($AB204&lt;=0,0,ROUND($AB204*Übersicht!$C$26,2))</f>
        <v>0</v>
      </c>
      <c r="AA205" s="38">
        <f>IF($AB204&lt;=0,0,MIN($AB204,IF(Übersicht!$C$14="Annuitätendarlehen",MAX(0,Übersicht!$C$28-$Z205),IF(Übersicht!$C$14="Ratendarlehen",Übersicht!$C$29,IF($A205&gt;=Übersicht!$C$30,$AB204,0)))))</f>
        <v>0</v>
      </c>
      <c r="AB205" s="38">
        <f>IF($AB204&lt;=0,0,ROUND($AB204-$AA205-IF($AB204-$AA205&lt;=0,0,IF(MOD($A205,Übersicht!$C$25)=0,MIN(Szenarien!$C$11,$AB204-$AA205),0)),2))</f>
        <v>0</v>
      </c>
      <c r="AC205" s="38">
        <f>IF($AE204&lt;=0,0,ROUND($AE204*Übersicht!$C$26,2))</f>
        <v>0</v>
      </c>
      <c r="AD205" s="38">
        <f>IF($AE204&lt;=0,0,MIN($AE204,IF(Übersicht!$C$14="Annuitätendarlehen",MAX(0,Übersicht!$C$28-$AC205),IF(Übersicht!$C$14="Ratendarlehen",Übersicht!$C$29,IF($A205&gt;=Übersicht!$C$30,$AE204,0)))))</f>
        <v>0</v>
      </c>
      <c r="AE205" s="38">
        <f>IF($AE204&lt;=0,0,ROUND($AE204-$AD205-IF($AE204-$AD205&lt;=0,0,IF(MOD($A205,Übersicht!$C$25)=0,MIN(Szenarien!$C$12,$AE204-$AD205),0)),2))</f>
        <v>0</v>
      </c>
    </row>
    <row r="206" spans="1:31" ht="15" customHeight="1" x14ac:dyDescent="0.25">
      <c r="A206" s="21">
        <v>199</v>
      </c>
      <c r="B206" s="36">
        <f>IF($D206&lt;=0,"",EDATE(Übersicht!$C$18,($A206-1)*12/Übersicht!$C$25))</f>
        <v>52078</v>
      </c>
      <c r="C206" s="21">
        <f t="shared" si="21"/>
        <v>2042</v>
      </c>
      <c r="D206" s="37">
        <f t="shared" si="25"/>
        <v>4603.54</v>
      </c>
      <c r="E206" s="23">
        <f t="shared" si="22"/>
        <v>1239.58</v>
      </c>
      <c r="F206" s="23">
        <f>IF($D206&lt;=0,0,ROUND($D206*Übersicht!$C$26,2))</f>
        <v>13.24</v>
      </c>
      <c r="G206" s="23">
        <f>IF($D206&lt;=0,0,MIN($D206,IF(Übersicht!$C$14="Annuitätendarlehen",MAX(0,Übersicht!$C$28-$F206),IF(Übersicht!$C$14="Ratendarlehen",Übersicht!$C$29,IF($A206&gt;=Übersicht!$C$30,$D206,0)))))</f>
        <v>1226.3399999999999</v>
      </c>
      <c r="H206" s="23">
        <f>IF($D206-$G206&lt;=0,0,IF(MOD($A206,Übersicht!$C$25)=0,MIN(Übersicht!$C$31,$D206-$G206),0))</f>
        <v>0</v>
      </c>
      <c r="I206" s="23">
        <f t="shared" si="23"/>
        <v>1239.58</v>
      </c>
      <c r="J206" s="23">
        <f t="shared" si="24"/>
        <v>3377.2</v>
      </c>
      <c r="K206" s="23">
        <f t="shared" si="26"/>
        <v>80053.619999999952</v>
      </c>
      <c r="L206" s="23">
        <f t="shared" si="27"/>
        <v>246622.8</v>
      </c>
      <c r="M206" s="24">
        <f>IF($D206&lt;=0,"",IF(Übersicht!$C$11=0,0,$L206/Übersicht!$C$11))</f>
        <v>0.9864911999999999</v>
      </c>
      <c r="N206" s="25" t="str">
        <f>IF($D206&lt;=0,"",IF($J206&lt;=0.005,"Volltilgung erreicht",IF($A206=Übersicht!$C$19*Übersicht!$C$25,"Ende der Zinsbindung",IF($H206&gt;0,"Sondertilgung verrechnet",""))))</f>
        <v/>
      </c>
      <c r="Q206" s="38">
        <f>IF($S205&lt;=0,0,ROUND($S205*Übersicht!$C$26,2))</f>
        <v>320.06</v>
      </c>
      <c r="R206" s="38">
        <f>IF($S205&lt;=0,0,MIN($S205,IF(Übersicht!$C$14="Annuitätendarlehen",MAX(0,Übersicht!$C$28-$Q206),IF(Übersicht!$C$14="Ratendarlehen",Übersicht!$C$29,IF($A206&gt;=Übersicht!$C$30,$S205,0)))))</f>
        <v>919.52</v>
      </c>
      <c r="S206" s="38">
        <f>IF($S205&lt;=0,0,ROUND($S205-$R206-IF($S205-$R206&lt;=0,0,IF(MOD($A206,Übersicht!$C$25)=0,MIN(Szenarien!$C$8,$S205-$R206),0)),2))</f>
        <v>110403.99</v>
      </c>
      <c r="T206" s="38">
        <f>IF($V205&lt;=0,0,ROUND($V205*Übersicht!$C$26,2))</f>
        <v>166.65</v>
      </c>
      <c r="U206" s="38">
        <f>IF($V205&lt;=0,0,MIN($V205,IF(Übersicht!$C$14="Annuitätendarlehen",MAX(0,Übersicht!$C$28-$T206),IF(Übersicht!$C$14="Ratendarlehen",Übersicht!$C$29,IF($A206&gt;=Übersicht!$C$30,$V205,0)))))</f>
        <v>1072.9299999999998</v>
      </c>
      <c r="V206" s="38">
        <f>IF($V205&lt;=0,0,ROUND($V205-$U206-IF($V205-$U206&lt;=0,0,IF(MOD($A206,Übersicht!$C$25)=0,MIN(Szenarien!$C$9,$V205-$U206),0)),2))</f>
        <v>56890.68</v>
      </c>
      <c r="W206" s="38">
        <f>IF($Y205&lt;=0,0,ROUND($Y205*Übersicht!$C$26,2))</f>
        <v>13.24</v>
      </c>
      <c r="X206" s="38">
        <f>IF($Y205&lt;=0,0,MIN($Y205,IF(Übersicht!$C$14="Annuitätendarlehen",MAX(0,Übersicht!$C$28-$W206),IF(Übersicht!$C$14="Ratendarlehen",Übersicht!$C$29,IF($A206&gt;=Übersicht!$C$30,$Y205,0)))))</f>
        <v>1226.3399999999999</v>
      </c>
      <c r="Y206" s="38">
        <f>IF($Y205&lt;=0,0,ROUND($Y205-$X206-IF($Y205-$X206&lt;=0,0,IF(MOD($A206,Übersicht!$C$25)=0,MIN(Szenarien!$C$10,$Y205-$X206),0)),2))</f>
        <v>3377.2</v>
      </c>
      <c r="Z206" s="38">
        <f>IF($AB205&lt;=0,0,ROUND($AB205*Übersicht!$C$26,2))</f>
        <v>0</v>
      </c>
      <c r="AA206" s="38">
        <f>IF($AB205&lt;=0,0,MIN($AB205,IF(Übersicht!$C$14="Annuitätendarlehen",MAX(0,Übersicht!$C$28-$Z206),IF(Übersicht!$C$14="Ratendarlehen",Übersicht!$C$29,IF($A206&gt;=Übersicht!$C$30,$AB205,0)))))</f>
        <v>0</v>
      </c>
      <c r="AB206" s="38">
        <f>IF($AB205&lt;=0,0,ROUND($AB205-$AA206-IF($AB205-$AA206&lt;=0,0,IF(MOD($A206,Übersicht!$C$25)=0,MIN(Szenarien!$C$11,$AB205-$AA206),0)),2))</f>
        <v>0</v>
      </c>
      <c r="AC206" s="38">
        <f>IF($AE205&lt;=0,0,ROUND($AE205*Übersicht!$C$26,2))</f>
        <v>0</v>
      </c>
      <c r="AD206" s="38">
        <f>IF($AE205&lt;=0,0,MIN($AE205,IF(Übersicht!$C$14="Annuitätendarlehen",MAX(0,Übersicht!$C$28-$AC206),IF(Übersicht!$C$14="Ratendarlehen",Übersicht!$C$29,IF($A206&gt;=Übersicht!$C$30,$AE205,0)))))</f>
        <v>0</v>
      </c>
      <c r="AE206" s="38">
        <f>IF($AE205&lt;=0,0,ROUND($AE205-$AD206-IF($AE205-$AD206&lt;=0,0,IF(MOD($A206,Übersicht!$C$25)=0,MIN(Szenarien!$C$12,$AE205-$AD206),0)),2))</f>
        <v>0</v>
      </c>
    </row>
    <row r="207" spans="1:31" ht="15" customHeight="1" x14ac:dyDescent="0.25">
      <c r="A207" s="26">
        <v>200</v>
      </c>
      <c r="B207" s="39">
        <f>IF($D207&lt;=0,"",EDATE(Übersicht!$C$18,($A207-1)*12/Übersicht!$C$25))</f>
        <v>52109</v>
      </c>
      <c r="C207" s="26">
        <f t="shared" si="21"/>
        <v>2042</v>
      </c>
      <c r="D207" s="40">
        <f t="shared" si="25"/>
        <v>3377.2</v>
      </c>
      <c r="E207" s="28">
        <f t="shared" si="22"/>
        <v>1239.58</v>
      </c>
      <c r="F207" s="28">
        <f>IF($D207&lt;=0,0,ROUND($D207*Übersicht!$C$26,2))</f>
        <v>9.7100000000000009</v>
      </c>
      <c r="G207" s="28">
        <f>IF($D207&lt;=0,0,MIN($D207,IF(Übersicht!$C$14="Annuitätendarlehen",MAX(0,Übersicht!$C$28-$F207),IF(Übersicht!$C$14="Ratendarlehen",Übersicht!$C$29,IF($A207&gt;=Übersicht!$C$30,$D207,0)))))</f>
        <v>1229.8699999999999</v>
      </c>
      <c r="H207" s="28">
        <f>IF($D207-$G207&lt;=0,0,IF(MOD($A207,Übersicht!$C$25)=0,MIN(Übersicht!$C$31,$D207-$G207),0))</f>
        <v>0</v>
      </c>
      <c r="I207" s="28">
        <f t="shared" si="23"/>
        <v>1239.58</v>
      </c>
      <c r="J207" s="28">
        <f t="shared" si="24"/>
        <v>2147.33</v>
      </c>
      <c r="K207" s="28">
        <f t="shared" si="26"/>
        <v>80063.329999999958</v>
      </c>
      <c r="L207" s="28">
        <f t="shared" si="27"/>
        <v>247852.67</v>
      </c>
      <c r="M207" s="29">
        <f>IF($D207&lt;=0,"",IF(Übersicht!$C$11=0,0,$L207/Übersicht!$C$11))</f>
        <v>0.9914106800000001</v>
      </c>
      <c r="N207" s="30" t="str">
        <f>IF($D207&lt;=0,"",IF($J207&lt;=0.005,"Volltilgung erreicht",IF($A207=Übersicht!$C$19*Übersicht!$C$25,"Ende der Zinsbindung",IF($H207&gt;0,"Sondertilgung verrechnet",""))))</f>
        <v/>
      </c>
      <c r="Q207" s="38">
        <f>IF($S206&lt;=0,0,ROUND($S206*Übersicht!$C$26,2))</f>
        <v>317.41000000000003</v>
      </c>
      <c r="R207" s="38">
        <f>IF($S206&lt;=0,0,MIN($S206,IF(Übersicht!$C$14="Annuitätendarlehen",MAX(0,Übersicht!$C$28-$Q207),IF(Übersicht!$C$14="Ratendarlehen",Übersicht!$C$29,IF($A207&gt;=Übersicht!$C$30,$S206,0)))))</f>
        <v>922.16999999999985</v>
      </c>
      <c r="S207" s="38">
        <f>IF($S206&lt;=0,0,ROUND($S206-$R207-IF($S206-$R207&lt;=0,0,IF(MOD($A207,Übersicht!$C$25)=0,MIN(Szenarien!$C$8,$S206-$R207),0)),2))</f>
        <v>109481.82</v>
      </c>
      <c r="T207" s="38">
        <f>IF($V206&lt;=0,0,ROUND($V206*Übersicht!$C$26,2))</f>
        <v>163.56</v>
      </c>
      <c r="U207" s="38">
        <f>IF($V206&lt;=0,0,MIN($V206,IF(Übersicht!$C$14="Annuitätendarlehen",MAX(0,Übersicht!$C$28-$T207),IF(Übersicht!$C$14="Ratendarlehen",Übersicht!$C$29,IF($A207&gt;=Übersicht!$C$30,$V206,0)))))</f>
        <v>1076.02</v>
      </c>
      <c r="V207" s="38">
        <f>IF($V206&lt;=0,0,ROUND($V206-$U207-IF($V206-$U207&lt;=0,0,IF(MOD($A207,Übersicht!$C$25)=0,MIN(Szenarien!$C$9,$V206-$U207),0)),2))</f>
        <v>55814.66</v>
      </c>
      <c r="W207" s="38">
        <f>IF($Y206&lt;=0,0,ROUND($Y206*Übersicht!$C$26,2))</f>
        <v>9.7100000000000009</v>
      </c>
      <c r="X207" s="38">
        <f>IF($Y206&lt;=0,0,MIN($Y206,IF(Übersicht!$C$14="Annuitätendarlehen",MAX(0,Übersicht!$C$28-$W207),IF(Übersicht!$C$14="Ratendarlehen",Übersicht!$C$29,IF($A207&gt;=Übersicht!$C$30,$Y206,0)))))</f>
        <v>1229.8699999999999</v>
      </c>
      <c r="Y207" s="38">
        <f>IF($Y206&lt;=0,0,ROUND($Y206-$X207-IF($Y206-$X207&lt;=0,0,IF(MOD($A207,Übersicht!$C$25)=0,MIN(Szenarien!$C$10,$Y206-$X207),0)),2))</f>
        <v>2147.33</v>
      </c>
      <c r="Z207" s="38">
        <f>IF($AB206&lt;=0,0,ROUND($AB206*Übersicht!$C$26,2))</f>
        <v>0</v>
      </c>
      <c r="AA207" s="38">
        <f>IF($AB206&lt;=0,0,MIN($AB206,IF(Übersicht!$C$14="Annuitätendarlehen",MAX(0,Übersicht!$C$28-$Z207),IF(Übersicht!$C$14="Ratendarlehen",Übersicht!$C$29,IF($A207&gt;=Übersicht!$C$30,$AB206,0)))))</f>
        <v>0</v>
      </c>
      <c r="AB207" s="38">
        <f>IF($AB206&lt;=0,0,ROUND($AB206-$AA207-IF($AB206-$AA207&lt;=0,0,IF(MOD($A207,Übersicht!$C$25)=0,MIN(Szenarien!$C$11,$AB206-$AA207),0)),2))</f>
        <v>0</v>
      </c>
      <c r="AC207" s="38">
        <f>IF($AE206&lt;=0,0,ROUND($AE206*Übersicht!$C$26,2))</f>
        <v>0</v>
      </c>
      <c r="AD207" s="38">
        <f>IF($AE206&lt;=0,0,MIN($AE206,IF(Übersicht!$C$14="Annuitätendarlehen",MAX(0,Übersicht!$C$28-$AC207),IF(Übersicht!$C$14="Ratendarlehen",Übersicht!$C$29,IF($A207&gt;=Übersicht!$C$30,$AE206,0)))))</f>
        <v>0</v>
      </c>
      <c r="AE207" s="38">
        <f>IF($AE206&lt;=0,0,ROUND($AE206-$AD207-IF($AE206-$AD207&lt;=0,0,IF(MOD($A207,Übersicht!$C$25)=0,MIN(Szenarien!$C$12,$AE206-$AD207),0)),2))</f>
        <v>0</v>
      </c>
    </row>
    <row r="208" spans="1:31" ht="15" customHeight="1" x14ac:dyDescent="0.25">
      <c r="A208" s="21">
        <v>201</v>
      </c>
      <c r="B208" s="36">
        <f>IF($D208&lt;=0,"",EDATE(Übersicht!$C$18,($A208-1)*12/Übersicht!$C$25))</f>
        <v>52139</v>
      </c>
      <c r="C208" s="21">
        <f t="shared" si="21"/>
        <v>2042</v>
      </c>
      <c r="D208" s="37">
        <f t="shared" si="25"/>
        <v>2147.33</v>
      </c>
      <c r="E208" s="23">
        <f t="shared" si="22"/>
        <v>1239.58</v>
      </c>
      <c r="F208" s="23">
        <f>IF($D208&lt;=0,0,ROUND($D208*Übersicht!$C$26,2))</f>
        <v>6.17</v>
      </c>
      <c r="G208" s="23">
        <f>IF($D208&lt;=0,0,MIN($D208,IF(Übersicht!$C$14="Annuitätendarlehen",MAX(0,Übersicht!$C$28-$F208),IF(Übersicht!$C$14="Ratendarlehen",Übersicht!$C$29,IF($A208&gt;=Übersicht!$C$30,$D208,0)))))</f>
        <v>1233.4099999999999</v>
      </c>
      <c r="H208" s="23">
        <f>IF($D208-$G208&lt;=0,0,IF(MOD($A208,Übersicht!$C$25)=0,MIN(Übersicht!$C$31,$D208-$G208),0))</f>
        <v>0</v>
      </c>
      <c r="I208" s="23">
        <f t="shared" si="23"/>
        <v>1239.58</v>
      </c>
      <c r="J208" s="23">
        <f t="shared" si="24"/>
        <v>913.92</v>
      </c>
      <c r="K208" s="23">
        <f t="shared" si="26"/>
        <v>80069.499999999956</v>
      </c>
      <c r="L208" s="23">
        <f t="shared" si="27"/>
        <v>249086.07999999999</v>
      </c>
      <c r="M208" s="24">
        <f>IF($D208&lt;=0,"",IF(Übersicht!$C$11=0,0,$L208/Übersicht!$C$11))</f>
        <v>0.99634431999999995</v>
      </c>
      <c r="N208" s="25" t="str">
        <f>IF($D208&lt;=0,"",IF($J208&lt;=0.005,"Volltilgung erreicht",IF($A208=Übersicht!$C$19*Übersicht!$C$25,"Ende der Zinsbindung",IF($H208&gt;0,"Sondertilgung verrechnet",""))))</f>
        <v/>
      </c>
      <c r="Q208" s="38">
        <f>IF($S207&lt;=0,0,ROUND($S207*Übersicht!$C$26,2))</f>
        <v>314.76</v>
      </c>
      <c r="R208" s="38">
        <f>IF($S207&lt;=0,0,MIN($S207,IF(Übersicht!$C$14="Annuitätendarlehen",MAX(0,Übersicht!$C$28-$Q208),IF(Übersicht!$C$14="Ratendarlehen",Übersicht!$C$29,IF($A208&gt;=Übersicht!$C$30,$S207,0)))))</f>
        <v>924.81999999999994</v>
      </c>
      <c r="S208" s="38">
        <f>IF($S207&lt;=0,0,ROUND($S207-$R208-IF($S207-$R208&lt;=0,0,IF(MOD($A208,Übersicht!$C$25)=0,MIN(Szenarien!$C$8,$S207-$R208),0)),2))</f>
        <v>108557</v>
      </c>
      <c r="T208" s="38">
        <f>IF($V207&lt;=0,0,ROUND($V207*Übersicht!$C$26,2))</f>
        <v>160.47</v>
      </c>
      <c r="U208" s="38">
        <f>IF($V207&lt;=0,0,MIN($V207,IF(Übersicht!$C$14="Annuitätendarlehen",MAX(0,Übersicht!$C$28-$T208),IF(Übersicht!$C$14="Ratendarlehen",Übersicht!$C$29,IF($A208&gt;=Übersicht!$C$30,$V207,0)))))</f>
        <v>1079.1099999999999</v>
      </c>
      <c r="V208" s="38">
        <f>IF($V207&lt;=0,0,ROUND($V207-$U208-IF($V207-$U208&lt;=0,0,IF(MOD($A208,Übersicht!$C$25)=0,MIN(Szenarien!$C$9,$V207-$U208),0)),2))</f>
        <v>54735.55</v>
      </c>
      <c r="W208" s="38">
        <f>IF($Y207&lt;=0,0,ROUND($Y207*Übersicht!$C$26,2))</f>
        <v>6.17</v>
      </c>
      <c r="X208" s="38">
        <f>IF($Y207&lt;=0,0,MIN($Y207,IF(Übersicht!$C$14="Annuitätendarlehen",MAX(0,Übersicht!$C$28-$W208),IF(Übersicht!$C$14="Ratendarlehen",Übersicht!$C$29,IF($A208&gt;=Übersicht!$C$30,$Y207,0)))))</f>
        <v>1233.4099999999999</v>
      </c>
      <c r="Y208" s="38">
        <f>IF($Y207&lt;=0,0,ROUND($Y207-$X208-IF($Y207-$X208&lt;=0,0,IF(MOD($A208,Übersicht!$C$25)=0,MIN(Szenarien!$C$10,$Y207-$X208),0)),2))</f>
        <v>913.92</v>
      </c>
      <c r="Z208" s="38">
        <f>IF($AB207&lt;=0,0,ROUND($AB207*Übersicht!$C$26,2))</f>
        <v>0</v>
      </c>
      <c r="AA208" s="38">
        <f>IF($AB207&lt;=0,0,MIN($AB207,IF(Übersicht!$C$14="Annuitätendarlehen",MAX(0,Übersicht!$C$28-$Z208),IF(Übersicht!$C$14="Ratendarlehen",Übersicht!$C$29,IF($A208&gt;=Übersicht!$C$30,$AB207,0)))))</f>
        <v>0</v>
      </c>
      <c r="AB208" s="38">
        <f>IF($AB207&lt;=0,0,ROUND($AB207-$AA208-IF($AB207-$AA208&lt;=0,0,IF(MOD($A208,Übersicht!$C$25)=0,MIN(Szenarien!$C$11,$AB207-$AA208),0)),2))</f>
        <v>0</v>
      </c>
      <c r="AC208" s="38">
        <f>IF($AE207&lt;=0,0,ROUND($AE207*Übersicht!$C$26,2))</f>
        <v>0</v>
      </c>
      <c r="AD208" s="38">
        <f>IF($AE207&lt;=0,0,MIN($AE207,IF(Übersicht!$C$14="Annuitätendarlehen",MAX(0,Übersicht!$C$28-$AC208),IF(Übersicht!$C$14="Ratendarlehen",Übersicht!$C$29,IF($A208&gt;=Übersicht!$C$30,$AE207,0)))))</f>
        <v>0</v>
      </c>
      <c r="AE208" s="38">
        <f>IF($AE207&lt;=0,0,ROUND($AE207-$AD208-IF($AE207-$AD208&lt;=0,0,IF(MOD($A208,Übersicht!$C$25)=0,MIN(Szenarien!$C$12,$AE207-$AD208),0)),2))</f>
        <v>0</v>
      </c>
    </row>
    <row r="209" spans="1:31" ht="15" customHeight="1" x14ac:dyDescent="0.25">
      <c r="A209" s="26">
        <v>202</v>
      </c>
      <c r="B209" s="39">
        <f>IF($D209&lt;=0,"",EDATE(Übersicht!$C$18,($A209-1)*12/Übersicht!$C$25))</f>
        <v>52170</v>
      </c>
      <c r="C209" s="26">
        <f t="shared" si="21"/>
        <v>2042</v>
      </c>
      <c r="D209" s="40">
        <f t="shared" si="25"/>
        <v>913.92</v>
      </c>
      <c r="E209" s="28">
        <f t="shared" si="22"/>
        <v>916.55</v>
      </c>
      <c r="F209" s="28">
        <f>IF($D209&lt;=0,0,ROUND($D209*Übersicht!$C$26,2))</f>
        <v>2.63</v>
      </c>
      <c r="G209" s="28">
        <f>IF($D209&lt;=0,0,MIN($D209,IF(Übersicht!$C$14="Annuitätendarlehen",MAX(0,Übersicht!$C$28-$F209),IF(Übersicht!$C$14="Ratendarlehen",Übersicht!$C$29,IF($A209&gt;=Übersicht!$C$30,$D209,0)))))</f>
        <v>913.92</v>
      </c>
      <c r="H209" s="28">
        <f>IF($D209-$G209&lt;=0,0,IF(MOD($A209,Übersicht!$C$25)=0,MIN(Übersicht!$C$31,$D209-$G209),0))</f>
        <v>0</v>
      </c>
      <c r="I209" s="28">
        <f t="shared" si="23"/>
        <v>916.55</v>
      </c>
      <c r="J209" s="28">
        <f t="shared" si="24"/>
        <v>0</v>
      </c>
      <c r="K209" s="28">
        <f t="shared" si="26"/>
        <v>80072.129999999961</v>
      </c>
      <c r="L209" s="28">
        <f t="shared" si="27"/>
        <v>250000</v>
      </c>
      <c r="M209" s="29">
        <f>IF($D209&lt;=0,"",IF(Übersicht!$C$11=0,0,$L209/Übersicht!$C$11))</f>
        <v>1</v>
      </c>
      <c r="N209" s="30" t="str">
        <f>IF($D209&lt;=0,"",IF($J209&lt;=0.005,"Volltilgung erreicht",IF($A209=Übersicht!$C$19*Übersicht!$C$25,"Ende der Zinsbindung",IF($H209&gt;0,"Sondertilgung verrechnet",""))))</f>
        <v>Volltilgung erreicht</v>
      </c>
      <c r="Q209" s="38">
        <f>IF($S208&lt;=0,0,ROUND($S208*Übersicht!$C$26,2))</f>
        <v>312.10000000000002</v>
      </c>
      <c r="R209" s="38">
        <f>IF($S208&lt;=0,0,MIN($S208,IF(Übersicht!$C$14="Annuitätendarlehen",MAX(0,Übersicht!$C$28-$Q209),IF(Übersicht!$C$14="Ratendarlehen",Übersicht!$C$29,IF($A209&gt;=Übersicht!$C$30,$S208,0)))))</f>
        <v>927.4799999999999</v>
      </c>
      <c r="S209" s="38">
        <f>IF($S208&lt;=0,0,ROUND($S208-$R209-IF($S208-$R209&lt;=0,0,IF(MOD($A209,Übersicht!$C$25)=0,MIN(Szenarien!$C$8,$S208-$R209),0)),2))</f>
        <v>107629.52</v>
      </c>
      <c r="T209" s="38">
        <f>IF($V208&lt;=0,0,ROUND($V208*Übersicht!$C$26,2))</f>
        <v>157.36000000000001</v>
      </c>
      <c r="U209" s="38">
        <f>IF($V208&lt;=0,0,MIN($V208,IF(Übersicht!$C$14="Annuitätendarlehen",MAX(0,Übersicht!$C$28-$T209),IF(Übersicht!$C$14="Ratendarlehen",Übersicht!$C$29,IF($A209&gt;=Übersicht!$C$30,$V208,0)))))</f>
        <v>1082.2199999999998</v>
      </c>
      <c r="V209" s="38">
        <f>IF($V208&lt;=0,0,ROUND($V208-$U209-IF($V208-$U209&lt;=0,0,IF(MOD($A209,Übersicht!$C$25)=0,MIN(Szenarien!$C$9,$V208-$U209),0)),2))</f>
        <v>53653.33</v>
      </c>
      <c r="W209" s="38">
        <f>IF($Y208&lt;=0,0,ROUND($Y208*Übersicht!$C$26,2))</f>
        <v>2.63</v>
      </c>
      <c r="X209" s="38">
        <f>IF($Y208&lt;=0,0,MIN($Y208,IF(Übersicht!$C$14="Annuitätendarlehen",MAX(0,Übersicht!$C$28-$W209),IF(Übersicht!$C$14="Ratendarlehen",Übersicht!$C$29,IF($A209&gt;=Übersicht!$C$30,$Y208,0)))))</f>
        <v>913.92</v>
      </c>
      <c r="Y209" s="38">
        <f>IF($Y208&lt;=0,0,ROUND($Y208-$X209-IF($Y208-$X209&lt;=0,0,IF(MOD($A209,Übersicht!$C$25)=0,MIN(Szenarien!$C$10,$Y208-$X209),0)),2))</f>
        <v>0</v>
      </c>
      <c r="Z209" s="38">
        <f>IF($AB208&lt;=0,0,ROUND($AB208*Übersicht!$C$26,2))</f>
        <v>0</v>
      </c>
      <c r="AA209" s="38">
        <f>IF($AB208&lt;=0,0,MIN($AB208,IF(Übersicht!$C$14="Annuitätendarlehen",MAX(0,Übersicht!$C$28-$Z209),IF(Übersicht!$C$14="Ratendarlehen",Übersicht!$C$29,IF($A209&gt;=Übersicht!$C$30,$AB208,0)))))</f>
        <v>0</v>
      </c>
      <c r="AB209" s="38">
        <f>IF($AB208&lt;=0,0,ROUND($AB208-$AA209-IF($AB208-$AA209&lt;=0,0,IF(MOD($A209,Übersicht!$C$25)=0,MIN(Szenarien!$C$11,$AB208-$AA209),0)),2))</f>
        <v>0</v>
      </c>
      <c r="AC209" s="38">
        <f>IF($AE208&lt;=0,0,ROUND($AE208*Übersicht!$C$26,2))</f>
        <v>0</v>
      </c>
      <c r="AD209" s="38">
        <f>IF($AE208&lt;=0,0,MIN($AE208,IF(Übersicht!$C$14="Annuitätendarlehen",MAX(0,Übersicht!$C$28-$AC209),IF(Übersicht!$C$14="Ratendarlehen",Übersicht!$C$29,IF($A209&gt;=Übersicht!$C$30,$AE208,0)))))</f>
        <v>0</v>
      </c>
      <c r="AE209" s="38">
        <f>IF($AE208&lt;=0,0,ROUND($AE208-$AD209-IF($AE208-$AD209&lt;=0,0,IF(MOD($A209,Übersicht!$C$25)=0,MIN(Szenarien!$C$12,$AE208-$AD209),0)),2))</f>
        <v>0</v>
      </c>
    </row>
    <row r="210" spans="1:31" ht="15" customHeight="1" x14ac:dyDescent="0.25">
      <c r="A210" s="21">
        <v>203</v>
      </c>
      <c r="B210" s="36" t="str">
        <f>IF($D210&lt;=0,"",EDATE(Übersicht!$C$18,($A210-1)*12/Übersicht!$C$25))</f>
        <v/>
      </c>
      <c r="C210" s="21" t="str">
        <f t="shared" si="21"/>
        <v/>
      </c>
      <c r="D210" s="37">
        <f t="shared" si="25"/>
        <v>0</v>
      </c>
      <c r="E210" s="23">
        <f t="shared" si="22"/>
        <v>0</v>
      </c>
      <c r="F210" s="23">
        <f>IF($D210&lt;=0,0,ROUND($D210*Übersicht!$C$26,2))</f>
        <v>0</v>
      </c>
      <c r="G210" s="23">
        <f>IF($D210&lt;=0,0,MIN($D210,IF(Übersicht!$C$14="Annuitätendarlehen",MAX(0,Übersicht!$C$28-$F210),IF(Übersicht!$C$14="Ratendarlehen",Übersicht!$C$29,IF($A210&gt;=Übersicht!$C$30,$D210,0)))))</f>
        <v>0</v>
      </c>
      <c r="H210" s="23">
        <f>IF($D210-$G210&lt;=0,0,IF(MOD($A210,Übersicht!$C$25)=0,MIN(Übersicht!$C$31,$D210-$G210),0))</f>
        <v>0</v>
      </c>
      <c r="I210" s="23">
        <f t="shared" si="23"/>
        <v>0</v>
      </c>
      <c r="J210" s="23">
        <f t="shared" si="24"/>
        <v>0</v>
      </c>
      <c r="K210" s="23">
        <f t="shared" si="26"/>
        <v>80072.129999999961</v>
      </c>
      <c r="L210" s="23">
        <f t="shared" si="27"/>
        <v>250000</v>
      </c>
      <c r="M210" s="24" t="str">
        <f>IF($D210&lt;=0,"",IF(Übersicht!$C$11=0,0,$L210/Übersicht!$C$11))</f>
        <v/>
      </c>
      <c r="N210" s="25" t="str">
        <f>IF($D210&lt;=0,"",IF($J210&lt;=0.005,"Volltilgung erreicht",IF($A210=Übersicht!$C$19*Übersicht!$C$25,"Ende der Zinsbindung",IF($H210&gt;0,"Sondertilgung verrechnet",""))))</f>
        <v/>
      </c>
      <c r="Q210" s="38">
        <f>IF($S209&lt;=0,0,ROUND($S209*Übersicht!$C$26,2))</f>
        <v>309.43</v>
      </c>
      <c r="R210" s="38">
        <f>IF($S209&lt;=0,0,MIN($S209,IF(Übersicht!$C$14="Annuitätendarlehen",MAX(0,Übersicht!$C$28-$Q210),IF(Übersicht!$C$14="Ratendarlehen",Übersicht!$C$29,IF($A210&gt;=Übersicht!$C$30,$S209,0)))))</f>
        <v>930.14999999999986</v>
      </c>
      <c r="S210" s="38">
        <f>IF($S209&lt;=0,0,ROUND($S209-$R210-IF($S209-$R210&lt;=0,0,IF(MOD($A210,Übersicht!$C$25)=0,MIN(Szenarien!$C$8,$S209-$R210),0)),2))</f>
        <v>106699.37</v>
      </c>
      <c r="T210" s="38">
        <f>IF($V209&lt;=0,0,ROUND($V209*Übersicht!$C$26,2))</f>
        <v>154.25</v>
      </c>
      <c r="U210" s="38">
        <f>IF($V209&lt;=0,0,MIN($V209,IF(Übersicht!$C$14="Annuitätendarlehen",MAX(0,Übersicht!$C$28-$T210),IF(Übersicht!$C$14="Ratendarlehen",Übersicht!$C$29,IF($A210&gt;=Übersicht!$C$30,$V209,0)))))</f>
        <v>1085.33</v>
      </c>
      <c r="V210" s="38">
        <f>IF($V209&lt;=0,0,ROUND($V209-$U210-IF($V209-$U210&lt;=0,0,IF(MOD($A210,Übersicht!$C$25)=0,MIN(Szenarien!$C$9,$V209-$U210),0)),2))</f>
        <v>52568</v>
      </c>
      <c r="W210" s="38">
        <f>IF($Y209&lt;=0,0,ROUND($Y209*Übersicht!$C$26,2))</f>
        <v>0</v>
      </c>
      <c r="X210" s="38">
        <f>IF($Y209&lt;=0,0,MIN($Y209,IF(Übersicht!$C$14="Annuitätendarlehen",MAX(0,Übersicht!$C$28-$W210),IF(Übersicht!$C$14="Ratendarlehen",Übersicht!$C$29,IF($A210&gt;=Übersicht!$C$30,$Y209,0)))))</f>
        <v>0</v>
      </c>
      <c r="Y210" s="38">
        <f>IF($Y209&lt;=0,0,ROUND($Y209-$X210-IF($Y209-$X210&lt;=0,0,IF(MOD($A210,Übersicht!$C$25)=0,MIN(Szenarien!$C$10,$Y209-$X210),0)),2))</f>
        <v>0</v>
      </c>
      <c r="Z210" s="38">
        <f>IF($AB209&lt;=0,0,ROUND($AB209*Übersicht!$C$26,2))</f>
        <v>0</v>
      </c>
      <c r="AA210" s="38">
        <f>IF($AB209&lt;=0,0,MIN($AB209,IF(Übersicht!$C$14="Annuitätendarlehen",MAX(0,Übersicht!$C$28-$Z210),IF(Übersicht!$C$14="Ratendarlehen",Übersicht!$C$29,IF($A210&gt;=Übersicht!$C$30,$AB209,0)))))</f>
        <v>0</v>
      </c>
      <c r="AB210" s="38">
        <f>IF($AB209&lt;=0,0,ROUND($AB209-$AA210-IF($AB209-$AA210&lt;=0,0,IF(MOD($A210,Übersicht!$C$25)=0,MIN(Szenarien!$C$11,$AB209-$AA210),0)),2))</f>
        <v>0</v>
      </c>
      <c r="AC210" s="38">
        <f>IF($AE209&lt;=0,0,ROUND($AE209*Übersicht!$C$26,2))</f>
        <v>0</v>
      </c>
      <c r="AD210" s="38">
        <f>IF($AE209&lt;=0,0,MIN($AE209,IF(Übersicht!$C$14="Annuitätendarlehen",MAX(0,Übersicht!$C$28-$AC210),IF(Übersicht!$C$14="Ratendarlehen",Übersicht!$C$29,IF($A210&gt;=Übersicht!$C$30,$AE209,0)))))</f>
        <v>0</v>
      </c>
      <c r="AE210" s="38">
        <f>IF($AE209&lt;=0,0,ROUND($AE209-$AD210-IF($AE209-$AD210&lt;=0,0,IF(MOD($A210,Übersicht!$C$25)=0,MIN(Szenarien!$C$12,$AE209-$AD210),0)),2))</f>
        <v>0</v>
      </c>
    </row>
    <row r="211" spans="1:31" ht="15" customHeight="1" x14ac:dyDescent="0.25">
      <c r="A211" s="26">
        <v>204</v>
      </c>
      <c r="B211" s="39" t="str">
        <f>IF($D211&lt;=0,"",EDATE(Übersicht!$C$18,($A211-1)*12/Übersicht!$C$25))</f>
        <v/>
      </c>
      <c r="C211" s="26" t="str">
        <f t="shared" si="21"/>
        <v/>
      </c>
      <c r="D211" s="40">
        <f t="shared" si="25"/>
        <v>0</v>
      </c>
      <c r="E211" s="28">
        <f t="shared" si="22"/>
        <v>0</v>
      </c>
      <c r="F211" s="28">
        <f>IF($D211&lt;=0,0,ROUND($D211*Übersicht!$C$26,2))</f>
        <v>0</v>
      </c>
      <c r="G211" s="28">
        <f>IF($D211&lt;=0,0,MIN($D211,IF(Übersicht!$C$14="Annuitätendarlehen",MAX(0,Übersicht!$C$28-$F211),IF(Übersicht!$C$14="Ratendarlehen",Übersicht!$C$29,IF($A211&gt;=Übersicht!$C$30,$D211,0)))))</f>
        <v>0</v>
      </c>
      <c r="H211" s="28">
        <f>IF($D211-$G211&lt;=0,0,IF(MOD($A211,Übersicht!$C$25)=0,MIN(Übersicht!$C$31,$D211-$G211),0))</f>
        <v>0</v>
      </c>
      <c r="I211" s="28">
        <f t="shared" si="23"/>
        <v>0</v>
      </c>
      <c r="J211" s="28">
        <f t="shared" si="24"/>
        <v>0</v>
      </c>
      <c r="K211" s="28">
        <f t="shared" si="26"/>
        <v>80072.129999999961</v>
      </c>
      <c r="L211" s="28">
        <f t="shared" si="27"/>
        <v>250000</v>
      </c>
      <c r="M211" s="29" t="str">
        <f>IF($D211&lt;=0,"",IF(Übersicht!$C$11=0,0,$L211/Übersicht!$C$11))</f>
        <v/>
      </c>
      <c r="N211" s="30" t="str">
        <f>IF($D211&lt;=0,"",IF($J211&lt;=0.005,"Volltilgung erreicht",IF($A211=Übersicht!$C$19*Übersicht!$C$25,"Ende der Zinsbindung",IF($H211&gt;0,"Sondertilgung verrechnet",""))))</f>
        <v/>
      </c>
      <c r="Q211" s="38">
        <f>IF($S210&lt;=0,0,ROUND($S210*Übersicht!$C$26,2))</f>
        <v>306.76</v>
      </c>
      <c r="R211" s="38">
        <f>IF($S210&lt;=0,0,MIN($S210,IF(Übersicht!$C$14="Annuitätendarlehen",MAX(0,Übersicht!$C$28-$Q211),IF(Übersicht!$C$14="Ratendarlehen",Übersicht!$C$29,IF($A211&gt;=Übersicht!$C$30,$S210,0)))))</f>
        <v>932.81999999999994</v>
      </c>
      <c r="S211" s="38">
        <f>IF($S210&lt;=0,0,ROUND($S210-$R211-IF($S210-$R211&lt;=0,0,IF(MOD($A211,Übersicht!$C$25)=0,MIN(Szenarien!$C$8,$S210-$R211),0)),2))</f>
        <v>105766.55</v>
      </c>
      <c r="T211" s="38">
        <f>IF($V210&lt;=0,0,ROUND($V210*Übersicht!$C$26,2))</f>
        <v>151.13</v>
      </c>
      <c r="U211" s="38">
        <f>IF($V210&lt;=0,0,MIN($V210,IF(Übersicht!$C$14="Annuitätendarlehen",MAX(0,Übersicht!$C$28-$T211),IF(Übersicht!$C$14="Ratendarlehen",Übersicht!$C$29,IF($A211&gt;=Übersicht!$C$30,$V210,0)))))</f>
        <v>1088.4499999999998</v>
      </c>
      <c r="V211" s="38">
        <f>IF($V210&lt;=0,0,ROUND($V210-$U211-IF($V210-$U211&lt;=0,0,IF(MOD($A211,Übersicht!$C$25)=0,MIN(Szenarien!$C$9,$V210-$U211),0)),2))</f>
        <v>48979.55</v>
      </c>
      <c r="W211" s="38">
        <f>IF($Y210&lt;=0,0,ROUND($Y210*Übersicht!$C$26,2))</f>
        <v>0</v>
      </c>
      <c r="X211" s="38">
        <f>IF($Y210&lt;=0,0,MIN($Y210,IF(Übersicht!$C$14="Annuitätendarlehen",MAX(0,Übersicht!$C$28-$W211),IF(Übersicht!$C$14="Ratendarlehen",Übersicht!$C$29,IF($A211&gt;=Übersicht!$C$30,$Y210,0)))))</f>
        <v>0</v>
      </c>
      <c r="Y211" s="38">
        <f>IF($Y210&lt;=0,0,ROUND($Y210-$X211-IF($Y210-$X211&lt;=0,0,IF(MOD($A211,Übersicht!$C$25)=0,MIN(Szenarien!$C$10,$Y210-$X211),0)),2))</f>
        <v>0</v>
      </c>
      <c r="Z211" s="38">
        <f>IF($AB210&lt;=0,0,ROUND($AB210*Übersicht!$C$26,2))</f>
        <v>0</v>
      </c>
      <c r="AA211" s="38">
        <f>IF($AB210&lt;=0,0,MIN($AB210,IF(Übersicht!$C$14="Annuitätendarlehen",MAX(0,Übersicht!$C$28-$Z211),IF(Übersicht!$C$14="Ratendarlehen",Übersicht!$C$29,IF($A211&gt;=Übersicht!$C$30,$AB210,0)))))</f>
        <v>0</v>
      </c>
      <c r="AB211" s="38">
        <f>IF($AB210&lt;=0,0,ROUND($AB210-$AA211-IF($AB210-$AA211&lt;=0,0,IF(MOD($A211,Übersicht!$C$25)=0,MIN(Szenarien!$C$11,$AB210-$AA211),0)),2))</f>
        <v>0</v>
      </c>
      <c r="AC211" s="38">
        <f>IF($AE210&lt;=0,0,ROUND($AE210*Übersicht!$C$26,2))</f>
        <v>0</v>
      </c>
      <c r="AD211" s="38">
        <f>IF($AE210&lt;=0,0,MIN($AE210,IF(Übersicht!$C$14="Annuitätendarlehen",MAX(0,Übersicht!$C$28-$AC211),IF(Übersicht!$C$14="Ratendarlehen",Übersicht!$C$29,IF($A211&gt;=Übersicht!$C$30,$AE210,0)))))</f>
        <v>0</v>
      </c>
      <c r="AE211" s="38">
        <f>IF($AE210&lt;=0,0,ROUND($AE210-$AD211-IF($AE210-$AD211&lt;=0,0,IF(MOD($A211,Übersicht!$C$25)=0,MIN(Szenarien!$C$12,$AE210-$AD211),0)),2))</f>
        <v>0</v>
      </c>
    </row>
    <row r="212" spans="1:31" ht="15" customHeight="1" x14ac:dyDescent="0.25">
      <c r="A212" s="21">
        <v>205</v>
      </c>
      <c r="B212" s="36" t="str">
        <f>IF($D212&lt;=0,"",EDATE(Übersicht!$C$18,($A212-1)*12/Übersicht!$C$25))</f>
        <v/>
      </c>
      <c r="C212" s="21" t="str">
        <f t="shared" si="21"/>
        <v/>
      </c>
      <c r="D212" s="37">
        <f t="shared" si="25"/>
        <v>0</v>
      </c>
      <c r="E212" s="23">
        <f t="shared" si="22"/>
        <v>0</v>
      </c>
      <c r="F212" s="23">
        <f>IF($D212&lt;=0,0,ROUND($D212*Übersicht!$C$26,2))</f>
        <v>0</v>
      </c>
      <c r="G212" s="23">
        <f>IF($D212&lt;=0,0,MIN($D212,IF(Übersicht!$C$14="Annuitätendarlehen",MAX(0,Übersicht!$C$28-$F212),IF(Übersicht!$C$14="Ratendarlehen",Übersicht!$C$29,IF($A212&gt;=Übersicht!$C$30,$D212,0)))))</f>
        <v>0</v>
      </c>
      <c r="H212" s="23">
        <f>IF($D212-$G212&lt;=0,0,IF(MOD($A212,Übersicht!$C$25)=0,MIN(Übersicht!$C$31,$D212-$G212),0))</f>
        <v>0</v>
      </c>
      <c r="I212" s="23">
        <f t="shared" si="23"/>
        <v>0</v>
      </c>
      <c r="J212" s="23">
        <f t="shared" si="24"/>
        <v>0</v>
      </c>
      <c r="K212" s="23">
        <f t="shared" si="26"/>
        <v>80072.129999999961</v>
      </c>
      <c r="L212" s="23">
        <f t="shared" si="27"/>
        <v>250000</v>
      </c>
      <c r="M212" s="24" t="str">
        <f>IF($D212&lt;=0,"",IF(Übersicht!$C$11=0,0,$L212/Übersicht!$C$11))</f>
        <v/>
      </c>
      <c r="N212" s="25" t="str">
        <f>IF($D212&lt;=0,"",IF($J212&lt;=0.005,"Volltilgung erreicht",IF($A212=Übersicht!$C$19*Übersicht!$C$25,"Ende der Zinsbindung",IF($H212&gt;0,"Sondertilgung verrechnet",""))))</f>
        <v/>
      </c>
      <c r="Q212" s="38">
        <f>IF($S211&lt;=0,0,ROUND($S211*Übersicht!$C$26,2))</f>
        <v>304.08</v>
      </c>
      <c r="R212" s="38">
        <f>IF($S211&lt;=0,0,MIN($S211,IF(Übersicht!$C$14="Annuitätendarlehen",MAX(0,Übersicht!$C$28-$Q212),IF(Übersicht!$C$14="Ratendarlehen",Übersicht!$C$29,IF($A212&gt;=Übersicht!$C$30,$S211,0)))))</f>
        <v>935.5</v>
      </c>
      <c r="S212" s="38">
        <f>IF($S211&lt;=0,0,ROUND($S211-$R212-IF($S211-$R212&lt;=0,0,IF(MOD($A212,Übersicht!$C$25)=0,MIN(Szenarien!$C$8,$S211-$R212),0)),2))</f>
        <v>104831.05</v>
      </c>
      <c r="T212" s="38">
        <f>IF($V211&lt;=0,0,ROUND($V211*Übersicht!$C$26,2))</f>
        <v>140.82</v>
      </c>
      <c r="U212" s="38">
        <f>IF($V211&lt;=0,0,MIN($V211,IF(Übersicht!$C$14="Annuitätendarlehen",MAX(0,Übersicht!$C$28-$T212),IF(Übersicht!$C$14="Ratendarlehen",Übersicht!$C$29,IF($A212&gt;=Übersicht!$C$30,$V211,0)))))</f>
        <v>1098.76</v>
      </c>
      <c r="V212" s="38">
        <f>IF($V211&lt;=0,0,ROUND($V211-$U212-IF($V211-$U212&lt;=0,0,IF(MOD($A212,Übersicht!$C$25)=0,MIN(Szenarien!$C$9,$V211-$U212),0)),2))</f>
        <v>47880.79</v>
      </c>
      <c r="W212" s="38">
        <f>IF($Y211&lt;=0,0,ROUND($Y211*Übersicht!$C$26,2))</f>
        <v>0</v>
      </c>
      <c r="X212" s="38">
        <f>IF($Y211&lt;=0,0,MIN($Y211,IF(Übersicht!$C$14="Annuitätendarlehen",MAX(0,Übersicht!$C$28-$W212),IF(Übersicht!$C$14="Ratendarlehen",Übersicht!$C$29,IF($A212&gt;=Übersicht!$C$30,$Y211,0)))))</f>
        <v>0</v>
      </c>
      <c r="Y212" s="38">
        <f>IF($Y211&lt;=0,0,ROUND($Y211-$X212-IF($Y211-$X212&lt;=0,0,IF(MOD($A212,Übersicht!$C$25)=0,MIN(Szenarien!$C$10,$Y211-$X212),0)),2))</f>
        <v>0</v>
      </c>
      <c r="Z212" s="38">
        <f>IF($AB211&lt;=0,0,ROUND($AB211*Übersicht!$C$26,2))</f>
        <v>0</v>
      </c>
      <c r="AA212" s="38">
        <f>IF($AB211&lt;=0,0,MIN($AB211,IF(Übersicht!$C$14="Annuitätendarlehen",MAX(0,Übersicht!$C$28-$Z212),IF(Übersicht!$C$14="Ratendarlehen",Übersicht!$C$29,IF($A212&gt;=Übersicht!$C$30,$AB211,0)))))</f>
        <v>0</v>
      </c>
      <c r="AB212" s="38">
        <f>IF($AB211&lt;=0,0,ROUND($AB211-$AA212-IF($AB211-$AA212&lt;=0,0,IF(MOD($A212,Übersicht!$C$25)=0,MIN(Szenarien!$C$11,$AB211-$AA212),0)),2))</f>
        <v>0</v>
      </c>
      <c r="AC212" s="38">
        <f>IF($AE211&lt;=0,0,ROUND($AE211*Übersicht!$C$26,2))</f>
        <v>0</v>
      </c>
      <c r="AD212" s="38">
        <f>IF($AE211&lt;=0,0,MIN($AE211,IF(Übersicht!$C$14="Annuitätendarlehen",MAX(0,Übersicht!$C$28-$AC212),IF(Übersicht!$C$14="Ratendarlehen",Übersicht!$C$29,IF($A212&gt;=Übersicht!$C$30,$AE211,0)))))</f>
        <v>0</v>
      </c>
      <c r="AE212" s="38">
        <f>IF($AE211&lt;=0,0,ROUND($AE211-$AD212-IF($AE211-$AD212&lt;=0,0,IF(MOD($A212,Übersicht!$C$25)=0,MIN(Szenarien!$C$12,$AE211-$AD212),0)),2))</f>
        <v>0</v>
      </c>
    </row>
    <row r="213" spans="1:31" ht="15" customHeight="1" x14ac:dyDescent="0.25">
      <c r="A213" s="26">
        <v>206</v>
      </c>
      <c r="B213" s="39" t="str">
        <f>IF($D213&lt;=0,"",EDATE(Übersicht!$C$18,($A213-1)*12/Übersicht!$C$25))</f>
        <v/>
      </c>
      <c r="C213" s="26" t="str">
        <f t="shared" si="21"/>
        <v/>
      </c>
      <c r="D213" s="40">
        <f t="shared" si="25"/>
        <v>0</v>
      </c>
      <c r="E213" s="28">
        <f t="shared" si="22"/>
        <v>0</v>
      </c>
      <c r="F213" s="28">
        <f>IF($D213&lt;=0,0,ROUND($D213*Übersicht!$C$26,2))</f>
        <v>0</v>
      </c>
      <c r="G213" s="28">
        <f>IF($D213&lt;=0,0,MIN($D213,IF(Übersicht!$C$14="Annuitätendarlehen",MAX(0,Übersicht!$C$28-$F213),IF(Übersicht!$C$14="Ratendarlehen",Übersicht!$C$29,IF($A213&gt;=Übersicht!$C$30,$D213,0)))))</f>
        <v>0</v>
      </c>
      <c r="H213" s="28">
        <f>IF($D213-$G213&lt;=0,0,IF(MOD($A213,Übersicht!$C$25)=0,MIN(Übersicht!$C$31,$D213-$G213),0))</f>
        <v>0</v>
      </c>
      <c r="I213" s="28">
        <f t="shared" si="23"/>
        <v>0</v>
      </c>
      <c r="J213" s="28">
        <f t="shared" si="24"/>
        <v>0</v>
      </c>
      <c r="K213" s="28">
        <f t="shared" si="26"/>
        <v>80072.129999999961</v>
      </c>
      <c r="L213" s="28">
        <f t="shared" si="27"/>
        <v>250000</v>
      </c>
      <c r="M213" s="29" t="str">
        <f>IF($D213&lt;=0,"",IF(Übersicht!$C$11=0,0,$L213/Übersicht!$C$11))</f>
        <v/>
      </c>
      <c r="N213" s="30" t="str">
        <f>IF($D213&lt;=0,"",IF($J213&lt;=0.005,"Volltilgung erreicht",IF($A213=Übersicht!$C$19*Übersicht!$C$25,"Ende der Zinsbindung",IF($H213&gt;0,"Sondertilgung verrechnet",""))))</f>
        <v/>
      </c>
      <c r="Q213" s="38">
        <f>IF($S212&lt;=0,0,ROUND($S212*Übersicht!$C$26,2))</f>
        <v>301.39</v>
      </c>
      <c r="R213" s="38">
        <f>IF($S212&lt;=0,0,MIN($S212,IF(Übersicht!$C$14="Annuitätendarlehen",MAX(0,Übersicht!$C$28-$Q213),IF(Übersicht!$C$14="Ratendarlehen",Übersicht!$C$29,IF($A213&gt;=Übersicht!$C$30,$S212,0)))))</f>
        <v>938.18999999999994</v>
      </c>
      <c r="S213" s="38">
        <f>IF($S212&lt;=0,0,ROUND($S212-$R213-IF($S212-$R213&lt;=0,0,IF(MOD($A213,Übersicht!$C$25)=0,MIN(Szenarien!$C$8,$S212-$R213),0)),2))</f>
        <v>103892.86</v>
      </c>
      <c r="T213" s="38">
        <f>IF($V212&lt;=0,0,ROUND($V212*Übersicht!$C$26,2))</f>
        <v>137.66</v>
      </c>
      <c r="U213" s="38">
        <f>IF($V212&lt;=0,0,MIN($V212,IF(Übersicht!$C$14="Annuitätendarlehen",MAX(0,Übersicht!$C$28-$T213),IF(Übersicht!$C$14="Ratendarlehen",Übersicht!$C$29,IF($A213&gt;=Übersicht!$C$30,$V212,0)))))</f>
        <v>1101.9199999999998</v>
      </c>
      <c r="V213" s="38">
        <f>IF($V212&lt;=0,0,ROUND($V212-$U213-IF($V212-$U213&lt;=0,0,IF(MOD($A213,Übersicht!$C$25)=0,MIN(Szenarien!$C$9,$V212-$U213),0)),2))</f>
        <v>46778.87</v>
      </c>
      <c r="W213" s="38">
        <f>IF($Y212&lt;=0,0,ROUND($Y212*Übersicht!$C$26,2))</f>
        <v>0</v>
      </c>
      <c r="X213" s="38">
        <f>IF($Y212&lt;=0,0,MIN($Y212,IF(Übersicht!$C$14="Annuitätendarlehen",MAX(0,Übersicht!$C$28-$W213),IF(Übersicht!$C$14="Ratendarlehen",Übersicht!$C$29,IF($A213&gt;=Übersicht!$C$30,$Y212,0)))))</f>
        <v>0</v>
      </c>
      <c r="Y213" s="38">
        <f>IF($Y212&lt;=0,0,ROUND($Y212-$X213-IF($Y212-$X213&lt;=0,0,IF(MOD($A213,Übersicht!$C$25)=0,MIN(Szenarien!$C$10,$Y212-$X213),0)),2))</f>
        <v>0</v>
      </c>
      <c r="Z213" s="38">
        <f>IF($AB212&lt;=0,0,ROUND($AB212*Übersicht!$C$26,2))</f>
        <v>0</v>
      </c>
      <c r="AA213" s="38">
        <f>IF($AB212&lt;=0,0,MIN($AB212,IF(Übersicht!$C$14="Annuitätendarlehen",MAX(0,Übersicht!$C$28-$Z213),IF(Übersicht!$C$14="Ratendarlehen",Übersicht!$C$29,IF($A213&gt;=Übersicht!$C$30,$AB212,0)))))</f>
        <v>0</v>
      </c>
      <c r="AB213" s="38">
        <f>IF($AB212&lt;=0,0,ROUND($AB212-$AA213-IF($AB212-$AA213&lt;=0,0,IF(MOD($A213,Übersicht!$C$25)=0,MIN(Szenarien!$C$11,$AB212-$AA213),0)),2))</f>
        <v>0</v>
      </c>
      <c r="AC213" s="38">
        <f>IF($AE212&lt;=0,0,ROUND($AE212*Übersicht!$C$26,2))</f>
        <v>0</v>
      </c>
      <c r="AD213" s="38">
        <f>IF($AE212&lt;=0,0,MIN($AE212,IF(Übersicht!$C$14="Annuitätendarlehen",MAX(0,Übersicht!$C$28-$AC213),IF(Übersicht!$C$14="Ratendarlehen",Übersicht!$C$29,IF($A213&gt;=Übersicht!$C$30,$AE212,0)))))</f>
        <v>0</v>
      </c>
      <c r="AE213" s="38">
        <f>IF($AE212&lt;=0,0,ROUND($AE212-$AD213-IF($AE212-$AD213&lt;=0,0,IF(MOD($A213,Übersicht!$C$25)=0,MIN(Szenarien!$C$12,$AE212-$AD213),0)),2))</f>
        <v>0</v>
      </c>
    </row>
    <row r="214" spans="1:31" ht="15" customHeight="1" x14ac:dyDescent="0.25">
      <c r="A214" s="21">
        <v>207</v>
      </c>
      <c r="B214" s="36" t="str">
        <f>IF($D214&lt;=0,"",EDATE(Übersicht!$C$18,($A214-1)*12/Übersicht!$C$25))</f>
        <v/>
      </c>
      <c r="C214" s="21" t="str">
        <f t="shared" si="21"/>
        <v/>
      </c>
      <c r="D214" s="37">
        <f t="shared" si="25"/>
        <v>0</v>
      </c>
      <c r="E214" s="23">
        <f t="shared" si="22"/>
        <v>0</v>
      </c>
      <c r="F214" s="23">
        <f>IF($D214&lt;=0,0,ROUND($D214*Übersicht!$C$26,2))</f>
        <v>0</v>
      </c>
      <c r="G214" s="23">
        <f>IF($D214&lt;=0,0,MIN($D214,IF(Übersicht!$C$14="Annuitätendarlehen",MAX(0,Übersicht!$C$28-$F214),IF(Übersicht!$C$14="Ratendarlehen",Übersicht!$C$29,IF($A214&gt;=Übersicht!$C$30,$D214,0)))))</f>
        <v>0</v>
      </c>
      <c r="H214" s="23">
        <f>IF($D214-$G214&lt;=0,0,IF(MOD($A214,Übersicht!$C$25)=0,MIN(Übersicht!$C$31,$D214-$G214),0))</f>
        <v>0</v>
      </c>
      <c r="I214" s="23">
        <f t="shared" si="23"/>
        <v>0</v>
      </c>
      <c r="J214" s="23">
        <f t="shared" si="24"/>
        <v>0</v>
      </c>
      <c r="K214" s="23">
        <f t="shared" si="26"/>
        <v>80072.129999999961</v>
      </c>
      <c r="L214" s="23">
        <f t="shared" si="27"/>
        <v>250000</v>
      </c>
      <c r="M214" s="24" t="str">
        <f>IF($D214&lt;=0,"",IF(Übersicht!$C$11=0,0,$L214/Übersicht!$C$11))</f>
        <v/>
      </c>
      <c r="N214" s="25" t="str">
        <f>IF($D214&lt;=0,"",IF($J214&lt;=0.005,"Volltilgung erreicht",IF($A214=Übersicht!$C$19*Übersicht!$C$25,"Ende der Zinsbindung",IF($H214&gt;0,"Sondertilgung verrechnet",""))))</f>
        <v/>
      </c>
      <c r="Q214" s="38">
        <f>IF($S213&lt;=0,0,ROUND($S213*Übersicht!$C$26,2))</f>
        <v>298.69</v>
      </c>
      <c r="R214" s="38">
        <f>IF($S213&lt;=0,0,MIN($S213,IF(Übersicht!$C$14="Annuitätendarlehen",MAX(0,Übersicht!$C$28-$Q214),IF(Übersicht!$C$14="Ratendarlehen",Übersicht!$C$29,IF($A214&gt;=Übersicht!$C$30,$S213,0)))))</f>
        <v>940.88999999999987</v>
      </c>
      <c r="S214" s="38">
        <f>IF($S213&lt;=0,0,ROUND($S213-$R214-IF($S213-$R214&lt;=0,0,IF(MOD($A214,Übersicht!$C$25)=0,MIN(Szenarien!$C$8,$S213-$R214),0)),2))</f>
        <v>102951.97</v>
      </c>
      <c r="T214" s="38">
        <f>IF($V213&lt;=0,0,ROUND($V213*Übersicht!$C$26,2))</f>
        <v>134.49</v>
      </c>
      <c r="U214" s="38">
        <f>IF($V213&lt;=0,0,MIN($V213,IF(Übersicht!$C$14="Annuitätendarlehen",MAX(0,Übersicht!$C$28-$T214),IF(Übersicht!$C$14="Ratendarlehen",Übersicht!$C$29,IF($A214&gt;=Übersicht!$C$30,$V213,0)))))</f>
        <v>1105.0899999999999</v>
      </c>
      <c r="V214" s="38">
        <f>IF($V213&lt;=0,0,ROUND($V213-$U214-IF($V213-$U214&lt;=0,0,IF(MOD($A214,Übersicht!$C$25)=0,MIN(Szenarien!$C$9,$V213-$U214),0)),2))</f>
        <v>45673.78</v>
      </c>
      <c r="W214" s="38">
        <f>IF($Y213&lt;=0,0,ROUND($Y213*Übersicht!$C$26,2))</f>
        <v>0</v>
      </c>
      <c r="X214" s="38">
        <f>IF($Y213&lt;=0,0,MIN($Y213,IF(Übersicht!$C$14="Annuitätendarlehen",MAX(0,Übersicht!$C$28-$W214),IF(Übersicht!$C$14="Ratendarlehen",Übersicht!$C$29,IF($A214&gt;=Übersicht!$C$30,$Y213,0)))))</f>
        <v>0</v>
      </c>
      <c r="Y214" s="38">
        <f>IF($Y213&lt;=0,0,ROUND($Y213-$X214-IF($Y213-$X214&lt;=0,0,IF(MOD($A214,Übersicht!$C$25)=0,MIN(Szenarien!$C$10,$Y213-$X214),0)),2))</f>
        <v>0</v>
      </c>
      <c r="Z214" s="38">
        <f>IF($AB213&lt;=0,0,ROUND($AB213*Übersicht!$C$26,2))</f>
        <v>0</v>
      </c>
      <c r="AA214" s="38">
        <f>IF($AB213&lt;=0,0,MIN($AB213,IF(Übersicht!$C$14="Annuitätendarlehen",MAX(0,Übersicht!$C$28-$Z214),IF(Übersicht!$C$14="Ratendarlehen",Übersicht!$C$29,IF($A214&gt;=Übersicht!$C$30,$AB213,0)))))</f>
        <v>0</v>
      </c>
      <c r="AB214" s="38">
        <f>IF($AB213&lt;=0,0,ROUND($AB213-$AA214-IF($AB213-$AA214&lt;=0,0,IF(MOD($A214,Übersicht!$C$25)=0,MIN(Szenarien!$C$11,$AB213-$AA214),0)),2))</f>
        <v>0</v>
      </c>
      <c r="AC214" s="38">
        <f>IF($AE213&lt;=0,0,ROUND($AE213*Übersicht!$C$26,2))</f>
        <v>0</v>
      </c>
      <c r="AD214" s="38">
        <f>IF($AE213&lt;=0,0,MIN($AE213,IF(Übersicht!$C$14="Annuitätendarlehen",MAX(0,Übersicht!$C$28-$AC214),IF(Übersicht!$C$14="Ratendarlehen",Übersicht!$C$29,IF($A214&gt;=Übersicht!$C$30,$AE213,0)))))</f>
        <v>0</v>
      </c>
      <c r="AE214" s="38">
        <f>IF($AE213&lt;=0,0,ROUND($AE213-$AD214-IF($AE213-$AD214&lt;=0,0,IF(MOD($A214,Übersicht!$C$25)=0,MIN(Szenarien!$C$12,$AE213-$AD214),0)),2))</f>
        <v>0</v>
      </c>
    </row>
    <row r="215" spans="1:31" ht="15" customHeight="1" x14ac:dyDescent="0.25">
      <c r="A215" s="26">
        <v>208</v>
      </c>
      <c r="B215" s="39" t="str">
        <f>IF($D215&lt;=0,"",EDATE(Übersicht!$C$18,($A215-1)*12/Übersicht!$C$25))</f>
        <v/>
      </c>
      <c r="C215" s="26" t="str">
        <f t="shared" si="21"/>
        <v/>
      </c>
      <c r="D215" s="40">
        <f t="shared" si="25"/>
        <v>0</v>
      </c>
      <c r="E215" s="28">
        <f t="shared" si="22"/>
        <v>0</v>
      </c>
      <c r="F215" s="28">
        <f>IF($D215&lt;=0,0,ROUND($D215*Übersicht!$C$26,2))</f>
        <v>0</v>
      </c>
      <c r="G215" s="28">
        <f>IF($D215&lt;=0,0,MIN($D215,IF(Übersicht!$C$14="Annuitätendarlehen",MAX(0,Übersicht!$C$28-$F215),IF(Übersicht!$C$14="Ratendarlehen",Übersicht!$C$29,IF($A215&gt;=Übersicht!$C$30,$D215,0)))))</f>
        <v>0</v>
      </c>
      <c r="H215" s="28">
        <f>IF($D215-$G215&lt;=0,0,IF(MOD($A215,Übersicht!$C$25)=0,MIN(Übersicht!$C$31,$D215-$G215),0))</f>
        <v>0</v>
      </c>
      <c r="I215" s="28">
        <f t="shared" si="23"/>
        <v>0</v>
      </c>
      <c r="J215" s="28">
        <f t="shared" si="24"/>
        <v>0</v>
      </c>
      <c r="K215" s="28">
        <f t="shared" si="26"/>
        <v>80072.129999999961</v>
      </c>
      <c r="L215" s="28">
        <f t="shared" si="27"/>
        <v>250000</v>
      </c>
      <c r="M215" s="29" t="str">
        <f>IF($D215&lt;=0,"",IF(Übersicht!$C$11=0,0,$L215/Übersicht!$C$11))</f>
        <v/>
      </c>
      <c r="N215" s="30" t="str">
        <f>IF($D215&lt;=0,"",IF($J215&lt;=0.005,"Volltilgung erreicht",IF($A215=Übersicht!$C$19*Übersicht!$C$25,"Ende der Zinsbindung",IF($H215&gt;0,"Sondertilgung verrechnet",""))))</f>
        <v/>
      </c>
      <c r="Q215" s="38">
        <f>IF($S214&lt;=0,0,ROUND($S214*Übersicht!$C$26,2))</f>
        <v>295.99</v>
      </c>
      <c r="R215" s="38">
        <f>IF($S214&lt;=0,0,MIN($S214,IF(Übersicht!$C$14="Annuitätendarlehen",MAX(0,Übersicht!$C$28-$Q215),IF(Übersicht!$C$14="Ratendarlehen",Übersicht!$C$29,IF($A215&gt;=Übersicht!$C$30,$S214,0)))))</f>
        <v>943.58999999999992</v>
      </c>
      <c r="S215" s="38">
        <f>IF($S214&lt;=0,0,ROUND($S214-$R215-IF($S214-$R215&lt;=0,0,IF(MOD($A215,Übersicht!$C$25)=0,MIN(Szenarien!$C$8,$S214-$R215),0)),2))</f>
        <v>102008.38</v>
      </c>
      <c r="T215" s="38">
        <f>IF($V214&lt;=0,0,ROUND($V214*Übersicht!$C$26,2))</f>
        <v>131.31</v>
      </c>
      <c r="U215" s="38">
        <f>IF($V214&lt;=0,0,MIN($V214,IF(Übersicht!$C$14="Annuitätendarlehen",MAX(0,Übersicht!$C$28-$T215),IF(Übersicht!$C$14="Ratendarlehen",Übersicht!$C$29,IF($A215&gt;=Übersicht!$C$30,$V214,0)))))</f>
        <v>1108.27</v>
      </c>
      <c r="V215" s="38">
        <f>IF($V214&lt;=0,0,ROUND($V214-$U215-IF($V214-$U215&lt;=0,0,IF(MOD($A215,Übersicht!$C$25)=0,MIN(Szenarien!$C$9,$V214-$U215),0)),2))</f>
        <v>44565.51</v>
      </c>
      <c r="W215" s="38">
        <f>IF($Y214&lt;=0,0,ROUND($Y214*Übersicht!$C$26,2))</f>
        <v>0</v>
      </c>
      <c r="X215" s="38">
        <f>IF($Y214&lt;=0,0,MIN($Y214,IF(Übersicht!$C$14="Annuitätendarlehen",MAX(0,Übersicht!$C$28-$W215),IF(Übersicht!$C$14="Ratendarlehen",Übersicht!$C$29,IF($A215&gt;=Übersicht!$C$30,$Y214,0)))))</f>
        <v>0</v>
      </c>
      <c r="Y215" s="38">
        <f>IF($Y214&lt;=0,0,ROUND($Y214-$X215-IF($Y214-$X215&lt;=0,0,IF(MOD($A215,Übersicht!$C$25)=0,MIN(Szenarien!$C$10,$Y214-$X215),0)),2))</f>
        <v>0</v>
      </c>
      <c r="Z215" s="38">
        <f>IF($AB214&lt;=0,0,ROUND($AB214*Übersicht!$C$26,2))</f>
        <v>0</v>
      </c>
      <c r="AA215" s="38">
        <f>IF($AB214&lt;=0,0,MIN($AB214,IF(Übersicht!$C$14="Annuitätendarlehen",MAX(0,Übersicht!$C$28-$Z215),IF(Übersicht!$C$14="Ratendarlehen",Übersicht!$C$29,IF($A215&gt;=Übersicht!$C$30,$AB214,0)))))</f>
        <v>0</v>
      </c>
      <c r="AB215" s="38">
        <f>IF($AB214&lt;=0,0,ROUND($AB214-$AA215-IF($AB214-$AA215&lt;=0,0,IF(MOD($A215,Übersicht!$C$25)=0,MIN(Szenarien!$C$11,$AB214-$AA215),0)),2))</f>
        <v>0</v>
      </c>
      <c r="AC215" s="38">
        <f>IF($AE214&lt;=0,0,ROUND($AE214*Übersicht!$C$26,2))</f>
        <v>0</v>
      </c>
      <c r="AD215" s="38">
        <f>IF($AE214&lt;=0,0,MIN($AE214,IF(Übersicht!$C$14="Annuitätendarlehen",MAX(0,Übersicht!$C$28-$AC215),IF(Übersicht!$C$14="Ratendarlehen",Übersicht!$C$29,IF($A215&gt;=Übersicht!$C$30,$AE214,0)))))</f>
        <v>0</v>
      </c>
      <c r="AE215" s="38">
        <f>IF($AE214&lt;=0,0,ROUND($AE214-$AD215-IF($AE214-$AD215&lt;=0,0,IF(MOD($A215,Übersicht!$C$25)=0,MIN(Szenarien!$C$12,$AE214-$AD215),0)),2))</f>
        <v>0</v>
      </c>
    </row>
    <row r="216" spans="1:31" ht="15" customHeight="1" x14ac:dyDescent="0.25">
      <c r="A216" s="21">
        <v>209</v>
      </c>
      <c r="B216" s="36" t="str">
        <f>IF($D216&lt;=0,"",EDATE(Übersicht!$C$18,($A216-1)*12/Übersicht!$C$25))</f>
        <v/>
      </c>
      <c r="C216" s="21" t="str">
        <f t="shared" si="21"/>
        <v/>
      </c>
      <c r="D216" s="37">
        <f t="shared" si="25"/>
        <v>0</v>
      </c>
      <c r="E216" s="23">
        <f t="shared" si="22"/>
        <v>0</v>
      </c>
      <c r="F216" s="23">
        <f>IF($D216&lt;=0,0,ROUND($D216*Übersicht!$C$26,2))</f>
        <v>0</v>
      </c>
      <c r="G216" s="23">
        <f>IF($D216&lt;=0,0,MIN($D216,IF(Übersicht!$C$14="Annuitätendarlehen",MAX(0,Übersicht!$C$28-$F216),IF(Übersicht!$C$14="Ratendarlehen",Übersicht!$C$29,IF($A216&gt;=Übersicht!$C$30,$D216,0)))))</f>
        <v>0</v>
      </c>
      <c r="H216" s="23">
        <f>IF($D216-$G216&lt;=0,0,IF(MOD($A216,Übersicht!$C$25)=0,MIN(Übersicht!$C$31,$D216-$G216),0))</f>
        <v>0</v>
      </c>
      <c r="I216" s="23">
        <f t="shared" si="23"/>
        <v>0</v>
      </c>
      <c r="J216" s="23">
        <f t="shared" si="24"/>
        <v>0</v>
      </c>
      <c r="K216" s="23">
        <f t="shared" si="26"/>
        <v>80072.129999999961</v>
      </c>
      <c r="L216" s="23">
        <f t="shared" si="27"/>
        <v>250000</v>
      </c>
      <c r="M216" s="24" t="str">
        <f>IF($D216&lt;=0,"",IF(Übersicht!$C$11=0,0,$L216/Übersicht!$C$11))</f>
        <v/>
      </c>
      <c r="N216" s="25" t="str">
        <f>IF($D216&lt;=0,"",IF($J216&lt;=0.005,"Volltilgung erreicht",IF($A216=Übersicht!$C$19*Übersicht!$C$25,"Ende der Zinsbindung",IF($H216&gt;0,"Sondertilgung verrechnet",""))))</f>
        <v/>
      </c>
      <c r="Q216" s="38">
        <f>IF($S215&lt;=0,0,ROUND($S215*Übersicht!$C$26,2))</f>
        <v>293.27</v>
      </c>
      <c r="R216" s="38">
        <f>IF($S215&lt;=0,0,MIN($S215,IF(Übersicht!$C$14="Annuitätendarlehen",MAX(0,Übersicht!$C$28-$Q216),IF(Übersicht!$C$14="Ratendarlehen",Übersicht!$C$29,IF($A216&gt;=Übersicht!$C$30,$S215,0)))))</f>
        <v>946.31</v>
      </c>
      <c r="S216" s="38">
        <f>IF($S215&lt;=0,0,ROUND($S215-$R216-IF($S215-$R216&lt;=0,0,IF(MOD($A216,Übersicht!$C$25)=0,MIN(Szenarien!$C$8,$S215-$R216),0)),2))</f>
        <v>101062.07</v>
      </c>
      <c r="T216" s="38">
        <f>IF($V215&lt;=0,0,ROUND($V215*Übersicht!$C$26,2))</f>
        <v>128.13</v>
      </c>
      <c r="U216" s="38">
        <f>IF($V215&lt;=0,0,MIN($V215,IF(Übersicht!$C$14="Annuitätendarlehen",MAX(0,Übersicht!$C$28-$T216),IF(Übersicht!$C$14="Ratendarlehen",Übersicht!$C$29,IF($A216&gt;=Übersicht!$C$30,$V215,0)))))</f>
        <v>1111.4499999999998</v>
      </c>
      <c r="V216" s="38">
        <f>IF($V215&lt;=0,0,ROUND($V215-$U216-IF($V215-$U216&lt;=0,0,IF(MOD($A216,Übersicht!$C$25)=0,MIN(Szenarien!$C$9,$V215-$U216),0)),2))</f>
        <v>43454.06</v>
      </c>
      <c r="W216" s="38">
        <f>IF($Y215&lt;=0,0,ROUND($Y215*Übersicht!$C$26,2))</f>
        <v>0</v>
      </c>
      <c r="X216" s="38">
        <f>IF($Y215&lt;=0,0,MIN($Y215,IF(Übersicht!$C$14="Annuitätendarlehen",MAX(0,Übersicht!$C$28-$W216),IF(Übersicht!$C$14="Ratendarlehen",Übersicht!$C$29,IF($A216&gt;=Übersicht!$C$30,$Y215,0)))))</f>
        <v>0</v>
      </c>
      <c r="Y216" s="38">
        <f>IF($Y215&lt;=0,0,ROUND($Y215-$X216-IF($Y215-$X216&lt;=0,0,IF(MOD($A216,Übersicht!$C$25)=0,MIN(Szenarien!$C$10,$Y215-$X216),0)),2))</f>
        <v>0</v>
      </c>
      <c r="Z216" s="38">
        <f>IF($AB215&lt;=0,0,ROUND($AB215*Übersicht!$C$26,2))</f>
        <v>0</v>
      </c>
      <c r="AA216" s="38">
        <f>IF($AB215&lt;=0,0,MIN($AB215,IF(Übersicht!$C$14="Annuitätendarlehen",MAX(0,Übersicht!$C$28-$Z216),IF(Übersicht!$C$14="Ratendarlehen",Übersicht!$C$29,IF($A216&gt;=Übersicht!$C$30,$AB215,0)))))</f>
        <v>0</v>
      </c>
      <c r="AB216" s="38">
        <f>IF($AB215&lt;=0,0,ROUND($AB215-$AA216-IF($AB215-$AA216&lt;=0,0,IF(MOD($A216,Übersicht!$C$25)=0,MIN(Szenarien!$C$11,$AB215-$AA216),0)),2))</f>
        <v>0</v>
      </c>
      <c r="AC216" s="38">
        <f>IF($AE215&lt;=0,0,ROUND($AE215*Übersicht!$C$26,2))</f>
        <v>0</v>
      </c>
      <c r="AD216" s="38">
        <f>IF($AE215&lt;=0,0,MIN($AE215,IF(Übersicht!$C$14="Annuitätendarlehen",MAX(0,Übersicht!$C$28-$AC216),IF(Übersicht!$C$14="Ratendarlehen",Übersicht!$C$29,IF($A216&gt;=Übersicht!$C$30,$AE215,0)))))</f>
        <v>0</v>
      </c>
      <c r="AE216" s="38">
        <f>IF($AE215&lt;=0,0,ROUND($AE215-$AD216-IF($AE215-$AD216&lt;=0,0,IF(MOD($A216,Übersicht!$C$25)=0,MIN(Szenarien!$C$12,$AE215-$AD216),0)),2))</f>
        <v>0</v>
      </c>
    </row>
    <row r="217" spans="1:31" ht="15" customHeight="1" x14ac:dyDescent="0.25">
      <c r="A217" s="26">
        <v>210</v>
      </c>
      <c r="B217" s="39" t="str">
        <f>IF($D217&lt;=0,"",EDATE(Übersicht!$C$18,($A217-1)*12/Übersicht!$C$25))</f>
        <v/>
      </c>
      <c r="C217" s="26" t="str">
        <f t="shared" si="21"/>
        <v/>
      </c>
      <c r="D217" s="40">
        <f t="shared" si="25"/>
        <v>0</v>
      </c>
      <c r="E217" s="28">
        <f t="shared" si="22"/>
        <v>0</v>
      </c>
      <c r="F217" s="28">
        <f>IF($D217&lt;=0,0,ROUND($D217*Übersicht!$C$26,2))</f>
        <v>0</v>
      </c>
      <c r="G217" s="28">
        <f>IF($D217&lt;=0,0,MIN($D217,IF(Übersicht!$C$14="Annuitätendarlehen",MAX(0,Übersicht!$C$28-$F217),IF(Übersicht!$C$14="Ratendarlehen",Übersicht!$C$29,IF($A217&gt;=Übersicht!$C$30,$D217,0)))))</f>
        <v>0</v>
      </c>
      <c r="H217" s="28">
        <f>IF($D217-$G217&lt;=0,0,IF(MOD($A217,Übersicht!$C$25)=0,MIN(Übersicht!$C$31,$D217-$G217),0))</f>
        <v>0</v>
      </c>
      <c r="I217" s="28">
        <f t="shared" si="23"/>
        <v>0</v>
      </c>
      <c r="J217" s="28">
        <f t="shared" si="24"/>
        <v>0</v>
      </c>
      <c r="K217" s="28">
        <f t="shared" si="26"/>
        <v>80072.129999999961</v>
      </c>
      <c r="L217" s="28">
        <f t="shared" si="27"/>
        <v>250000</v>
      </c>
      <c r="M217" s="29" t="str">
        <f>IF($D217&lt;=0,"",IF(Übersicht!$C$11=0,0,$L217/Übersicht!$C$11))</f>
        <v/>
      </c>
      <c r="N217" s="30" t="str">
        <f>IF($D217&lt;=0,"",IF($J217&lt;=0.005,"Volltilgung erreicht",IF($A217=Übersicht!$C$19*Übersicht!$C$25,"Ende der Zinsbindung",IF($H217&gt;0,"Sondertilgung verrechnet",""))))</f>
        <v/>
      </c>
      <c r="Q217" s="38">
        <f>IF($S216&lt;=0,0,ROUND($S216*Übersicht!$C$26,2))</f>
        <v>290.55</v>
      </c>
      <c r="R217" s="38">
        <f>IF($S216&lt;=0,0,MIN($S216,IF(Übersicht!$C$14="Annuitätendarlehen",MAX(0,Übersicht!$C$28-$Q217),IF(Übersicht!$C$14="Ratendarlehen",Übersicht!$C$29,IF($A217&gt;=Übersicht!$C$30,$S216,0)))))</f>
        <v>949.03</v>
      </c>
      <c r="S217" s="38">
        <f>IF($S216&lt;=0,0,ROUND($S216-$R217-IF($S216-$R217&lt;=0,0,IF(MOD($A217,Übersicht!$C$25)=0,MIN(Szenarien!$C$8,$S216-$R217),0)),2))</f>
        <v>100113.04</v>
      </c>
      <c r="T217" s="38">
        <f>IF($V216&lt;=0,0,ROUND($V216*Übersicht!$C$26,2))</f>
        <v>124.93</v>
      </c>
      <c r="U217" s="38">
        <f>IF($V216&lt;=0,0,MIN($V216,IF(Übersicht!$C$14="Annuitätendarlehen",MAX(0,Übersicht!$C$28-$T217),IF(Übersicht!$C$14="Ratendarlehen",Übersicht!$C$29,IF($A217&gt;=Übersicht!$C$30,$V216,0)))))</f>
        <v>1114.6499999999999</v>
      </c>
      <c r="V217" s="38">
        <f>IF($V216&lt;=0,0,ROUND($V216-$U217-IF($V216-$U217&lt;=0,0,IF(MOD($A217,Übersicht!$C$25)=0,MIN(Szenarien!$C$9,$V216-$U217),0)),2))</f>
        <v>42339.41</v>
      </c>
      <c r="W217" s="38">
        <f>IF($Y216&lt;=0,0,ROUND($Y216*Übersicht!$C$26,2))</f>
        <v>0</v>
      </c>
      <c r="X217" s="38">
        <f>IF($Y216&lt;=0,0,MIN($Y216,IF(Übersicht!$C$14="Annuitätendarlehen",MAX(0,Übersicht!$C$28-$W217),IF(Übersicht!$C$14="Ratendarlehen",Übersicht!$C$29,IF($A217&gt;=Übersicht!$C$30,$Y216,0)))))</f>
        <v>0</v>
      </c>
      <c r="Y217" s="38">
        <f>IF($Y216&lt;=0,0,ROUND($Y216-$X217-IF($Y216-$X217&lt;=0,0,IF(MOD($A217,Übersicht!$C$25)=0,MIN(Szenarien!$C$10,$Y216-$X217),0)),2))</f>
        <v>0</v>
      </c>
      <c r="Z217" s="38">
        <f>IF($AB216&lt;=0,0,ROUND($AB216*Übersicht!$C$26,2))</f>
        <v>0</v>
      </c>
      <c r="AA217" s="38">
        <f>IF($AB216&lt;=0,0,MIN($AB216,IF(Übersicht!$C$14="Annuitätendarlehen",MAX(0,Übersicht!$C$28-$Z217),IF(Übersicht!$C$14="Ratendarlehen",Übersicht!$C$29,IF($A217&gt;=Übersicht!$C$30,$AB216,0)))))</f>
        <v>0</v>
      </c>
      <c r="AB217" s="38">
        <f>IF($AB216&lt;=0,0,ROUND($AB216-$AA217-IF($AB216-$AA217&lt;=0,0,IF(MOD($A217,Übersicht!$C$25)=0,MIN(Szenarien!$C$11,$AB216-$AA217),0)),2))</f>
        <v>0</v>
      </c>
      <c r="AC217" s="38">
        <f>IF($AE216&lt;=0,0,ROUND($AE216*Übersicht!$C$26,2))</f>
        <v>0</v>
      </c>
      <c r="AD217" s="38">
        <f>IF($AE216&lt;=0,0,MIN($AE216,IF(Übersicht!$C$14="Annuitätendarlehen",MAX(0,Übersicht!$C$28-$AC217),IF(Übersicht!$C$14="Ratendarlehen",Übersicht!$C$29,IF($A217&gt;=Übersicht!$C$30,$AE216,0)))))</f>
        <v>0</v>
      </c>
      <c r="AE217" s="38">
        <f>IF($AE216&lt;=0,0,ROUND($AE216-$AD217-IF($AE216-$AD217&lt;=0,0,IF(MOD($A217,Übersicht!$C$25)=0,MIN(Szenarien!$C$12,$AE216-$AD217),0)),2))</f>
        <v>0</v>
      </c>
    </row>
    <row r="218" spans="1:31" ht="15" customHeight="1" x14ac:dyDescent="0.25">
      <c r="A218" s="21">
        <v>211</v>
      </c>
      <c r="B218" s="36" t="str">
        <f>IF($D218&lt;=0,"",EDATE(Übersicht!$C$18,($A218-1)*12/Übersicht!$C$25))</f>
        <v/>
      </c>
      <c r="C218" s="21" t="str">
        <f t="shared" si="21"/>
        <v/>
      </c>
      <c r="D218" s="37">
        <f t="shared" si="25"/>
        <v>0</v>
      </c>
      <c r="E218" s="23">
        <f t="shared" si="22"/>
        <v>0</v>
      </c>
      <c r="F218" s="23">
        <f>IF($D218&lt;=0,0,ROUND($D218*Übersicht!$C$26,2))</f>
        <v>0</v>
      </c>
      <c r="G218" s="23">
        <f>IF($D218&lt;=0,0,MIN($D218,IF(Übersicht!$C$14="Annuitätendarlehen",MAX(0,Übersicht!$C$28-$F218),IF(Übersicht!$C$14="Ratendarlehen",Übersicht!$C$29,IF($A218&gt;=Übersicht!$C$30,$D218,0)))))</f>
        <v>0</v>
      </c>
      <c r="H218" s="23">
        <f>IF($D218-$G218&lt;=0,0,IF(MOD($A218,Übersicht!$C$25)=0,MIN(Übersicht!$C$31,$D218-$G218),0))</f>
        <v>0</v>
      </c>
      <c r="I218" s="23">
        <f t="shared" si="23"/>
        <v>0</v>
      </c>
      <c r="J218" s="23">
        <f t="shared" si="24"/>
        <v>0</v>
      </c>
      <c r="K218" s="23">
        <f t="shared" si="26"/>
        <v>80072.129999999961</v>
      </c>
      <c r="L218" s="23">
        <f t="shared" si="27"/>
        <v>250000</v>
      </c>
      <c r="M218" s="24" t="str">
        <f>IF($D218&lt;=0,"",IF(Übersicht!$C$11=0,0,$L218/Übersicht!$C$11))</f>
        <v/>
      </c>
      <c r="N218" s="25" t="str">
        <f>IF($D218&lt;=0,"",IF($J218&lt;=0.005,"Volltilgung erreicht",IF($A218=Übersicht!$C$19*Übersicht!$C$25,"Ende der Zinsbindung",IF($H218&gt;0,"Sondertilgung verrechnet",""))))</f>
        <v/>
      </c>
      <c r="Q218" s="38">
        <f>IF($S217&lt;=0,0,ROUND($S217*Übersicht!$C$26,2))</f>
        <v>287.82</v>
      </c>
      <c r="R218" s="38">
        <f>IF($S217&lt;=0,0,MIN($S217,IF(Übersicht!$C$14="Annuitätendarlehen",MAX(0,Übersicht!$C$28-$Q218),IF(Übersicht!$C$14="Ratendarlehen",Übersicht!$C$29,IF($A218&gt;=Übersicht!$C$30,$S217,0)))))</f>
        <v>951.76</v>
      </c>
      <c r="S218" s="38">
        <f>IF($S217&lt;=0,0,ROUND($S217-$R218-IF($S217-$R218&lt;=0,0,IF(MOD($A218,Übersicht!$C$25)=0,MIN(Szenarien!$C$8,$S217-$R218),0)),2))</f>
        <v>99161.279999999999</v>
      </c>
      <c r="T218" s="38">
        <f>IF($V217&lt;=0,0,ROUND($V217*Übersicht!$C$26,2))</f>
        <v>121.73</v>
      </c>
      <c r="U218" s="38">
        <f>IF($V217&lt;=0,0,MIN($V217,IF(Übersicht!$C$14="Annuitätendarlehen",MAX(0,Übersicht!$C$28-$T218),IF(Übersicht!$C$14="Ratendarlehen",Übersicht!$C$29,IF($A218&gt;=Übersicht!$C$30,$V217,0)))))</f>
        <v>1117.8499999999999</v>
      </c>
      <c r="V218" s="38">
        <f>IF($V217&lt;=0,0,ROUND($V217-$U218-IF($V217-$U218&lt;=0,0,IF(MOD($A218,Übersicht!$C$25)=0,MIN(Szenarien!$C$9,$V217-$U218),0)),2))</f>
        <v>41221.56</v>
      </c>
      <c r="W218" s="38">
        <f>IF($Y217&lt;=0,0,ROUND($Y217*Übersicht!$C$26,2))</f>
        <v>0</v>
      </c>
      <c r="X218" s="38">
        <f>IF($Y217&lt;=0,0,MIN($Y217,IF(Übersicht!$C$14="Annuitätendarlehen",MAX(0,Übersicht!$C$28-$W218),IF(Übersicht!$C$14="Ratendarlehen",Übersicht!$C$29,IF($A218&gt;=Übersicht!$C$30,$Y217,0)))))</f>
        <v>0</v>
      </c>
      <c r="Y218" s="38">
        <f>IF($Y217&lt;=0,0,ROUND($Y217-$X218-IF($Y217-$X218&lt;=0,0,IF(MOD($A218,Übersicht!$C$25)=0,MIN(Szenarien!$C$10,$Y217-$X218),0)),2))</f>
        <v>0</v>
      </c>
      <c r="Z218" s="38">
        <f>IF($AB217&lt;=0,0,ROUND($AB217*Übersicht!$C$26,2))</f>
        <v>0</v>
      </c>
      <c r="AA218" s="38">
        <f>IF($AB217&lt;=0,0,MIN($AB217,IF(Übersicht!$C$14="Annuitätendarlehen",MAX(0,Übersicht!$C$28-$Z218),IF(Übersicht!$C$14="Ratendarlehen",Übersicht!$C$29,IF($A218&gt;=Übersicht!$C$30,$AB217,0)))))</f>
        <v>0</v>
      </c>
      <c r="AB218" s="38">
        <f>IF($AB217&lt;=0,0,ROUND($AB217-$AA218-IF($AB217-$AA218&lt;=0,0,IF(MOD($A218,Übersicht!$C$25)=0,MIN(Szenarien!$C$11,$AB217-$AA218),0)),2))</f>
        <v>0</v>
      </c>
      <c r="AC218" s="38">
        <f>IF($AE217&lt;=0,0,ROUND($AE217*Übersicht!$C$26,2))</f>
        <v>0</v>
      </c>
      <c r="AD218" s="38">
        <f>IF($AE217&lt;=0,0,MIN($AE217,IF(Übersicht!$C$14="Annuitätendarlehen",MAX(0,Übersicht!$C$28-$AC218),IF(Übersicht!$C$14="Ratendarlehen",Übersicht!$C$29,IF($A218&gt;=Übersicht!$C$30,$AE217,0)))))</f>
        <v>0</v>
      </c>
      <c r="AE218" s="38">
        <f>IF($AE217&lt;=0,0,ROUND($AE217-$AD218-IF($AE217-$AD218&lt;=0,0,IF(MOD($A218,Übersicht!$C$25)=0,MIN(Szenarien!$C$12,$AE217-$AD218),0)),2))</f>
        <v>0</v>
      </c>
    </row>
    <row r="219" spans="1:31" ht="15" customHeight="1" x14ac:dyDescent="0.25">
      <c r="A219" s="26">
        <v>212</v>
      </c>
      <c r="B219" s="39" t="str">
        <f>IF($D219&lt;=0,"",EDATE(Übersicht!$C$18,($A219-1)*12/Übersicht!$C$25))</f>
        <v/>
      </c>
      <c r="C219" s="26" t="str">
        <f t="shared" si="21"/>
        <v/>
      </c>
      <c r="D219" s="40">
        <f t="shared" si="25"/>
        <v>0</v>
      </c>
      <c r="E219" s="28">
        <f t="shared" si="22"/>
        <v>0</v>
      </c>
      <c r="F219" s="28">
        <f>IF($D219&lt;=0,0,ROUND($D219*Übersicht!$C$26,2))</f>
        <v>0</v>
      </c>
      <c r="G219" s="28">
        <f>IF($D219&lt;=0,0,MIN($D219,IF(Übersicht!$C$14="Annuitätendarlehen",MAX(0,Übersicht!$C$28-$F219),IF(Übersicht!$C$14="Ratendarlehen",Übersicht!$C$29,IF($A219&gt;=Übersicht!$C$30,$D219,0)))))</f>
        <v>0</v>
      </c>
      <c r="H219" s="28">
        <f>IF($D219-$G219&lt;=0,0,IF(MOD($A219,Übersicht!$C$25)=0,MIN(Übersicht!$C$31,$D219-$G219),0))</f>
        <v>0</v>
      </c>
      <c r="I219" s="28">
        <f t="shared" si="23"/>
        <v>0</v>
      </c>
      <c r="J219" s="28">
        <f t="shared" si="24"/>
        <v>0</v>
      </c>
      <c r="K219" s="28">
        <f t="shared" si="26"/>
        <v>80072.129999999961</v>
      </c>
      <c r="L219" s="28">
        <f t="shared" si="27"/>
        <v>250000</v>
      </c>
      <c r="M219" s="29" t="str">
        <f>IF($D219&lt;=0,"",IF(Übersicht!$C$11=0,0,$L219/Übersicht!$C$11))</f>
        <v/>
      </c>
      <c r="N219" s="30" t="str">
        <f>IF($D219&lt;=0,"",IF($J219&lt;=0.005,"Volltilgung erreicht",IF($A219=Übersicht!$C$19*Übersicht!$C$25,"Ende der Zinsbindung",IF($H219&gt;0,"Sondertilgung verrechnet",""))))</f>
        <v/>
      </c>
      <c r="Q219" s="38">
        <f>IF($S218&lt;=0,0,ROUND($S218*Übersicht!$C$26,2))</f>
        <v>285.08999999999997</v>
      </c>
      <c r="R219" s="38">
        <f>IF($S218&lt;=0,0,MIN($S218,IF(Übersicht!$C$14="Annuitätendarlehen",MAX(0,Übersicht!$C$28-$Q219),IF(Übersicht!$C$14="Ratendarlehen",Übersicht!$C$29,IF($A219&gt;=Übersicht!$C$30,$S218,0)))))</f>
        <v>954.49</v>
      </c>
      <c r="S219" s="38">
        <f>IF($S218&lt;=0,0,ROUND($S218-$R219-IF($S218-$R219&lt;=0,0,IF(MOD($A219,Übersicht!$C$25)=0,MIN(Szenarien!$C$8,$S218-$R219),0)),2))</f>
        <v>98206.79</v>
      </c>
      <c r="T219" s="38">
        <f>IF($V218&lt;=0,0,ROUND($V218*Übersicht!$C$26,2))</f>
        <v>118.51</v>
      </c>
      <c r="U219" s="38">
        <f>IF($V218&lt;=0,0,MIN($V218,IF(Übersicht!$C$14="Annuitätendarlehen",MAX(0,Übersicht!$C$28-$T219),IF(Übersicht!$C$14="Ratendarlehen",Übersicht!$C$29,IF($A219&gt;=Übersicht!$C$30,$V218,0)))))</f>
        <v>1121.07</v>
      </c>
      <c r="V219" s="38">
        <f>IF($V218&lt;=0,0,ROUND($V218-$U219-IF($V218-$U219&lt;=0,0,IF(MOD($A219,Übersicht!$C$25)=0,MIN(Szenarien!$C$9,$V218-$U219),0)),2))</f>
        <v>40100.49</v>
      </c>
      <c r="W219" s="38">
        <f>IF($Y218&lt;=0,0,ROUND($Y218*Übersicht!$C$26,2))</f>
        <v>0</v>
      </c>
      <c r="X219" s="38">
        <f>IF($Y218&lt;=0,0,MIN($Y218,IF(Übersicht!$C$14="Annuitätendarlehen",MAX(0,Übersicht!$C$28-$W219),IF(Übersicht!$C$14="Ratendarlehen",Übersicht!$C$29,IF($A219&gt;=Übersicht!$C$30,$Y218,0)))))</f>
        <v>0</v>
      </c>
      <c r="Y219" s="38">
        <f>IF($Y218&lt;=0,0,ROUND($Y218-$X219-IF($Y218-$X219&lt;=0,0,IF(MOD($A219,Übersicht!$C$25)=0,MIN(Szenarien!$C$10,$Y218-$X219),0)),2))</f>
        <v>0</v>
      </c>
      <c r="Z219" s="38">
        <f>IF($AB218&lt;=0,0,ROUND($AB218*Übersicht!$C$26,2))</f>
        <v>0</v>
      </c>
      <c r="AA219" s="38">
        <f>IF($AB218&lt;=0,0,MIN($AB218,IF(Übersicht!$C$14="Annuitätendarlehen",MAX(0,Übersicht!$C$28-$Z219),IF(Übersicht!$C$14="Ratendarlehen",Übersicht!$C$29,IF($A219&gt;=Übersicht!$C$30,$AB218,0)))))</f>
        <v>0</v>
      </c>
      <c r="AB219" s="38">
        <f>IF($AB218&lt;=0,0,ROUND($AB218-$AA219-IF($AB218-$AA219&lt;=0,0,IF(MOD($A219,Übersicht!$C$25)=0,MIN(Szenarien!$C$11,$AB218-$AA219),0)),2))</f>
        <v>0</v>
      </c>
      <c r="AC219" s="38">
        <f>IF($AE218&lt;=0,0,ROUND($AE218*Übersicht!$C$26,2))</f>
        <v>0</v>
      </c>
      <c r="AD219" s="38">
        <f>IF($AE218&lt;=0,0,MIN($AE218,IF(Übersicht!$C$14="Annuitätendarlehen",MAX(0,Übersicht!$C$28-$AC219),IF(Übersicht!$C$14="Ratendarlehen",Übersicht!$C$29,IF($A219&gt;=Übersicht!$C$30,$AE218,0)))))</f>
        <v>0</v>
      </c>
      <c r="AE219" s="38">
        <f>IF($AE218&lt;=0,0,ROUND($AE218-$AD219-IF($AE218-$AD219&lt;=0,0,IF(MOD($A219,Übersicht!$C$25)=0,MIN(Szenarien!$C$12,$AE218-$AD219),0)),2))</f>
        <v>0</v>
      </c>
    </row>
    <row r="220" spans="1:31" ht="15" customHeight="1" x14ac:dyDescent="0.25">
      <c r="A220" s="21">
        <v>213</v>
      </c>
      <c r="B220" s="36" t="str">
        <f>IF($D220&lt;=0,"",EDATE(Übersicht!$C$18,($A220-1)*12/Übersicht!$C$25))</f>
        <v/>
      </c>
      <c r="C220" s="21" t="str">
        <f t="shared" si="21"/>
        <v/>
      </c>
      <c r="D220" s="37">
        <f t="shared" si="25"/>
        <v>0</v>
      </c>
      <c r="E220" s="23">
        <f t="shared" si="22"/>
        <v>0</v>
      </c>
      <c r="F220" s="23">
        <f>IF($D220&lt;=0,0,ROUND($D220*Übersicht!$C$26,2))</f>
        <v>0</v>
      </c>
      <c r="G220" s="23">
        <f>IF($D220&lt;=0,0,MIN($D220,IF(Übersicht!$C$14="Annuitätendarlehen",MAX(0,Übersicht!$C$28-$F220),IF(Übersicht!$C$14="Ratendarlehen",Übersicht!$C$29,IF($A220&gt;=Übersicht!$C$30,$D220,0)))))</f>
        <v>0</v>
      </c>
      <c r="H220" s="23">
        <f>IF($D220-$G220&lt;=0,0,IF(MOD($A220,Übersicht!$C$25)=0,MIN(Übersicht!$C$31,$D220-$G220),0))</f>
        <v>0</v>
      </c>
      <c r="I220" s="23">
        <f t="shared" si="23"/>
        <v>0</v>
      </c>
      <c r="J220" s="23">
        <f t="shared" si="24"/>
        <v>0</v>
      </c>
      <c r="K220" s="23">
        <f t="shared" si="26"/>
        <v>80072.129999999961</v>
      </c>
      <c r="L220" s="23">
        <f t="shared" si="27"/>
        <v>250000</v>
      </c>
      <c r="M220" s="24" t="str">
        <f>IF($D220&lt;=0,"",IF(Übersicht!$C$11=0,0,$L220/Übersicht!$C$11))</f>
        <v/>
      </c>
      <c r="N220" s="25" t="str">
        <f>IF($D220&lt;=0,"",IF($J220&lt;=0.005,"Volltilgung erreicht",IF($A220=Übersicht!$C$19*Übersicht!$C$25,"Ende der Zinsbindung",IF($H220&gt;0,"Sondertilgung verrechnet",""))))</f>
        <v/>
      </c>
      <c r="Q220" s="38">
        <f>IF($S219&lt;=0,0,ROUND($S219*Übersicht!$C$26,2))</f>
        <v>282.33999999999997</v>
      </c>
      <c r="R220" s="38">
        <f>IF($S219&lt;=0,0,MIN($S219,IF(Übersicht!$C$14="Annuitätendarlehen",MAX(0,Übersicht!$C$28-$Q220),IF(Übersicht!$C$14="Ratendarlehen",Übersicht!$C$29,IF($A220&gt;=Übersicht!$C$30,$S219,0)))))</f>
        <v>957.24</v>
      </c>
      <c r="S220" s="38">
        <f>IF($S219&lt;=0,0,ROUND($S219-$R220-IF($S219-$R220&lt;=0,0,IF(MOD($A220,Übersicht!$C$25)=0,MIN(Szenarien!$C$8,$S219-$R220),0)),2))</f>
        <v>97249.55</v>
      </c>
      <c r="T220" s="38">
        <f>IF($V219&lt;=0,0,ROUND($V219*Übersicht!$C$26,2))</f>
        <v>115.29</v>
      </c>
      <c r="U220" s="38">
        <f>IF($V219&lt;=0,0,MIN($V219,IF(Übersicht!$C$14="Annuitätendarlehen",MAX(0,Übersicht!$C$28-$T220),IF(Übersicht!$C$14="Ratendarlehen",Übersicht!$C$29,IF($A220&gt;=Übersicht!$C$30,$V219,0)))))</f>
        <v>1124.29</v>
      </c>
      <c r="V220" s="38">
        <f>IF($V219&lt;=0,0,ROUND($V219-$U220-IF($V219-$U220&lt;=0,0,IF(MOD($A220,Übersicht!$C$25)=0,MIN(Szenarien!$C$9,$V219-$U220),0)),2))</f>
        <v>38976.199999999997</v>
      </c>
      <c r="W220" s="38">
        <f>IF($Y219&lt;=0,0,ROUND($Y219*Übersicht!$C$26,2))</f>
        <v>0</v>
      </c>
      <c r="X220" s="38">
        <f>IF($Y219&lt;=0,0,MIN($Y219,IF(Übersicht!$C$14="Annuitätendarlehen",MAX(0,Übersicht!$C$28-$W220),IF(Übersicht!$C$14="Ratendarlehen",Übersicht!$C$29,IF($A220&gt;=Übersicht!$C$30,$Y219,0)))))</f>
        <v>0</v>
      </c>
      <c r="Y220" s="38">
        <f>IF($Y219&lt;=0,0,ROUND($Y219-$X220-IF($Y219-$X220&lt;=0,0,IF(MOD($A220,Übersicht!$C$25)=0,MIN(Szenarien!$C$10,$Y219-$X220),0)),2))</f>
        <v>0</v>
      </c>
      <c r="Z220" s="38">
        <f>IF($AB219&lt;=0,0,ROUND($AB219*Übersicht!$C$26,2))</f>
        <v>0</v>
      </c>
      <c r="AA220" s="38">
        <f>IF($AB219&lt;=0,0,MIN($AB219,IF(Übersicht!$C$14="Annuitätendarlehen",MAX(0,Übersicht!$C$28-$Z220),IF(Übersicht!$C$14="Ratendarlehen",Übersicht!$C$29,IF($A220&gt;=Übersicht!$C$30,$AB219,0)))))</f>
        <v>0</v>
      </c>
      <c r="AB220" s="38">
        <f>IF($AB219&lt;=0,0,ROUND($AB219-$AA220-IF($AB219-$AA220&lt;=0,0,IF(MOD($A220,Übersicht!$C$25)=0,MIN(Szenarien!$C$11,$AB219-$AA220),0)),2))</f>
        <v>0</v>
      </c>
      <c r="AC220" s="38">
        <f>IF($AE219&lt;=0,0,ROUND($AE219*Übersicht!$C$26,2))</f>
        <v>0</v>
      </c>
      <c r="AD220" s="38">
        <f>IF($AE219&lt;=0,0,MIN($AE219,IF(Übersicht!$C$14="Annuitätendarlehen",MAX(0,Übersicht!$C$28-$AC220),IF(Übersicht!$C$14="Ratendarlehen",Übersicht!$C$29,IF($A220&gt;=Übersicht!$C$30,$AE219,0)))))</f>
        <v>0</v>
      </c>
      <c r="AE220" s="38">
        <f>IF($AE219&lt;=0,0,ROUND($AE219-$AD220-IF($AE219-$AD220&lt;=0,0,IF(MOD($A220,Übersicht!$C$25)=0,MIN(Szenarien!$C$12,$AE219-$AD220),0)),2))</f>
        <v>0</v>
      </c>
    </row>
    <row r="221" spans="1:31" ht="15" customHeight="1" x14ac:dyDescent="0.25">
      <c r="A221" s="26">
        <v>214</v>
      </c>
      <c r="B221" s="39" t="str">
        <f>IF($D221&lt;=0,"",EDATE(Übersicht!$C$18,($A221-1)*12/Übersicht!$C$25))</f>
        <v/>
      </c>
      <c r="C221" s="26" t="str">
        <f t="shared" si="21"/>
        <v/>
      </c>
      <c r="D221" s="40">
        <f t="shared" si="25"/>
        <v>0</v>
      </c>
      <c r="E221" s="28">
        <f t="shared" si="22"/>
        <v>0</v>
      </c>
      <c r="F221" s="28">
        <f>IF($D221&lt;=0,0,ROUND($D221*Übersicht!$C$26,2))</f>
        <v>0</v>
      </c>
      <c r="G221" s="28">
        <f>IF($D221&lt;=0,0,MIN($D221,IF(Übersicht!$C$14="Annuitätendarlehen",MAX(0,Übersicht!$C$28-$F221),IF(Übersicht!$C$14="Ratendarlehen",Übersicht!$C$29,IF($A221&gt;=Übersicht!$C$30,$D221,0)))))</f>
        <v>0</v>
      </c>
      <c r="H221" s="28">
        <f>IF($D221-$G221&lt;=0,0,IF(MOD($A221,Übersicht!$C$25)=0,MIN(Übersicht!$C$31,$D221-$G221),0))</f>
        <v>0</v>
      </c>
      <c r="I221" s="28">
        <f t="shared" si="23"/>
        <v>0</v>
      </c>
      <c r="J221" s="28">
        <f t="shared" si="24"/>
        <v>0</v>
      </c>
      <c r="K221" s="28">
        <f t="shared" si="26"/>
        <v>80072.129999999961</v>
      </c>
      <c r="L221" s="28">
        <f t="shared" si="27"/>
        <v>250000</v>
      </c>
      <c r="M221" s="29" t="str">
        <f>IF($D221&lt;=0,"",IF(Übersicht!$C$11=0,0,$L221/Übersicht!$C$11))</f>
        <v/>
      </c>
      <c r="N221" s="30" t="str">
        <f>IF($D221&lt;=0,"",IF($J221&lt;=0.005,"Volltilgung erreicht",IF($A221=Übersicht!$C$19*Übersicht!$C$25,"Ende der Zinsbindung",IF($H221&gt;0,"Sondertilgung verrechnet",""))))</f>
        <v/>
      </c>
      <c r="Q221" s="38">
        <f>IF($S220&lt;=0,0,ROUND($S220*Übersicht!$C$26,2))</f>
        <v>279.58999999999997</v>
      </c>
      <c r="R221" s="38">
        <f>IF($S220&lt;=0,0,MIN($S220,IF(Übersicht!$C$14="Annuitätendarlehen",MAX(0,Übersicht!$C$28-$Q221),IF(Übersicht!$C$14="Ratendarlehen",Übersicht!$C$29,IF($A221&gt;=Übersicht!$C$30,$S220,0)))))</f>
        <v>959.99</v>
      </c>
      <c r="S221" s="38">
        <f>IF($S220&lt;=0,0,ROUND($S220-$R221-IF($S220-$R221&lt;=0,0,IF(MOD($A221,Übersicht!$C$25)=0,MIN(Szenarien!$C$8,$S220-$R221),0)),2))</f>
        <v>96289.56</v>
      </c>
      <c r="T221" s="38">
        <f>IF($V220&lt;=0,0,ROUND($V220*Übersicht!$C$26,2))</f>
        <v>112.06</v>
      </c>
      <c r="U221" s="38">
        <f>IF($V220&lt;=0,0,MIN($V220,IF(Übersicht!$C$14="Annuitätendarlehen",MAX(0,Übersicht!$C$28-$T221),IF(Übersicht!$C$14="Ratendarlehen",Übersicht!$C$29,IF($A221&gt;=Übersicht!$C$30,$V220,0)))))</f>
        <v>1127.52</v>
      </c>
      <c r="V221" s="38">
        <f>IF($V220&lt;=0,0,ROUND($V220-$U221-IF($V220-$U221&lt;=0,0,IF(MOD($A221,Übersicht!$C$25)=0,MIN(Szenarien!$C$9,$V220-$U221),0)),2))</f>
        <v>37848.68</v>
      </c>
      <c r="W221" s="38">
        <f>IF($Y220&lt;=0,0,ROUND($Y220*Übersicht!$C$26,2))</f>
        <v>0</v>
      </c>
      <c r="X221" s="38">
        <f>IF($Y220&lt;=0,0,MIN($Y220,IF(Übersicht!$C$14="Annuitätendarlehen",MAX(0,Übersicht!$C$28-$W221),IF(Übersicht!$C$14="Ratendarlehen",Übersicht!$C$29,IF($A221&gt;=Übersicht!$C$30,$Y220,0)))))</f>
        <v>0</v>
      </c>
      <c r="Y221" s="38">
        <f>IF($Y220&lt;=0,0,ROUND($Y220-$X221-IF($Y220-$X221&lt;=0,0,IF(MOD($A221,Übersicht!$C$25)=0,MIN(Szenarien!$C$10,$Y220-$X221),0)),2))</f>
        <v>0</v>
      </c>
      <c r="Z221" s="38">
        <f>IF($AB220&lt;=0,0,ROUND($AB220*Übersicht!$C$26,2))</f>
        <v>0</v>
      </c>
      <c r="AA221" s="38">
        <f>IF($AB220&lt;=0,0,MIN($AB220,IF(Übersicht!$C$14="Annuitätendarlehen",MAX(0,Übersicht!$C$28-$Z221),IF(Übersicht!$C$14="Ratendarlehen",Übersicht!$C$29,IF($A221&gt;=Übersicht!$C$30,$AB220,0)))))</f>
        <v>0</v>
      </c>
      <c r="AB221" s="38">
        <f>IF($AB220&lt;=0,0,ROUND($AB220-$AA221-IF($AB220-$AA221&lt;=0,0,IF(MOD($A221,Übersicht!$C$25)=0,MIN(Szenarien!$C$11,$AB220-$AA221),0)),2))</f>
        <v>0</v>
      </c>
      <c r="AC221" s="38">
        <f>IF($AE220&lt;=0,0,ROUND($AE220*Übersicht!$C$26,2))</f>
        <v>0</v>
      </c>
      <c r="AD221" s="38">
        <f>IF($AE220&lt;=0,0,MIN($AE220,IF(Übersicht!$C$14="Annuitätendarlehen",MAX(0,Übersicht!$C$28-$AC221),IF(Übersicht!$C$14="Ratendarlehen",Übersicht!$C$29,IF($A221&gt;=Übersicht!$C$30,$AE220,0)))))</f>
        <v>0</v>
      </c>
      <c r="AE221" s="38">
        <f>IF($AE220&lt;=0,0,ROUND($AE220-$AD221-IF($AE220-$AD221&lt;=0,0,IF(MOD($A221,Übersicht!$C$25)=0,MIN(Szenarien!$C$12,$AE220-$AD221),0)),2))</f>
        <v>0</v>
      </c>
    </row>
    <row r="222" spans="1:31" ht="15" customHeight="1" x14ac:dyDescent="0.25">
      <c r="A222" s="21">
        <v>215</v>
      </c>
      <c r="B222" s="36" t="str">
        <f>IF($D222&lt;=0,"",EDATE(Übersicht!$C$18,($A222-1)*12/Übersicht!$C$25))</f>
        <v/>
      </c>
      <c r="C222" s="21" t="str">
        <f t="shared" si="21"/>
        <v/>
      </c>
      <c r="D222" s="37">
        <f t="shared" si="25"/>
        <v>0</v>
      </c>
      <c r="E222" s="23">
        <f t="shared" si="22"/>
        <v>0</v>
      </c>
      <c r="F222" s="23">
        <f>IF($D222&lt;=0,0,ROUND($D222*Übersicht!$C$26,2))</f>
        <v>0</v>
      </c>
      <c r="G222" s="23">
        <f>IF($D222&lt;=0,0,MIN($D222,IF(Übersicht!$C$14="Annuitätendarlehen",MAX(0,Übersicht!$C$28-$F222),IF(Übersicht!$C$14="Ratendarlehen",Übersicht!$C$29,IF($A222&gt;=Übersicht!$C$30,$D222,0)))))</f>
        <v>0</v>
      </c>
      <c r="H222" s="23">
        <f>IF($D222-$G222&lt;=0,0,IF(MOD($A222,Übersicht!$C$25)=0,MIN(Übersicht!$C$31,$D222-$G222),0))</f>
        <v>0</v>
      </c>
      <c r="I222" s="23">
        <f t="shared" si="23"/>
        <v>0</v>
      </c>
      <c r="J222" s="23">
        <f t="shared" si="24"/>
        <v>0</v>
      </c>
      <c r="K222" s="23">
        <f t="shared" si="26"/>
        <v>80072.129999999961</v>
      </c>
      <c r="L222" s="23">
        <f t="shared" si="27"/>
        <v>250000</v>
      </c>
      <c r="M222" s="24" t="str">
        <f>IF($D222&lt;=0,"",IF(Übersicht!$C$11=0,0,$L222/Übersicht!$C$11))</f>
        <v/>
      </c>
      <c r="N222" s="25" t="str">
        <f>IF($D222&lt;=0,"",IF($J222&lt;=0.005,"Volltilgung erreicht",IF($A222=Übersicht!$C$19*Übersicht!$C$25,"Ende der Zinsbindung",IF($H222&gt;0,"Sondertilgung verrechnet",""))))</f>
        <v/>
      </c>
      <c r="Q222" s="38">
        <f>IF($S221&lt;=0,0,ROUND($S221*Übersicht!$C$26,2))</f>
        <v>276.83</v>
      </c>
      <c r="R222" s="38">
        <f>IF($S221&lt;=0,0,MIN($S221,IF(Übersicht!$C$14="Annuitätendarlehen",MAX(0,Übersicht!$C$28-$Q222),IF(Übersicht!$C$14="Ratendarlehen",Übersicht!$C$29,IF($A222&gt;=Übersicht!$C$30,$S221,0)))))</f>
        <v>962.75</v>
      </c>
      <c r="S222" s="38">
        <f>IF($S221&lt;=0,0,ROUND($S221-$R222-IF($S221-$R222&lt;=0,0,IF(MOD($A222,Übersicht!$C$25)=0,MIN(Szenarien!$C$8,$S221-$R222),0)),2))</f>
        <v>95326.81</v>
      </c>
      <c r="T222" s="38">
        <f>IF($V221&lt;=0,0,ROUND($V221*Übersicht!$C$26,2))</f>
        <v>108.81</v>
      </c>
      <c r="U222" s="38">
        <f>IF($V221&lt;=0,0,MIN($V221,IF(Übersicht!$C$14="Annuitätendarlehen",MAX(0,Übersicht!$C$28-$T222),IF(Übersicht!$C$14="Ratendarlehen",Übersicht!$C$29,IF($A222&gt;=Übersicht!$C$30,$V221,0)))))</f>
        <v>1130.77</v>
      </c>
      <c r="V222" s="38">
        <f>IF($V221&lt;=0,0,ROUND($V221-$U222-IF($V221-$U222&lt;=0,0,IF(MOD($A222,Übersicht!$C$25)=0,MIN(Szenarien!$C$9,$V221-$U222),0)),2))</f>
        <v>36717.910000000003</v>
      </c>
      <c r="W222" s="38">
        <f>IF($Y221&lt;=0,0,ROUND($Y221*Übersicht!$C$26,2))</f>
        <v>0</v>
      </c>
      <c r="X222" s="38">
        <f>IF($Y221&lt;=0,0,MIN($Y221,IF(Übersicht!$C$14="Annuitätendarlehen",MAX(0,Übersicht!$C$28-$W222),IF(Übersicht!$C$14="Ratendarlehen",Übersicht!$C$29,IF($A222&gt;=Übersicht!$C$30,$Y221,0)))))</f>
        <v>0</v>
      </c>
      <c r="Y222" s="38">
        <f>IF($Y221&lt;=0,0,ROUND($Y221-$X222-IF($Y221-$X222&lt;=0,0,IF(MOD($A222,Übersicht!$C$25)=0,MIN(Szenarien!$C$10,$Y221-$X222),0)),2))</f>
        <v>0</v>
      </c>
      <c r="Z222" s="38">
        <f>IF($AB221&lt;=0,0,ROUND($AB221*Übersicht!$C$26,2))</f>
        <v>0</v>
      </c>
      <c r="AA222" s="38">
        <f>IF($AB221&lt;=0,0,MIN($AB221,IF(Übersicht!$C$14="Annuitätendarlehen",MAX(0,Übersicht!$C$28-$Z222),IF(Übersicht!$C$14="Ratendarlehen",Übersicht!$C$29,IF($A222&gt;=Übersicht!$C$30,$AB221,0)))))</f>
        <v>0</v>
      </c>
      <c r="AB222" s="38">
        <f>IF($AB221&lt;=0,0,ROUND($AB221-$AA222-IF($AB221-$AA222&lt;=0,0,IF(MOD($A222,Übersicht!$C$25)=0,MIN(Szenarien!$C$11,$AB221-$AA222),0)),2))</f>
        <v>0</v>
      </c>
      <c r="AC222" s="38">
        <f>IF($AE221&lt;=0,0,ROUND($AE221*Übersicht!$C$26,2))</f>
        <v>0</v>
      </c>
      <c r="AD222" s="38">
        <f>IF($AE221&lt;=0,0,MIN($AE221,IF(Übersicht!$C$14="Annuitätendarlehen",MAX(0,Übersicht!$C$28-$AC222),IF(Übersicht!$C$14="Ratendarlehen",Übersicht!$C$29,IF($A222&gt;=Übersicht!$C$30,$AE221,0)))))</f>
        <v>0</v>
      </c>
      <c r="AE222" s="38">
        <f>IF($AE221&lt;=0,0,ROUND($AE221-$AD222-IF($AE221-$AD222&lt;=0,0,IF(MOD($A222,Übersicht!$C$25)=0,MIN(Szenarien!$C$12,$AE221-$AD222),0)),2))</f>
        <v>0</v>
      </c>
    </row>
    <row r="223" spans="1:31" ht="15" customHeight="1" x14ac:dyDescent="0.25">
      <c r="A223" s="26">
        <v>216</v>
      </c>
      <c r="B223" s="39" t="str">
        <f>IF($D223&lt;=0,"",EDATE(Übersicht!$C$18,($A223-1)*12/Übersicht!$C$25))</f>
        <v/>
      </c>
      <c r="C223" s="26" t="str">
        <f t="shared" si="21"/>
        <v/>
      </c>
      <c r="D223" s="40">
        <f t="shared" si="25"/>
        <v>0</v>
      </c>
      <c r="E223" s="28">
        <f t="shared" si="22"/>
        <v>0</v>
      </c>
      <c r="F223" s="28">
        <f>IF($D223&lt;=0,0,ROUND($D223*Übersicht!$C$26,2))</f>
        <v>0</v>
      </c>
      <c r="G223" s="28">
        <f>IF($D223&lt;=0,0,MIN($D223,IF(Übersicht!$C$14="Annuitätendarlehen",MAX(0,Übersicht!$C$28-$F223),IF(Übersicht!$C$14="Ratendarlehen",Übersicht!$C$29,IF($A223&gt;=Übersicht!$C$30,$D223,0)))))</f>
        <v>0</v>
      </c>
      <c r="H223" s="28">
        <f>IF($D223-$G223&lt;=0,0,IF(MOD($A223,Übersicht!$C$25)=0,MIN(Übersicht!$C$31,$D223-$G223),0))</f>
        <v>0</v>
      </c>
      <c r="I223" s="28">
        <f t="shared" si="23"/>
        <v>0</v>
      </c>
      <c r="J223" s="28">
        <f t="shared" si="24"/>
        <v>0</v>
      </c>
      <c r="K223" s="28">
        <f t="shared" si="26"/>
        <v>80072.129999999961</v>
      </c>
      <c r="L223" s="28">
        <f t="shared" si="27"/>
        <v>250000</v>
      </c>
      <c r="M223" s="29" t="str">
        <f>IF($D223&lt;=0,"",IF(Übersicht!$C$11=0,0,$L223/Übersicht!$C$11))</f>
        <v/>
      </c>
      <c r="N223" s="30" t="str">
        <f>IF($D223&lt;=0,"",IF($J223&lt;=0.005,"Volltilgung erreicht",IF($A223=Übersicht!$C$19*Übersicht!$C$25,"Ende der Zinsbindung",IF($H223&gt;0,"Sondertilgung verrechnet",""))))</f>
        <v/>
      </c>
      <c r="Q223" s="38">
        <f>IF($S222&lt;=0,0,ROUND($S222*Übersicht!$C$26,2))</f>
        <v>274.06</v>
      </c>
      <c r="R223" s="38">
        <f>IF($S222&lt;=0,0,MIN($S222,IF(Übersicht!$C$14="Annuitätendarlehen",MAX(0,Übersicht!$C$28-$Q223),IF(Übersicht!$C$14="Ratendarlehen",Übersicht!$C$29,IF($A223&gt;=Übersicht!$C$30,$S222,0)))))</f>
        <v>965.52</v>
      </c>
      <c r="S223" s="38">
        <f>IF($S222&lt;=0,0,ROUND($S222-$R223-IF($S222-$R223&lt;=0,0,IF(MOD($A223,Übersicht!$C$25)=0,MIN(Szenarien!$C$8,$S222-$R223),0)),2))</f>
        <v>94361.29</v>
      </c>
      <c r="T223" s="38">
        <f>IF($V222&lt;=0,0,ROUND($V222*Übersicht!$C$26,2))</f>
        <v>105.56</v>
      </c>
      <c r="U223" s="38">
        <f>IF($V222&lt;=0,0,MIN($V222,IF(Übersicht!$C$14="Annuitätendarlehen",MAX(0,Übersicht!$C$28-$T223),IF(Übersicht!$C$14="Ratendarlehen",Übersicht!$C$29,IF($A223&gt;=Übersicht!$C$30,$V222,0)))))</f>
        <v>1134.02</v>
      </c>
      <c r="V223" s="38">
        <f>IF($V222&lt;=0,0,ROUND($V222-$U223-IF($V222-$U223&lt;=0,0,IF(MOD($A223,Übersicht!$C$25)=0,MIN(Szenarien!$C$9,$V222-$U223),0)),2))</f>
        <v>33083.89</v>
      </c>
      <c r="W223" s="38">
        <f>IF($Y222&lt;=0,0,ROUND($Y222*Übersicht!$C$26,2))</f>
        <v>0</v>
      </c>
      <c r="X223" s="38">
        <f>IF($Y222&lt;=0,0,MIN($Y222,IF(Übersicht!$C$14="Annuitätendarlehen",MAX(0,Übersicht!$C$28-$W223),IF(Übersicht!$C$14="Ratendarlehen",Übersicht!$C$29,IF($A223&gt;=Übersicht!$C$30,$Y222,0)))))</f>
        <v>0</v>
      </c>
      <c r="Y223" s="38">
        <f>IF($Y222&lt;=0,0,ROUND($Y222-$X223-IF($Y222-$X223&lt;=0,0,IF(MOD($A223,Übersicht!$C$25)=0,MIN(Szenarien!$C$10,$Y222-$X223),0)),2))</f>
        <v>0</v>
      </c>
      <c r="Z223" s="38">
        <f>IF($AB222&lt;=0,0,ROUND($AB222*Übersicht!$C$26,2))</f>
        <v>0</v>
      </c>
      <c r="AA223" s="38">
        <f>IF($AB222&lt;=0,0,MIN($AB222,IF(Übersicht!$C$14="Annuitätendarlehen",MAX(0,Übersicht!$C$28-$Z223),IF(Übersicht!$C$14="Ratendarlehen",Übersicht!$C$29,IF($A223&gt;=Übersicht!$C$30,$AB222,0)))))</f>
        <v>0</v>
      </c>
      <c r="AB223" s="38">
        <f>IF($AB222&lt;=0,0,ROUND($AB222-$AA223-IF($AB222-$AA223&lt;=0,0,IF(MOD($A223,Übersicht!$C$25)=0,MIN(Szenarien!$C$11,$AB222-$AA223),0)),2))</f>
        <v>0</v>
      </c>
      <c r="AC223" s="38">
        <f>IF($AE222&lt;=0,0,ROUND($AE222*Übersicht!$C$26,2))</f>
        <v>0</v>
      </c>
      <c r="AD223" s="38">
        <f>IF($AE222&lt;=0,0,MIN($AE222,IF(Übersicht!$C$14="Annuitätendarlehen",MAX(0,Übersicht!$C$28-$AC223),IF(Übersicht!$C$14="Ratendarlehen",Übersicht!$C$29,IF($A223&gt;=Übersicht!$C$30,$AE222,0)))))</f>
        <v>0</v>
      </c>
      <c r="AE223" s="38">
        <f>IF($AE222&lt;=0,0,ROUND($AE222-$AD223-IF($AE222-$AD223&lt;=0,0,IF(MOD($A223,Übersicht!$C$25)=0,MIN(Szenarien!$C$12,$AE222-$AD223),0)),2))</f>
        <v>0</v>
      </c>
    </row>
    <row r="224" spans="1:31" ht="15" customHeight="1" x14ac:dyDescent="0.25">
      <c r="A224" s="21">
        <v>217</v>
      </c>
      <c r="B224" s="36" t="str">
        <f>IF($D224&lt;=0,"",EDATE(Übersicht!$C$18,($A224-1)*12/Übersicht!$C$25))</f>
        <v/>
      </c>
      <c r="C224" s="21" t="str">
        <f t="shared" si="21"/>
        <v/>
      </c>
      <c r="D224" s="37">
        <f t="shared" si="25"/>
        <v>0</v>
      </c>
      <c r="E224" s="23">
        <f t="shared" si="22"/>
        <v>0</v>
      </c>
      <c r="F224" s="23">
        <f>IF($D224&lt;=0,0,ROUND($D224*Übersicht!$C$26,2))</f>
        <v>0</v>
      </c>
      <c r="G224" s="23">
        <f>IF($D224&lt;=0,0,MIN($D224,IF(Übersicht!$C$14="Annuitätendarlehen",MAX(0,Übersicht!$C$28-$F224),IF(Übersicht!$C$14="Ratendarlehen",Übersicht!$C$29,IF($A224&gt;=Übersicht!$C$30,$D224,0)))))</f>
        <v>0</v>
      </c>
      <c r="H224" s="23">
        <f>IF($D224-$G224&lt;=0,0,IF(MOD($A224,Übersicht!$C$25)=0,MIN(Übersicht!$C$31,$D224-$G224),0))</f>
        <v>0</v>
      </c>
      <c r="I224" s="23">
        <f t="shared" si="23"/>
        <v>0</v>
      </c>
      <c r="J224" s="23">
        <f t="shared" si="24"/>
        <v>0</v>
      </c>
      <c r="K224" s="23">
        <f t="shared" si="26"/>
        <v>80072.129999999961</v>
      </c>
      <c r="L224" s="23">
        <f t="shared" si="27"/>
        <v>250000</v>
      </c>
      <c r="M224" s="24" t="str">
        <f>IF($D224&lt;=0,"",IF(Übersicht!$C$11=0,0,$L224/Übersicht!$C$11))</f>
        <v/>
      </c>
      <c r="N224" s="25" t="str">
        <f>IF($D224&lt;=0,"",IF($J224&lt;=0.005,"Volltilgung erreicht",IF($A224=Übersicht!$C$19*Übersicht!$C$25,"Ende der Zinsbindung",IF($H224&gt;0,"Sondertilgung verrechnet",""))))</f>
        <v/>
      </c>
      <c r="Q224" s="38">
        <f>IF($S223&lt;=0,0,ROUND($S223*Übersicht!$C$26,2))</f>
        <v>271.29000000000002</v>
      </c>
      <c r="R224" s="38">
        <f>IF($S223&lt;=0,0,MIN($S223,IF(Übersicht!$C$14="Annuitätendarlehen",MAX(0,Übersicht!$C$28-$Q224),IF(Übersicht!$C$14="Ratendarlehen",Übersicht!$C$29,IF($A224&gt;=Übersicht!$C$30,$S223,0)))))</f>
        <v>968.29</v>
      </c>
      <c r="S224" s="38">
        <f>IF($S223&lt;=0,0,ROUND($S223-$R224-IF($S223-$R224&lt;=0,0,IF(MOD($A224,Übersicht!$C$25)=0,MIN(Szenarien!$C$8,$S223-$R224),0)),2))</f>
        <v>93393</v>
      </c>
      <c r="T224" s="38">
        <f>IF($V223&lt;=0,0,ROUND($V223*Übersicht!$C$26,2))</f>
        <v>95.12</v>
      </c>
      <c r="U224" s="38">
        <f>IF($V223&lt;=0,0,MIN($V223,IF(Übersicht!$C$14="Annuitätendarlehen",MAX(0,Übersicht!$C$28-$T224),IF(Übersicht!$C$14="Ratendarlehen",Übersicht!$C$29,IF($A224&gt;=Übersicht!$C$30,$V223,0)))))</f>
        <v>1144.46</v>
      </c>
      <c r="V224" s="38">
        <f>IF($V223&lt;=0,0,ROUND($V223-$U224-IF($V223-$U224&lt;=0,0,IF(MOD($A224,Übersicht!$C$25)=0,MIN(Szenarien!$C$9,$V223-$U224),0)),2))</f>
        <v>31939.43</v>
      </c>
      <c r="W224" s="38">
        <f>IF($Y223&lt;=0,0,ROUND($Y223*Übersicht!$C$26,2))</f>
        <v>0</v>
      </c>
      <c r="X224" s="38">
        <f>IF($Y223&lt;=0,0,MIN($Y223,IF(Übersicht!$C$14="Annuitätendarlehen",MAX(0,Übersicht!$C$28-$W224),IF(Übersicht!$C$14="Ratendarlehen",Übersicht!$C$29,IF($A224&gt;=Übersicht!$C$30,$Y223,0)))))</f>
        <v>0</v>
      </c>
      <c r="Y224" s="38">
        <f>IF($Y223&lt;=0,0,ROUND($Y223-$X224-IF($Y223-$X224&lt;=0,0,IF(MOD($A224,Übersicht!$C$25)=0,MIN(Szenarien!$C$10,$Y223-$X224),0)),2))</f>
        <v>0</v>
      </c>
      <c r="Z224" s="38">
        <f>IF($AB223&lt;=0,0,ROUND($AB223*Übersicht!$C$26,2))</f>
        <v>0</v>
      </c>
      <c r="AA224" s="38">
        <f>IF($AB223&lt;=0,0,MIN($AB223,IF(Übersicht!$C$14="Annuitätendarlehen",MAX(0,Übersicht!$C$28-$Z224),IF(Übersicht!$C$14="Ratendarlehen",Übersicht!$C$29,IF($A224&gt;=Übersicht!$C$30,$AB223,0)))))</f>
        <v>0</v>
      </c>
      <c r="AB224" s="38">
        <f>IF($AB223&lt;=0,0,ROUND($AB223-$AA224-IF($AB223-$AA224&lt;=0,0,IF(MOD($A224,Übersicht!$C$25)=0,MIN(Szenarien!$C$11,$AB223-$AA224),0)),2))</f>
        <v>0</v>
      </c>
      <c r="AC224" s="38">
        <f>IF($AE223&lt;=0,0,ROUND($AE223*Übersicht!$C$26,2))</f>
        <v>0</v>
      </c>
      <c r="AD224" s="38">
        <f>IF($AE223&lt;=0,0,MIN($AE223,IF(Übersicht!$C$14="Annuitätendarlehen",MAX(0,Übersicht!$C$28-$AC224),IF(Übersicht!$C$14="Ratendarlehen",Übersicht!$C$29,IF($A224&gt;=Übersicht!$C$30,$AE223,0)))))</f>
        <v>0</v>
      </c>
      <c r="AE224" s="38">
        <f>IF($AE223&lt;=0,0,ROUND($AE223-$AD224-IF($AE223-$AD224&lt;=0,0,IF(MOD($A224,Übersicht!$C$25)=0,MIN(Szenarien!$C$12,$AE223-$AD224),0)),2))</f>
        <v>0</v>
      </c>
    </row>
    <row r="225" spans="1:31" ht="15" customHeight="1" x14ac:dyDescent="0.25">
      <c r="A225" s="26">
        <v>218</v>
      </c>
      <c r="B225" s="39" t="str">
        <f>IF($D225&lt;=0,"",EDATE(Übersicht!$C$18,($A225-1)*12/Übersicht!$C$25))</f>
        <v/>
      </c>
      <c r="C225" s="26" t="str">
        <f t="shared" si="21"/>
        <v/>
      </c>
      <c r="D225" s="40">
        <f t="shared" si="25"/>
        <v>0</v>
      </c>
      <c r="E225" s="28">
        <f t="shared" si="22"/>
        <v>0</v>
      </c>
      <c r="F225" s="28">
        <f>IF($D225&lt;=0,0,ROUND($D225*Übersicht!$C$26,2))</f>
        <v>0</v>
      </c>
      <c r="G225" s="28">
        <f>IF($D225&lt;=0,0,MIN($D225,IF(Übersicht!$C$14="Annuitätendarlehen",MAX(0,Übersicht!$C$28-$F225),IF(Übersicht!$C$14="Ratendarlehen",Übersicht!$C$29,IF($A225&gt;=Übersicht!$C$30,$D225,0)))))</f>
        <v>0</v>
      </c>
      <c r="H225" s="28">
        <f>IF($D225-$G225&lt;=0,0,IF(MOD($A225,Übersicht!$C$25)=0,MIN(Übersicht!$C$31,$D225-$G225),0))</f>
        <v>0</v>
      </c>
      <c r="I225" s="28">
        <f t="shared" si="23"/>
        <v>0</v>
      </c>
      <c r="J225" s="28">
        <f t="shared" si="24"/>
        <v>0</v>
      </c>
      <c r="K225" s="28">
        <f t="shared" si="26"/>
        <v>80072.129999999961</v>
      </c>
      <c r="L225" s="28">
        <f t="shared" si="27"/>
        <v>250000</v>
      </c>
      <c r="M225" s="29" t="str">
        <f>IF($D225&lt;=0,"",IF(Übersicht!$C$11=0,0,$L225/Übersicht!$C$11))</f>
        <v/>
      </c>
      <c r="N225" s="30" t="str">
        <f>IF($D225&lt;=0,"",IF($J225&lt;=0.005,"Volltilgung erreicht",IF($A225=Übersicht!$C$19*Übersicht!$C$25,"Ende der Zinsbindung",IF($H225&gt;0,"Sondertilgung verrechnet",""))))</f>
        <v/>
      </c>
      <c r="Q225" s="38">
        <f>IF($S224&lt;=0,0,ROUND($S224*Übersicht!$C$26,2))</f>
        <v>268.5</v>
      </c>
      <c r="R225" s="38">
        <f>IF($S224&lt;=0,0,MIN($S224,IF(Übersicht!$C$14="Annuitätendarlehen",MAX(0,Übersicht!$C$28-$Q225),IF(Übersicht!$C$14="Ratendarlehen",Übersicht!$C$29,IF($A225&gt;=Übersicht!$C$30,$S224,0)))))</f>
        <v>971.07999999999993</v>
      </c>
      <c r="S225" s="38">
        <f>IF($S224&lt;=0,0,ROUND($S224-$R225-IF($S224-$R225&lt;=0,0,IF(MOD($A225,Übersicht!$C$25)=0,MIN(Szenarien!$C$8,$S224-$R225),0)),2))</f>
        <v>92421.92</v>
      </c>
      <c r="T225" s="38">
        <f>IF($V224&lt;=0,0,ROUND($V224*Übersicht!$C$26,2))</f>
        <v>91.83</v>
      </c>
      <c r="U225" s="38">
        <f>IF($V224&lt;=0,0,MIN($V224,IF(Übersicht!$C$14="Annuitätendarlehen",MAX(0,Übersicht!$C$28-$T225),IF(Übersicht!$C$14="Ratendarlehen",Übersicht!$C$29,IF($A225&gt;=Übersicht!$C$30,$V224,0)))))</f>
        <v>1147.75</v>
      </c>
      <c r="V225" s="38">
        <f>IF($V224&lt;=0,0,ROUND($V224-$U225-IF($V224-$U225&lt;=0,0,IF(MOD($A225,Übersicht!$C$25)=0,MIN(Szenarien!$C$9,$V224-$U225),0)),2))</f>
        <v>30791.68</v>
      </c>
      <c r="W225" s="38">
        <f>IF($Y224&lt;=0,0,ROUND($Y224*Übersicht!$C$26,2))</f>
        <v>0</v>
      </c>
      <c r="X225" s="38">
        <f>IF($Y224&lt;=0,0,MIN($Y224,IF(Übersicht!$C$14="Annuitätendarlehen",MAX(0,Übersicht!$C$28-$W225),IF(Übersicht!$C$14="Ratendarlehen",Übersicht!$C$29,IF($A225&gt;=Übersicht!$C$30,$Y224,0)))))</f>
        <v>0</v>
      </c>
      <c r="Y225" s="38">
        <f>IF($Y224&lt;=0,0,ROUND($Y224-$X225-IF($Y224-$X225&lt;=0,0,IF(MOD($A225,Übersicht!$C$25)=0,MIN(Szenarien!$C$10,$Y224-$X225),0)),2))</f>
        <v>0</v>
      </c>
      <c r="Z225" s="38">
        <f>IF($AB224&lt;=0,0,ROUND($AB224*Übersicht!$C$26,2))</f>
        <v>0</v>
      </c>
      <c r="AA225" s="38">
        <f>IF($AB224&lt;=0,0,MIN($AB224,IF(Übersicht!$C$14="Annuitätendarlehen",MAX(0,Übersicht!$C$28-$Z225),IF(Übersicht!$C$14="Ratendarlehen",Übersicht!$C$29,IF($A225&gt;=Übersicht!$C$30,$AB224,0)))))</f>
        <v>0</v>
      </c>
      <c r="AB225" s="38">
        <f>IF($AB224&lt;=0,0,ROUND($AB224-$AA225-IF($AB224-$AA225&lt;=0,0,IF(MOD($A225,Übersicht!$C$25)=0,MIN(Szenarien!$C$11,$AB224-$AA225),0)),2))</f>
        <v>0</v>
      </c>
      <c r="AC225" s="38">
        <f>IF($AE224&lt;=0,0,ROUND($AE224*Übersicht!$C$26,2))</f>
        <v>0</v>
      </c>
      <c r="AD225" s="38">
        <f>IF($AE224&lt;=0,0,MIN($AE224,IF(Übersicht!$C$14="Annuitätendarlehen",MAX(0,Übersicht!$C$28-$AC225),IF(Übersicht!$C$14="Ratendarlehen",Übersicht!$C$29,IF($A225&gt;=Übersicht!$C$30,$AE224,0)))))</f>
        <v>0</v>
      </c>
      <c r="AE225" s="38">
        <f>IF($AE224&lt;=0,0,ROUND($AE224-$AD225-IF($AE224-$AD225&lt;=0,0,IF(MOD($A225,Übersicht!$C$25)=0,MIN(Szenarien!$C$12,$AE224-$AD225),0)),2))</f>
        <v>0</v>
      </c>
    </row>
    <row r="226" spans="1:31" ht="15" customHeight="1" x14ac:dyDescent="0.25">
      <c r="A226" s="21">
        <v>219</v>
      </c>
      <c r="B226" s="36" t="str">
        <f>IF($D226&lt;=0,"",EDATE(Übersicht!$C$18,($A226-1)*12/Übersicht!$C$25))</f>
        <v/>
      </c>
      <c r="C226" s="21" t="str">
        <f t="shared" si="21"/>
        <v/>
      </c>
      <c r="D226" s="37">
        <f t="shared" si="25"/>
        <v>0</v>
      </c>
      <c r="E226" s="23">
        <f t="shared" si="22"/>
        <v>0</v>
      </c>
      <c r="F226" s="23">
        <f>IF($D226&lt;=0,0,ROUND($D226*Übersicht!$C$26,2))</f>
        <v>0</v>
      </c>
      <c r="G226" s="23">
        <f>IF($D226&lt;=0,0,MIN($D226,IF(Übersicht!$C$14="Annuitätendarlehen",MAX(0,Übersicht!$C$28-$F226),IF(Übersicht!$C$14="Ratendarlehen",Übersicht!$C$29,IF($A226&gt;=Übersicht!$C$30,$D226,0)))))</f>
        <v>0</v>
      </c>
      <c r="H226" s="23">
        <f>IF($D226-$G226&lt;=0,0,IF(MOD($A226,Übersicht!$C$25)=0,MIN(Übersicht!$C$31,$D226-$G226),0))</f>
        <v>0</v>
      </c>
      <c r="I226" s="23">
        <f t="shared" si="23"/>
        <v>0</v>
      </c>
      <c r="J226" s="23">
        <f t="shared" si="24"/>
        <v>0</v>
      </c>
      <c r="K226" s="23">
        <f t="shared" si="26"/>
        <v>80072.129999999961</v>
      </c>
      <c r="L226" s="23">
        <f t="shared" si="27"/>
        <v>250000</v>
      </c>
      <c r="M226" s="24" t="str">
        <f>IF($D226&lt;=0,"",IF(Übersicht!$C$11=0,0,$L226/Übersicht!$C$11))</f>
        <v/>
      </c>
      <c r="N226" s="25" t="str">
        <f>IF($D226&lt;=0,"",IF($J226&lt;=0.005,"Volltilgung erreicht",IF($A226=Übersicht!$C$19*Übersicht!$C$25,"Ende der Zinsbindung",IF($H226&gt;0,"Sondertilgung verrechnet",""))))</f>
        <v/>
      </c>
      <c r="Q226" s="38">
        <f>IF($S225&lt;=0,0,ROUND($S225*Übersicht!$C$26,2))</f>
        <v>265.70999999999998</v>
      </c>
      <c r="R226" s="38">
        <f>IF($S225&lt;=0,0,MIN($S225,IF(Übersicht!$C$14="Annuitätendarlehen",MAX(0,Übersicht!$C$28-$Q226),IF(Übersicht!$C$14="Ratendarlehen",Übersicht!$C$29,IF($A226&gt;=Übersicht!$C$30,$S225,0)))))</f>
        <v>973.86999999999989</v>
      </c>
      <c r="S226" s="38">
        <f>IF($S225&lt;=0,0,ROUND($S225-$R226-IF($S225-$R226&lt;=0,0,IF(MOD($A226,Übersicht!$C$25)=0,MIN(Szenarien!$C$8,$S225-$R226),0)),2))</f>
        <v>91448.05</v>
      </c>
      <c r="T226" s="38">
        <f>IF($V225&lt;=0,0,ROUND($V225*Übersicht!$C$26,2))</f>
        <v>88.53</v>
      </c>
      <c r="U226" s="38">
        <f>IF($V225&lt;=0,0,MIN($V225,IF(Übersicht!$C$14="Annuitätendarlehen",MAX(0,Übersicht!$C$28-$T226),IF(Übersicht!$C$14="Ratendarlehen",Übersicht!$C$29,IF($A226&gt;=Übersicht!$C$30,$V225,0)))))</f>
        <v>1151.05</v>
      </c>
      <c r="V226" s="38">
        <f>IF($V225&lt;=0,0,ROUND($V225-$U226-IF($V225-$U226&lt;=0,0,IF(MOD($A226,Übersicht!$C$25)=0,MIN(Szenarien!$C$9,$V225-$U226),0)),2))</f>
        <v>29640.63</v>
      </c>
      <c r="W226" s="38">
        <f>IF($Y225&lt;=0,0,ROUND($Y225*Übersicht!$C$26,2))</f>
        <v>0</v>
      </c>
      <c r="X226" s="38">
        <f>IF($Y225&lt;=0,0,MIN($Y225,IF(Übersicht!$C$14="Annuitätendarlehen",MAX(0,Übersicht!$C$28-$W226),IF(Übersicht!$C$14="Ratendarlehen",Übersicht!$C$29,IF($A226&gt;=Übersicht!$C$30,$Y225,0)))))</f>
        <v>0</v>
      </c>
      <c r="Y226" s="38">
        <f>IF($Y225&lt;=0,0,ROUND($Y225-$X226-IF($Y225-$X226&lt;=0,0,IF(MOD($A226,Übersicht!$C$25)=0,MIN(Szenarien!$C$10,$Y225-$X226),0)),2))</f>
        <v>0</v>
      </c>
      <c r="Z226" s="38">
        <f>IF($AB225&lt;=0,0,ROUND($AB225*Übersicht!$C$26,2))</f>
        <v>0</v>
      </c>
      <c r="AA226" s="38">
        <f>IF($AB225&lt;=0,0,MIN($AB225,IF(Übersicht!$C$14="Annuitätendarlehen",MAX(0,Übersicht!$C$28-$Z226),IF(Übersicht!$C$14="Ratendarlehen",Übersicht!$C$29,IF($A226&gt;=Übersicht!$C$30,$AB225,0)))))</f>
        <v>0</v>
      </c>
      <c r="AB226" s="38">
        <f>IF($AB225&lt;=0,0,ROUND($AB225-$AA226-IF($AB225-$AA226&lt;=0,0,IF(MOD($A226,Übersicht!$C$25)=0,MIN(Szenarien!$C$11,$AB225-$AA226),0)),2))</f>
        <v>0</v>
      </c>
      <c r="AC226" s="38">
        <f>IF($AE225&lt;=0,0,ROUND($AE225*Übersicht!$C$26,2))</f>
        <v>0</v>
      </c>
      <c r="AD226" s="38">
        <f>IF($AE225&lt;=0,0,MIN($AE225,IF(Übersicht!$C$14="Annuitätendarlehen",MAX(0,Übersicht!$C$28-$AC226),IF(Übersicht!$C$14="Ratendarlehen",Übersicht!$C$29,IF($A226&gt;=Übersicht!$C$30,$AE225,0)))))</f>
        <v>0</v>
      </c>
      <c r="AE226" s="38">
        <f>IF($AE225&lt;=0,0,ROUND($AE225-$AD226-IF($AE225-$AD226&lt;=0,0,IF(MOD($A226,Übersicht!$C$25)=0,MIN(Szenarien!$C$12,$AE225-$AD226),0)),2))</f>
        <v>0</v>
      </c>
    </row>
    <row r="227" spans="1:31" ht="15" customHeight="1" x14ac:dyDescent="0.25">
      <c r="A227" s="26">
        <v>220</v>
      </c>
      <c r="B227" s="39" t="str">
        <f>IF($D227&lt;=0,"",EDATE(Übersicht!$C$18,($A227-1)*12/Übersicht!$C$25))</f>
        <v/>
      </c>
      <c r="C227" s="26" t="str">
        <f t="shared" si="21"/>
        <v/>
      </c>
      <c r="D227" s="40">
        <f t="shared" si="25"/>
        <v>0</v>
      </c>
      <c r="E227" s="28">
        <f t="shared" si="22"/>
        <v>0</v>
      </c>
      <c r="F227" s="28">
        <f>IF($D227&lt;=0,0,ROUND($D227*Übersicht!$C$26,2))</f>
        <v>0</v>
      </c>
      <c r="G227" s="28">
        <f>IF($D227&lt;=0,0,MIN($D227,IF(Übersicht!$C$14="Annuitätendarlehen",MAX(0,Übersicht!$C$28-$F227),IF(Übersicht!$C$14="Ratendarlehen",Übersicht!$C$29,IF($A227&gt;=Übersicht!$C$30,$D227,0)))))</f>
        <v>0</v>
      </c>
      <c r="H227" s="28">
        <f>IF($D227-$G227&lt;=0,0,IF(MOD($A227,Übersicht!$C$25)=0,MIN(Übersicht!$C$31,$D227-$G227),0))</f>
        <v>0</v>
      </c>
      <c r="I227" s="28">
        <f t="shared" si="23"/>
        <v>0</v>
      </c>
      <c r="J227" s="28">
        <f t="shared" si="24"/>
        <v>0</v>
      </c>
      <c r="K227" s="28">
        <f t="shared" si="26"/>
        <v>80072.129999999961</v>
      </c>
      <c r="L227" s="28">
        <f t="shared" si="27"/>
        <v>250000</v>
      </c>
      <c r="M227" s="29" t="str">
        <f>IF($D227&lt;=0,"",IF(Übersicht!$C$11=0,0,$L227/Übersicht!$C$11))</f>
        <v/>
      </c>
      <c r="N227" s="30" t="str">
        <f>IF($D227&lt;=0,"",IF($J227&lt;=0.005,"Volltilgung erreicht",IF($A227=Übersicht!$C$19*Übersicht!$C$25,"Ende der Zinsbindung",IF($H227&gt;0,"Sondertilgung verrechnet",""))))</f>
        <v/>
      </c>
      <c r="Q227" s="38">
        <f>IF($S226&lt;=0,0,ROUND($S226*Übersicht!$C$26,2))</f>
        <v>262.91000000000003</v>
      </c>
      <c r="R227" s="38">
        <f>IF($S226&lt;=0,0,MIN($S226,IF(Übersicht!$C$14="Annuitätendarlehen",MAX(0,Übersicht!$C$28-$Q227),IF(Übersicht!$C$14="Ratendarlehen",Übersicht!$C$29,IF($A227&gt;=Übersicht!$C$30,$S226,0)))))</f>
        <v>976.66999999999985</v>
      </c>
      <c r="S227" s="38">
        <f>IF($S226&lt;=0,0,ROUND($S226-$R227-IF($S226-$R227&lt;=0,0,IF(MOD($A227,Übersicht!$C$25)=0,MIN(Szenarien!$C$8,$S226-$R227),0)),2))</f>
        <v>90471.38</v>
      </c>
      <c r="T227" s="38">
        <f>IF($V226&lt;=0,0,ROUND($V226*Übersicht!$C$26,2))</f>
        <v>85.22</v>
      </c>
      <c r="U227" s="38">
        <f>IF($V226&lt;=0,0,MIN($V226,IF(Übersicht!$C$14="Annuitätendarlehen",MAX(0,Übersicht!$C$28-$T227),IF(Übersicht!$C$14="Ratendarlehen",Übersicht!$C$29,IF($A227&gt;=Übersicht!$C$30,$V226,0)))))</f>
        <v>1154.3599999999999</v>
      </c>
      <c r="V227" s="38">
        <f>IF($V226&lt;=0,0,ROUND($V226-$U227-IF($V226-$U227&lt;=0,0,IF(MOD($A227,Übersicht!$C$25)=0,MIN(Szenarien!$C$9,$V226-$U227),0)),2))</f>
        <v>28486.27</v>
      </c>
      <c r="W227" s="38">
        <f>IF($Y226&lt;=0,0,ROUND($Y226*Übersicht!$C$26,2))</f>
        <v>0</v>
      </c>
      <c r="X227" s="38">
        <f>IF($Y226&lt;=0,0,MIN($Y226,IF(Übersicht!$C$14="Annuitätendarlehen",MAX(0,Übersicht!$C$28-$W227),IF(Übersicht!$C$14="Ratendarlehen",Übersicht!$C$29,IF($A227&gt;=Übersicht!$C$30,$Y226,0)))))</f>
        <v>0</v>
      </c>
      <c r="Y227" s="38">
        <f>IF($Y226&lt;=0,0,ROUND($Y226-$X227-IF($Y226-$X227&lt;=0,0,IF(MOD($A227,Übersicht!$C$25)=0,MIN(Szenarien!$C$10,$Y226-$X227),0)),2))</f>
        <v>0</v>
      </c>
      <c r="Z227" s="38">
        <f>IF($AB226&lt;=0,0,ROUND($AB226*Übersicht!$C$26,2))</f>
        <v>0</v>
      </c>
      <c r="AA227" s="38">
        <f>IF($AB226&lt;=0,0,MIN($AB226,IF(Übersicht!$C$14="Annuitätendarlehen",MAX(0,Übersicht!$C$28-$Z227),IF(Übersicht!$C$14="Ratendarlehen",Übersicht!$C$29,IF($A227&gt;=Übersicht!$C$30,$AB226,0)))))</f>
        <v>0</v>
      </c>
      <c r="AB227" s="38">
        <f>IF($AB226&lt;=0,0,ROUND($AB226-$AA227-IF($AB226-$AA227&lt;=0,0,IF(MOD($A227,Übersicht!$C$25)=0,MIN(Szenarien!$C$11,$AB226-$AA227),0)),2))</f>
        <v>0</v>
      </c>
      <c r="AC227" s="38">
        <f>IF($AE226&lt;=0,0,ROUND($AE226*Übersicht!$C$26,2))</f>
        <v>0</v>
      </c>
      <c r="AD227" s="38">
        <f>IF($AE226&lt;=0,0,MIN($AE226,IF(Übersicht!$C$14="Annuitätendarlehen",MAX(0,Übersicht!$C$28-$AC227),IF(Übersicht!$C$14="Ratendarlehen",Übersicht!$C$29,IF($A227&gt;=Übersicht!$C$30,$AE226,0)))))</f>
        <v>0</v>
      </c>
      <c r="AE227" s="38">
        <f>IF($AE226&lt;=0,0,ROUND($AE226-$AD227-IF($AE226-$AD227&lt;=0,0,IF(MOD($A227,Übersicht!$C$25)=0,MIN(Szenarien!$C$12,$AE226-$AD227),0)),2))</f>
        <v>0</v>
      </c>
    </row>
    <row r="228" spans="1:31" ht="15" customHeight="1" x14ac:dyDescent="0.25">
      <c r="A228" s="21">
        <v>221</v>
      </c>
      <c r="B228" s="36" t="str">
        <f>IF($D228&lt;=0,"",EDATE(Übersicht!$C$18,($A228-1)*12/Übersicht!$C$25))</f>
        <v/>
      </c>
      <c r="C228" s="21" t="str">
        <f t="shared" si="21"/>
        <v/>
      </c>
      <c r="D228" s="37">
        <f t="shared" si="25"/>
        <v>0</v>
      </c>
      <c r="E228" s="23">
        <f t="shared" si="22"/>
        <v>0</v>
      </c>
      <c r="F228" s="23">
        <f>IF($D228&lt;=0,0,ROUND($D228*Übersicht!$C$26,2))</f>
        <v>0</v>
      </c>
      <c r="G228" s="23">
        <f>IF($D228&lt;=0,0,MIN($D228,IF(Übersicht!$C$14="Annuitätendarlehen",MAX(0,Übersicht!$C$28-$F228),IF(Übersicht!$C$14="Ratendarlehen",Übersicht!$C$29,IF($A228&gt;=Übersicht!$C$30,$D228,0)))))</f>
        <v>0</v>
      </c>
      <c r="H228" s="23">
        <f>IF($D228-$G228&lt;=0,0,IF(MOD($A228,Übersicht!$C$25)=0,MIN(Übersicht!$C$31,$D228-$G228),0))</f>
        <v>0</v>
      </c>
      <c r="I228" s="23">
        <f t="shared" si="23"/>
        <v>0</v>
      </c>
      <c r="J228" s="23">
        <f t="shared" si="24"/>
        <v>0</v>
      </c>
      <c r="K228" s="23">
        <f t="shared" si="26"/>
        <v>80072.129999999961</v>
      </c>
      <c r="L228" s="23">
        <f t="shared" si="27"/>
        <v>250000</v>
      </c>
      <c r="M228" s="24" t="str">
        <f>IF($D228&lt;=0,"",IF(Übersicht!$C$11=0,0,$L228/Übersicht!$C$11))</f>
        <v/>
      </c>
      <c r="N228" s="25" t="str">
        <f>IF($D228&lt;=0,"",IF($J228&lt;=0.005,"Volltilgung erreicht",IF($A228=Übersicht!$C$19*Übersicht!$C$25,"Ende der Zinsbindung",IF($H228&gt;0,"Sondertilgung verrechnet",""))))</f>
        <v/>
      </c>
      <c r="Q228" s="38">
        <f>IF($S227&lt;=0,0,ROUND($S227*Übersicht!$C$26,2))</f>
        <v>260.11</v>
      </c>
      <c r="R228" s="38">
        <f>IF($S227&lt;=0,0,MIN($S227,IF(Übersicht!$C$14="Annuitätendarlehen",MAX(0,Übersicht!$C$28-$Q228),IF(Übersicht!$C$14="Ratendarlehen",Übersicht!$C$29,IF($A228&gt;=Übersicht!$C$30,$S227,0)))))</f>
        <v>979.46999999999991</v>
      </c>
      <c r="S228" s="38">
        <f>IF($S227&lt;=0,0,ROUND($S227-$R228-IF($S227-$R228&lt;=0,0,IF(MOD($A228,Übersicht!$C$25)=0,MIN(Szenarien!$C$8,$S227-$R228),0)),2))</f>
        <v>89491.91</v>
      </c>
      <c r="T228" s="38">
        <f>IF($V227&lt;=0,0,ROUND($V227*Übersicht!$C$26,2))</f>
        <v>81.900000000000006</v>
      </c>
      <c r="U228" s="38">
        <f>IF($V227&lt;=0,0,MIN($V227,IF(Übersicht!$C$14="Annuitätendarlehen",MAX(0,Übersicht!$C$28-$T228),IF(Übersicht!$C$14="Ratendarlehen",Übersicht!$C$29,IF($A228&gt;=Übersicht!$C$30,$V227,0)))))</f>
        <v>1157.6799999999998</v>
      </c>
      <c r="V228" s="38">
        <f>IF($V227&lt;=0,0,ROUND($V227-$U228-IF($V227-$U228&lt;=0,0,IF(MOD($A228,Übersicht!$C$25)=0,MIN(Szenarien!$C$9,$V227-$U228),0)),2))</f>
        <v>27328.59</v>
      </c>
      <c r="W228" s="38">
        <f>IF($Y227&lt;=0,0,ROUND($Y227*Übersicht!$C$26,2))</f>
        <v>0</v>
      </c>
      <c r="X228" s="38">
        <f>IF($Y227&lt;=0,0,MIN($Y227,IF(Übersicht!$C$14="Annuitätendarlehen",MAX(0,Übersicht!$C$28-$W228),IF(Übersicht!$C$14="Ratendarlehen",Übersicht!$C$29,IF($A228&gt;=Übersicht!$C$30,$Y227,0)))))</f>
        <v>0</v>
      </c>
      <c r="Y228" s="38">
        <f>IF($Y227&lt;=0,0,ROUND($Y227-$X228-IF($Y227-$X228&lt;=0,0,IF(MOD($A228,Übersicht!$C$25)=0,MIN(Szenarien!$C$10,$Y227-$X228),0)),2))</f>
        <v>0</v>
      </c>
      <c r="Z228" s="38">
        <f>IF($AB227&lt;=0,0,ROUND($AB227*Übersicht!$C$26,2))</f>
        <v>0</v>
      </c>
      <c r="AA228" s="38">
        <f>IF($AB227&lt;=0,0,MIN($AB227,IF(Übersicht!$C$14="Annuitätendarlehen",MAX(0,Übersicht!$C$28-$Z228),IF(Übersicht!$C$14="Ratendarlehen",Übersicht!$C$29,IF($A228&gt;=Übersicht!$C$30,$AB227,0)))))</f>
        <v>0</v>
      </c>
      <c r="AB228" s="38">
        <f>IF($AB227&lt;=0,0,ROUND($AB227-$AA228-IF($AB227-$AA228&lt;=0,0,IF(MOD($A228,Übersicht!$C$25)=0,MIN(Szenarien!$C$11,$AB227-$AA228),0)),2))</f>
        <v>0</v>
      </c>
      <c r="AC228" s="38">
        <f>IF($AE227&lt;=0,0,ROUND($AE227*Übersicht!$C$26,2))</f>
        <v>0</v>
      </c>
      <c r="AD228" s="38">
        <f>IF($AE227&lt;=0,0,MIN($AE227,IF(Übersicht!$C$14="Annuitätendarlehen",MAX(0,Übersicht!$C$28-$AC228),IF(Übersicht!$C$14="Ratendarlehen",Übersicht!$C$29,IF($A228&gt;=Übersicht!$C$30,$AE227,0)))))</f>
        <v>0</v>
      </c>
      <c r="AE228" s="38">
        <f>IF($AE227&lt;=0,0,ROUND($AE227-$AD228-IF($AE227-$AD228&lt;=0,0,IF(MOD($A228,Übersicht!$C$25)=0,MIN(Szenarien!$C$12,$AE227-$AD228),0)),2))</f>
        <v>0</v>
      </c>
    </row>
    <row r="229" spans="1:31" ht="15" customHeight="1" x14ac:dyDescent="0.25">
      <c r="A229" s="26">
        <v>222</v>
      </c>
      <c r="B229" s="39" t="str">
        <f>IF($D229&lt;=0,"",EDATE(Übersicht!$C$18,($A229-1)*12/Übersicht!$C$25))</f>
        <v/>
      </c>
      <c r="C229" s="26" t="str">
        <f t="shared" si="21"/>
        <v/>
      </c>
      <c r="D229" s="40">
        <f t="shared" si="25"/>
        <v>0</v>
      </c>
      <c r="E229" s="28">
        <f t="shared" si="22"/>
        <v>0</v>
      </c>
      <c r="F229" s="28">
        <f>IF($D229&lt;=0,0,ROUND($D229*Übersicht!$C$26,2))</f>
        <v>0</v>
      </c>
      <c r="G229" s="28">
        <f>IF($D229&lt;=0,0,MIN($D229,IF(Übersicht!$C$14="Annuitätendarlehen",MAX(0,Übersicht!$C$28-$F229),IF(Übersicht!$C$14="Ratendarlehen",Übersicht!$C$29,IF($A229&gt;=Übersicht!$C$30,$D229,0)))))</f>
        <v>0</v>
      </c>
      <c r="H229" s="28">
        <f>IF($D229-$G229&lt;=0,0,IF(MOD($A229,Übersicht!$C$25)=0,MIN(Übersicht!$C$31,$D229-$G229),0))</f>
        <v>0</v>
      </c>
      <c r="I229" s="28">
        <f t="shared" si="23"/>
        <v>0</v>
      </c>
      <c r="J229" s="28">
        <f t="shared" si="24"/>
        <v>0</v>
      </c>
      <c r="K229" s="28">
        <f t="shared" si="26"/>
        <v>80072.129999999961</v>
      </c>
      <c r="L229" s="28">
        <f t="shared" si="27"/>
        <v>250000</v>
      </c>
      <c r="M229" s="29" t="str">
        <f>IF($D229&lt;=0,"",IF(Übersicht!$C$11=0,0,$L229/Übersicht!$C$11))</f>
        <v/>
      </c>
      <c r="N229" s="30" t="str">
        <f>IF($D229&lt;=0,"",IF($J229&lt;=0.005,"Volltilgung erreicht",IF($A229=Übersicht!$C$19*Übersicht!$C$25,"Ende der Zinsbindung",IF($H229&gt;0,"Sondertilgung verrechnet",""))))</f>
        <v/>
      </c>
      <c r="Q229" s="38">
        <f>IF($S228&lt;=0,0,ROUND($S228*Übersicht!$C$26,2))</f>
        <v>257.29000000000002</v>
      </c>
      <c r="R229" s="38">
        <f>IF($S228&lt;=0,0,MIN($S228,IF(Übersicht!$C$14="Annuitätendarlehen",MAX(0,Übersicht!$C$28-$Q229),IF(Übersicht!$C$14="Ratendarlehen",Übersicht!$C$29,IF($A229&gt;=Übersicht!$C$30,$S228,0)))))</f>
        <v>982.29</v>
      </c>
      <c r="S229" s="38">
        <f>IF($S228&lt;=0,0,ROUND($S228-$R229-IF($S228-$R229&lt;=0,0,IF(MOD($A229,Übersicht!$C$25)=0,MIN(Szenarien!$C$8,$S228-$R229),0)),2))</f>
        <v>88509.62</v>
      </c>
      <c r="T229" s="38">
        <f>IF($V228&lt;=0,0,ROUND($V228*Übersicht!$C$26,2))</f>
        <v>78.569999999999993</v>
      </c>
      <c r="U229" s="38">
        <f>IF($V228&lt;=0,0,MIN($V228,IF(Übersicht!$C$14="Annuitätendarlehen",MAX(0,Übersicht!$C$28-$T229),IF(Übersicht!$C$14="Ratendarlehen",Übersicht!$C$29,IF($A229&gt;=Übersicht!$C$30,$V228,0)))))</f>
        <v>1161.01</v>
      </c>
      <c r="V229" s="38">
        <f>IF($V228&lt;=0,0,ROUND($V228-$U229-IF($V228-$U229&lt;=0,0,IF(MOD($A229,Übersicht!$C$25)=0,MIN(Szenarien!$C$9,$V228-$U229),0)),2))</f>
        <v>26167.58</v>
      </c>
      <c r="W229" s="38">
        <f>IF($Y228&lt;=0,0,ROUND($Y228*Übersicht!$C$26,2))</f>
        <v>0</v>
      </c>
      <c r="X229" s="38">
        <f>IF($Y228&lt;=0,0,MIN($Y228,IF(Übersicht!$C$14="Annuitätendarlehen",MAX(0,Übersicht!$C$28-$W229),IF(Übersicht!$C$14="Ratendarlehen",Übersicht!$C$29,IF($A229&gt;=Übersicht!$C$30,$Y228,0)))))</f>
        <v>0</v>
      </c>
      <c r="Y229" s="38">
        <f>IF($Y228&lt;=0,0,ROUND($Y228-$X229-IF($Y228-$X229&lt;=0,0,IF(MOD($A229,Übersicht!$C$25)=0,MIN(Szenarien!$C$10,$Y228-$X229),0)),2))</f>
        <v>0</v>
      </c>
      <c r="Z229" s="38">
        <f>IF($AB228&lt;=0,0,ROUND($AB228*Übersicht!$C$26,2))</f>
        <v>0</v>
      </c>
      <c r="AA229" s="38">
        <f>IF($AB228&lt;=0,0,MIN($AB228,IF(Übersicht!$C$14="Annuitätendarlehen",MAX(0,Übersicht!$C$28-$Z229),IF(Übersicht!$C$14="Ratendarlehen",Übersicht!$C$29,IF($A229&gt;=Übersicht!$C$30,$AB228,0)))))</f>
        <v>0</v>
      </c>
      <c r="AB229" s="38">
        <f>IF($AB228&lt;=0,0,ROUND($AB228-$AA229-IF($AB228-$AA229&lt;=0,0,IF(MOD($A229,Übersicht!$C$25)=0,MIN(Szenarien!$C$11,$AB228-$AA229),0)),2))</f>
        <v>0</v>
      </c>
      <c r="AC229" s="38">
        <f>IF($AE228&lt;=0,0,ROUND($AE228*Übersicht!$C$26,2))</f>
        <v>0</v>
      </c>
      <c r="AD229" s="38">
        <f>IF($AE228&lt;=0,0,MIN($AE228,IF(Übersicht!$C$14="Annuitätendarlehen",MAX(0,Übersicht!$C$28-$AC229),IF(Übersicht!$C$14="Ratendarlehen",Übersicht!$C$29,IF($A229&gt;=Übersicht!$C$30,$AE228,0)))))</f>
        <v>0</v>
      </c>
      <c r="AE229" s="38">
        <f>IF($AE228&lt;=0,0,ROUND($AE228-$AD229-IF($AE228-$AD229&lt;=0,0,IF(MOD($A229,Übersicht!$C$25)=0,MIN(Szenarien!$C$12,$AE228-$AD229),0)),2))</f>
        <v>0</v>
      </c>
    </row>
    <row r="230" spans="1:31" ht="15" customHeight="1" x14ac:dyDescent="0.25">
      <c r="A230" s="21">
        <v>223</v>
      </c>
      <c r="B230" s="36" t="str">
        <f>IF($D230&lt;=0,"",EDATE(Übersicht!$C$18,($A230-1)*12/Übersicht!$C$25))</f>
        <v/>
      </c>
      <c r="C230" s="21" t="str">
        <f t="shared" si="21"/>
        <v/>
      </c>
      <c r="D230" s="37">
        <f t="shared" si="25"/>
        <v>0</v>
      </c>
      <c r="E230" s="23">
        <f t="shared" si="22"/>
        <v>0</v>
      </c>
      <c r="F230" s="23">
        <f>IF($D230&lt;=0,0,ROUND($D230*Übersicht!$C$26,2))</f>
        <v>0</v>
      </c>
      <c r="G230" s="23">
        <f>IF($D230&lt;=0,0,MIN($D230,IF(Übersicht!$C$14="Annuitätendarlehen",MAX(0,Übersicht!$C$28-$F230),IF(Übersicht!$C$14="Ratendarlehen",Übersicht!$C$29,IF($A230&gt;=Übersicht!$C$30,$D230,0)))))</f>
        <v>0</v>
      </c>
      <c r="H230" s="23">
        <f>IF($D230-$G230&lt;=0,0,IF(MOD($A230,Übersicht!$C$25)=0,MIN(Übersicht!$C$31,$D230-$G230),0))</f>
        <v>0</v>
      </c>
      <c r="I230" s="23">
        <f t="shared" si="23"/>
        <v>0</v>
      </c>
      <c r="J230" s="23">
        <f t="shared" si="24"/>
        <v>0</v>
      </c>
      <c r="K230" s="23">
        <f t="shared" si="26"/>
        <v>80072.129999999961</v>
      </c>
      <c r="L230" s="23">
        <f t="shared" si="27"/>
        <v>250000</v>
      </c>
      <c r="M230" s="24" t="str">
        <f>IF($D230&lt;=0,"",IF(Übersicht!$C$11=0,0,$L230/Übersicht!$C$11))</f>
        <v/>
      </c>
      <c r="N230" s="25" t="str">
        <f>IF($D230&lt;=0,"",IF($J230&lt;=0.005,"Volltilgung erreicht",IF($A230=Übersicht!$C$19*Übersicht!$C$25,"Ende der Zinsbindung",IF($H230&gt;0,"Sondertilgung verrechnet",""))))</f>
        <v/>
      </c>
      <c r="Q230" s="38">
        <f>IF($S229&lt;=0,0,ROUND($S229*Übersicht!$C$26,2))</f>
        <v>254.47</v>
      </c>
      <c r="R230" s="38">
        <f>IF($S229&lt;=0,0,MIN($S229,IF(Übersicht!$C$14="Annuitätendarlehen",MAX(0,Übersicht!$C$28-$Q230),IF(Übersicht!$C$14="Ratendarlehen",Übersicht!$C$29,IF($A230&gt;=Übersicht!$C$30,$S229,0)))))</f>
        <v>985.1099999999999</v>
      </c>
      <c r="S230" s="38">
        <f>IF($S229&lt;=0,0,ROUND($S229-$R230-IF($S229-$R230&lt;=0,0,IF(MOD($A230,Übersicht!$C$25)=0,MIN(Szenarien!$C$8,$S229-$R230),0)),2))</f>
        <v>87524.51</v>
      </c>
      <c r="T230" s="38">
        <f>IF($V229&lt;=0,0,ROUND($V229*Übersicht!$C$26,2))</f>
        <v>75.23</v>
      </c>
      <c r="U230" s="38">
        <f>IF($V229&lt;=0,0,MIN($V229,IF(Übersicht!$C$14="Annuitätendarlehen",MAX(0,Übersicht!$C$28-$T230),IF(Übersicht!$C$14="Ratendarlehen",Übersicht!$C$29,IF($A230&gt;=Übersicht!$C$30,$V229,0)))))</f>
        <v>1164.3499999999999</v>
      </c>
      <c r="V230" s="38">
        <f>IF($V229&lt;=0,0,ROUND($V229-$U230-IF($V229-$U230&lt;=0,0,IF(MOD($A230,Übersicht!$C$25)=0,MIN(Szenarien!$C$9,$V229-$U230),0)),2))</f>
        <v>25003.23</v>
      </c>
      <c r="W230" s="38">
        <f>IF($Y229&lt;=0,0,ROUND($Y229*Übersicht!$C$26,2))</f>
        <v>0</v>
      </c>
      <c r="X230" s="38">
        <f>IF($Y229&lt;=0,0,MIN($Y229,IF(Übersicht!$C$14="Annuitätendarlehen",MAX(0,Übersicht!$C$28-$W230),IF(Übersicht!$C$14="Ratendarlehen",Übersicht!$C$29,IF($A230&gt;=Übersicht!$C$30,$Y229,0)))))</f>
        <v>0</v>
      </c>
      <c r="Y230" s="38">
        <f>IF($Y229&lt;=0,0,ROUND($Y229-$X230-IF($Y229-$X230&lt;=0,0,IF(MOD($A230,Übersicht!$C$25)=0,MIN(Szenarien!$C$10,$Y229-$X230),0)),2))</f>
        <v>0</v>
      </c>
      <c r="Z230" s="38">
        <f>IF($AB229&lt;=0,0,ROUND($AB229*Übersicht!$C$26,2))</f>
        <v>0</v>
      </c>
      <c r="AA230" s="38">
        <f>IF($AB229&lt;=0,0,MIN($AB229,IF(Übersicht!$C$14="Annuitätendarlehen",MAX(0,Übersicht!$C$28-$Z230),IF(Übersicht!$C$14="Ratendarlehen",Übersicht!$C$29,IF($A230&gt;=Übersicht!$C$30,$AB229,0)))))</f>
        <v>0</v>
      </c>
      <c r="AB230" s="38">
        <f>IF($AB229&lt;=0,0,ROUND($AB229-$AA230-IF($AB229-$AA230&lt;=0,0,IF(MOD($A230,Übersicht!$C$25)=0,MIN(Szenarien!$C$11,$AB229-$AA230),0)),2))</f>
        <v>0</v>
      </c>
      <c r="AC230" s="38">
        <f>IF($AE229&lt;=0,0,ROUND($AE229*Übersicht!$C$26,2))</f>
        <v>0</v>
      </c>
      <c r="AD230" s="38">
        <f>IF($AE229&lt;=0,0,MIN($AE229,IF(Übersicht!$C$14="Annuitätendarlehen",MAX(0,Übersicht!$C$28-$AC230),IF(Übersicht!$C$14="Ratendarlehen",Übersicht!$C$29,IF($A230&gt;=Übersicht!$C$30,$AE229,0)))))</f>
        <v>0</v>
      </c>
      <c r="AE230" s="38">
        <f>IF($AE229&lt;=0,0,ROUND($AE229-$AD230-IF($AE229-$AD230&lt;=0,0,IF(MOD($A230,Übersicht!$C$25)=0,MIN(Szenarien!$C$12,$AE229-$AD230),0)),2))</f>
        <v>0</v>
      </c>
    </row>
    <row r="231" spans="1:31" ht="15" customHeight="1" x14ac:dyDescent="0.25">
      <c r="A231" s="26">
        <v>224</v>
      </c>
      <c r="B231" s="39" t="str">
        <f>IF($D231&lt;=0,"",EDATE(Übersicht!$C$18,($A231-1)*12/Übersicht!$C$25))</f>
        <v/>
      </c>
      <c r="C231" s="26" t="str">
        <f t="shared" si="21"/>
        <v/>
      </c>
      <c r="D231" s="40">
        <f t="shared" si="25"/>
        <v>0</v>
      </c>
      <c r="E231" s="28">
        <f t="shared" si="22"/>
        <v>0</v>
      </c>
      <c r="F231" s="28">
        <f>IF($D231&lt;=0,0,ROUND($D231*Übersicht!$C$26,2))</f>
        <v>0</v>
      </c>
      <c r="G231" s="28">
        <f>IF($D231&lt;=0,0,MIN($D231,IF(Übersicht!$C$14="Annuitätendarlehen",MAX(0,Übersicht!$C$28-$F231),IF(Übersicht!$C$14="Ratendarlehen",Übersicht!$C$29,IF($A231&gt;=Übersicht!$C$30,$D231,0)))))</f>
        <v>0</v>
      </c>
      <c r="H231" s="28">
        <f>IF($D231-$G231&lt;=0,0,IF(MOD($A231,Übersicht!$C$25)=0,MIN(Übersicht!$C$31,$D231-$G231),0))</f>
        <v>0</v>
      </c>
      <c r="I231" s="28">
        <f t="shared" si="23"/>
        <v>0</v>
      </c>
      <c r="J231" s="28">
        <f t="shared" si="24"/>
        <v>0</v>
      </c>
      <c r="K231" s="28">
        <f t="shared" si="26"/>
        <v>80072.129999999961</v>
      </c>
      <c r="L231" s="28">
        <f t="shared" si="27"/>
        <v>250000</v>
      </c>
      <c r="M231" s="29" t="str">
        <f>IF($D231&lt;=0,"",IF(Übersicht!$C$11=0,0,$L231/Übersicht!$C$11))</f>
        <v/>
      </c>
      <c r="N231" s="30" t="str">
        <f>IF($D231&lt;=0,"",IF($J231&lt;=0.005,"Volltilgung erreicht",IF($A231=Übersicht!$C$19*Übersicht!$C$25,"Ende der Zinsbindung",IF($H231&gt;0,"Sondertilgung verrechnet",""))))</f>
        <v/>
      </c>
      <c r="Q231" s="38">
        <f>IF($S230&lt;=0,0,ROUND($S230*Übersicht!$C$26,2))</f>
        <v>251.63</v>
      </c>
      <c r="R231" s="38">
        <f>IF($S230&lt;=0,0,MIN($S230,IF(Übersicht!$C$14="Annuitätendarlehen",MAX(0,Übersicht!$C$28-$Q231),IF(Übersicht!$C$14="Ratendarlehen",Übersicht!$C$29,IF($A231&gt;=Übersicht!$C$30,$S230,0)))))</f>
        <v>987.94999999999993</v>
      </c>
      <c r="S231" s="38">
        <f>IF($S230&lt;=0,0,ROUND($S230-$R231-IF($S230-$R231&lt;=0,0,IF(MOD($A231,Übersicht!$C$25)=0,MIN(Szenarien!$C$8,$S230-$R231),0)),2))</f>
        <v>86536.56</v>
      </c>
      <c r="T231" s="38">
        <f>IF($V230&lt;=0,0,ROUND($V230*Übersicht!$C$26,2))</f>
        <v>71.88</v>
      </c>
      <c r="U231" s="38">
        <f>IF($V230&lt;=0,0,MIN($V230,IF(Übersicht!$C$14="Annuitätendarlehen",MAX(0,Übersicht!$C$28-$T231),IF(Übersicht!$C$14="Ratendarlehen",Übersicht!$C$29,IF($A231&gt;=Übersicht!$C$30,$V230,0)))))</f>
        <v>1167.6999999999998</v>
      </c>
      <c r="V231" s="38">
        <f>IF($V230&lt;=0,0,ROUND($V230-$U231-IF($V230-$U231&lt;=0,0,IF(MOD($A231,Übersicht!$C$25)=0,MIN(Szenarien!$C$9,$V230-$U231),0)),2))</f>
        <v>23835.53</v>
      </c>
      <c r="W231" s="38">
        <f>IF($Y230&lt;=0,0,ROUND($Y230*Übersicht!$C$26,2))</f>
        <v>0</v>
      </c>
      <c r="X231" s="38">
        <f>IF($Y230&lt;=0,0,MIN($Y230,IF(Übersicht!$C$14="Annuitätendarlehen",MAX(0,Übersicht!$C$28-$W231),IF(Übersicht!$C$14="Ratendarlehen",Übersicht!$C$29,IF($A231&gt;=Übersicht!$C$30,$Y230,0)))))</f>
        <v>0</v>
      </c>
      <c r="Y231" s="38">
        <f>IF($Y230&lt;=0,0,ROUND($Y230-$X231-IF($Y230-$X231&lt;=0,0,IF(MOD($A231,Übersicht!$C$25)=0,MIN(Szenarien!$C$10,$Y230-$X231),0)),2))</f>
        <v>0</v>
      </c>
      <c r="Z231" s="38">
        <f>IF($AB230&lt;=0,0,ROUND($AB230*Übersicht!$C$26,2))</f>
        <v>0</v>
      </c>
      <c r="AA231" s="38">
        <f>IF($AB230&lt;=0,0,MIN($AB230,IF(Übersicht!$C$14="Annuitätendarlehen",MAX(0,Übersicht!$C$28-$Z231),IF(Übersicht!$C$14="Ratendarlehen",Übersicht!$C$29,IF($A231&gt;=Übersicht!$C$30,$AB230,0)))))</f>
        <v>0</v>
      </c>
      <c r="AB231" s="38">
        <f>IF($AB230&lt;=0,0,ROUND($AB230-$AA231-IF($AB230-$AA231&lt;=0,0,IF(MOD($A231,Übersicht!$C$25)=0,MIN(Szenarien!$C$11,$AB230-$AA231),0)),2))</f>
        <v>0</v>
      </c>
      <c r="AC231" s="38">
        <f>IF($AE230&lt;=0,0,ROUND($AE230*Übersicht!$C$26,2))</f>
        <v>0</v>
      </c>
      <c r="AD231" s="38">
        <f>IF($AE230&lt;=0,0,MIN($AE230,IF(Übersicht!$C$14="Annuitätendarlehen",MAX(0,Übersicht!$C$28-$AC231),IF(Übersicht!$C$14="Ratendarlehen",Übersicht!$C$29,IF($A231&gt;=Übersicht!$C$30,$AE230,0)))))</f>
        <v>0</v>
      </c>
      <c r="AE231" s="38">
        <f>IF($AE230&lt;=0,0,ROUND($AE230-$AD231-IF($AE230-$AD231&lt;=0,0,IF(MOD($A231,Übersicht!$C$25)=0,MIN(Szenarien!$C$12,$AE230-$AD231),0)),2))</f>
        <v>0</v>
      </c>
    </row>
    <row r="232" spans="1:31" ht="15" customHeight="1" x14ac:dyDescent="0.25">
      <c r="A232" s="21">
        <v>225</v>
      </c>
      <c r="B232" s="36" t="str">
        <f>IF($D232&lt;=0,"",EDATE(Übersicht!$C$18,($A232-1)*12/Übersicht!$C$25))</f>
        <v/>
      </c>
      <c r="C232" s="21" t="str">
        <f t="shared" si="21"/>
        <v/>
      </c>
      <c r="D232" s="37">
        <f t="shared" si="25"/>
        <v>0</v>
      </c>
      <c r="E232" s="23">
        <f t="shared" si="22"/>
        <v>0</v>
      </c>
      <c r="F232" s="23">
        <f>IF($D232&lt;=0,0,ROUND($D232*Übersicht!$C$26,2))</f>
        <v>0</v>
      </c>
      <c r="G232" s="23">
        <f>IF($D232&lt;=0,0,MIN($D232,IF(Übersicht!$C$14="Annuitätendarlehen",MAX(0,Übersicht!$C$28-$F232),IF(Übersicht!$C$14="Ratendarlehen",Übersicht!$C$29,IF($A232&gt;=Übersicht!$C$30,$D232,0)))))</f>
        <v>0</v>
      </c>
      <c r="H232" s="23">
        <f>IF($D232-$G232&lt;=0,0,IF(MOD($A232,Übersicht!$C$25)=0,MIN(Übersicht!$C$31,$D232-$G232),0))</f>
        <v>0</v>
      </c>
      <c r="I232" s="23">
        <f t="shared" si="23"/>
        <v>0</v>
      </c>
      <c r="J232" s="23">
        <f t="shared" si="24"/>
        <v>0</v>
      </c>
      <c r="K232" s="23">
        <f t="shared" si="26"/>
        <v>80072.129999999961</v>
      </c>
      <c r="L232" s="23">
        <f t="shared" si="27"/>
        <v>250000</v>
      </c>
      <c r="M232" s="24" t="str">
        <f>IF($D232&lt;=0,"",IF(Übersicht!$C$11=0,0,$L232/Übersicht!$C$11))</f>
        <v/>
      </c>
      <c r="N232" s="25" t="str">
        <f>IF($D232&lt;=0,"",IF($J232&lt;=0.005,"Volltilgung erreicht",IF($A232=Übersicht!$C$19*Übersicht!$C$25,"Ende der Zinsbindung",IF($H232&gt;0,"Sondertilgung verrechnet",""))))</f>
        <v/>
      </c>
      <c r="Q232" s="38">
        <f>IF($S231&lt;=0,0,ROUND($S231*Übersicht!$C$26,2))</f>
        <v>248.79</v>
      </c>
      <c r="R232" s="38">
        <f>IF($S231&lt;=0,0,MIN($S231,IF(Übersicht!$C$14="Annuitätendarlehen",MAX(0,Übersicht!$C$28-$Q232),IF(Übersicht!$C$14="Ratendarlehen",Übersicht!$C$29,IF($A232&gt;=Übersicht!$C$30,$S231,0)))))</f>
        <v>990.79</v>
      </c>
      <c r="S232" s="38">
        <f>IF($S231&lt;=0,0,ROUND($S231-$R232-IF($S231-$R232&lt;=0,0,IF(MOD($A232,Übersicht!$C$25)=0,MIN(Szenarien!$C$8,$S231-$R232),0)),2))</f>
        <v>85545.77</v>
      </c>
      <c r="T232" s="38">
        <f>IF($V231&lt;=0,0,ROUND($V231*Übersicht!$C$26,2))</f>
        <v>68.53</v>
      </c>
      <c r="U232" s="38">
        <f>IF($V231&lt;=0,0,MIN($V231,IF(Übersicht!$C$14="Annuitätendarlehen",MAX(0,Übersicht!$C$28-$T232),IF(Übersicht!$C$14="Ratendarlehen",Übersicht!$C$29,IF($A232&gt;=Übersicht!$C$30,$V231,0)))))</f>
        <v>1171.05</v>
      </c>
      <c r="V232" s="38">
        <f>IF($V231&lt;=0,0,ROUND($V231-$U232-IF($V231-$U232&lt;=0,0,IF(MOD($A232,Übersicht!$C$25)=0,MIN(Szenarien!$C$9,$V231-$U232),0)),2))</f>
        <v>22664.48</v>
      </c>
      <c r="W232" s="38">
        <f>IF($Y231&lt;=0,0,ROUND($Y231*Übersicht!$C$26,2))</f>
        <v>0</v>
      </c>
      <c r="X232" s="38">
        <f>IF($Y231&lt;=0,0,MIN($Y231,IF(Übersicht!$C$14="Annuitätendarlehen",MAX(0,Übersicht!$C$28-$W232),IF(Übersicht!$C$14="Ratendarlehen",Übersicht!$C$29,IF($A232&gt;=Übersicht!$C$30,$Y231,0)))))</f>
        <v>0</v>
      </c>
      <c r="Y232" s="38">
        <f>IF($Y231&lt;=0,0,ROUND($Y231-$X232-IF($Y231-$X232&lt;=0,0,IF(MOD($A232,Übersicht!$C$25)=0,MIN(Szenarien!$C$10,$Y231-$X232),0)),2))</f>
        <v>0</v>
      </c>
      <c r="Z232" s="38">
        <f>IF($AB231&lt;=0,0,ROUND($AB231*Übersicht!$C$26,2))</f>
        <v>0</v>
      </c>
      <c r="AA232" s="38">
        <f>IF($AB231&lt;=0,0,MIN($AB231,IF(Übersicht!$C$14="Annuitätendarlehen",MAX(0,Übersicht!$C$28-$Z232),IF(Übersicht!$C$14="Ratendarlehen",Übersicht!$C$29,IF($A232&gt;=Übersicht!$C$30,$AB231,0)))))</f>
        <v>0</v>
      </c>
      <c r="AB232" s="38">
        <f>IF($AB231&lt;=0,0,ROUND($AB231-$AA232-IF($AB231-$AA232&lt;=0,0,IF(MOD($A232,Übersicht!$C$25)=0,MIN(Szenarien!$C$11,$AB231-$AA232),0)),2))</f>
        <v>0</v>
      </c>
      <c r="AC232" s="38">
        <f>IF($AE231&lt;=0,0,ROUND($AE231*Übersicht!$C$26,2))</f>
        <v>0</v>
      </c>
      <c r="AD232" s="38">
        <f>IF($AE231&lt;=0,0,MIN($AE231,IF(Übersicht!$C$14="Annuitätendarlehen",MAX(0,Übersicht!$C$28-$AC232),IF(Übersicht!$C$14="Ratendarlehen",Übersicht!$C$29,IF($A232&gt;=Übersicht!$C$30,$AE231,0)))))</f>
        <v>0</v>
      </c>
      <c r="AE232" s="38">
        <f>IF($AE231&lt;=0,0,ROUND($AE231-$AD232-IF($AE231-$AD232&lt;=0,0,IF(MOD($A232,Übersicht!$C$25)=0,MIN(Szenarien!$C$12,$AE231-$AD232),0)),2))</f>
        <v>0</v>
      </c>
    </row>
    <row r="233" spans="1:31" ht="15" customHeight="1" x14ac:dyDescent="0.25">
      <c r="A233" s="26">
        <v>226</v>
      </c>
      <c r="B233" s="39" t="str">
        <f>IF($D233&lt;=0,"",EDATE(Übersicht!$C$18,($A233-1)*12/Übersicht!$C$25))</f>
        <v/>
      </c>
      <c r="C233" s="26" t="str">
        <f t="shared" si="21"/>
        <v/>
      </c>
      <c r="D233" s="40">
        <f t="shared" si="25"/>
        <v>0</v>
      </c>
      <c r="E233" s="28">
        <f t="shared" si="22"/>
        <v>0</v>
      </c>
      <c r="F233" s="28">
        <f>IF($D233&lt;=0,0,ROUND($D233*Übersicht!$C$26,2))</f>
        <v>0</v>
      </c>
      <c r="G233" s="28">
        <f>IF($D233&lt;=0,0,MIN($D233,IF(Übersicht!$C$14="Annuitätendarlehen",MAX(0,Übersicht!$C$28-$F233),IF(Übersicht!$C$14="Ratendarlehen",Übersicht!$C$29,IF($A233&gt;=Übersicht!$C$30,$D233,0)))))</f>
        <v>0</v>
      </c>
      <c r="H233" s="28">
        <f>IF($D233-$G233&lt;=0,0,IF(MOD($A233,Übersicht!$C$25)=0,MIN(Übersicht!$C$31,$D233-$G233),0))</f>
        <v>0</v>
      </c>
      <c r="I233" s="28">
        <f t="shared" si="23"/>
        <v>0</v>
      </c>
      <c r="J233" s="28">
        <f t="shared" si="24"/>
        <v>0</v>
      </c>
      <c r="K233" s="28">
        <f t="shared" si="26"/>
        <v>80072.129999999961</v>
      </c>
      <c r="L233" s="28">
        <f t="shared" si="27"/>
        <v>250000</v>
      </c>
      <c r="M233" s="29" t="str">
        <f>IF($D233&lt;=0,"",IF(Übersicht!$C$11=0,0,$L233/Übersicht!$C$11))</f>
        <v/>
      </c>
      <c r="N233" s="30" t="str">
        <f>IF($D233&lt;=0,"",IF($J233&lt;=0.005,"Volltilgung erreicht",IF($A233=Übersicht!$C$19*Übersicht!$C$25,"Ende der Zinsbindung",IF($H233&gt;0,"Sondertilgung verrechnet",""))))</f>
        <v/>
      </c>
      <c r="Q233" s="38">
        <f>IF($S232&lt;=0,0,ROUND($S232*Übersicht!$C$26,2))</f>
        <v>245.94</v>
      </c>
      <c r="R233" s="38">
        <f>IF($S232&lt;=0,0,MIN($S232,IF(Übersicht!$C$14="Annuitätendarlehen",MAX(0,Übersicht!$C$28-$Q233),IF(Übersicht!$C$14="Ratendarlehen",Übersicht!$C$29,IF($A233&gt;=Übersicht!$C$30,$S232,0)))))</f>
        <v>993.63999999999987</v>
      </c>
      <c r="S233" s="38">
        <f>IF($S232&lt;=0,0,ROUND($S232-$R233-IF($S232-$R233&lt;=0,0,IF(MOD($A233,Übersicht!$C$25)=0,MIN(Szenarien!$C$8,$S232-$R233),0)),2))</f>
        <v>84552.13</v>
      </c>
      <c r="T233" s="38">
        <f>IF($V232&lt;=0,0,ROUND($V232*Übersicht!$C$26,2))</f>
        <v>65.16</v>
      </c>
      <c r="U233" s="38">
        <f>IF($V232&lt;=0,0,MIN($V232,IF(Übersicht!$C$14="Annuitätendarlehen",MAX(0,Übersicht!$C$28-$T233),IF(Übersicht!$C$14="Ratendarlehen",Übersicht!$C$29,IF($A233&gt;=Übersicht!$C$30,$V232,0)))))</f>
        <v>1174.4199999999998</v>
      </c>
      <c r="V233" s="38">
        <f>IF($V232&lt;=0,0,ROUND($V232-$U233-IF($V232-$U233&lt;=0,0,IF(MOD($A233,Übersicht!$C$25)=0,MIN(Szenarien!$C$9,$V232-$U233),0)),2))</f>
        <v>21490.06</v>
      </c>
      <c r="W233" s="38">
        <f>IF($Y232&lt;=0,0,ROUND($Y232*Übersicht!$C$26,2))</f>
        <v>0</v>
      </c>
      <c r="X233" s="38">
        <f>IF($Y232&lt;=0,0,MIN($Y232,IF(Übersicht!$C$14="Annuitätendarlehen",MAX(0,Übersicht!$C$28-$W233),IF(Übersicht!$C$14="Ratendarlehen",Übersicht!$C$29,IF($A233&gt;=Übersicht!$C$30,$Y232,0)))))</f>
        <v>0</v>
      </c>
      <c r="Y233" s="38">
        <f>IF($Y232&lt;=0,0,ROUND($Y232-$X233-IF($Y232-$X233&lt;=0,0,IF(MOD($A233,Übersicht!$C$25)=0,MIN(Szenarien!$C$10,$Y232-$X233),0)),2))</f>
        <v>0</v>
      </c>
      <c r="Z233" s="38">
        <f>IF($AB232&lt;=0,0,ROUND($AB232*Übersicht!$C$26,2))</f>
        <v>0</v>
      </c>
      <c r="AA233" s="38">
        <f>IF($AB232&lt;=0,0,MIN($AB232,IF(Übersicht!$C$14="Annuitätendarlehen",MAX(0,Übersicht!$C$28-$Z233),IF(Übersicht!$C$14="Ratendarlehen",Übersicht!$C$29,IF($A233&gt;=Übersicht!$C$30,$AB232,0)))))</f>
        <v>0</v>
      </c>
      <c r="AB233" s="38">
        <f>IF($AB232&lt;=0,0,ROUND($AB232-$AA233-IF($AB232-$AA233&lt;=0,0,IF(MOD($A233,Übersicht!$C$25)=0,MIN(Szenarien!$C$11,$AB232-$AA233),0)),2))</f>
        <v>0</v>
      </c>
      <c r="AC233" s="38">
        <f>IF($AE232&lt;=0,0,ROUND($AE232*Übersicht!$C$26,2))</f>
        <v>0</v>
      </c>
      <c r="AD233" s="38">
        <f>IF($AE232&lt;=0,0,MIN($AE232,IF(Übersicht!$C$14="Annuitätendarlehen",MAX(0,Übersicht!$C$28-$AC233),IF(Übersicht!$C$14="Ratendarlehen",Übersicht!$C$29,IF($A233&gt;=Übersicht!$C$30,$AE232,0)))))</f>
        <v>0</v>
      </c>
      <c r="AE233" s="38">
        <f>IF($AE232&lt;=0,0,ROUND($AE232-$AD233-IF($AE232-$AD233&lt;=0,0,IF(MOD($A233,Übersicht!$C$25)=0,MIN(Szenarien!$C$12,$AE232-$AD233),0)),2))</f>
        <v>0</v>
      </c>
    </row>
    <row r="234" spans="1:31" ht="15" customHeight="1" x14ac:dyDescent="0.25">
      <c r="A234" s="21">
        <v>227</v>
      </c>
      <c r="B234" s="36" t="str">
        <f>IF($D234&lt;=0,"",EDATE(Übersicht!$C$18,($A234-1)*12/Übersicht!$C$25))</f>
        <v/>
      </c>
      <c r="C234" s="21" t="str">
        <f t="shared" si="21"/>
        <v/>
      </c>
      <c r="D234" s="37">
        <f t="shared" si="25"/>
        <v>0</v>
      </c>
      <c r="E234" s="23">
        <f t="shared" si="22"/>
        <v>0</v>
      </c>
      <c r="F234" s="23">
        <f>IF($D234&lt;=0,0,ROUND($D234*Übersicht!$C$26,2))</f>
        <v>0</v>
      </c>
      <c r="G234" s="23">
        <f>IF($D234&lt;=0,0,MIN($D234,IF(Übersicht!$C$14="Annuitätendarlehen",MAX(0,Übersicht!$C$28-$F234),IF(Übersicht!$C$14="Ratendarlehen",Übersicht!$C$29,IF($A234&gt;=Übersicht!$C$30,$D234,0)))))</f>
        <v>0</v>
      </c>
      <c r="H234" s="23">
        <f>IF($D234-$G234&lt;=0,0,IF(MOD($A234,Übersicht!$C$25)=0,MIN(Übersicht!$C$31,$D234-$G234),0))</f>
        <v>0</v>
      </c>
      <c r="I234" s="23">
        <f t="shared" si="23"/>
        <v>0</v>
      </c>
      <c r="J234" s="23">
        <f t="shared" si="24"/>
        <v>0</v>
      </c>
      <c r="K234" s="23">
        <f t="shared" si="26"/>
        <v>80072.129999999961</v>
      </c>
      <c r="L234" s="23">
        <f t="shared" si="27"/>
        <v>250000</v>
      </c>
      <c r="M234" s="24" t="str">
        <f>IF($D234&lt;=0,"",IF(Übersicht!$C$11=0,0,$L234/Übersicht!$C$11))</f>
        <v/>
      </c>
      <c r="N234" s="25" t="str">
        <f>IF($D234&lt;=0,"",IF($J234&lt;=0.005,"Volltilgung erreicht",IF($A234=Übersicht!$C$19*Übersicht!$C$25,"Ende der Zinsbindung",IF($H234&gt;0,"Sondertilgung verrechnet",""))))</f>
        <v/>
      </c>
      <c r="Q234" s="38">
        <f>IF($S233&lt;=0,0,ROUND($S233*Übersicht!$C$26,2))</f>
        <v>243.09</v>
      </c>
      <c r="R234" s="38">
        <f>IF($S233&lt;=0,0,MIN($S233,IF(Übersicht!$C$14="Annuitätendarlehen",MAX(0,Übersicht!$C$28-$Q234),IF(Übersicht!$C$14="Ratendarlehen",Übersicht!$C$29,IF($A234&gt;=Übersicht!$C$30,$S233,0)))))</f>
        <v>996.4899999999999</v>
      </c>
      <c r="S234" s="38">
        <f>IF($S233&lt;=0,0,ROUND($S233-$R234-IF($S233-$R234&lt;=0,0,IF(MOD($A234,Übersicht!$C$25)=0,MIN(Szenarien!$C$8,$S233-$R234),0)),2))</f>
        <v>83555.64</v>
      </c>
      <c r="T234" s="38">
        <f>IF($V233&lt;=0,0,ROUND($V233*Übersicht!$C$26,2))</f>
        <v>61.78</v>
      </c>
      <c r="U234" s="38">
        <f>IF($V233&lt;=0,0,MIN($V233,IF(Übersicht!$C$14="Annuitätendarlehen",MAX(0,Übersicht!$C$28-$T234),IF(Übersicht!$C$14="Ratendarlehen",Übersicht!$C$29,IF($A234&gt;=Übersicht!$C$30,$V233,0)))))</f>
        <v>1177.8</v>
      </c>
      <c r="V234" s="38">
        <f>IF($V233&lt;=0,0,ROUND($V233-$U234-IF($V233-$U234&lt;=0,0,IF(MOD($A234,Übersicht!$C$25)=0,MIN(Szenarien!$C$9,$V233-$U234),0)),2))</f>
        <v>20312.259999999998</v>
      </c>
      <c r="W234" s="38">
        <f>IF($Y233&lt;=0,0,ROUND($Y233*Übersicht!$C$26,2))</f>
        <v>0</v>
      </c>
      <c r="X234" s="38">
        <f>IF($Y233&lt;=0,0,MIN($Y233,IF(Übersicht!$C$14="Annuitätendarlehen",MAX(0,Übersicht!$C$28-$W234),IF(Übersicht!$C$14="Ratendarlehen",Übersicht!$C$29,IF($A234&gt;=Übersicht!$C$30,$Y233,0)))))</f>
        <v>0</v>
      </c>
      <c r="Y234" s="38">
        <f>IF($Y233&lt;=0,0,ROUND($Y233-$X234-IF($Y233-$X234&lt;=0,0,IF(MOD($A234,Übersicht!$C$25)=0,MIN(Szenarien!$C$10,$Y233-$X234),0)),2))</f>
        <v>0</v>
      </c>
      <c r="Z234" s="38">
        <f>IF($AB233&lt;=0,0,ROUND($AB233*Übersicht!$C$26,2))</f>
        <v>0</v>
      </c>
      <c r="AA234" s="38">
        <f>IF($AB233&lt;=0,0,MIN($AB233,IF(Übersicht!$C$14="Annuitätendarlehen",MAX(0,Übersicht!$C$28-$Z234),IF(Übersicht!$C$14="Ratendarlehen",Übersicht!$C$29,IF($A234&gt;=Übersicht!$C$30,$AB233,0)))))</f>
        <v>0</v>
      </c>
      <c r="AB234" s="38">
        <f>IF($AB233&lt;=0,0,ROUND($AB233-$AA234-IF($AB233-$AA234&lt;=0,0,IF(MOD($A234,Übersicht!$C$25)=0,MIN(Szenarien!$C$11,$AB233-$AA234),0)),2))</f>
        <v>0</v>
      </c>
      <c r="AC234" s="38">
        <f>IF($AE233&lt;=0,0,ROUND($AE233*Übersicht!$C$26,2))</f>
        <v>0</v>
      </c>
      <c r="AD234" s="38">
        <f>IF($AE233&lt;=0,0,MIN($AE233,IF(Übersicht!$C$14="Annuitätendarlehen",MAX(0,Übersicht!$C$28-$AC234),IF(Übersicht!$C$14="Ratendarlehen",Übersicht!$C$29,IF($A234&gt;=Übersicht!$C$30,$AE233,0)))))</f>
        <v>0</v>
      </c>
      <c r="AE234" s="38">
        <f>IF($AE233&lt;=0,0,ROUND($AE233-$AD234-IF($AE233-$AD234&lt;=0,0,IF(MOD($A234,Übersicht!$C$25)=0,MIN(Szenarien!$C$12,$AE233-$AD234),0)),2))</f>
        <v>0</v>
      </c>
    </row>
    <row r="235" spans="1:31" ht="15" customHeight="1" x14ac:dyDescent="0.25">
      <c r="A235" s="26">
        <v>228</v>
      </c>
      <c r="B235" s="39" t="str">
        <f>IF($D235&lt;=0,"",EDATE(Übersicht!$C$18,($A235-1)*12/Übersicht!$C$25))</f>
        <v/>
      </c>
      <c r="C235" s="26" t="str">
        <f t="shared" si="21"/>
        <v/>
      </c>
      <c r="D235" s="40">
        <f t="shared" si="25"/>
        <v>0</v>
      </c>
      <c r="E235" s="28">
        <f t="shared" si="22"/>
        <v>0</v>
      </c>
      <c r="F235" s="28">
        <f>IF($D235&lt;=0,0,ROUND($D235*Übersicht!$C$26,2))</f>
        <v>0</v>
      </c>
      <c r="G235" s="28">
        <f>IF($D235&lt;=0,0,MIN($D235,IF(Übersicht!$C$14="Annuitätendarlehen",MAX(0,Übersicht!$C$28-$F235),IF(Übersicht!$C$14="Ratendarlehen",Übersicht!$C$29,IF($A235&gt;=Übersicht!$C$30,$D235,0)))))</f>
        <v>0</v>
      </c>
      <c r="H235" s="28">
        <f>IF($D235-$G235&lt;=0,0,IF(MOD($A235,Übersicht!$C$25)=0,MIN(Übersicht!$C$31,$D235-$G235),0))</f>
        <v>0</v>
      </c>
      <c r="I235" s="28">
        <f t="shared" si="23"/>
        <v>0</v>
      </c>
      <c r="J235" s="28">
        <f t="shared" si="24"/>
        <v>0</v>
      </c>
      <c r="K235" s="28">
        <f t="shared" si="26"/>
        <v>80072.129999999961</v>
      </c>
      <c r="L235" s="28">
        <f t="shared" si="27"/>
        <v>250000</v>
      </c>
      <c r="M235" s="29" t="str">
        <f>IF($D235&lt;=0,"",IF(Übersicht!$C$11=0,0,$L235/Übersicht!$C$11))</f>
        <v/>
      </c>
      <c r="N235" s="30" t="str">
        <f>IF($D235&lt;=0,"",IF($J235&lt;=0.005,"Volltilgung erreicht",IF($A235=Übersicht!$C$19*Übersicht!$C$25,"Ende der Zinsbindung",IF($H235&gt;0,"Sondertilgung verrechnet",""))))</f>
        <v/>
      </c>
      <c r="Q235" s="38">
        <f>IF($S234&lt;=0,0,ROUND($S234*Übersicht!$C$26,2))</f>
        <v>240.22</v>
      </c>
      <c r="R235" s="38">
        <f>IF($S234&lt;=0,0,MIN($S234,IF(Übersicht!$C$14="Annuitätendarlehen",MAX(0,Übersicht!$C$28-$Q235),IF(Übersicht!$C$14="Ratendarlehen",Übersicht!$C$29,IF($A235&gt;=Übersicht!$C$30,$S234,0)))))</f>
        <v>999.3599999999999</v>
      </c>
      <c r="S235" s="38">
        <f>IF($S234&lt;=0,0,ROUND($S234-$R235-IF($S234-$R235&lt;=0,0,IF(MOD($A235,Übersicht!$C$25)=0,MIN(Szenarien!$C$8,$S234-$R235),0)),2))</f>
        <v>82556.28</v>
      </c>
      <c r="T235" s="38">
        <f>IF($V234&lt;=0,0,ROUND($V234*Übersicht!$C$26,2))</f>
        <v>58.4</v>
      </c>
      <c r="U235" s="38">
        <f>IF($V234&lt;=0,0,MIN($V234,IF(Übersicht!$C$14="Annuitätendarlehen",MAX(0,Übersicht!$C$28-$T235),IF(Übersicht!$C$14="Ratendarlehen",Übersicht!$C$29,IF($A235&gt;=Übersicht!$C$30,$V234,0)))))</f>
        <v>1181.1799999999998</v>
      </c>
      <c r="V235" s="38">
        <f>IF($V234&lt;=0,0,ROUND($V234-$U235-IF($V234-$U235&lt;=0,0,IF(MOD($A235,Übersicht!$C$25)=0,MIN(Szenarien!$C$9,$V234-$U235),0)),2))</f>
        <v>16631.080000000002</v>
      </c>
      <c r="W235" s="38">
        <f>IF($Y234&lt;=0,0,ROUND($Y234*Übersicht!$C$26,2))</f>
        <v>0</v>
      </c>
      <c r="X235" s="38">
        <f>IF($Y234&lt;=0,0,MIN($Y234,IF(Übersicht!$C$14="Annuitätendarlehen",MAX(0,Übersicht!$C$28-$W235),IF(Übersicht!$C$14="Ratendarlehen",Übersicht!$C$29,IF($A235&gt;=Übersicht!$C$30,$Y234,0)))))</f>
        <v>0</v>
      </c>
      <c r="Y235" s="38">
        <f>IF($Y234&lt;=0,0,ROUND($Y234-$X235-IF($Y234-$X235&lt;=0,0,IF(MOD($A235,Übersicht!$C$25)=0,MIN(Szenarien!$C$10,$Y234-$X235),0)),2))</f>
        <v>0</v>
      </c>
      <c r="Z235" s="38">
        <f>IF($AB234&lt;=0,0,ROUND($AB234*Übersicht!$C$26,2))</f>
        <v>0</v>
      </c>
      <c r="AA235" s="38">
        <f>IF($AB234&lt;=0,0,MIN($AB234,IF(Übersicht!$C$14="Annuitätendarlehen",MAX(0,Übersicht!$C$28-$Z235),IF(Übersicht!$C$14="Ratendarlehen",Übersicht!$C$29,IF($A235&gt;=Übersicht!$C$30,$AB234,0)))))</f>
        <v>0</v>
      </c>
      <c r="AB235" s="38">
        <f>IF($AB234&lt;=0,0,ROUND($AB234-$AA235-IF($AB234-$AA235&lt;=0,0,IF(MOD($A235,Übersicht!$C$25)=0,MIN(Szenarien!$C$11,$AB234-$AA235),0)),2))</f>
        <v>0</v>
      </c>
      <c r="AC235" s="38">
        <f>IF($AE234&lt;=0,0,ROUND($AE234*Übersicht!$C$26,2))</f>
        <v>0</v>
      </c>
      <c r="AD235" s="38">
        <f>IF($AE234&lt;=0,0,MIN($AE234,IF(Übersicht!$C$14="Annuitätendarlehen",MAX(0,Übersicht!$C$28-$AC235),IF(Übersicht!$C$14="Ratendarlehen",Übersicht!$C$29,IF($A235&gt;=Übersicht!$C$30,$AE234,0)))))</f>
        <v>0</v>
      </c>
      <c r="AE235" s="38">
        <f>IF($AE234&lt;=0,0,ROUND($AE234-$AD235-IF($AE234-$AD235&lt;=0,0,IF(MOD($A235,Übersicht!$C$25)=0,MIN(Szenarien!$C$12,$AE234-$AD235),0)),2))</f>
        <v>0</v>
      </c>
    </row>
    <row r="236" spans="1:31" ht="15" customHeight="1" x14ac:dyDescent="0.25">
      <c r="A236" s="21">
        <v>229</v>
      </c>
      <c r="B236" s="36" t="str">
        <f>IF($D236&lt;=0,"",EDATE(Übersicht!$C$18,($A236-1)*12/Übersicht!$C$25))</f>
        <v/>
      </c>
      <c r="C236" s="21" t="str">
        <f t="shared" si="21"/>
        <v/>
      </c>
      <c r="D236" s="37">
        <f t="shared" si="25"/>
        <v>0</v>
      </c>
      <c r="E236" s="23">
        <f t="shared" si="22"/>
        <v>0</v>
      </c>
      <c r="F236" s="23">
        <f>IF($D236&lt;=0,0,ROUND($D236*Übersicht!$C$26,2))</f>
        <v>0</v>
      </c>
      <c r="G236" s="23">
        <f>IF($D236&lt;=0,0,MIN($D236,IF(Übersicht!$C$14="Annuitätendarlehen",MAX(0,Übersicht!$C$28-$F236),IF(Übersicht!$C$14="Ratendarlehen",Übersicht!$C$29,IF($A236&gt;=Übersicht!$C$30,$D236,0)))))</f>
        <v>0</v>
      </c>
      <c r="H236" s="23">
        <f>IF($D236-$G236&lt;=0,0,IF(MOD($A236,Übersicht!$C$25)=0,MIN(Übersicht!$C$31,$D236-$G236),0))</f>
        <v>0</v>
      </c>
      <c r="I236" s="23">
        <f t="shared" si="23"/>
        <v>0</v>
      </c>
      <c r="J236" s="23">
        <f t="shared" si="24"/>
        <v>0</v>
      </c>
      <c r="K236" s="23">
        <f t="shared" si="26"/>
        <v>80072.129999999961</v>
      </c>
      <c r="L236" s="23">
        <f t="shared" si="27"/>
        <v>250000</v>
      </c>
      <c r="M236" s="24" t="str">
        <f>IF($D236&lt;=0,"",IF(Übersicht!$C$11=0,0,$L236/Übersicht!$C$11))</f>
        <v/>
      </c>
      <c r="N236" s="25" t="str">
        <f>IF($D236&lt;=0,"",IF($J236&lt;=0.005,"Volltilgung erreicht",IF($A236=Übersicht!$C$19*Übersicht!$C$25,"Ende der Zinsbindung",IF($H236&gt;0,"Sondertilgung verrechnet",""))))</f>
        <v/>
      </c>
      <c r="Q236" s="38">
        <f>IF($S235&lt;=0,0,ROUND($S235*Übersicht!$C$26,2))</f>
        <v>237.35</v>
      </c>
      <c r="R236" s="38">
        <f>IF($S235&lt;=0,0,MIN($S235,IF(Übersicht!$C$14="Annuitätendarlehen",MAX(0,Übersicht!$C$28-$Q236),IF(Übersicht!$C$14="Ratendarlehen",Übersicht!$C$29,IF($A236&gt;=Übersicht!$C$30,$S235,0)))))</f>
        <v>1002.2299999999999</v>
      </c>
      <c r="S236" s="38">
        <f>IF($S235&lt;=0,0,ROUND($S235-$R236-IF($S235-$R236&lt;=0,0,IF(MOD($A236,Übersicht!$C$25)=0,MIN(Szenarien!$C$8,$S235-$R236),0)),2))</f>
        <v>81554.05</v>
      </c>
      <c r="T236" s="38">
        <f>IF($V235&lt;=0,0,ROUND($V235*Übersicht!$C$26,2))</f>
        <v>47.81</v>
      </c>
      <c r="U236" s="38">
        <f>IF($V235&lt;=0,0,MIN($V235,IF(Übersicht!$C$14="Annuitätendarlehen",MAX(0,Übersicht!$C$28-$T236),IF(Übersicht!$C$14="Ratendarlehen",Übersicht!$C$29,IF($A236&gt;=Übersicht!$C$30,$V235,0)))))</f>
        <v>1191.77</v>
      </c>
      <c r="V236" s="38">
        <f>IF($V235&lt;=0,0,ROUND($V235-$U236-IF($V235-$U236&lt;=0,0,IF(MOD($A236,Übersicht!$C$25)=0,MIN(Szenarien!$C$9,$V235-$U236),0)),2))</f>
        <v>15439.31</v>
      </c>
      <c r="W236" s="38">
        <f>IF($Y235&lt;=0,0,ROUND($Y235*Übersicht!$C$26,2))</f>
        <v>0</v>
      </c>
      <c r="X236" s="38">
        <f>IF($Y235&lt;=0,0,MIN($Y235,IF(Übersicht!$C$14="Annuitätendarlehen",MAX(0,Übersicht!$C$28-$W236),IF(Übersicht!$C$14="Ratendarlehen",Übersicht!$C$29,IF($A236&gt;=Übersicht!$C$30,$Y235,0)))))</f>
        <v>0</v>
      </c>
      <c r="Y236" s="38">
        <f>IF($Y235&lt;=0,0,ROUND($Y235-$X236-IF($Y235-$X236&lt;=0,0,IF(MOD($A236,Übersicht!$C$25)=0,MIN(Szenarien!$C$10,$Y235-$X236),0)),2))</f>
        <v>0</v>
      </c>
      <c r="Z236" s="38">
        <f>IF($AB235&lt;=0,0,ROUND($AB235*Übersicht!$C$26,2))</f>
        <v>0</v>
      </c>
      <c r="AA236" s="38">
        <f>IF($AB235&lt;=0,0,MIN($AB235,IF(Übersicht!$C$14="Annuitätendarlehen",MAX(0,Übersicht!$C$28-$Z236),IF(Übersicht!$C$14="Ratendarlehen",Übersicht!$C$29,IF($A236&gt;=Übersicht!$C$30,$AB235,0)))))</f>
        <v>0</v>
      </c>
      <c r="AB236" s="38">
        <f>IF($AB235&lt;=0,0,ROUND($AB235-$AA236-IF($AB235-$AA236&lt;=0,0,IF(MOD($A236,Übersicht!$C$25)=0,MIN(Szenarien!$C$11,$AB235-$AA236),0)),2))</f>
        <v>0</v>
      </c>
      <c r="AC236" s="38">
        <f>IF($AE235&lt;=0,0,ROUND($AE235*Übersicht!$C$26,2))</f>
        <v>0</v>
      </c>
      <c r="AD236" s="38">
        <f>IF($AE235&lt;=0,0,MIN($AE235,IF(Übersicht!$C$14="Annuitätendarlehen",MAX(0,Übersicht!$C$28-$AC236),IF(Übersicht!$C$14="Ratendarlehen",Übersicht!$C$29,IF($A236&gt;=Übersicht!$C$30,$AE235,0)))))</f>
        <v>0</v>
      </c>
      <c r="AE236" s="38">
        <f>IF($AE235&lt;=0,0,ROUND($AE235-$AD236-IF($AE235-$AD236&lt;=0,0,IF(MOD($A236,Übersicht!$C$25)=0,MIN(Szenarien!$C$12,$AE235-$AD236),0)),2))</f>
        <v>0</v>
      </c>
    </row>
    <row r="237" spans="1:31" ht="15" customHeight="1" x14ac:dyDescent="0.25">
      <c r="A237" s="26">
        <v>230</v>
      </c>
      <c r="B237" s="39" t="str">
        <f>IF($D237&lt;=0,"",EDATE(Übersicht!$C$18,($A237-1)*12/Übersicht!$C$25))</f>
        <v/>
      </c>
      <c r="C237" s="26" t="str">
        <f t="shared" si="21"/>
        <v/>
      </c>
      <c r="D237" s="40">
        <f t="shared" si="25"/>
        <v>0</v>
      </c>
      <c r="E237" s="28">
        <f t="shared" si="22"/>
        <v>0</v>
      </c>
      <c r="F237" s="28">
        <f>IF($D237&lt;=0,0,ROUND($D237*Übersicht!$C$26,2))</f>
        <v>0</v>
      </c>
      <c r="G237" s="28">
        <f>IF($D237&lt;=0,0,MIN($D237,IF(Übersicht!$C$14="Annuitätendarlehen",MAX(0,Übersicht!$C$28-$F237),IF(Übersicht!$C$14="Ratendarlehen",Übersicht!$C$29,IF($A237&gt;=Übersicht!$C$30,$D237,0)))))</f>
        <v>0</v>
      </c>
      <c r="H237" s="28">
        <f>IF($D237-$G237&lt;=0,0,IF(MOD($A237,Übersicht!$C$25)=0,MIN(Übersicht!$C$31,$D237-$G237),0))</f>
        <v>0</v>
      </c>
      <c r="I237" s="28">
        <f t="shared" si="23"/>
        <v>0</v>
      </c>
      <c r="J237" s="28">
        <f t="shared" si="24"/>
        <v>0</v>
      </c>
      <c r="K237" s="28">
        <f t="shared" si="26"/>
        <v>80072.129999999961</v>
      </c>
      <c r="L237" s="28">
        <f t="shared" si="27"/>
        <v>250000</v>
      </c>
      <c r="M237" s="29" t="str">
        <f>IF($D237&lt;=0,"",IF(Übersicht!$C$11=0,0,$L237/Übersicht!$C$11))</f>
        <v/>
      </c>
      <c r="N237" s="30" t="str">
        <f>IF($D237&lt;=0,"",IF($J237&lt;=0.005,"Volltilgung erreicht",IF($A237=Übersicht!$C$19*Übersicht!$C$25,"Ende der Zinsbindung",IF($H237&gt;0,"Sondertilgung verrechnet",""))))</f>
        <v/>
      </c>
      <c r="Q237" s="38">
        <f>IF($S236&lt;=0,0,ROUND($S236*Übersicht!$C$26,2))</f>
        <v>234.47</v>
      </c>
      <c r="R237" s="38">
        <f>IF($S236&lt;=0,0,MIN($S236,IF(Übersicht!$C$14="Annuitätendarlehen",MAX(0,Übersicht!$C$28-$Q237),IF(Übersicht!$C$14="Ratendarlehen",Übersicht!$C$29,IF($A237&gt;=Übersicht!$C$30,$S236,0)))))</f>
        <v>1005.1099999999999</v>
      </c>
      <c r="S237" s="38">
        <f>IF($S236&lt;=0,0,ROUND($S236-$R237-IF($S236-$R237&lt;=0,0,IF(MOD($A237,Übersicht!$C$25)=0,MIN(Szenarien!$C$8,$S236-$R237),0)),2))</f>
        <v>80548.94</v>
      </c>
      <c r="T237" s="38">
        <f>IF($V236&lt;=0,0,ROUND($V236*Übersicht!$C$26,2))</f>
        <v>44.39</v>
      </c>
      <c r="U237" s="38">
        <f>IF($V236&lt;=0,0,MIN($V236,IF(Übersicht!$C$14="Annuitätendarlehen",MAX(0,Übersicht!$C$28-$T237),IF(Übersicht!$C$14="Ratendarlehen",Übersicht!$C$29,IF($A237&gt;=Übersicht!$C$30,$V236,0)))))</f>
        <v>1195.1899999999998</v>
      </c>
      <c r="V237" s="38">
        <f>IF($V236&lt;=0,0,ROUND($V236-$U237-IF($V236-$U237&lt;=0,0,IF(MOD($A237,Übersicht!$C$25)=0,MIN(Szenarien!$C$9,$V236-$U237),0)),2))</f>
        <v>14244.12</v>
      </c>
      <c r="W237" s="38">
        <f>IF($Y236&lt;=0,0,ROUND($Y236*Übersicht!$C$26,2))</f>
        <v>0</v>
      </c>
      <c r="X237" s="38">
        <f>IF($Y236&lt;=0,0,MIN($Y236,IF(Übersicht!$C$14="Annuitätendarlehen",MAX(0,Übersicht!$C$28-$W237),IF(Übersicht!$C$14="Ratendarlehen",Übersicht!$C$29,IF($A237&gt;=Übersicht!$C$30,$Y236,0)))))</f>
        <v>0</v>
      </c>
      <c r="Y237" s="38">
        <f>IF($Y236&lt;=0,0,ROUND($Y236-$X237-IF($Y236-$X237&lt;=0,0,IF(MOD($A237,Übersicht!$C$25)=0,MIN(Szenarien!$C$10,$Y236-$X237),0)),2))</f>
        <v>0</v>
      </c>
      <c r="Z237" s="38">
        <f>IF($AB236&lt;=0,0,ROUND($AB236*Übersicht!$C$26,2))</f>
        <v>0</v>
      </c>
      <c r="AA237" s="38">
        <f>IF($AB236&lt;=0,0,MIN($AB236,IF(Übersicht!$C$14="Annuitätendarlehen",MAX(0,Übersicht!$C$28-$Z237),IF(Übersicht!$C$14="Ratendarlehen",Übersicht!$C$29,IF($A237&gt;=Übersicht!$C$30,$AB236,0)))))</f>
        <v>0</v>
      </c>
      <c r="AB237" s="38">
        <f>IF($AB236&lt;=0,0,ROUND($AB236-$AA237-IF($AB236-$AA237&lt;=0,0,IF(MOD($A237,Übersicht!$C$25)=0,MIN(Szenarien!$C$11,$AB236-$AA237),0)),2))</f>
        <v>0</v>
      </c>
      <c r="AC237" s="38">
        <f>IF($AE236&lt;=0,0,ROUND($AE236*Übersicht!$C$26,2))</f>
        <v>0</v>
      </c>
      <c r="AD237" s="38">
        <f>IF($AE236&lt;=0,0,MIN($AE236,IF(Übersicht!$C$14="Annuitätendarlehen",MAX(0,Übersicht!$C$28-$AC237),IF(Übersicht!$C$14="Ratendarlehen",Übersicht!$C$29,IF($A237&gt;=Übersicht!$C$30,$AE236,0)))))</f>
        <v>0</v>
      </c>
      <c r="AE237" s="38">
        <f>IF($AE236&lt;=0,0,ROUND($AE236-$AD237-IF($AE236-$AD237&lt;=0,0,IF(MOD($A237,Übersicht!$C$25)=0,MIN(Szenarien!$C$12,$AE236-$AD237),0)),2))</f>
        <v>0</v>
      </c>
    </row>
    <row r="238" spans="1:31" ht="15" customHeight="1" x14ac:dyDescent="0.25">
      <c r="A238" s="21">
        <v>231</v>
      </c>
      <c r="B238" s="36" t="str">
        <f>IF($D238&lt;=0,"",EDATE(Übersicht!$C$18,($A238-1)*12/Übersicht!$C$25))</f>
        <v/>
      </c>
      <c r="C238" s="21" t="str">
        <f t="shared" si="21"/>
        <v/>
      </c>
      <c r="D238" s="37">
        <f t="shared" si="25"/>
        <v>0</v>
      </c>
      <c r="E238" s="23">
        <f t="shared" si="22"/>
        <v>0</v>
      </c>
      <c r="F238" s="23">
        <f>IF($D238&lt;=0,0,ROUND($D238*Übersicht!$C$26,2))</f>
        <v>0</v>
      </c>
      <c r="G238" s="23">
        <f>IF($D238&lt;=0,0,MIN($D238,IF(Übersicht!$C$14="Annuitätendarlehen",MAX(0,Übersicht!$C$28-$F238),IF(Übersicht!$C$14="Ratendarlehen",Übersicht!$C$29,IF($A238&gt;=Übersicht!$C$30,$D238,0)))))</f>
        <v>0</v>
      </c>
      <c r="H238" s="23">
        <f>IF($D238-$G238&lt;=0,0,IF(MOD($A238,Übersicht!$C$25)=0,MIN(Übersicht!$C$31,$D238-$G238),0))</f>
        <v>0</v>
      </c>
      <c r="I238" s="23">
        <f t="shared" si="23"/>
        <v>0</v>
      </c>
      <c r="J238" s="23">
        <f t="shared" si="24"/>
        <v>0</v>
      </c>
      <c r="K238" s="23">
        <f t="shared" si="26"/>
        <v>80072.129999999961</v>
      </c>
      <c r="L238" s="23">
        <f t="shared" si="27"/>
        <v>250000</v>
      </c>
      <c r="M238" s="24" t="str">
        <f>IF($D238&lt;=0,"",IF(Übersicht!$C$11=0,0,$L238/Übersicht!$C$11))</f>
        <v/>
      </c>
      <c r="N238" s="25" t="str">
        <f>IF($D238&lt;=0,"",IF($J238&lt;=0.005,"Volltilgung erreicht",IF($A238=Übersicht!$C$19*Übersicht!$C$25,"Ende der Zinsbindung",IF($H238&gt;0,"Sondertilgung verrechnet",""))))</f>
        <v/>
      </c>
      <c r="Q238" s="38">
        <f>IF($S237&lt;=0,0,ROUND($S237*Übersicht!$C$26,2))</f>
        <v>231.58</v>
      </c>
      <c r="R238" s="38">
        <f>IF($S237&lt;=0,0,MIN($S237,IF(Übersicht!$C$14="Annuitätendarlehen",MAX(0,Übersicht!$C$28-$Q238),IF(Übersicht!$C$14="Ratendarlehen",Übersicht!$C$29,IF($A238&gt;=Übersicht!$C$30,$S237,0)))))</f>
        <v>1007.9999999999999</v>
      </c>
      <c r="S238" s="38">
        <f>IF($S237&lt;=0,0,ROUND($S237-$R238-IF($S237-$R238&lt;=0,0,IF(MOD($A238,Übersicht!$C$25)=0,MIN(Szenarien!$C$8,$S237-$R238),0)),2))</f>
        <v>79540.94</v>
      </c>
      <c r="T238" s="38">
        <f>IF($V237&lt;=0,0,ROUND($V237*Übersicht!$C$26,2))</f>
        <v>40.950000000000003</v>
      </c>
      <c r="U238" s="38">
        <f>IF($V237&lt;=0,0,MIN($V237,IF(Übersicht!$C$14="Annuitätendarlehen",MAX(0,Übersicht!$C$28-$T238),IF(Übersicht!$C$14="Ratendarlehen",Übersicht!$C$29,IF($A238&gt;=Übersicht!$C$30,$V237,0)))))</f>
        <v>1198.6299999999999</v>
      </c>
      <c r="V238" s="38">
        <f>IF($V237&lt;=0,0,ROUND($V237-$U238-IF($V237-$U238&lt;=0,0,IF(MOD($A238,Übersicht!$C$25)=0,MIN(Szenarien!$C$9,$V237-$U238),0)),2))</f>
        <v>13045.49</v>
      </c>
      <c r="W238" s="38">
        <f>IF($Y237&lt;=0,0,ROUND($Y237*Übersicht!$C$26,2))</f>
        <v>0</v>
      </c>
      <c r="X238" s="38">
        <f>IF($Y237&lt;=0,0,MIN($Y237,IF(Übersicht!$C$14="Annuitätendarlehen",MAX(0,Übersicht!$C$28-$W238),IF(Übersicht!$C$14="Ratendarlehen",Übersicht!$C$29,IF($A238&gt;=Übersicht!$C$30,$Y237,0)))))</f>
        <v>0</v>
      </c>
      <c r="Y238" s="38">
        <f>IF($Y237&lt;=0,0,ROUND($Y237-$X238-IF($Y237-$X238&lt;=0,0,IF(MOD($A238,Übersicht!$C$25)=0,MIN(Szenarien!$C$10,$Y237-$X238),0)),2))</f>
        <v>0</v>
      </c>
      <c r="Z238" s="38">
        <f>IF($AB237&lt;=0,0,ROUND($AB237*Übersicht!$C$26,2))</f>
        <v>0</v>
      </c>
      <c r="AA238" s="38">
        <f>IF($AB237&lt;=0,0,MIN($AB237,IF(Übersicht!$C$14="Annuitätendarlehen",MAX(0,Übersicht!$C$28-$Z238),IF(Übersicht!$C$14="Ratendarlehen",Übersicht!$C$29,IF($A238&gt;=Übersicht!$C$30,$AB237,0)))))</f>
        <v>0</v>
      </c>
      <c r="AB238" s="38">
        <f>IF($AB237&lt;=0,0,ROUND($AB237-$AA238-IF($AB237-$AA238&lt;=0,0,IF(MOD($A238,Übersicht!$C$25)=0,MIN(Szenarien!$C$11,$AB237-$AA238),0)),2))</f>
        <v>0</v>
      </c>
      <c r="AC238" s="38">
        <f>IF($AE237&lt;=0,0,ROUND($AE237*Übersicht!$C$26,2))</f>
        <v>0</v>
      </c>
      <c r="AD238" s="38">
        <f>IF($AE237&lt;=0,0,MIN($AE237,IF(Übersicht!$C$14="Annuitätendarlehen",MAX(0,Übersicht!$C$28-$AC238),IF(Übersicht!$C$14="Ratendarlehen",Übersicht!$C$29,IF($A238&gt;=Übersicht!$C$30,$AE237,0)))))</f>
        <v>0</v>
      </c>
      <c r="AE238" s="38">
        <f>IF($AE237&lt;=0,0,ROUND($AE237-$AD238-IF($AE237-$AD238&lt;=0,0,IF(MOD($A238,Übersicht!$C$25)=0,MIN(Szenarien!$C$12,$AE237-$AD238),0)),2))</f>
        <v>0</v>
      </c>
    </row>
    <row r="239" spans="1:31" ht="15" customHeight="1" x14ac:dyDescent="0.25">
      <c r="A239" s="26">
        <v>232</v>
      </c>
      <c r="B239" s="39" t="str">
        <f>IF($D239&lt;=0,"",EDATE(Übersicht!$C$18,($A239-1)*12/Übersicht!$C$25))</f>
        <v/>
      </c>
      <c r="C239" s="26" t="str">
        <f t="shared" si="21"/>
        <v/>
      </c>
      <c r="D239" s="40">
        <f t="shared" si="25"/>
        <v>0</v>
      </c>
      <c r="E239" s="28">
        <f t="shared" si="22"/>
        <v>0</v>
      </c>
      <c r="F239" s="28">
        <f>IF($D239&lt;=0,0,ROUND($D239*Übersicht!$C$26,2))</f>
        <v>0</v>
      </c>
      <c r="G239" s="28">
        <f>IF($D239&lt;=0,0,MIN($D239,IF(Übersicht!$C$14="Annuitätendarlehen",MAX(0,Übersicht!$C$28-$F239),IF(Übersicht!$C$14="Ratendarlehen",Übersicht!$C$29,IF($A239&gt;=Übersicht!$C$30,$D239,0)))))</f>
        <v>0</v>
      </c>
      <c r="H239" s="28">
        <f>IF($D239-$G239&lt;=0,0,IF(MOD($A239,Übersicht!$C$25)=0,MIN(Übersicht!$C$31,$D239-$G239),0))</f>
        <v>0</v>
      </c>
      <c r="I239" s="28">
        <f t="shared" si="23"/>
        <v>0</v>
      </c>
      <c r="J239" s="28">
        <f t="shared" si="24"/>
        <v>0</v>
      </c>
      <c r="K239" s="28">
        <f t="shared" si="26"/>
        <v>80072.129999999961</v>
      </c>
      <c r="L239" s="28">
        <f t="shared" si="27"/>
        <v>250000</v>
      </c>
      <c r="M239" s="29" t="str">
        <f>IF($D239&lt;=0,"",IF(Übersicht!$C$11=0,0,$L239/Übersicht!$C$11))</f>
        <v/>
      </c>
      <c r="N239" s="30" t="str">
        <f>IF($D239&lt;=0,"",IF($J239&lt;=0.005,"Volltilgung erreicht",IF($A239=Übersicht!$C$19*Übersicht!$C$25,"Ende der Zinsbindung",IF($H239&gt;0,"Sondertilgung verrechnet",""))))</f>
        <v/>
      </c>
      <c r="Q239" s="38">
        <f>IF($S238&lt;=0,0,ROUND($S238*Übersicht!$C$26,2))</f>
        <v>228.68</v>
      </c>
      <c r="R239" s="38">
        <f>IF($S238&lt;=0,0,MIN($S238,IF(Übersicht!$C$14="Annuitätendarlehen",MAX(0,Übersicht!$C$28-$Q239),IF(Übersicht!$C$14="Ratendarlehen",Übersicht!$C$29,IF($A239&gt;=Übersicht!$C$30,$S238,0)))))</f>
        <v>1010.8999999999999</v>
      </c>
      <c r="S239" s="38">
        <f>IF($S238&lt;=0,0,ROUND($S238-$R239-IF($S238-$R239&lt;=0,0,IF(MOD($A239,Übersicht!$C$25)=0,MIN(Szenarien!$C$8,$S238-$R239),0)),2))</f>
        <v>78530.039999999994</v>
      </c>
      <c r="T239" s="38">
        <f>IF($V238&lt;=0,0,ROUND($V238*Übersicht!$C$26,2))</f>
        <v>37.51</v>
      </c>
      <c r="U239" s="38">
        <f>IF($V238&lt;=0,0,MIN($V238,IF(Übersicht!$C$14="Annuitätendarlehen",MAX(0,Übersicht!$C$28-$T239),IF(Übersicht!$C$14="Ratendarlehen",Übersicht!$C$29,IF($A239&gt;=Übersicht!$C$30,$V238,0)))))</f>
        <v>1202.07</v>
      </c>
      <c r="V239" s="38">
        <f>IF($V238&lt;=0,0,ROUND($V238-$U239-IF($V238-$U239&lt;=0,0,IF(MOD($A239,Übersicht!$C$25)=0,MIN(Szenarien!$C$9,$V238-$U239),0)),2))</f>
        <v>11843.42</v>
      </c>
      <c r="W239" s="38">
        <f>IF($Y238&lt;=0,0,ROUND($Y238*Übersicht!$C$26,2))</f>
        <v>0</v>
      </c>
      <c r="X239" s="38">
        <f>IF($Y238&lt;=0,0,MIN($Y238,IF(Übersicht!$C$14="Annuitätendarlehen",MAX(0,Übersicht!$C$28-$W239),IF(Übersicht!$C$14="Ratendarlehen",Übersicht!$C$29,IF($A239&gt;=Übersicht!$C$30,$Y238,0)))))</f>
        <v>0</v>
      </c>
      <c r="Y239" s="38">
        <f>IF($Y238&lt;=0,0,ROUND($Y238-$X239-IF($Y238-$X239&lt;=0,0,IF(MOD($A239,Übersicht!$C$25)=0,MIN(Szenarien!$C$10,$Y238-$X239),0)),2))</f>
        <v>0</v>
      </c>
      <c r="Z239" s="38">
        <f>IF($AB238&lt;=0,0,ROUND($AB238*Übersicht!$C$26,2))</f>
        <v>0</v>
      </c>
      <c r="AA239" s="38">
        <f>IF($AB238&lt;=0,0,MIN($AB238,IF(Übersicht!$C$14="Annuitätendarlehen",MAX(0,Übersicht!$C$28-$Z239),IF(Übersicht!$C$14="Ratendarlehen",Übersicht!$C$29,IF($A239&gt;=Übersicht!$C$30,$AB238,0)))))</f>
        <v>0</v>
      </c>
      <c r="AB239" s="38">
        <f>IF($AB238&lt;=0,0,ROUND($AB238-$AA239-IF($AB238-$AA239&lt;=0,0,IF(MOD($A239,Übersicht!$C$25)=0,MIN(Szenarien!$C$11,$AB238-$AA239),0)),2))</f>
        <v>0</v>
      </c>
      <c r="AC239" s="38">
        <f>IF($AE238&lt;=0,0,ROUND($AE238*Übersicht!$C$26,2))</f>
        <v>0</v>
      </c>
      <c r="AD239" s="38">
        <f>IF($AE238&lt;=0,0,MIN($AE238,IF(Übersicht!$C$14="Annuitätendarlehen",MAX(0,Übersicht!$C$28-$AC239),IF(Übersicht!$C$14="Ratendarlehen",Übersicht!$C$29,IF($A239&gt;=Übersicht!$C$30,$AE238,0)))))</f>
        <v>0</v>
      </c>
      <c r="AE239" s="38">
        <f>IF($AE238&lt;=0,0,ROUND($AE238-$AD239-IF($AE238-$AD239&lt;=0,0,IF(MOD($A239,Übersicht!$C$25)=0,MIN(Szenarien!$C$12,$AE238-$AD239),0)),2))</f>
        <v>0</v>
      </c>
    </row>
    <row r="240" spans="1:31" ht="15" customHeight="1" x14ac:dyDescent="0.25">
      <c r="A240" s="21">
        <v>233</v>
      </c>
      <c r="B240" s="36" t="str">
        <f>IF($D240&lt;=0,"",EDATE(Übersicht!$C$18,($A240-1)*12/Übersicht!$C$25))</f>
        <v/>
      </c>
      <c r="C240" s="21" t="str">
        <f t="shared" si="21"/>
        <v/>
      </c>
      <c r="D240" s="37">
        <f t="shared" si="25"/>
        <v>0</v>
      </c>
      <c r="E240" s="23">
        <f t="shared" si="22"/>
        <v>0</v>
      </c>
      <c r="F240" s="23">
        <f>IF($D240&lt;=0,0,ROUND($D240*Übersicht!$C$26,2))</f>
        <v>0</v>
      </c>
      <c r="G240" s="23">
        <f>IF($D240&lt;=0,0,MIN($D240,IF(Übersicht!$C$14="Annuitätendarlehen",MAX(0,Übersicht!$C$28-$F240),IF(Übersicht!$C$14="Ratendarlehen",Übersicht!$C$29,IF($A240&gt;=Übersicht!$C$30,$D240,0)))))</f>
        <v>0</v>
      </c>
      <c r="H240" s="23">
        <f>IF($D240-$G240&lt;=0,0,IF(MOD($A240,Übersicht!$C$25)=0,MIN(Übersicht!$C$31,$D240-$G240),0))</f>
        <v>0</v>
      </c>
      <c r="I240" s="23">
        <f t="shared" si="23"/>
        <v>0</v>
      </c>
      <c r="J240" s="23">
        <f t="shared" si="24"/>
        <v>0</v>
      </c>
      <c r="K240" s="23">
        <f t="shared" si="26"/>
        <v>80072.129999999961</v>
      </c>
      <c r="L240" s="23">
        <f t="shared" si="27"/>
        <v>250000</v>
      </c>
      <c r="M240" s="24" t="str">
        <f>IF($D240&lt;=0,"",IF(Übersicht!$C$11=0,0,$L240/Übersicht!$C$11))</f>
        <v/>
      </c>
      <c r="N240" s="25" t="str">
        <f>IF($D240&lt;=0,"",IF($J240&lt;=0.005,"Volltilgung erreicht",IF($A240=Übersicht!$C$19*Übersicht!$C$25,"Ende der Zinsbindung",IF($H240&gt;0,"Sondertilgung verrechnet",""))))</f>
        <v/>
      </c>
      <c r="Q240" s="38">
        <f>IF($S239&lt;=0,0,ROUND($S239*Übersicht!$C$26,2))</f>
        <v>225.77</v>
      </c>
      <c r="R240" s="38">
        <f>IF($S239&lt;=0,0,MIN($S239,IF(Übersicht!$C$14="Annuitätendarlehen",MAX(0,Übersicht!$C$28-$Q240),IF(Übersicht!$C$14="Ratendarlehen",Übersicht!$C$29,IF($A240&gt;=Übersicht!$C$30,$S239,0)))))</f>
        <v>1013.81</v>
      </c>
      <c r="S240" s="38">
        <f>IF($S239&lt;=0,0,ROUND($S239-$R240-IF($S239-$R240&lt;=0,0,IF(MOD($A240,Übersicht!$C$25)=0,MIN(Szenarien!$C$8,$S239-$R240),0)),2))</f>
        <v>77516.23</v>
      </c>
      <c r="T240" s="38">
        <f>IF($V239&lt;=0,0,ROUND($V239*Übersicht!$C$26,2))</f>
        <v>34.049999999999997</v>
      </c>
      <c r="U240" s="38">
        <f>IF($V239&lt;=0,0,MIN($V239,IF(Übersicht!$C$14="Annuitätendarlehen",MAX(0,Übersicht!$C$28-$T240),IF(Übersicht!$C$14="Ratendarlehen",Übersicht!$C$29,IF($A240&gt;=Übersicht!$C$30,$V239,0)))))</f>
        <v>1205.53</v>
      </c>
      <c r="V240" s="38">
        <f>IF($V239&lt;=0,0,ROUND($V239-$U240-IF($V239-$U240&lt;=0,0,IF(MOD($A240,Übersicht!$C$25)=0,MIN(Szenarien!$C$9,$V239-$U240),0)),2))</f>
        <v>10637.89</v>
      </c>
      <c r="W240" s="38">
        <f>IF($Y239&lt;=0,0,ROUND($Y239*Übersicht!$C$26,2))</f>
        <v>0</v>
      </c>
      <c r="X240" s="38">
        <f>IF($Y239&lt;=0,0,MIN($Y239,IF(Übersicht!$C$14="Annuitätendarlehen",MAX(0,Übersicht!$C$28-$W240),IF(Übersicht!$C$14="Ratendarlehen",Übersicht!$C$29,IF($A240&gt;=Übersicht!$C$30,$Y239,0)))))</f>
        <v>0</v>
      </c>
      <c r="Y240" s="38">
        <f>IF($Y239&lt;=0,0,ROUND($Y239-$X240-IF($Y239-$X240&lt;=0,0,IF(MOD($A240,Übersicht!$C$25)=0,MIN(Szenarien!$C$10,$Y239-$X240),0)),2))</f>
        <v>0</v>
      </c>
      <c r="Z240" s="38">
        <f>IF($AB239&lt;=0,0,ROUND($AB239*Übersicht!$C$26,2))</f>
        <v>0</v>
      </c>
      <c r="AA240" s="38">
        <f>IF($AB239&lt;=0,0,MIN($AB239,IF(Übersicht!$C$14="Annuitätendarlehen",MAX(0,Übersicht!$C$28-$Z240),IF(Übersicht!$C$14="Ratendarlehen",Übersicht!$C$29,IF($A240&gt;=Übersicht!$C$30,$AB239,0)))))</f>
        <v>0</v>
      </c>
      <c r="AB240" s="38">
        <f>IF($AB239&lt;=0,0,ROUND($AB239-$AA240-IF($AB239-$AA240&lt;=0,0,IF(MOD($A240,Übersicht!$C$25)=0,MIN(Szenarien!$C$11,$AB239-$AA240),0)),2))</f>
        <v>0</v>
      </c>
      <c r="AC240" s="38">
        <f>IF($AE239&lt;=0,0,ROUND($AE239*Übersicht!$C$26,2))</f>
        <v>0</v>
      </c>
      <c r="AD240" s="38">
        <f>IF($AE239&lt;=0,0,MIN($AE239,IF(Übersicht!$C$14="Annuitätendarlehen",MAX(0,Übersicht!$C$28-$AC240),IF(Übersicht!$C$14="Ratendarlehen",Übersicht!$C$29,IF($A240&gt;=Übersicht!$C$30,$AE239,0)))))</f>
        <v>0</v>
      </c>
      <c r="AE240" s="38">
        <f>IF($AE239&lt;=0,0,ROUND($AE239-$AD240-IF($AE239-$AD240&lt;=0,0,IF(MOD($A240,Übersicht!$C$25)=0,MIN(Szenarien!$C$12,$AE239-$AD240),0)),2))</f>
        <v>0</v>
      </c>
    </row>
    <row r="241" spans="1:31" ht="15" customHeight="1" x14ac:dyDescent="0.25">
      <c r="A241" s="26">
        <v>234</v>
      </c>
      <c r="B241" s="39" t="str">
        <f>IF($D241&lt;=0,"",EDATE(Übersicht!$C$18,($A241-1)*12/Übersicht!$C$25))</f>
        <v/>
      </c>
      <c r="C241" s="26" t="str">
        <f t="shared" si="21"/>
        <v/>
      </c>
      <c r="D241" s="40">
        <f t="shared" si="25"/>
        <v>0</v>
      </c>
      <c r="E241" s="28">
        <f t="shared" si="22"/>
        <v>0</v>
      </c>
      <c r="F241" s="28">
        <f>IF($D241&lt;=0,0,ROUND($D241*Übersicht!$C$26,2))</f>
        <v>0</v>
      </c>
      <c r="G241" s="28">
        <f>IF($D241&lt;=0,0,MIN($D241,IF(Übersicht!$C$14="Annuitätendarlehen",MAX(0,Übersicht!$C$28-$F241),IF(Übersicht!$C$14="Ratendarlehen",Übersicht!$C$29,IF($A241&gt;=Übersicht!$C$30,$D241,0)))))</f>
        <v>0</v>
      </c>
      <c r="H241" s="28">
        <f>IF($D241-$G241&lt;=0,0,IF(MOD($A241,Übersicht!$C$25)=0,MIN(Übersicht!$C$31,$D241-$G241),0))</f>
        <v>0</v>
      </c>
      <c r="I241" s="28">
        <f t="shared" si="23"/>
        <v>0</v>
      </c>
      <c r="J241" s="28">
        <f t="shared" si="24"/>
        <v>0</v>
      </c>
      <c r="K241" s="28">
        <f t="shared" si="26"/>
        <v>80072.129999999961</v>
      </c>
      <c r="L241" s="28">
        <f t="shared" si="27"/>
        <v>250000</v>
      </c>
      <c r="M241" s="29" t="str">
        <f>IF($D241&lt;=0,"",IF(Übersicht!$C$11=0,0,$L241/Übersicht!$C$11))</f>
        <v/>
      </c>
      <c r="N241" s="30" t="str">
        <f>IF($D241&lt;=0,"",IF($J241&lt;=0.005,"Volltilgung erreicht",IF($A241=Übersicht!$C$19*Übersicht!$C$25,"Ende der Zinsbindung",IF($H241&gt;0,"Sondertilgung verrechnet",""))))</f>
        <v/>
      </c>
      <c r="Q241" s="38">
        <f>IF($S240&lt;=0,0,ROUND($S240*Übersicht!$C$26,2))</f>
        <v>222.86</v>
      </c>
      <c r="R241" s="38">
        <f>IF($S240&lt;=0,0,MIN($S240,IF(Übersicht!$C$14="Annuitätendarlehen",MAX(0,Übersicht!$C$28-$Q241),IF(Übersicht!$C$14="Ratendarlehen",Übersicht!$C$29,IF($A241&gt;=Übersicht!$C$30,$S240,0)))))</f>
        <v>1016.7199999999999</v>
      </c>
      <c r="S241" s="38">
        <f>IF($S240&lt;=0,0,ROUND($S240-$R241-IF($S240-$R241&lt;=0,0,IF(MOD($A241,Übersicht!$C$25)=0,MIN(Szenarien!$C$8,$S240-$R241),0)),2))</f>
        <v>76499.509999999995</v>
      </c>
      <c r="T241" s="38">
        <f>IF($V240&lt;=0,0,ROUND($V240*Übersicht!$C$26,2))</f>
        <v>30.58</v>
      </c>
      <c r="U241" s="38">
        <f>IF($V240&lt;=0,0,MIN($V240,IF(Übersicht!$C$14="Annuitätendarlehen",MAX(0,Übersicht!$C$28-$T241),IF(Übersicht!$C$14="Ratendarlehen",Übersicht!$C$29,IF($A241&gt;=Übersicht!$C$30,$V240,0)))))</f>
        <v>1209</v>
      </c>
      <c r="V241" s="38">
        <f>IF($V240&lt;=0,0,ROUND($V240-$U241-IF($V240-$U241&lt;=0,0,IF(MOD($A241,Übersicht!$C$25)=0,MIN(Szenarien!$C$9,$V240-$U241),0)),2))</f>
        <v>9428.89</v>
      </c>
      <c r="W241" s="38">
        <f>IF($Y240&lt;=0,0,ROUND($Y240*Übersicht!$C$26,2))</f>
        <v>0</v>
      </c>
      <c r="X241" s="38">
        <f>IF($Y240&lt;=0,0,MIN($Y240,IF(Übersicht!$C$14="Annuitätendarlehen",MAX(0,Übersicht!$C$28-$W241),IF(Übersicht!$C$14="Ratendarlehen",Übersicht!$C$29,IF($A241&gt;=Übersicht!$C$30,$Y240,0)))))</f>
        <v>0</v>
      </c>
      <c r="Y241" s="38">
        <f>IF($Y240&lt;=0,0,ROUND($Y240-$X241-IF($Y240-$X241&lt;=0,0,IF(MOD($A241,Übersicht!$C$25)=0,MIN(Szenarien!$C$10,$Y240-$X241),0)),2))</f>
        <v>0</v>
      </c>
      <c r="Z241" s="38">
        <f>IF($AB240&lt;=0,0,ROUND($AB240*Übersicht!$C$26,2))</f>
        <v>0</v>
      </c>
      <c r="AA241" s="38">
        <f>IF($AB240&lt;=0,0,MIN($AB240,IF(Übersicht!$C$14="Annuitätendarlehen",MAX(0,Übersicht!$C$28-$Z241),IF(Übersicht!$C$14="Ratendarlehen",Übersicht!$C$29,IF($A241&gt;=Übersicht!$C$30,$AB240,0)))))</f>
        <v>0</v>
      </c>
      <c r="AB241" s="38">
        <f>IF($AB240&lt;=0,0,ROUND($AB240-$AA241-IF($AB240-$AA241&lt;=0,0,IF(MOD($A241,Übersicht!$C$25)=0,MIN(Szenarien!$C$11,$AB240-$AA241),0)),2))</f>
        <v>0</v>
      </c>
      <c r="AC241" s="38">
        <f>IF($AE240&lt;=0,0,ROUND($AE240*Übersicht!$C$26,2))</f>
        <v>0</v>
      </c>
      <c r="AD241" s="38">
        <f>IF($AE240&lt;=0,0,MIN($AE240,IF(Übersicht!$C$14="Annuitätendarlehen",MAX(0,Übersicht!$C$28-$AC241),IF(Übersicht!$C$14="Ratendarlehen",Übersicht!$C$29,IF($A241&gt;=Übersicht!$C$30,$AE240,0)))))</f>
        <v>0</v>
      </c>
      <c r="AE241" s="38">
        <f>IF($AE240&lt;=0,0,ROUND($AE240-$AD241-IF($AE240-$AD241&lt;=0,0,IF(MOD($A241,Übersicht!$C$25)=0,MIN(Szenarien!$C$12,$AE240-$AD241),0)),2))</f>
        <v>0</v>
      </c>
    </row>
    <row r="242" spans="1:31" ht="15" customHeight="1" x14ac:dyDescent="0.25">
      <c r="A242" s="21">
        <v>235</v>
      </c>
      <c r="B242" s="36" t="str">
        <f>IF($D242&lt;=0,"",EDATE(Übersicht!$C$18,($A242-1)*12/Übersicht!$C$25))</f>
        <v/>
      </c>
      <c r="C242" s="21" t="str">
        <f t="shared" si="21"/>
        <v/>
      </c>
      <c r="D242" s="37">
        <f t="shared" si="25"/>
        <v>0</v>
      </c>
      <c r="E242" s="23">
        <f t="shared" si="22"/>
        <v>0</v>
      </c>
      <c r="F242" s="23">
        <f>IF($D242&lt;=0,0,ROUND($D242*Übersicht!$C$26,2))</f>
        <v>0</v>
      </c>
      <c r="G242" s="23">
        <f>IF($D242&lt;=0,0,MIN($D242,IF(Übersicht!$C$14="Annuitätendarlehen",MAX(0,Übersicht!$C$28-$F242),IF(Übersicht!$C$14="Ratendarlehen",Übersicht!$C$29,IF($A242&gt;=Übersicht!$C$30,$D242,0)))))</f>
        <v>0</v>
      </c>
      <c r="H242" s="23">
        <f>IF($D242-$G242&lt;=0,0,IF(MOD($A242,Übersicht!$C$25)=0,MIN(Übersicht!$C$31,$D242-$G242),0))</f>
        <v>0</v>
      </c>
      <c r="I242" s="23">
        <f t="shared" si="23"/>
        <v>0</v>
      </c>
      <c r="J242" s="23">
        <f t="shared" si="24"/>
        <v>0</v>
      </c>
      <c r="K242" s="23">
        <f t="shared" si="26"/>
        <v>80072.129999999961</v>
      </c>
      <c r="L242" s="23">
        <f t="shared" si="27"/>
        <v>250000</v>
      </c>
      <c r="M242" s="24" t="str">
        <f>IF($D242&lt;=0,"",IF(Übersicht!$C$11=0,0,$L242/Übersicht!$C$11))</f>
        <v/>
      </c>
      <c r="N242" s="25" t="str">
        <f>IF($D242&lt;=0,"",IF($J242&lt;=0.005,"Volltilgung erreicht",IF($A242=Übersicht!$C$19*Übersicht!$C$25,"Ende der Zinsbindung",IF($H242&gt;0,"Sondertilgung verrechnet",""))))</f>
        <v/>
      </c>
      <c r="Q242" s="38">
        <f>IF($S241&lt;=0,0,ROUND($S241*Übersicht!$C$26,2))</f>
        <v>219.94</v>
      </c>
      <c r="R242" s="38">
        <f>IF($S241&lt;=0,0,MIN($S241,IF(Übersicht!$C$14="Annuitätendarlehen",MAX(0,Übersicht!$C$28-$Q242),IF(Übersicht!$C$14="Ratendarlehen",Übersicht!$C$29,IF($A242&gt;=Übersicht!$C$30,$S241,0)))))</f>
        <v>1019.6399999999999</v>
      </c>
      <c r="S242" s="38">
        <f>IF($S241&lt;=0,0,ROUND($S241-$R242-IF($S241-$R242&lt;=0,0,IF(MOD($A242,Übersicht!$C$25)=0,MIN(Szenarien!$C$8,$S241-$R242),0)),2))</f>
        <v>75479.87</v>
      </c>
      <c r="T242" s="38">
        <f>IF($V241&lt;=0,0,ROUND($V241*Übersicht!$C$26,2))</f>
        <v>27.11</v>
      </c>
      <c r="U242" s="38">
        <f>IF($V241&lt;=0,0,MIN($V241,IF(Übersicht!$C$14="Annuitätendarlehen",MAX(0,Übersicht!$C$28-$T242),IF(Übersicht!$C$14="Ratendarlehen",Übersicht!$C$29,IF($A242&gt;=Übersicht!$C$30,$V241,0)))))</f>
        <v>1212.47</v>
      </c>
      <c r="V242" s="38">
        <f>IF($V241&lt;=0,0,ROUND($V241-$U242-IF($V241-$U242&lt;=0,0,IF(MOD($A242,Übersicht!$C$25)=0,MIN(Szenarien!$C$9,$V241-$U242),0)),2))</f>
        <v>8216.42</v>
      </c>
      <c r="W242" s="38">
        <f>IF($Y241&lt;=0,0,ROUND($Y241*Übersicht!$C$26,2))</f>
        <v>0</v>
      </c>
      <c r="X242" s="38">
        <f>IF($Y241&lt;=0,0,MIN($Y241,IF(Übersicht!$C$14="Annuitätendarlehen",MAX(0,Übersicht!$C$28-$W242),IF(Übersicht!$C$14="Ratendarlehen",Übersicht!$C$29,IF($A242&gt;=Übersicht!$C$30,$Y241,0)))))</f>
        <v>0</v>
      </c>
      <c r="Y242" s="38">
        <f>IF($Y241&lt;=0,0,ROUND($Y241-$X242-IF($Y241-$X242&lt;=0,0,IF(MOD($A242,Übersicht!$C$25)=0,MIN(Szenarien!$C$10,$Y241-$X242),0)),2))</f>
        <v>0</v>
      </c>
      <c r="Z242" s="38">
        <f>IF($AB241&lt;=0,0,ROUND($AB241*Übersicht!$C$26,2))</f>
        <v>0</v>
      </c>
      <c r="AA242" s="38">
        <f>IF($AB241&lt;=0,0,MIN($AB241,IF(Übersicht!$C$14="Annuitätendarlehen",MAX(0,Übersicht!$C$28-$Z242),IF(Übersicht!$C$14="Ratendarlehen",Übersicht!$C$29,IF($A242&gt;=Übersicht!$C$30,$AB241,0)))))</f>
        <v>0</v>
      </c>
      <c r="AB242" s="38">
        <f>IF($AB241&lt;=0,0,ROUND($AB241-$AA242-IF($AB241-$AA242&lt;=0,0,IF(MOD($A242,Übersicht!$C$25)=0,MIN(Szenarien!$C$11,$AB241-$AA242),0)),2))</f>
        <v>0</v>
      </c>
      <c r="AC242" s="38">
        <f>IF($AE241&lt;=0,0,ROUND($AE241*Übersicht!$C$26,2))</f>
        <v>0</v>
      </c>
      <c r="AD242" s="38">
        <f>IF($AE241&lt;=0,0,MIN($AE241,IF(Übersicht!$C$14="Annuitätendarlehen",MAX(0,Übersicht!$C$28-$AC242),IF(Übersicht!$C$14="Ratendarlehen",Übersicht!$C$29,IF($A242&gt;=Übersicht!$C$30,$AE241,0)))))</f>
        <v>0</v>
      </c>
      <c r="AE242" s="38">
        <f>IF($AE241&lt;=0,0,ROUND($AE241-$AD242-IF($AE241-$AD242&lt;=0,0,IF(MOD($A242,Übersicht!$C$25)=0,MIN(Szenarien!$C$12,$AE241-$AD242),0)),2))</f>
        <v>0</v>
      </c>
    </row>
    <row r="243" spans="1:31" ht="15" customHeight="1" x14ac:dyDescent="0.25">
      <c r="A243" s="26">
        <v>236</v>
      </c>
      <c r="B243" s="39" t="str">
        <f>IF($D243&lt;=0,"",EDATE(Übersicht!$C$18,($A243-1)*12/Übersicht!$C$25))</f>
        <v/>
      </c>
      <c r="C243" s="26" t="str">
        <f t="shared" si="21"/>
        <v/>
      </c>
      <c r="D243" s="40">
        <f t="shared" si="25"/>
        <v>0</v>
      </c>
      <c r="E243" s="28">
        <f t="shared" si="22"/>
        <v>0</v>
      </c>
      <c r="F243" s="28">
        <f>IF($D243&lt;=0,0,ROUND($D243*Übersicht!$C$26,2))</f>
        <v>0</v>
      </c>
      <c r="G243" s="28">
        <f>IF($D243&lt;=0,0,MIN($D243,IF(Übersicht!$C$14="Annuitätendarlehen",MAX(0,Übersicht!$C$28-$F243),IF(Übersicht!$C$14="Ratendarlehen",Übersicht!$C$29,IF($A243&gt;=Übersicht!$C$30,$D243,0)))))</f>
        <v>0</v>
      </c>
      <c r="H243" s="28">
        <f>IF($D243-$G243&lt;=0,0,IF(MOD($A243,Übersicht!$C$25)=0,MIN(Übersicht!$C$31,$D243-$G243),0))</f>
        <v>0</v>
      </c>
      <c r="I243" s="28">
        <f t="shared" si="23"/>
        <v>0</v>
      </c>
      <c r="J243" s="28">
        <f t="shared" si="24"/>
        <v>0</v>
      </c>
      <c r="K243" s="28">
        <f t="shared" si="26"/>
        <v>80072.129999999961</v>
      </c>
      <c r="L243" s="28">
        <f t="shared" si="27"/>
        <v>250000</v>
      </c>
      <c r="M243" s="29" t="str">
        <f>IF($D243&lt;=0,"",IF(Übersicht!$C$11=0,0,$L243/Übersicht!$C$11))</f>
        <v/>
      </c>
      <c r="N243" s="30" t="str">
        <f>IF($D243&lt;=0,"",IF($J243&lt;=0.005,"Volltilgung erreicht",IF($A243=Übersicht!$C$19*Übersicht!$C$25,"Ende der Zinsbindung",IF($H243&gt;0,"Sondertilgung verrechnet",""))))</f>
        <v/>
      </c>
      <c r="Q243" s="38">
        <f>IF($S242&lt;=0,0,ROUND($S242*Übersicht!$C$26,2))</f>
        <v>217</v>
      </c>
      <c r="R243" s="38">
        <f>IF($S242&lt;=0,0,MIN($S242,IF(Übersicht!$C$14="Annuitätendarlehen",MAX(0,Übersicht!$C$28-$Q243),IF(Übersicht!$C$14="Ratendarlehen",Übersicht!$C$29,IF($A243&gt;=Übersicht!$C$30,$S242,0)))))</f>
        <v>1022.5799999999999</v>
      </c>
      <c r="S243" s="38">
        <f>IF($S242&lt;=0,0,ROUND($S242-$R243-IF($S242-$R243&lt;=0,0,IF(MOD($A243,Übersicht!$C$25)=0,MIN(Szenarien!$C$8,$S242-$R243),0)),2))</f>
        <v>74457.289999999994</v>
      </c>
      <c r="T243" s="38">
        <f>IF($V242&lt;=0,0,ROUND($V242*Übersicht!$C$26,2))</f>
        <v>23.62</v>
      </c>
      <c r="U243" s="38">
        <f>IF($V242&lt;=0,0,MIN($V242,IF(Übersicht!$C$14="Annuitätendarlehen",MAX(0,Übersicht!$C$28-$T243),IF(Übersicht!$C$14="Ratendarlehen",Übersicht!$C$29,IF($A243&gt;=Übersicht!$C$30,$V242,0)))))</f>
        <v>1215.96</v>
      </c>
      <c r="V243" s="38">
        <f>IF($V242&lt;=0,0,ROUND($V242-$U243-IF($V242-$U243&lt;=0,0,IF(MOD($A243,Übersicht!$C$25)=0,MIN(Szenarien!$C$9,$V242-$U243),0)),2))</f>
        <v>7000.46</v>
      </c>
      <c r="W243" s="38">
        <f>IF($Y242&lt;=0,0,ROUND($Y242*Übersicht!$C$26,2))</f>
        <v>0</v>
      </c>
      <c r="X243" s="38">
        <f>IF($Y242&lt;=0,0,MIN($Y242,IF(Übersicht!$C$14="Annuitätendarlehen",MAX(0,Übersicht!$C$28-$W243),IF(Übersicht!$C$14="Ratendarlehen",Übersicht!$C$29,IF($A243&gt;=Übersicht!$C$30,$Y242,0)))))</f>
        <v>0</v>
      </c>
      <c r="Y243" s="38">
        <f>IF($Y242&lt;=0,0,ROUND($Y242-$X243-IF($Y242-$X243&lt;=0,0,IF(MOD($A243,Übersicht!$C$25)=0,MIN(Szenarien!$C$10,$Y242-$X243),0)),2))</f>
        <v>0</v>
      </c>
      <c r="Z243" s="38">
        <f>IF($AB242&lt;=0,0,ROUND($AB242*Übersicht!$C$26,2))</f>
        <v>0</v>
      </c>
      <c r="AA243" s="38">
        <f>IF($AB242&lt;=0,0,MIN($AB242,IF(Übersicht!$C$14="Annuitätendarlehen",MAX(0,Übersicht!$C$28-$Z243),IF(Übersicht!$C$14="Ratendarlehen",Übersicht!$C$29,IF($A243&gt;=Übersicht!$C$30,$AB242,0)))))</f>
        <v>0</v>
      </c>
      <c r="AB243" s="38">
        <f>IF($AB242&lt;=0,0,ROUND($AB242-$AA243-IF($AB242-$AA243&lt;=0,0,IF(MOD($A243,Übersicht!$C$25)=0,MIN(Szenarien!$C$11,$AB242-$AA243),0)),2))</f>
        <v>0</v>
      </c>
      <c r="AC243" s="38">
        <f>IF($AE242&lt;=0,0,ROUND($AE242*Übersicht!$C$26,2))</f>
        <v>0</v>
      </c>
      <c r="AD243" s="38">
        <f>IF($AE242&lt;=0,0,MIN($AE242,IF(Übersicht!$C$14="Annuitätendarlehen",MAX(0,Übersicht!$C$28-$AC243),IF(Übersicht!$C$14="Ratendarlehen",Übersicht!$C$29,IF($A243&gt;=Übersicht!$C$30,$AE242,0)))))</f>
        <v>0</v>
      </c>
      <c r="AE243" s="38">
        <f>IF($AE242&lt;=0,0,ROUND($AE242-$AD243-IF($AE242-$AD243&lt;=0,0,IF(MOD($A243,Übersicht!$C$25)=0,MIN(Szenarien!$C$12,$AE242-$AD243),0)),2))</f>
        <v>0</v>
      </c>
    </row>
    <row r="244" spans="1:31" ht="15" customHeight="1" x14ac:dyDescent="0.25">
      <c r="A244" s="21">
        <v>237</v>
      </c>
      <c r="B244" s="36" t="str">
        <f>IF($D244&lt;=0,"",EDATE(Übersicht!$C$18,($A244-1)*12/Übersicht!$C$25))</f>
        <v/>
      </c>
      <c r="C244" s="21" t="str">
        <f t="shared" si="21"/>
        <v/>
      </c>
      <c r="D244" s="37">
        <f t="shared" si="25"/>
        <v>0</v>
      </c>
      <c r="E244" s="23">
        <f t="shared" si="22"/>
        <v>0</v>
      </c>
      <c r="F244" s="23">
        <f>IF($D244&lt;=0,0,ROUND($D244*Übersicht!$C$26,2))</f>
        <v>0</v>
      </c>
      <c r="G244" s="23">
        <f>IF($D244&lt;=0,0,MIN($D244,IF(Übersicht!$C$14="Annuitätendarlehen",MAX(0,Übersicht!$C$28-$F244),IF(Übersicht!$C$14="Ratendarlehen",Übersicht!$C$29,IF($A244&gt;=Übersicht!$C$30,$D244,0)))))</f>
        <v>0</v>
      </c>
      <c r="H244" s="23">
        <f>IF($D244-$G244&lt;=0,0,IF(MOD($A244,Übersicht!$C$25)=0,MIN(Übersicht!$C$31,$D244-$G244),0))</f>
        <v>0</v>
      </c>
      <c r="I244" s="23">
        <f t="shared" si="23"/>
        <v>0</v>
      </c>
      <c r="J244" s="23">
        <f t="shared" si="24"/>
        <v>0</v>
      </c>
      <c r="K244" s="23">
        <f t="shared" si="26"/>
        <v>80072.129999999961</v>
      </c>
      <c r="L244" s="23">
        <f t="shared" si="27"/>
        <v>250000</v>
      </c>
      <c r="M244" s="24" t="str">
        <f>IF($D244&lt;=0,"",IF(Übersicht!$C$11=0,0,$L244/Übersicht!$C$11))</f>
        <v/>
      </c>
      <c r="N244" s="25" t="str">
        <f>IF($D244&lt;=0,"",IF($J244&lt;=0.005,"Volltilgung erreicht",IF($A244=Übersicht!$C$19*Übersicht!$C$25,"Ende der Zinsbindung",IF($H244&gt;0,"Sondertilgung verrechnet",""))))</f>
        <v/>
      </c>
      <c r="Q244" s="38">
        <f>IF($S243&lt;=0,0,ROUND($S243*Übersicht!$C$26,2))</f>
        <v>214.06</v>
      </c>
      <c r="R244" s="38">
        <f>IF($S243&lt;=0,0,MIN($S243,IF(Übersicht!$C$14="Annuitätendarlehen",MAX(0,Übersicht!$C$28-$Q244),IF(Übersicht!$C$14="Ratendarlehen",Übersicht!$C$29,IF($A244&gt;=Übersicht!$C$30,$S243,0)))))</f>
        <v>1025.52</v>
      </c>
      <c r="S244" s="38">
        <f>IF($S243&lt;=0,0,ROUND($S243-$R244-IF($S243-$R244&lt;=0,0,IF(MOD($A244,Übersicht!$C$25)=0,MIN(Szenarien!$C$8,$S243-$R244),0)),2))</f>
        <v>73431.77</v>
      </c>
      <c r="T244" s="38">
        <f>IF($V243&lt;=0,0,ROUND($V243*Übersicht!$C$26,2))</f>
        <v>20.13</v>
      </c>
      <c r="U244" s="38">
        <f>IF($V243&lt;=0,0,MIN($V243,IF(Übersicht!$C$14="Annuitätendarlehen",MAX(0,Übersicht!$C$28-$T244),IF(Übersicht!$C$14="Ratendarlehen",Übersicht!$C$29,IF($A244&gt;=Übersicht!$C$30,$V243,0)))))</f>
        <v>1219.4499999999998</v>
      </c>
      <c r="V244" s="38">
        <f>IF($V243&lt;=0,0,ROUND($V243-$U244-IF($V243-$U244&lt;=0,0,IF(MOD($A244,Übersicht!$C$25)=0,MIN(Szenarien!$C$9,$V243-$U244),0)),2))</f>
        <v>5781.01</v>
      </c>
      <c r="W244" s="38">
        <f>IF($Y243&lt;=0,0,ROUND($Y243*Übersicht!$C$26,2))</f>
        <v>0</v>
      </c>
      <c r="X244" s="38">
        <f>IF($Y243&lt;=0,0,MIN($Y243,IF(Übersicht!$C$14="Annuitätendarlehen",MAX(0,Übersicht!$C$28-$W244),IF(Übersicht!$C$14="Ratendarlehen",Übersicht!$C$29,IF($A244&gt;=Übersicht!$C$30,$Y243,0)))))</f>
        <v>0</v>
      </c>
      <c r="Y244" s="38">
        <f>IF($Y243&lt;=0,0,ROUND($Y243-$X244-IF($Y243-$X244&lt;=0,0,IF(MOD($A244,Übersicht!$C$25)=0,MIN(Szenarien!$C$10,$Y243-$X244),0)),2))</f>
        <v>0</v>
      </c>
      <c r="Z244" s="38">
        <f>IF($AB243&lt;=0,0,ROUND($AB243*Übersicht!$C$26,2))</f>
        <v>0</v>
      </c>
      <c r="AA244" s="38">
        <f>IF($AB243&lt;=0,0,MIN($AB243,IF(Übersicht!$C$14="Annuitätendarlehen",MAX(0,Übersicht!$C$28-$Z244),IF(Übersicht!$C$14="Ratendarlehen",Übersicht!$C$29,IF($A244&gt;=Übersicht!$C$30,$AB243,0)))))</f>
        <v>0</v>
      </c>
      <c r="AB244" s="38">
        <f>IF($AB243&lt;=0,0,ROUND($AB243-$AA244-IF($AB243-$AA244&lt;=0,0,IF(MOD($A244,Übersicht!$C$25)=0,MIN(Szenarien!$C$11,$AB243-$AA244),0)),2))</f>
        <v>0</v>
      </c>
      <c r="AC244" s="38">
        <f>IF($AE243&lt;=0,0,ROUND($AE243*Übersicht!$C$26,2))</f>
        <v>0</v>
      </c>
      <c r="AD244" s="38">
        <f>IF($AE243&lt;=0,0,MIN($AE243,IF(Übersicht!$C$14="Annuitätendarlehen",MAX(0,Übersicht!$C$28-$AC244),IF(Übersicht!$C$14="Ratendarlehen",Übersicht!$C$29,IF($A244&gt;=Übersicht!$C$30,$AE243,0)))))</f>
        <v>0</v>
      </c>
      <c r="AE244" s="38">
        <f>IF($AE243&lt;=0,0,ROUND($AE243-$AD244-IF($AE243-$AD244&lt;=0,0,IF(MOD($A244,Übersicht!$C$25)=0,MIN(Szenarien!$C$12,$AE243-$AD244),0)),2))</f>
        <v>0</v>
      </c>
    </row>
    <row r="245" spans="1:31" ht="15" customHeight="1" x14ac:dyDescent="0.25">
      <c r="A245" s="26">
        <v>238</v>
      </c>
      <c r="B245" s="39" t="str">
        <f>IF($D245&lt;=0,"",EDATE(Übersicht!$C$18,($A245-1)*12/Übersicht!$C$25))</f>
        <v/>
      </c>
      <c r="C245" s="26" t="str">
        <f t="shared" si="21"/>
        <v/>
      </c>
      <c r="D245" s="40">
        <f t="shared" si="25"/>
        <v>0</v>
      </c>
      <c r="E245" s="28">
        <f t="shared" si="22"/>
        <v>0</v>
      </c>
      <c r="F245" s="28">
        <f>IF($D245&lt;=0,0,ROUND($D245*Übersicht!$C$26,2))</f>
        <v>0</v>
      </c>
      <c r="G245" s="28">
        <f>IF($D245&lt;=0,0,MIN($D245,IF(Übersicht!$C$14="Annuitätendarlehen",MAX(0,Übersicht!$C$28-$F245),IF(Übersicht!$C$14="Ratendarlehen",Übersicht!$C$29,IF($A245&gt;=Übersicht!$C$30,$D245,0)))))</f>
        <v>0</v>
      </c>
      <c r="H245" s="28">
        <f>IF($D245-$G245&lt;=0,0,IF(MOD($A245,Übersicht!$C$25)=0,MIN(Übersicht!$C$31,$D245-$G245),0))</f>
        <v>0</v>
      </c>
      <c r="I245" s="28">
        <f t="shared" si="23"/>
        <v>0</v>
      </c>
      <c r="J245" s="28">
        <f t="shared" si="24"/>
        <v>0</v>
      </c>
      <c r="K245" s="28">
        <f t="shared" si="26"/>
        <v>80072.129999999961</v>
      </c>
      <c r="L245" s="28">
        <f t="shared" si="27"/>
        <v>250000</v>
      </c>
      <c r="M245" s="29" t="str">
        <f>IF($D245&lt;=0,"",IF(Übersicht!$C$11=0,0,$L245/Übersicht!$C$11))</f>
        <v/>
      </c>
      <c r="N245" s="30" t="str">
        <f>IF($D245&lt;=0,"",IF($J245&lt;=0.005,"Volltilgung erreicht",IF($A245=Übersicht!$C$19*Übersicht!$C$25,"Ende der Zinsbindung",IF($H245&gt;0,"Sondertilgung verrechnet",""))))</f>
        <v/>
      </c>
      <c r="Q245" s="38">
        <f>IF($S244&lt;=0,0,ROUND($S244*Übersicht!$C$26,2))</f>
        <v>211.12</v>
      </c>
      <c r="R245" s="38">
        <f>IF($S244&lt;=0,0,MIN($S244,IF(Übersicht!$C$14="Annuitätendarlehen",MAX(0,Übersicht!$C$28-$Q245),IF(Übersicht!$C$14="Ratendarlehen",Übersicht!$C$29,IF($A245&gt;=Übersicht!$C$30,$S244,0)))))</f>
        <v>1028.46</v>
      </c>
      <c r="S245" s="38">
        <f>IF($S244&lt;=0,0,ROUND($S244-$R245-IF($S244-$R245&lt;=0,0,IF(MOD($A245,Übersicht!$C$25)=0,MIN(Szenarien!$C$8,$S244-$R245),0)),2))</f>
        <v>72403.31</v>
      </c>
      <c r="T245" s="38">
        <f>IF($V244&lt;=0,0,ROUND($V244*Übersicht!$C$26,2))</f>
        <v>16.62</v>
      </c>
      <c r="U245" s="38">
        <f>IF($V244&lt;=0,0,MIN($V244,IF(Übersicht!$C$14="Annuitätendarlehen",MAX(0,Übersicht!$C$28-$T245),IF(Übersicht!$C$14="Ratendarlehen",Übersicht!$C$29,IF($A245&gt;=Übersicht!$C$30,$V244,0)))))</f>
        <v>1222.96</v>
      </c>
      <c r="V245" s="38">
        <f>IF($V244&lt;=0,0,ROUND($V244-$U245-IF($V244-$U245&lt;=0,0,IF(MOD($A245,Übersicht!$C$25)=0,MIN(Szenarien!$C$9,$V244-$U245),0)),2))</f>
        <v>4558.05</v>
      </c>
      <c r="W245" s="38">
        <f>IF($Y244&lt;=0,0,ROUND($Y244*Übersicht!$C$26,2))</f>
        <v>0</v>
      </c>
      <c r="X245" s="38">
        <f>IF($Y244&lt;=0,0,MIN($Y244,IF(Übersicht!$C$14="Annuitätendarlehen",MAX(0,Übersicht!$C$28-$W245),IF(Übersicht!$C$14="Ratendarlehen",Übersicht!$C$29,IF($A245&gt;=Übersicht!$C$30,$Y244,0)))))</f>
        <v>0</v>
      </c>
      <c r="Y245" s="38">
        <f>IF($Y244&lt;=0,0,ROUND($Y244-$X245-IF($Y244-$X245&lt;=0,0,IF(MOD($A245,Übersicht!$C$25)=0,MIN(Szenarien!$C$10,$Y244-$X245),0)),2))</f>
        <v>0</v>
      </c>
      <c r="Z245" s="38">
        <f>IF($AB244&lt;=0,0,ROUND($AB244*Übersicht!$C$26,2))</f>
        <v>0</v>
      </c>
      <c r="AA245" s="38">
        <f>IF($AB244&lt;=0,0,MIN($AB244,IF(Übersicht!$C$14="Annuitätendarlehen",MAX(0,Übersicht!$C$28-$Z245),IF(Übersicht!$C$14="Ratendarlehen",Übersicht!$C$29,IF($A245&gt;=Übersicht!$C$30,$AB244,0)))))</f>
        <v>0</v>
      </c>
      <c r="AB245" s="38">
        <f>IF($AB244&lt;=0,0,ROUND($AB244-$AA245-IF($AB244-$AA245&lt;=0,0,IF(MOD($A245,Übersicht!$C$25)=0,MIN(Szenarien!$C$11,$AB244-$AA245),0)),2))</f>
        <v>0</v>
      </c>
      <c r="AC245" s="38">
        <f>IF($AE244&lt;=0,0,ROUND($AE244*Übersicht!$C$26,2))</f>
        <v>0</v>
      </c>
      <c r="AD245" s="38">
        <f>IF($AE244&lt;=0,0,MIN($AE244,IF(Übersicht!$C$14="Annuitätendarlehen",MAX(0,Übersicht!$C$28-$AC245),IF(Übersicht!$C$14="Ratendarlehen",Übersicht!$C$29,IF($A245&gt;=Übersicht!$C$30,$AE244,0)))))</f>
        <v>0</v>
      </c>
      <c r="AE245" s="38">
        <f>IF($AE244&lt;=0,0,ROUND($AE244-$AD245-IF($AE244-$AD245&lt;=0,0,IF(MOD($A245,Übersicht!$C$25)=0,MIN(Szenarien!$C$12,$AE244-$AD245),0)),2))</f>
        <v>0</v>
      </c>
    </row>
    <row r="246" spans="1:31" ht="15" customHeight="1" x14ac:dyDescent="0.25">
      <c r="A246" s="21">
        <v>239</v>
      </c>
      <c r="B246" s="36" t="str">
        <f>IF($D246&lt;=0,"",EDATE(Übersicht!$C$18,($A246-1)*12/Übersicht!$C$25))</f>
        <v/>
      </c>
      <c r="C246" s="21" t="str">
        <f t="shared" si="21"/>
        <v/>
      </c>
      <c r="D246" s="37">
        <f t="shared" si="25"/>
        <v>0</v>
      </c>
      <c r="E246" s="23">
        <f t="shared" si="22"/>
        <v>0</v>
      </c>
      <c r="F246" s="23">
        <f>IF($D246&lt;=0,0,ROUND($D246*Übersicht!$C$26,2))</f>
        <v>0</v>
      </c>
      <c r="G246" s="23">
        <f>IF($D246&lt;=0,0,MIN($D246,IF(Übersicht!$C$14="Annuitätendarlehen",MAX(0,Übersicht!$C$28-$F246),IF(Übersicht!$C$14="Ratendarlehen",Übersicht!$C$29,IF($A246&gt;=Übersicht!$C$30,$D246,0)))))</f>
        <v>0</v>
      </c>
      <c r="H246" s="23">
        <f>IF($D246-$G246&lt;=0,0,IF(MOD($A246,Übersicht!$C$25)=0,MIN(Übersicht!$C$31,$D246-$G246),0))</f>
        <v>0</v>
      </c>
      <c r="I246" s="23">
        <f t="shared" si="23"/>
        <v>0</v>
      </c>
      <c r="J246" s="23">
        <f t="shared" si="24"/>
        <v>0</v>
      </c>
      <c r="K246" s="23">
        <f t="shared" si="26"/>
        <v>80072.129999999961</v>
      </c>
      <c r="L246" s="23">
        <f t="shared" si="27"/>
        <v>250000</v>
      </c>
      <c r="M246" s="24" t="str">
        <f>IF($D246&lt;=0,"",IF(Übersicht!$C$11=0,0,$L246/Übersicht!$C$11))</f>
        <v/>
      </c>
      <c r="N246" s="25" t="str">
        <f>IF($D246&lt;=0,"",IF($J246&lt;=0.005,"Volltilgung erreicht",IF($A246=Übersicht!$C$19*Übersicht!$C$25,"Ende der Zinsbindung",IF($H246&gt;0,"Sondertilgung verrechnet",""))))</f>
        <v/>
      </c>
      <c r="Q246" s="38">
        <f>IF($S245&lt;=0,0,ROUND($S245*Übersicht!$C$26,2))</f>
        <v>208.16</v>
      </c>
      <c r="R246" s="38">
        <f>IF($S245&lt;=0,0,MIN($S245,IF(Übersicht!$C$14="Annuitätendarlehen",MAX(0,Übersicht!$C$28-$Q246),IF(Übersicht!$C$14="Ratendarlehen",Übersicht!$C$29,IF($A246&gt;=Übersicht!$C$30,$S245,0)))))</f>
        <v>1031.4199999999998</v>
      </c>
      <c r="S246" s="38">
        <f>IF($S245&lt;=0,0,ROUND($S245-$R246-IF($S245-$R246&lt;=0,0,IF(MOD($A246,Übersicht!$C$25)=0,MIN(Szenarien!$C$8,$S245-$R246),0)),2))</f>
        <v>71371.89</v>
      </c>
      <c r="T246" s="38">
        <f>IF($V245&lt;=0,0,ROUND($V245*Übersicht!$C$26,2))</f>
        <v>13.1</v>
      </c>
      <c r="U246" s="38">
        <f>IF($V245&lt;=0,0,MIN($V245,IF(Übersicht!$C$14="Annuitätendarlehen",MAX(0,Übersicht!$C$28-$T246),IF(Übersicht!$C$14="Ratendarlehen",Übersicht!$C$29,IF($A246&gt;=Übersicht!$C$30,$V245,0)))))</f>
        <v>1226.48</v>
      </c>
      <c r="V246" s="38">
        <f>IF($V245&lt;=0,0,ROUND($V245-$U246-IF($V245-$U246&lt;=0,0,IF(MOD($A246,Übersicht!$C$25)=0,MIN(Szenarien!$C$9,$V245-$U246),0)),2))</f>
        <v>3331.57</v>
      </c>
      <c r="W246" s="38">
        <f>IF($Y245&lt;=0,0,ROUND($Y245*Übersicht!$C$26,2))</f>
        <v>0</v>
      </c>
      <c r="X246" s="38">
        <f>IF($Y245&lt;=0,0,MIN($Y245,IF(Übersicht!$C$14="Annuitätendarlehen",MAX(0,Übersicht!$C$28-$W246),IF(Übersicht!$C$14="Ratendarlehen",Übersicht!$C$29,IF($A246&gt;=Übersicht!$C$30,$Y245,0)))))</f>
        <v>0</v>
      </c>
      <c r="Y246" s="38">
        <f>IF($Y245&lt;=0,0,ROUND($Y245-$X246-IF($Y245-$X246&lt;=0,0,IF(MOD($A246,Übersicht!$C$25)=0,MIN(Szenarien!$C$10,$Y245-$X246),0)),2))</f>
        <v>0</v>
      </c>
      <c r="Z246" s="38">
        <f>IF($AB245&lt;=0,0,ROUND($AB245*Übersicht!$C$26,2))</f>
        <v>0</v>
      </c>
      <c r="AA246" s="38">
        <f>IF($AB245&lt;=0,0,MIN($AB245,IF(Übersicht!$C$14="Annuitätendarlehen",MAX(0,Übersicht!$C$28-$Z246),IF(Übersicht!$C$14="Ratendarlehen",Übersicht!$C$29,IF($A246&gt;=Übersicht!$C$30,$AB245,0)))))</f>
        <v>0</v>
      </c>
      <c r="AB246" s="38">
        <f>IF($AB245&lt;=0,0,ROUND($AB245-$AA246-IF($AB245-$AA246&lt;=0,0,IF(MOD($A246,Übersicht!$C$25)=0,MIN(Szenarien!$C$11,$AB245-$AA246),0)),2))</f>
        <v>0</v>
      </c>
      <c r="AC246" s="38">
        <f>IF($AE245&lt;=0,0,ROUND($AE245*Übersicht!$C$26,2))</f>
        <v>0</v>
      </c>
      <c r="AD246" s="38">
        <f>IF($AE245&lt;=0,0,MIN($AE245,IF(Übersicht!$C$14="Annuitätendarlehen",MAX(0,Übersicht!$C$28-$AC246),IF(Übersicht!$C$14="Ratendarlehen",Übersicht!$C$29,IF($A246&gt;=Übersicht!$C$30,$AE245,0)))))</f>
        <v>0</v>
      </c>
      <c r="AE246" s="38">
        <f>IF($AE245&lt;=0,0,ROUND($AE245-$AD246-IF($AE245-$AD246&lt;=0,0,IF(MOD($A246,Übersicht!$C$25)=0,MIN(Szenarien!$C$12,$AE245-$AD246),0)),2))</f>
        <v>0</v>
      </c>
    </row>
    <row r="247" spans="1:31" ht="15" customHeight="1" x14ac:dyDescent="0.25">
      <c r="A247" s="26">
        <v>240</v>
      </c>
      <c r="B247" s="39" t="str">
        <f>IF($D247&lt;=0,"",EDATE(Übersicht!$C$18,($A247-1)*12/Übersicht!$C$25))</f>
        <v/>
      </c>
      <c r="C247" s="26" t="str">
        <f t="shared" si="21"/>
        <v/>
      </c>
      <c r="D247" s="40">
        <f t="shared" si="25"/>
        <v>0</v>
      </c>
      <c r="E247" s="28">
        <f t="shared" si="22"/>
        <v>0</v>
      </c>
      <c r="F247" s="28">
        <f>IF($D247&lt;=0,0,ROUND($D247*Übersicht!$C$26,2))</f>
        <v>0</v>
      </c>
      <c r="G247" s="28">
        <f>IF($D247&lt;=0,0,MIN($D247,IF(Übersicht!$C$14="Annuitätendarlehen",MAX(0,Übersicht!$C$28-$F247),IF(Übersicht!$C$14="Ratendarlehen",Übersicht!$C$29,IF($A247&gt;=Übersicht!$C$30,$D247,0)))))</f>
        <v>0</v>
      </c>
      <c r="H247" s="28">
        <f>IF($D247-$G247&lt;=0,0,IF(MOD($A247,Übersicht!$C$25)=0,MIN(Übersicht!$C$31,$D247-$G247),0))</f>
        <v>0</v>
      </c>
      <c r="I247" s="28">
        <f t="shared" si="23"/>
        <v>0</v>
      </c>
      <c r="J247" s="28">
        <f t="shared" si="24"/>
        <v>0</v>
      </c>
      <c r="K247" s="28">
        <f t="shared" si="26"/>
        <v>80072.129999999961</v>
      </c>
      <c r="L247" s="28">
        <f t="shared" si="27"/>
        <v>250000</v>
      </c>
      <c r="M247" s="29" t="str">
        <f>IF($D247&lt;=0,"",IF(Übersicht!$C$11=0,0,$L247/Übersicht!$C$11))</f>
        <v/>
      </c>
      <c r="N247" s="30" t="str">
        <f>IF($D247&lt;=0,"",IF($J247&lt;=0.005,"Volltilgung erreicht",IF($A247=Übersicht!$C$19*Übersicht!$C$25,"Ende der Zinsbindung",IF($H247&gt;0,"Sondertilgung verrechnet",""))))</f>
        <v/>
      </c>
      <c r="Q247" s="38">
        <f>IF($S246&lt;=0,0,ROUND($S246*Übersicht!$C$26,2))</f>
        <v>205.19</v>
      </c>
      <c r="R247" s="38">
        <f>IF($S246&lt;=0,0,MIN($S246,IF(Übersicht!$C$14="Annuitätendarlehen",MAX(0,Übersicht!$C$28-$Q247),IF(Übersicht!$C$14="Ratendarlehen",Übersicht!$C$29,IF($A247&gt;=Übersicht!$C$30,$S246,0)))))</f>
        <v>1034.3899999999999</v>
      </c>
      <c r="S247" s="38">
        <f>IF($S246&lt;=0,0,ROUND($S246-$R247-IF($S246-$R247&lt;=0,0,IF(MOD($A247,Übersicht!$C$25)=0,MIN(Szenarien!$C$8,$S246-$R247),0)),2))</f>
        <v>70337.5</v>
      </c>
      <c r="T247" s="38">
        <f>IF($V246&lt;=0,0,ROUND($V246*Übersicht!$C$26,2))</f>
        <v>9.58</v>
      </c>
      <c r="U247" s="38">
        <f>IF($V246&lt;=0,0,MIN($V246,IF(Übersicht!$C$14="Annuitätendarlehen",MAX(0,Übersicht!$C$28-$T247),IF(Übersicht!$C$14="Ratendarlehen",Übersicht!$C$29,IF($A247&gt;=Übersicht!$C$30,$V246,0)))))</f>
        <v>1230</v>
      </c>
      <c r="V247" s="38">
        <f>IF($V246&lt;=0,0,ROUND($V246-$U247-IF($V246-$U247&lt;=0,0,IF(MOD($A247,Übersicht!$C$25)=0,MIN(Szenarien!$C$9,$V246-$U247),0)),2))</f>
        <v>0</v>
      </c>
      <c r="W247" s="38">
        <f>IF($Y246&lt;=0,0,ROUND($Y246*Übersicht!$C$26,2))</f>
        <v>0</v>
      </c>
      <c r="X247" s="38">
        <f>IF($Y246&lt;=0,0,MIN($Y246,IF(Übersicht!$C$14="Annuitätendarlehen",MAX(0,Übersicht!$C$28-$W247),IF(Übersicht!$C$14="Ratendarlehen",Übersicht!$C$29,IF($A247&gt;=Übersicht!$C$30,$Y246,0)))))</f>
        <v>0</v>
      </c>
      <c r="Y247" s="38">
        <f>IF($Y246&lt;=0,0,ROUND($Y246-$X247-IF($Y246-$X247&lt;=0,0,IF(MOD($A247,Übersicht!$C$25)=0,MIN(Szenarien!$C$10,$Y246-$X247),0)),2))</f>
        <v>0</v>
      </c>
      <c r="Z247" s="38">
        <f>IF($AB246&lt;=0,0,ROUND($AB246*Übersicht!$C$26,2))</f>
        <v>0</v>
      </c>
      <c r="AA247" s="38">
        <f>IF($AB246&lt;=0,0,MIN($AB246,IF(Übersicht!$C$14="Annuitätendarlehen",MAX(0,Übersicht!$C$28-$Z247),IF(Übersicht!$C$14="Ratendarlehen",Übersicht!$C$29,IF($A247&gt;=Übersicht!$C$30,$AB246,0)))))</f>
        <v>0</v>
      </c>
      <c r="AB247" s="38">
        <f>IF($AB246&lt;=0,0,ROUND($AB246-$AA247-IF($AB246-$AA247&lt;=0,0,IF(MOD($A247,Übersicht!$C$25)=0,MIN(Szenarien!$C$11,$AB246-$AA247),0)),2))</f>
        <v>0</v>
      </c>
      <c r="AC247" s="38">
        <f>IF($AE246&lt;=0,0,ROUND($AE246*Übersicht!$C$26,2))</f>
        <v>0</v>
      </c>
      <c r="AD247" s="38">
        <f>IF($AE246&lt;=0,0,MIN($AE246,IF(Übersicht!$C$14="Annuitätendarlehen",MAX(0,Übersicht!$C$28-$AC247),IF(Übersicht!$C$14="Ratendarlehen",Übersicht!$C$29,IF($A247&gt;=Übersicht!$C$30,$AE246,0)))))</f>
        <v>0</v>
      </c>
      <c r="AE247" s="38">
        <f>IF($AE246&lt;=0,0,ROUND($AE246-$AD247-IF($AE246-$AD247&lt;=0,0,IF(MOD($A247,Übersicht!$C$25)=0,MIN(Szenarien!$C$12,$AE246-$AD247),0)),2))</f>
        <v>0</v>
      </c>
    </row>
    <row r="248" spans="1:31" ht="15" customHeight="1" x14ac:dyDescent="0.25">
      <c r="A248" s="21">
        <v>241</v>
      </c>
      <c r="B248" s="36" t="str">
        <f>IF($D248&lt;=0,"",EDATE(Übersicht!$C$18,($A248-1)*12/Übersicht!$C$25))</f>
        <v/>
      </c>
      <c r="C248" s="21" t="str">
        <f t="shared" si="21"/>
        <v/>
      </c>
      <c r="D248" s="37">
        <f t="shared" si="25"/>
        <v>0</v>
      </c>
      <c r="E248" s="23">
        <f t="shared" si="22"/>
        <v>0</v>
      </c>
      <c r="F248" s="23">
        <f>IF($D248&lt;=0,0,ROUND($D248*Übersicht!$C$26,2))</f>
        <v>0</v>
      </c>
      <c r="G248" s="23">
        <f>IF($D248&lt;=0,0,MIN($D248,IF(Übersicht!$C$14="Annuitätendarlehen",MAX(0,Übersicht!$C$28-$F248),IF(Übersicht!$C$14="Ratendarlehen",Übersicht!$C$29,IF($A248&gt;=Übersicht!$C$30,$D248,0)))))</f>
        <v>0</v>
      </c>
      <c r="H248" s="23">
        <f>IF($D248-$G248&lt;=0,0,IF(MOD($A248,Übersicht!$C$25)=0,MIN(Übersicht!$C$31,$D248-$G248),0))</f>
        <v>0</v>
      </c>
      <c r="I248" s="23">
        <f t="shared" si="23"/>
        <v>0</v>
      </c>
      <c r="J248" s="23">
        <f t="shared" si="24"/>
        <v>0</v>
      </c>
      <c r="K248" s="23">
        <f t="shared" si="26"/>
        <v>80072.129999999961</v>
      </c>
      <c r="L248" s="23">
        <f t="shared" si="27"/>
        <v>250000</v>
      </c>
      <c r="M248" s="24" t="str">
        <f>IF($D248&lt;=0,"",IF(Übersicht!$C$11=0,0,$L248/Übersicht!$C$11))</f>
        <v/>
      </c>
      <c r="N248" s="25" t="str">
        <f>IF($D248&lt;=0,"",IF($J248&lt;=0.005,"Volltilgung erreicht",IF($A248=Übersicht!$C$19*Übersicht!$C$25,"Ende der Zinsbindung",IF($H248&gt;0,"Sondertilgung verrechnet",""))))</f>
        <v/>
      </c>
      <c r="Q248" s="38">
        <f>IF($S247&lt;=0,0,ROUND($S247*Übersicht!$C$26,2))</f>
        <v>202.22</v>
      </c>
      <c r="R248" s="38">
        <f>IF($S247&lt;=0,0,MIN($S247,IF(Übersicht!$C$14="Annuitätendarlehen",MAX(0,Übersicht!$C$28-$Q248),IF(Übersicht!$C$14="Ratendarlehen",Übersicht!$C$29,IF($A248&gt;=Übersicht!$C$30,$S247,0)))))</f>
        <v>1037.3599999999999</v>
      </c>
      <c r="S248" s="38">
        <f>IF($S247&lt;=0,0,ROUND($S247-$R248-IF($S247-$R248&lt;=0,0,IF(MOD($A248,Übersicht!$C$25)=0,MIN(Szenarien!$C$8,$S247-$R248),0)),2))</f>
        <v>69300.14</v>
      </c>
      <c r="T248" s="38">
        <f>IF($V247&lt;=0,0,ROUND($V247*Übersicht!$C$26,2))</f>
        <v>0</v>
      </c>
      <c r="U248" s="38">
        <f>IF($V247&lt;=0,0,MIN($V247,IF(Übersicht!$C$14="Annuitätendarlehen",MAX(0,Übersicht!$C$28-$T248),IF(Übersicht!$C$14="Ratendarlehen",Übersicht!$C$29,IF($A248&gt;=Übersicht!$C$30,$V247,0)))))</f>
        <v>0</v>
      </c>
      <c r="V248" s="38">
        <f>IF($V247&lt;=0,0,ROUND($V247-$U248-IF($V247-$U248&lt;=0,0,IF(MOD($A248,Übersicht!$C$25)=0,MIN(Szenarien!$C$9,$V247-$U248),0)),2))</f>
        <v>0</v>
      </c>
      <c r="W248" s="38">
        <f>IF($Y247&lt;=0,0,ROUND($Y247*Übersicht!$C$26,2))</f>
        <v>0</v>
      </c>
      <c r="X248" s="38">
        <f>IF($Y247&lt;=0,0,MIN($Y247,IF(Übersicht!$C$14="Annuitätendarlehen",MAX(0,Übersicht!$C$28-$W248),IF(Übersicht!$C$14="Ratendarlehen",Übersicht!$C$29,IF($A248&gt;=Übersicht!$C$30,$Y247,0)))))</f>
        <v>0</v>
      </c>
      <c r="Y248" s="38">
        <f>IF($Y247&lt;=0,0,ROUND($Y247-$X248-IF($Y247-$X248&lt;=0,0,IF(MOD($A248,Übersicht!$C$25)=0,MIN(Szenarien!$C$10,$Y247-$X248),0)),2))</f>
        <v>0</v>
      </c>
      <c r="Z248" s="38">
        <f>IF($AB247&lt;=0,0,ROUND($AB247*Übersicht!$C$26,2))</f>
        <v>0</v>
      </c>
      <c r="AA248" s="38">
        <f>IF($AB247&lt;=0,0,MIN($AB247,IF(Übersicht!$C$14="Annuitätendarlehen",MAX(0,Übersicht!$C$28-$Z248),IF(Übersicht!$C$14="Ratendarlehen",Übersicht!$C$29,IF($A248&gt;=Übersicht!$C$30,$AB247,0)))))</f>
        <v>0</v>
      </c>
      <c r="AB248" s="38">
        <f>IF($AB247&lt;=0,0,ROUND($AB247-$AA248-IF($AB247-$AA248&lt;=0,0,IF(MOD($A248,Übersicht!$C$25)=0,MIN(Szenarien!$C$11,$AB247-$AA248),0)),2))</f>
        <v>0</v>
      </c>
      <c r="AC248" s="38">
        <f>IF($AE247&lt;=0,0,ROUND($AE247*Übersicht!$C$26,2))</f>
        <v>0</v>
      </c>
      <c r="AD248" s="38">
        <f>IF($AE247&lt;=0,0,MIN($AE247,IF(Übersicht!$C$14="Annuitätendarlehen",MAX(0,Übersicht!$C$28-$AC248),IF(Übersicht!$C$14="Ratendarlehen",Übersicht!$C$29,IF($A248&gt;=Übersicht!$C$30,$AE247,0)))))</f>
        <v>0</v>
      </c>
      <c r="AE248" s="38">
        <f>IF($AE247&lt;=0,0,ROUND($AE247-$AD248-IF($AE247-$AD248&lt;=0,0,IF(MOD($A248,Übersicht!$C$25)=0,MIN(Szenarien!$C$12,$AE247-$AD248),0)),2))</f>
        <v>0</v>
      </c>
    </row>
    <row r="249" spans="1:31" ht="15" customHeight="1" x14ac:dyDescent="0.25">
      <c r="A249" s="26">
        <v>242</v>
      </c>
      <c r="B249" s="39" t="str">
        <f>IF($D249&lt;=0,"",EDATE(Übersicht!$C$18,($A249-1)*12/Übersicht!$C$25))</f>
        <v/>
      </c>
      <c r="C249" s="26" t="str">
        <f t="shared" si="21"/>
        <v/>
      </c>
      <c r="D249" s="40">
        <f t="shared" si="25"/>
        <v>0</v>
      </c>
      <c r="E249" s="28">
        <f t="shared" si="22"/>
        <v>0</v>
      </c>
      <c r="F249" s="28">
        <f>IF($D249&lt;=0,0,ROUND($D249*Übersicht!$C$26,2))</f>
        <v>0</v>
      </c>
      <c r="G249" s="28">
        <f>IF($D249&lt;=0,0,MIN($D249,IF(Übersicht!$C$14="Annuitätendarlehen",MAX(0,Übersicht!$C$28-$F249),IF(Übersicht!$C$14="Ratendarlehen",Übersicht!$C$29,IF($A249&gt;=Übersicht!$C$30,$D249,0)))))</f>
        <v>0</v>
      </c>
      <c r="H249" s="28">
        <f>IF($D249-$G249&lt;=0,0,IF(MOD($A249,Übersicht!$C$25)=0,MIN(Übersicht!$C$31,$D249-$G249),0))</f>
        <v>0</v>
      </c>
      <c r="I249" s="28">
        <f t="shared" si="23"/>
        <v>0</v>
      </c>
      <c r="J249" s="28">
        <f t="shared" si="24"/>
        <v>0</v>
      </c>
      <c r="K249" s="28">
        <f t="shared" si="26"/>
        <v>80072.129999999961</v>
      </c>
      <c r="L249" s="28">
        <f t="shared" si="27"/>
        <v>250000</v>
      </c>
      <c r="M249" s="29" t="str">
        <f>IF($D249&lt;=0,"",IF(Übersicht!$C$11=0,0,$L249/Übersicht!$C$11))</f>
        <v/>
      </c>
      <c r="N249" s="30" t="str">
        <f>IF($D249&lt;=0,"",IF($J249&lt;=0.005,"Volltilgung erreicht",IF($A249=Übersicht!$C$19*Übersicht!$C$25,"Ende der Zinsbindung",IF($H249&gt;0,"Sondertilgung verrechnet",""))))</f>
        <v/>
      </c>
      <c r="Q249" s="38">
        <f>IF($S248&lt;=0,0,ROUND($S248*Übersicht!$C$26,2))</f>
        <v>199.24</v>
      </c>
      <c r="R249" s="38">
        <f>IF($S248&lt;=0,0,MIN($S248,IF(Übersicht!$C$14="Annuitätendarlehen",MAX(0,Übersicht!$C$28-$Q249),IF(Übersicht!$C$14="Ratendarlehen",Übersicht!$C$29,IF($A249&gt;=Übersicht!$C$30,$S248,0)))))</f>
        <v>1040.3399999999999</v>
      </c>
      <c r="S249" s="38">
        <f>IF($S248&lt;=0,0,ROUND($S248-$R249-IF($S248-$R249&lt;=0,0,IF(MOD($A249,Übersicht!$C$25)=0,MIN(Szenarien!$C$8,$S248-$R249),0)),2))</f>
        <v>68259.8</v>
      </c>
      <c r="T249" s="38">
        <f>IF($V248&lt;=0,0,ROUND($V248*Übersicht!$C$26,2))</f>
        <v>0</v>
      </c>
      <c r="U249" s="38">
        <f>IF($V248&lt;=0,0,MIN($V248,IF(Übersicht!$C$14="Annuitätendarlehen",MAX(0,Übersicht!$C$28-$T249),IF(Übersicht!$C$14="Ratendarlehen",Übersicht!$C$29,IF($A249&gt;=Übersicht!$C$30,$V248,0)))))</f>
        <v>0</v>
      </c>
      <c r="V249" s="38">
        <f>IF($V248&lt;=0,0,ROUND($V248-$U249-IF($V248-$U249&lt;=0,0,IF(MOD($A249,Übersicht!$C$25)=0,MIN(Szenarien!$C$9,$V248-$U249),0)),2))</f>
        <v>0</v>
      </c>
      <c r="W249" s="38">
        <f>IF($Y248&lt;=0,0,ROUND($Y248*Übersicht!$C$26,2))</f>
        <v>0</v>
      </c>
      <c r="X249" s="38">
        <f>IF($Y248&lt;=0,0,MIN($Y248,IF(Übersicht!$C$14="Annuitätendarlehen",MAX(0,Übersicht!$C$28-$W249),IF(Übersicht!$C$14="Ratendarlehen",Übersicht!$C$29,IF($A249&gt;=Übersicht!$C$30,$Y248,0)))))</f>
        <v>0</v>
      </c>
      <c r="Y249" s="38">
        <f>IF($Y248&lt;=0,0,ROUND($Y248-$X249-IF($Y248-$X249&lt;=0,0,IF(MOD($A249,Übersicht!$C$25)=0,MIN(Szenarien!$C$10,$Y248-$X249),0)),2))</f>
        <v>0</v>
      </c>
      <c r="Z249" s="38">
        <f>IF($AB248&lt;=0,0,ROUND($AB248*Übersicht!$C$26,2))</f>
        <v>0</v>
      </c>
      <c r="AA249" s="38">
        <f>IF($AB248&lt;=0,0,MIN($AB248,IF(Übersicht!$C$14="Annuitätendarlehen",MAX(0,Übersicht!$C$28-$Z249),IF(Übersicht!$C$14="Ratendarlehen",Übersicht!$C$29,IF($A249&gt;=Übersicht!$C$30,$AB248,0)))))</f>
        <v>0</v>
      </c>
      <c r="AB249" s="38">
        <f>IF($AB248&lt;=0,0,ROUND($AB248-$AA249-IF($AB248-$AA249&lt;=0,0,IF(MOD($A249,Übersicht!$C$25)=0,MIN(Szenarien!$C$11,$AB248-$AA249),0)),2))</f>
        <v>0</v>
      </c>
      <c r="AC249" s="38">
        <f>IF($AE248&lt;=0,0,ROUND($AE248*Übersicht!$C$26,2))</f>
        <v>0</v>
      </c>
      <c r="AD249" s="38">
        <f>IF($AE248&lt;=0,0,MIN($AE248,IF(Übersicht!$C$14="Annuitätendarlehen",MAX(0,Übersicht!$C$28-$AC249),IF(Übersicht!$C$14="Ratendarlehen",Übersicht!$C$29,IF($A249&gt;=Übersicht!$C$30,$AE248,0)))))</f>
        <v>0</v>
      </c>
      <c r="AE249" s="38">
        <f>IF($AE248&lt;=0,0,ROUND($AE248-$AD249-IF($AE248-$AD249&lt;=0,0,IF(MOD($A249,Übersicht!$C$25)=0,MIN(Szenarien!$C$12,$AE248-$AD249),0)),2))</f>
        <v>0</v>
      </c>
    </row>
    <row r="250" spans="1:31" ht="15" customHeight="1" x14ac:dyDescent="0.25">
      <c r="A250" s="21">
        <v>243</v>
      </c>
      <c r="B250" s="36" t="str">
        <f>IF($D250&lt;=0,"",EDATE(Übersicht!$C$18,($A250-1)*12/Übersicht!$C$25))</f>
        <v/>
      </c>
      <c r="C250" s="21" t="str">
        <f t="shared" si="21"/>
        <v/>
      </c>
      <c r="D250" s="37">
        <f t="shared" si="25"/>
        <v>0</v>
      </c>
      <c r="E250" s="23">
        <f t="shared" si="22"/>
        <v>0</v>
      </c>
      <c r="F250" s="23">
        <f>IF($D250&lt;=0,0,ROUND($D250*Übersicht!$C$26,2))</f>
        <v>0</v>
      </c>
      <c r="G250" s="23">
        <f>IF($D250&lt;=0,0,MIN($D250,IF(Übersicht!$C$14="Annuitätendarlehen",MAX(0,Übersicht!$C$28-$F250),IF(Übersicht!$C$14="Ratendarlehen",Übersicht!$C$29,IF($A250&gt;=Übersicht!$C$30,$D250,0)))))</f>
        <v>0</v>
      </c>
      <c r="H250" s="23">
        <f>IF($D250-$G250&lt;=0,0,IF(MOD($A250,Übersicht!$C$25)=0,MIN(Übersicht!$C$31,$D250-$G250),0))</f>
        <v>0</v>
      </c>
      <c r="I250" s="23">
        <f t="shared" si="23"/>
        <v>0</v>
      </c>
      <c r="J250" s="23">
        <f t="shared" si="24"/>
        <v>0</v>
      </c>
      <c r="K250" s="23">
        <f t="shared" si="26"/>
        <v>80072.129999999961</v>
      </c>
      <c r="L250" s="23">
        <f t="shared" si="27"/>
        <v>250000</v>
      </c>
      <c r="M250" s="24" t="str">
        <f>IF($D250&lt;=0,"",IF(Übersicht!$C$11=0,0,$L250/Übersicht!$C$11))</f>
        <v/>
      </c>
      <c r="N250" s="25" t="str">
        <f>IF($D250&lt;=0,"",IF($J250&lt;=0.005,"Volltilgung erreicht",IF($A250=Übersicht!$C$19*Übersicht!$C$25,"Ende der Zinsbindung",IF($H250&gt;0,"Sondertilgung verrechnet",""))))</f>
        <v/>
      </c>
      <c r="Q250" s="38">
        <f>IF($S249&lt;=0,0,ROUND($S249*Übersicht!$C$26,2))</f>
        <v>196.25</v>
      </c>
      <c r="R250" s="38">
        <f>IF($S249&lt;=0,0,MIN($S249,IF(Übersicht!$C$14="Annuitätendarlehen",MAX(0,Übersicht!$C$28-$Q250),IF(Übersicht!$C$14="Ratendarlehen",Übersicht!$C$29,IF($A250&gt;=Übersicht!$C$30,$S249,0)))))</f>
        <v>1043.33</v>
      </c>
      <c r="S250" s="38">
        <f>IF($S249&lt;=0,0,ROUND($S249-$R250-IF($S249-$R250&lt;=0,0,IF(MOD($A250,Übersicht!$C$25)=0,MIN(Szenarien!$C$8,$S249-$R250),0)),2))</f>
        <v>67216.47</v>
      </c>
      <c r="T250" s="38">
        <f>IF($V249&lt;=0,0,ROUND($V249*Übersicht!$C$26,2))</f>
        <v>0</v>
      </c>
      <c r="U250" s="38">
        <f>IF($V249&lt;=0,0,MIN($V249,IF(Übersicht!$C$14="Annuitätendarlehen",MAX(0,Übersicht!$C$28-$T250),IF(Übersicht!$C$14="Ratendarlehen",Übersicht!$C$29,IF($A250&gt;=Übersicht!$C$30,$V249,0)))))</f>
        <v>0</v>
      </c>
      <c r="V250" s="38">
        <f>IF($V249&lt;=0,0,ROUND($V249-$U250-IF($V249-$U250&lt;=0,0,IF(MOD($A250,Übersicht!$C$25)=0,MIN(Szenarien!$C$9,$V249-$U250),0)),2))</f>
        <v>0</v>
      </c>
      <c r="W250" s="38">
        <f>IF($Y249&lt;=0,0,ROUND($Y249*Übersicht!$C$26,2))</f>
        <v>0</v>
      </c>
      <c r="X250" s="38">
        <f>IF($Y249&lt;=0,0,MIN($Y249,IF(Übersicht!$C$14="Annuitätendarlehen",MAX(0,Übersicht!$C$28-$W250),IF(Übersicht!$C$14="Ratendarlehen",Übersicht!$C$29,IF($A250&gt;=Übersicht!$C$30,$Y249,0)))))</f>
        <v>0</v>
      </c>
      <c r="Y250" s="38">
        <f>IF($Y249&lt;=0,0,ROUND($Y249-$X250-IF($Y249-$X250&lt;=0,0,IF(MOD($A250,Übersicht!$C$25)=0,MIN(Szenarien!$C$10,$Y249-$X250),0)),2))</f>
        <v>0</v>
      </c>
      <c r="Z250" s="38">
        <f>IF($AB249&lt;=0,0,ROUND($AB249*Übersicht!$C$26,2))</f>
        <v>0</v>
      </c>
      <c r="AA250" s="38">
        <f>IF($AB249&lt;=0,0,MIN($AB249,IF(Übersicht!$C$14="Annuitätendarlehen",MAX(0,Übersicht!$C$28-$Z250),IF(Übersicht!$C$14="Ratendarlehen",Übersicht!$C$29,IF($A250&gt;=Übersicht!$C$30,$AB249,0)))))</f>
        <v>0</v>
      </c>
      <c r="AB250" s="38">
        <f>IF($AB249&lt;=0,0,ROUND($AB249-$AA250-IF($AB249-$AA250&lt;=0,0,IF(MOD($A250,Übersicht!$C$25)=0,MIN(Szenarien!$C$11,$AB249-$AA250),0)),2))</f>
        <v>0</v>
      </c>
      <c r="AC250" s="38">
        <f>IF($AE249&lt;=0,0,ROUND($AE249*Übersicht!$C$26,2))</f>
        <v>0</v>
      </c>
      <c r="AD250" s="38">
        <f>IF($AE249&lt;=0,0,MIN($AE249,IF(Übersicht!$C$14="Annuitätendarlehen",MAX(0,Übersicht!$C$28-$AC250),IF(Übersicht!$C$14="Ratendarlehen",Übersicht!$C$29,IF($A250&gt;=Übersicht!$C$30,$AE249,0)))))</f>
        <v>0</v>
      </c>
      <c r="AE250" s="38">
        <f>IF($AE249&lt;=0,0,ROUND($AE249-$AD250-IF($AE249-$AD250&lt;=0,0,IF(MOD($A250,Übersicht!$C$25)=0,MIN(Szenarien!$C$12,$AE249-$AD250),0)),2))</f>
        <v>0</v>
      </c>
    </row>
    <row r="251" spans="1:31" ht="15" customHeight="1" x14ac:dyDescent="0.25">
      <c r="A251" s="26">
        <v>244</v>
      </c>
      <c r="B251" s="39" t="str">
        <f>IF($D251&lt;=0,"",EDATE(Übersicht!$C$18,($A251-1)*12/Übersicht!$C$25))</f>
        <v/>
      </c>
      <c r="C251" s="26" t="str">
        <f t="shared" si="21"/>
        <v/>
      </c>
      <c r="D251" s="40">
        <f t="shared" si="25"/>
        <v>0</v>
      </c>
      <c r="E251" s="28">
        <f t="shared" si="22"/>
        <v>0</v>
      </c>
      <c r="F251" s="28">
        <f>IF($D251&lt;=0,0,ROUND($D251*Übersicht!$C$26,2))</f>
        <v>0</v>
      </c>
      <c r="G251" s="28">
        <f>IF($D251&lt;=0,0,MIN($D251,IF(Übersicht!$C$14="Annuitätendarlehen",MAX(0,Übersicht!$C$28-$F251),IF(Übersicht!$C$14="Ratendarlehen",Übersicht!$C$29,IF($A251&gt;=Übersicht!$C$30,$D251,0)))))</f>
        <v>0</v>
      </c>
      <c r="H251" s="28">
        <f>IF($D251-$G251&lt;=0,0,IF(MOD($A251,Übersicht!$C$25)=0,MIN(Übersicht!$C$31,$D251-$G251),0))</f>
        <v>0</v>
      </c>
      <c r="I251" s="28">
        <f t="shared" si="23"/>
        <v>0</v>
      </c>
      <c r="J251" s="28">
        <f t="shared" si="24"/>
        <v>0</v>
      </c>
      <c r="K251" s="28">
        <f t="shared" si="26"/>
        <v>80072.129999999961</v>
      </c>
      <c r="L251" s="28">
        <f t="shared" si="27"/>
        <v>250000</v>
      </c>
      <c r="M251" s="29" t="str">
        <f>IF($D251&lt;=0,"",IF(Übersicht!$C$11=0,0,$L251/Übersicht!$C$11))</f>
        <v/>
      </c>
      <c r="N251" s="30" t="str">
        <f>IF($D251&lt;=0,"",IF($J251&lt;=0.005,"Volltilgung erreicht",IF($A251=Übersicht!$C$19*Übersicht!$C$25,"Ende der Zinsbindung",IF($H251&gt;0,"Sondertilgung verrechnet",""))))</f>
        <v/>
      </c>
      <c r="Q251" s="38">
        <f>IF($S250&lt;=0,0,ROUND($S250*Übersicht!$C$26,2))</f>
        <v>193.25</v>
      </c>
      <c r="R251" s="38">
        <f>IF($S250&lt;=0,0,MIN($S250,IF(Übersicht!$C$14="Annuitätendarlehen",MAX(0,Übersicht!$C$28-$Q251),IF(Übersicht!$C$14="Ratendarlehen",Übersicht!$C$29,IF($A251&gt;=Übersicht!$C$30,$S250,0)))))</f>
        <v>1046.33</v>
      </c>
      <c r="S251" s="38">
        <f>IF($S250&lt;=0,0,ROUND($S250-$R251-IF($S250-$R251&lt;=0,0,IF(MOD($A251,Übersicht!$C$25)=0,MIN(Szenarien!$C$8,$S250-$R251),0)),2))</f>
        <v>66170.14</v>
      </c>
      <c r="T251" s="38">
        <f>IF($V250&lt;=0,0,ROUND($V250*Übersicht!$C$26,2))</f>
        <v>0</v>
      </c>
      <c r="U251" s="38">
        <f>IF($V250&lt;=0,0,MIN($V250,IF(Übersicht!$C$14="Annuitätendarlehen",MAX(0,Übersicht!$C$28-$T251),IF(Übersicht!$C$14="Ratendarlehen",Übersicht!$C$29,IF($A251&gt;=Übersicht!$C$30,$V250,0)))))</f>
        <v>0</v>
      </c>
      <c r="V251" s="38">
        <f>IF($V250&lt;=0,0,ROUND($V250-$U251-IF($V250-$U251&lt;=0,0,IF(MOD($A251,Übersicht!$C$25)=0,MIN(Szenarien!$C$9,$V250-$U251),0)),2))</f>
        <v>0</v>
      </c>
      <c r="W251" s="38">
        <f>IF($Y250&lt;=0,0,ROUND($Y250*Übersicht!$C$26,2))</f>
        <v>0</v>
      </c>
      <c r="X251" s="38">
        <f>IF($Y250&lt;=0,0,MIN($Y250,IF(Übersicht!$C$14="Annuitätendarlehen",MAX(0,Übersicht!$C$28-$W251),IF(Übersicht!$C$14="Ratendarlehen",Übersicht!$C$29,IF($A251&gt;=Übersicht!$C$30,$Y250,0)))))</f>
        <v>0</v>
      </c>
      <c r="Y251" s="38">
        <f>IF($Y250&lt;=0,0,ROUND($Y250-$X251-IF($Y250-$X251&lt;=0,0,IF(MOD($A251,Übersicht!$C$25)=0,MIN(Szenarien!$C$10,$Y250-$X251),0)),2))</f>
        <v>0</v>
      </c>
      <c r="Z251" s="38">
        <f>IF($AB250&lt;=0,0,ROUND($AB250*Übersicht!$C$26,2))</f>
        <v>0</v>
      </c>
      <c r="AA251" s="38">
        <f>IF($AB250&lt;=0,0,MIN($AB250,IF(Übersicht!$C$14="Annuitätendarlehen",MAX(0,Übersicht!$C$28-$Z251),IF(Übersicht!$C$14="Ratendarlehen",Übersicht!$C$29,IF($A251&gt;=Übersicht!$C$30,$AB250,0)))))</f>
        <v>0</v>
      </c>
      <c r="AB251" s="38">
        <f>IF($AB250&lt;=0,0,ROUND($AB250-$AA251-IF($AB250-$AA251&lt;=0,0,IF(MOD($A251,Übersicht!$C$25)=0,MIN(Szenarien!$C$11,$AB250-$AA251),0)),2))</f>
        <v>0</v>
      </c>
      <c r="AC251" s="38">
        <f>IF($AE250&lt;=0,0,ROUND($AE250*Übersicht!$C$26,2))</f>
        <v>0</v>
      </c>
      <c r="AD251" s="38">
        <f>IF($AE250&lt;=0,0,MIN($AE250,IF(Übersicht!$C$14="Annuitätendarlehen",MAX(0,Übersicht!$C$28-$AC251),IF(Übersicht!$C$14="Ratendarlehen",Übersicht!$C$29,IF($A251&gt;=Übersicht!$C$30,$AE250,0)))))</f>
        <v>0</v>
      </c>
      <c r="AE251" s="38">
        <f>IF($AE250&lt;=0,0,ROUND($AE250-$AD251-IF($AE250-$AD251&lt;=0,0,IF(MOD($A251,Übersicht!$C$25)=0,MIN(Szenarien!$C$12,$AE250-$AD251),0)),2))</f>
        <v>0</v>
      </c>
    </row>
    <row r="252" spans="1:31" ht="15" customHeight="1" x14ac:dyDescent="0.25">
      <c r="A252" s="21">
        <v>245</v>
      </c>
      <c r="B252" s="36" t="str">
        <f>IF($D252&lt;=0,"",EDATE(Übersicht!$C$18,($A252-1)*12/Übersicht!$C$25))</f>
        <v/>
      </c>
      <c r="C252" s="21" t="str">
        <f t="shared" si="21"/>
        <v/>
      </c>
      <c r="D252" s="37">
        <f t="shared" si="25"/>
        <v>0</v>
      </c>
      <c r="E252" s="23">
        <f t="shared" si="22"/>
        <v>0</v>
      </c>
      <c r="F252" s="23">
        <f>IF($D252&lt;=0,0,ROUND($D252*Übersicht!$C$26,2))</f>
        <v>0</v>
      </c>
      <c r="G252" s="23">
        <f>IF($D252&lt;=0,0,MIN($D252,IF(Übersicht!$C$14="Annuitätendarlehen",MAX(0,Übersicht!$C$28-$F252),IF(Übersicht!$C$14="Ratendarlehen",Übersicht!$C$29,IF($A252&gt;=Übersicht!$C$30,$D252,0)))))</f>
        <v>0</v>
      </c>
      <c r="H252" s="23">
        <f>IF($D252-$G252&lt;=0,0,IF(MOD($A252,Übersicht!$C$25)=0,MIN(Übersicht!$C$31,$D252-$G252),0))</f>
        <v>0</v>
      </c>
      <c r="I252" s="23">
        <f t="shared" si="23"/>
        <v>0</v>
      </c>
      <c r="J252" s="23">
        <f t="shared" si="24"/>
        <v>0</v>
      </c>
      <c r="K252" s="23">
        <f t="shared" si="26"/>
        <v>80072.129999999961</v>
      </c>
      <c r="L252" s="23">
        <f t="shared" si="27"/>
        <v>250000</v>
      </c>
      <c r="M252" s="24" t="str">
        <f>IF($D252&lt;=0,"",IF(Übersicht!$C$11=0,0,$L252/Übersicht!$C$11))</f>
        <v/>
      </c>
      <c r="N252" s="25" t="str">
        <f>IF($D252&lt;=0,"",IF($J252&lt;=0.005,"Volltilgung erreicht",IF($A252=Übersicht!$C$19*Übersicht!$C$25,"Ende der Zinsbindung",IF($H252&gt;0,"Sondertilgung verrechnet",""))))</f>
        <v/>
      </c>
      <c r="Q252" s="38">
        <f>IF($S251&lt;=0,0,ROUND($S251*Übersicht!$C$26,2))</f>
        <v>190.24</v>
      </c>
      <c r="R252" s="38">
        <f>IF($S251&lt;=0,0,MIN($S251,IF(Übersicht!$C$14="Annuitätendarlehen",MAX(0,Übersicht!$C$28-$Q252),IF(Übersicht!$C$14="Ratendarlehen",Übersicht!$C$29,IF($A252&gt;=Übersicht!$C$30,$S251,0)))))</f>
        <v>1049.3399999999999</v>
      </c>
      <c r="S252" s="38">
        <f>IF($S251&lt;=0,0,ROUND($S251-$R252-IF($S251-$R252&lt;=0,0,IF(MOD($A252,Übersicht!$C$25)=0,MIN(Szenarien!$C$8,$S251-$R252),0)),2))</f>
        <v>65120.800000000003</v>
      </c>
      <c r="T252" s="38">
        <f>IF($V251&lt;=0,0,ROUND($V251*Übersicht!$C$26,2))</f>
        <v>0</v>
      </c>
      <c r="U252" s="38">
        <f>IF($V251&lt;=0,0,MIN($V251,IF(Übersicht!$C$14="Annuitätendarlehen",MAX(0,Übersicht!$C$28-$T252),IF(Übersicht!$C$14="Ratendarlehen",Übersicht!$C$29,IF($A252&gt;=Übersicht!$C$30,$V251,0)))))</f>
        <v>0</v>
      </c>
      <c r="V252" s="38">
        <f>IF($V251&lt;=0,0,ROUND($V251-$U252-IF($V251-$U252&lt;=0,0,IF(MOD($A252,Übersicht!$C$25)=0,MIN(Szenarien!$C$9,$V251-$U252),0)),2))</f>
        <v>0</v>
      </c>
      <c r="W252" s="38">
        <f>IF($Y251&lt;=0,0,ROUND($Y251*Übersicht!$C$26,2))</f>
        <v>0</v>
      </c>
      <c r="X252" s="38">
        <f>IF($Y251&lt;=0,0,MIN($Y251,IF(Übersicht!$C$14="Annuitätendarlehen",MAX(0,Übersicht!$C$28-$W252),IF(Übersicht!$C$14="Ratendarlehen",Übersicht!$C$29,IF($A252&gt;=Übersicht!$C$30,$Y251,0)))))</f>
        <v>0</v>
      </c>
      <c r="Y252" s="38">
        <f>IF($Y251&lt;=0,0,ROUND($Y251-$X252-IF($Y251-$X252&lt;=0,0,IF(MOD($A252,Übersicht!$C$25)=0,MIN(Szenarien!$C$10,$Y251-$X252),0)),2))</f>
        <v>0</v>
      </c>
      <c r="Z252" s="38">
        <f>IF($AB251&lt;=0,0,ROUND($AB251*Übersicht!$C$26,2))</f>
        <v>0</v>
      </c>
      <c r="AA252" s="38">
        <f>IF($AB251&lt;=0,0,MIN($AB251,IF(Übersicht!$C$14="Annuitätendarlehen",MAX(0,Übersicht!$C$28-$Z252),IF(Übersicht!$C$14="Ratendarlehen",Übersicht!$C$29,IF($A252&gt;=Übersicht!$C$30,$AB251,0)))))</f>
        <v>0</v>
      </c>
      <c r="AB252" s="38">
        <f>IF($AB251&lt;=0,0,ROUND($AB251-$AA252-IF($AB251-$AA252&lt;=0,0,IF(MOD($A252,Übersicht!$C$25)=0,MIN(Szenarien!$C$11,$AB251-$AA252),0)),2))</f>
        <v>0</v>
      </c>
      <c r="AC252" s="38">
        <f>IF($AE251&lt;=0,0,ROUND($AE251*Übersicht!$C$26,2))</f>
        <v>0</v>
      </c>
      <c r="AD252" s="38">
        <f>IF($AE251&lt;=0,0,MIN($AE251,IF(Übersicht!$C$14="Annuitätendarlehen",MAX(0,Übersicht!$C$28-$AC252),IF(Übersicht!$C$14="Ratendarlehen",Übersicht!$C$29,IF($A252&gt;=Übersicht!$C$30,$AE251,0)))))</f>
        <v>0</v>
      </c>
      <c r="AE252" s="38">
        <f>IF($AE251&lt;=0,0,ROUND($AE251-$AD252-IF($AE251-$AD252&lt;=0,0,IF(MOD($A252,Übersicht!$C$25)=0,MIN(Szenarien!$C$12,$AE251-$AD252),0)),2))</f>
        <v>0</v>
      </c>
    </row>
    <row r="253" spans="1:31" ht="15" customHeight="1" x14ac:dyDescent="0.25">
      <c r="A253" s="26">
        <v>246</v>
      </c>
      <c r="B253" s="39" t="str">
        <f>IF($D253&lt;=0,"",EDATE(Übersicht!$C$18,($A253-1)*12/Übersicht!$C$25))</f>
        <v/>
      </c>
      <c r="C253" s="26" t="str">
        <f t="shared" si="21"/>
        <v/>
      </c>
      <c r="D253" s="40">
        <f t="shared" si="25"/>
        <v>0</v>
      </c>
      <c r="E253" s="28">
        <f t="shared" si="22"/>
        <v>0</v>
      </c>
      <c r="F253" s="28">
        <f>IF($D253&lt;=0,0,ROUND($D253*Übersicht!$C$26,2))</f>
        <v>0</v>
      </c>
      <c r="G253" s="28">
        <f>IF($D253&lt;=0,0,MIN($D253,IF(Übersicht!$C$14="Annuitätendarlehen",MAX(0,Übersicht!$C$28-$F253),IF(Übersicht!$C$14="Ratendarlehen",Übersicht!$C$29,IF($A253&gt;=Übersicht!$C$30,$D253,0)))))</f>
        <v>0</v>
      </c>
      <c r="H253" s="28">
        <f>IF($D253-$G253&lt;=0,0,IF(MOD($A253,Übersicht!$C$25)=0,MIN(Übersicht!$C$31,$D253-$G253),0))</f>
        <v>0</v>
      </c>
      <c r="I253" s="28">
        <f t="shared" si="23"/>
        <v>0</v>
      </c>
      <c r="J253" s="28">
        <f t="shared" si="24"/>
        <v>0</v>
      </c>
      <c r="K253" s="28">
        <f t="shared" si="26"/>
        <v>80072.129999999961</v>
      </c>
      <c r="L253" s="28">
        <f t="shared" si="27"/>
        <v>250000</v>
      </c>
      <c r="M253" s="29" t="str">
        <f>IF($D253&lt;=0,"",IF(Übersicht!$C$11=0,0,$L253/Übersicht!$C$11))</f>
        <v/>
      </c>
      <c r="N253" s="30" t="str">
        <f>IF($D253&lt;=0,"",IF($J253&lt;=0.005,"Volltilgung erreicht",IF($A253=Übersicht!$C$19*Übersicht!$C$25,"Ende der Zinsbindung",IF($H253&gt;0,"Sondertilgung verrechnet",""))))</f>
        <v/>
      </c>
      <c r="Q253" s="38">
        <f>IF($S252&lt;=0,0,ROUND($S252*Übersicht!$C$26,2))</f>
        <v>187.22</v>
      </c>
      <c r="R253" s="38">
        <f>IF($S252&lt;=0,0,MIN($S252,IF(Übersicht!$C$14="Annuitätendarlehen",MAX(0,Übersicht!$C$28-$Q253),IF(Übersicht!$C$14="Ratendarlehen",Übersicht!$C$29,IF($A253&gt;=Übersicht!$C$30,$S252,0)))))</f>
        <v>1052.3599999999999</v>
      </c>
      <c r="S253" s="38">
        <f>IF($S252&lt;=0,0,ROUND($S252-$R253-IF($S252-$R253&lt;=0,0,IF(MOD($A253,Übersicht!$C$25)=0,MIN(Szenarien!$C$8,$S252-$R253),0)),2))</f>
        <v>64068.44</v>
      </c>
      <c r="T253" s="38">
        <f>IF($V252&lt;=0,0,ROUND($V252*Übersicht!$C$26,2))</f>
        <v>0</v>
      </c>
      <c r="U253" s="38">
        <f>IF($V252&lt;=0,0,MIN($V252,IF(Übersicht!$C$14="Annuitätendarlehen",MAX(0,Übersicht!$C$28-$T253),IF(Übersicht!$C$14="Ratendarlehen",Übersicht!$C$29,IF($A253&gt;=Übersicht!$C$30,$V252,0)))))</f>
        <v>0</v>
      </c>
      <c r="V253" s="38">
        <f>IF($V252&lt;=0,0,ROUND($V252-$U253-IF($V252-$U253&lt;=0,0,IF(MOD($A253,Übersicht!$C$25)=0,MIN(Szenarien!$C$9,$V252-$U253),0)),2))</f>
        <v>0</v>
      </c>
      <c r="W253" s="38">
        <f>IF($Y252&lt;=0,0,ROUND($Y252*Übersicht!$C$26,2))</f>
        <v>0</v>
      </c>
      <c r="X253" s="38">
        <f>IF($Y252&lt;=0,0,MIN($Y252,IF(Übersicht!$C$14="Annuitätendarlehen",MAX(0,Übersicht!$C$28-$W253),IF(Übersicht!$C$14="Ratendarlehen",Übersicht!$C$29,IF($A253&gt;=Übersicht!$C$30,$Y252,0)))))</f>
        <v>0</v>
      </c>
      <c r="Y253" s="38">
        <f>IF($Y252&lt;=0,0,ROUND($Y252-$X253-IF($Y252-$X253&lt;=0,0,IF(MOD($A253,Übersicht!$C$25)=0,MIN(Szenarien!$C$10,$Y252-$X253),0)),2))</f>
        <v>0</v>
      </c>
      <c r="Z253" s="38">
        <f>IF($AB252&lt;=0,0,ROUND($AB252*Übersicht!$C$26,2))</f>
        <v>0</v>
      </c>
      <c r="AA253" s="38">
        <f>IF($AB252&lt;=0,0,MIN($AB252,IF(Übersicht!$C$14="Annuitätendarlehen",MAX(0,Übersicht!$C$28-$Z253),IF(Übersicht!$C$14="Ratendarlehen",Übersicht!$C$29,IF($A253&gt;=Übersicht!$C$30,$AB252,0)))))</f>
        <v>0</v>
      </c>
      <c r="AB253" s="38">
        <f>IF($AB252&lt;=0,0,ROUND($AB252-$AA253-IF($AB252-$AA253&lt;=0,0,IF(MOD($A253,Übersicht!$C$25)=0,MIN(Szenarien!$C$11,$AB252-$AA253),0)),2))</f>
        <v>0</v>
      </c>
      <c r="AC253" s="38">
        <f>IF($AE252&lt;=0,0,ROUND($AE252*Übersicht!$C$26,2))</f>
        <v>0</v>
      </c>
      <c r="AD253" s="38">
        <f>IF($AE252&lt;=0,0,MIN($AE252,IF(Übersicht!$C$14="Annuitätendarlehen",MAX(0,Übersicht!$C$28-$AC253),IF(Übersicht!$C$14="Ratendarlehen",Übersicht!$C$29,IF($A253&gt;=Übersicht!$C$30,$AE252,0)))))</f>
        <v>0</v>
      </c>
      <c r="AE253" s="38">
        <f>IF($AE252&lt;=0,0,ROUND($AE252-$AD253-IF($AE252-$AD253&lt;=0,0,IF(MOD($A253,Übersicht!$C$25)=0,MIN(Szenarien!$C$12,$AE252-$AD253),0)),2))</f>
        <v>0</v>
      </c>
    </row>
    <row r="254" spans="1:31" ht="15" customHeight="1" x14ac:dyDescent="0.25">
      <c r="A254" s="21">
        <v>247</v>
      </c>
      <c r="B254" s="36" t="str">
        <f>IF($D254&lt;=0,"",EDATE(Übersicht!$C$18,($A254-1)*12/Übersicht!$C$25))</f>
        <v/>
      </c>
      <c r="C254" s="21" t="str">
        <f t="shared" si="21"/>
        <v/>
      </c>
      <c r="D254" s="37">
        <f t="shared" si="25"/>
        <v>0</v>
      </c>
      <c r="E254" s="23">
        <f t="shared" si="22"/>
        <v>0</v>
      </c>
      <c r="F254" s="23">
        <f>IF($D254&lt;=0,0,ROUND($D254*Übersicht!$C$26,2))</f>
        <v>0</v>
      </c>
      <c r="G254" s="23">
        <f>IF($D254&lt;=0,0,MIN($D254,IF(Übersicht!$C$14="Annuitätendarlehen",MAX(0,Übersicht!$C$28-$F254),IF(Übersicht!$C$14="Ratendarlehen",Übersicht!$C$29,IF($A254&gt;=Übersicht!$C$30,$D254,0)))))</f>
        <v>0</v>
      </c>
      <c r="H254" s="23">
        <f>IF($D254-$G254&lt;=0,0,IF(MOD($A254,Übersicht!$C$25)=0,MIN(Übersicht!$C$31,$D254-$G254),0))</f>
        <v>0</v>
      </c>
      <c r="I254" s="23">
        <f t="shared" si="23"/>
        <v>0</v>
      </c>
      <c r="J254" s="23">
        <f t="shared" si="24"/>
        <v>0</v>
      </c>
      <c r="K254" s="23">
        <f t="shared" si="26"/>
        <v>80072.129999999961</v>
      </c>
      <c r="L254" s="23">
        <f t="shared" si="27"/>
        <v>250000</v>
      </c>
      <c r="M254" s="24" t="str">
        <f>IF($D254&lt;=0,"",IF(Übersicht!$C$11=0,0,$L254/Übersicht!$C$11))</f>
        <v/>
      </c>
      <c r="N254" s="25" t="str">
        <f>IF($D254&lt;=0,"",IF($J254&lt;=0.005,"Volltilgung erreicht",IF($A254=Übersicht!$C$19*Übersicht!$C$25,"Ende der Zinsbindung",IF($H254&gt;0,"Sondertilgung verrechnet",""))))</f>
        <v/>
      </c>
      <c r="Q254" s="38">
        <f>IF($S253&lt;=0,0,ROUND($S253*Übersicht!$C$26,2))</f>
        <v>184.2</v>
      </c>
      <c r="R254" s="38">
        <f>IF($S253&lt;=0,0,MIN($S253,IF(Übersicht!$C$14="Annuitätendarlehen",MAX(0,Übersicht!$C$28-$Q254),IF(Übersicht!$C$14="Ratendarlehen",Übersicht!$C$29,IF($A254&gt;=Übersicht!$C$30,$S253,0)))))</f>
        <v>1055.3799999999999</v>
      </c>
      <c r="S254" s="38">
        <f>IF($S253&lt;=0,0,ROUND($S253-$R254-IF($S253-$R254&lt;=0,0,IF(MOD($A254,Übersicht!$C$25)=0,MIN(Szenarien!$C$8,$S253-$R254),0)),2))</f>
        <v>63013.06</v>
      </c>
      <c r="T254" s="38">
        <f>IF($V253&lt;=0,0,ROUND($V253*Übersicht!$C$26,2))</f>
        <v>0</v>
      </c>
      <c r="U254" s="38">
        <f>IF($V253&lt;=0,0,MIN($V253,IF(Übersicht!$C$14="Annuitätendarlehen",MAX(0,Übersicht!$C$28-$T254),IF(Übersicht!$C$14="Ratendarlehen",Übersicht!$C$29,IF($A254&gt;=Übersicht!$C$30,$V253,0)))))</f>
        <v>0</v>
      </c>
      <c r="V254" s="38">
        <f>IF($V253&lt;=0,0,ROUND($V253-$U254-IF($V253-$U254&lt;=0,0,IF(MOD($A254,Übersicht!$C$25)=0,MIN(Szenarien!$C$9,$V253-$U254),0)),2))</f>
        <v>0</v>
      </c>
      <c r="W254" s="38">
        <f>IF($Y253&lt;=0,0,ROUND($Y253*Übersicht!$C$26,2))</f>
        <v>0</v>
      </c>
      <c r="X254" s="38">
        <f>IF($Y253&lt;=0,0,MIN($Y253,IF(Übersicht!$C$14="Annuitätendarlehen",MAX(0,Übersicht!$C$28-$W254),IF(Übersicht!$C$14="Ratendarlehen",Übersicht!$C$29,IF($A254&gt;=Übersicht!$C$30,$Y253,0)))))</f>
        <v>0</v>
      </c>
      <c r="Y254" s="38">
        <f>IF($Y253&lt;=0,0,ROUND($Y253-$X254-IF($Y253-$X254&lt;=0,0,IF(MOD($A254,Übersicht!$C$25)=0,MIN(Szenarien!$C$10,$Y253-$X254),0)),2))</f>
        <v>0</v>
      </c>
      <c r="Z254" s="38">
        <f>IF($AB253&lt;=0,0,ROUND($AB253*Übersicht!$C$26,2))</f>
        <v>0</v>
      </c>
      <c r="AA254" s="38">
        <f>IF($AB253&lt;=0,0,MIN($AB253,IF(Übersicht!$C$14="Annuitätendarlehen",MAX(0,Übersicht!$C$28-$Z254),IF(Übersicht!$C$14="Ratendarlehen",Übersicht!$C$29,IF($A254&gt;=Übersicht!$C$30,$AB253,0)))))</f>
        <v>0</v>
      </c>
      <c r="AB254" s="38">
        <f>IF($AB253&lt;=0,0,ROUND($AB253-$AA254-IF($AB253-$AA254&lt;=0,0,IF(MOD($A254,Übersicht!$C$25)=0,MIN(Szenarien!$C$11,$AB253-$AA254),0)),2))</f>
        <v>0</v>
      </c>
      <c r="AC254" s="38">
        <f>IF($AE253&lt;=0,0,ROUND($AE253*Übersicht!$C$26,2))</f>
        <v>0</v>
      </c>
      <c r="AD254" s="38">
        <f>IF($AE253&lt;=0,0,MIN($AE253,IF(Übersicht!$C$14="Annuitätendarlehen",MAX(0,Übersicht!$C$28-$AC254),IF(Übersicht!$C$14="Ratendarlehen",Übersicht!$C$29,IF($A254&gt;=Übersicht!$C$30,$AE253,0)))))</f>
        <v>0</v>
      </c>
      <c r="AE254" s="38">
        <f>IF($AE253&lt;=0,0,ROUND($AE253-$AD254-IF($AE253-$AD254&lt;=0,0,IF(MOD($A254,Übersicht!$C$25)=0,MIN(Szenarien!$C$12,$AE253-$AD254),0)),2))</f>
        <v>0</v>
      </c>
    </row>
    <row r="255" spans="1:31" ht="15" customHeight="1" x14ac:dyDescent="0.25">
      <c r="A255" s="26">
        <v>248</v>
      </c>
      <c r="B255" s="39" t="str">
        <f>IF($D255&lt;=0,"",EDATE(Übersicht!$C$18,($A255-1)*12/Übersicht!$C$25))</f>
        <v/>
      </c>
      <c r="C255" s="26" t="str">
        <f t="shared" si="21"/>
        <v/>
      </c>
      <c r="D255" s="40">
        <f t="shared" si="25"/>
        <v>0</v>
      </c>
      <c r="E255" s="28">
        <f t="shared" si="22"/>
        <v>0</v>
      </c>
      <c r="F255" s="28">
        <f>IF($D255&lt;=0,0,ROUND($D255*Übersicht!$C$26,2))</f>
        <v>0</v>
      </c>
      <c r="G255" s="28">
        <f>IF($D255&lt;=0,0,MIN($D255,IF(Übersicht!$C$14="Annuitätendarlehen",MAX(0,Übersicht!$C$28-$F255),IF(Übersicht!$C$14="Ratendarlehen",Übersicht!$C$29,IF($A255&gt;=Übersicht!$C$30,$D255,0)))))</f>
        <v>0</v>
      </c>
      <c r="H255" s="28">
        <f>IF($D255-$G255&lt;=0,0,IF(MOD($A255,Übersicht!$C$25)=0,MIN(Übersicht!$C$31,$D255-$G255),0))</f>
        <v>0</v>
      </c>
      <c r="I255" s="28">
        <f t="shared" si="23"/>
        <v>0</v>
      </c>
      <c r="J255" s="28">
        <f t="shared" si="24"/>
        <v>0</v>
      </c>
      <c r="K255" s="28">
        <f t="shared" si="26"/>
        <v>80072.129999999961</v>
      </c>
      <c r="L255" s="28">
        <f t="shared" si="27"/>
        <v>250000</v>
      </c>
      <c r="M255" s="29" t="str">
        <f>IF($D255&lt;=0,"",IF(Übersicht!$C$11=0,0,$L255/Übersicht!$C$11))</f>
        <v/>
      </c>
      <c r="N255" s="30" t="str">
        <f>IF($D255&lt;=0,"",IF($J255&lt;=0.005,"Volltilgung erreicht",IF($A255=Übersicht!$C$19*Übersicht!$C$25,"Ende der Zinsbindung",IF($H255&gt;0,"Sondertilgung verrechnet",""))))</f>
        <v/>
      </c>
      <c r="Q255" s="38">
        <f>IF($S254&lt;=0,0,ROUND($S254*Übersicht!$C$26,2))</f>
        <v>181.16</v>
      </c>
      <c r="R255" s="38">
        <f>IF($S254&lt;=0,0,MIN($S254,IF(Übersicht!$C$14="Annuitätendarlehen",MAX(0,Übersicht!$C$28-$Q255),IF(Übersicht!$C$14="Ratendarlehen",Übersicht!$C$29,IF($A255&gt;=Übersicht!$C$30,$S254,0)))))</f>
        <v>1058.4199999999998</v>
      </c>
      <c r="S255" s="38">
        <f>IF($S254&lt;=0,0,ROUND($S254-$R255-IF($S254-$R255&lt;=0,0,IF(MOD($A255,Übersicht!$C$25)=0,MIN(Szenarien!$C$8,$S254-$R255),0)),2))</f>
        <v>61954.64</v>
      </c>
      <c r="T255" s="38">
        <f>IF($V254&lt;=0,0,ROUND($V254*Übersicht!$C$26,2))</f>
        <v>0</v>
      </c>
      <c r="U255" s="38">
        <f>IF($V254&lt;=0,0,MIN($V254,IF(Übersicht!$C$14="Annuitätendarlehen",MAX(0,Übersicht!$C$28-$T255),IF(Übersicht!$C$14="Ratendarlehen",Übersicht!$C$29,IF($A255&gt;=Übersicht!$C$30,$V254,0)))))</f>
        <v>0</v>
      </c>
      <c r="V255" s="38">
        <f>IF($V254&lt;=0,0,ROUND($V254-$U255-IF($V254-$U255&lt;=0,0,IF(MOD($A255,Übersicht!$C$25)=0,MIN(Szenarien!$C$9,$V254-$U255),0)),2))</f>
        <v>0</v>
      </c>
      <c r="W255" s="38">
        <f>IF($Y254&lt;=0,0,ROUND($Y254*Übersicht!$C$26,2))</f>
        <v>0</v>
      </c>
      <c r="X255" s="38">
        <f>IF($Y254&lt;=0,0,MIN($Y254,IF(Übersicht!$C$14="Annuitätendarlehen",MAX(0,Übersicht!$C$28-$W255),IF(Übersicht!$C$14="Ratendarlehen",Übersicht!$C$29,IF($A255&gt;=Übersicht!$C$30,$Y254,0)))))</f>
        <v>0</v>
      </c>
      <c r="Y255" s="38">
        <f>IF($Y254&lt;=0,0,ROUND($Y254-$X255-IF($Y254-$X255&lt;=0,0,IF(MOD($A255,Übersicht!$C$25)=0,MIN(Szenarien!$C$10,$Y254-$X255),0)),2))</f>
        <v>0</v>
      </c>
      <c r="Z255" s="38">
        <f>IF($AB254&lt;=0,0,ROUND($AB254*Übersicht!$C$26,2))</f>
        <v>0</v>
      </c>
      <c r="AA255" s="38">
        <f>IF($AB254&lt;=0,0,MIN($AB254,IF(Übersicht!$C$14="Annuitätendarlehen",MAX(0,Übersicht!$C$28-$Z255),IF(Übersicht!$C$14="Ratendarlehen",Übersicht!$C$29,IF($A255&gt;=Übersicht!$C$30,$AB254,0)))))</f>
        <v>0</v>
      </c>
      <c r="AB255" s="38">
        <f>IF($AB254&lt;=0,0,ROUND($AB254-$AA255-IF($AB254-$AA255&lt;=0,0,IF(MOD($A255,Übersicht!$C$25)=0,MIN(Szenarien!$C$11,$AB254-$AA255),0)),2))</f>
        <v>0</v>
      </c>
      <c r="AC255" s="38">
        <f>IF($AE254&lt;=0,0,ROUND($AE254*Übersicht!$C$26,2))</f>
        <v>0</v>
      </c>
      <c r="AD255" s="38">
        <f>IF($AE254&lt;=0,0,MIN($AE254,IF(Übersicht!$C$14="Annuitätendarlehen",MAX(0,Übersicht!$C$28-$AC255),IF(Übersicht!$C$14="Ratendarlehen",Übersicht!$C$29,IF($A255&gt;=Übersicht!$C$30,$AE254,0)))))</f>
        <v>0</v>
      </c>
      <c r="AE255" s="38">
        <f>IF($AE254&lt;=0,0,ROUND($AE254-$AD255-IF($AE254-$AD255&lt;=0,0,IF(MOD($A255,Übersicht!$C$25)=0,MIN(Szenarien!$C$12,$AE254-$AD255),0)),2))</f>
        <v>0</v>
      </c>
    </row>
    <row r="256" spans="1:31" ht="15" customHeight="1" x14ac:dyDescent="0.25">
      <c r="A256" s="21">
        <v>249</v>
      </c>
      <c r="B256" s="36" t="str">
        <f>IF($D256&lt;=0,"",EDATE(Übersicht!$C$18,($A256-1)*12/Übersicht!$C$25))</f>
        <v/>
      </c>
      <c r="C256" s="21" t="str">
        <f t="shared" si="21"/>
        <v/>
      </c>
      <c r="D256" s="37">
        <f t="shared" si="25"/>
        <v>0</v>
      </c>
      <c r="E256" s="23">
        <f t="shared" si="22"/>
        <v>0</v>
      </c>
      <c r="F256" s="23">
        <f>IF($D256&lt;=0,0,ROUND($D256*Übersicht!$C$26,2))</f>
        <v>0</v>
      </c>
      <c r="G256" s="23">
        <f>IF($D256&lt;=0,0,MIN($D256,IF(Übersicht!$C$14="Annuitätendarlehen",MAX(0,Übersicht!$C$28-$F256),IF(Übersicht!$C$14="Ratendarlehen",Übersicht!$C$29,IF($A256&gt;=Übersicht!$C$30,$D256,0)))))</f>
        <v>0</v>
      </c>
      <c r="H256" s="23">
        <f>IF($D256-$G256&lt;=0,0,IF(MOD($A256,Übersicht!$C$25)=0,MIN(Übersicht!$C$31,$D256-$G256),0))</f>
        <v>0</v>
      </c>
      <c r="I256" s="23">
        <f t="shared" si="23"/>
        <v>0</v>
      </c>
      <c r="J256" s="23">
        <f t="shared" si="24"/>
        <v>0</v>
      </c>
      <c r="K256" s="23">
        <f t="shared" si="26"/>
        <v>80072.129999999961</v>
      </c>
      <c r="L256" s="23">
        <f t="shared" si="27"/>
        <v>250000</v>
      </c>
      <c r="M256" s="24" t="str">
        <f>IF($D256&lt;=0,"",IF(Übersicht!$C$11=0,0,$L256/Übersicht!$C$11))</f>
        <v/>
      </c>
      <c r="N256" s="25" t="str">
        <f>IF($D256&lt;=0,"",IF($J256&lt;=0.005,"Volltilgung erreicht",IF($A256=Übersicht!$C$19*Übersicht!$C$25,"Ende der Zinsbindung",IF($H256&gt;0,"Sondertilgung verrechnet",""))))</f>
        <v/>
      </c>
      <c r="Q256" s="38">
        <f>IF($S255&lt;=0,0,ROUND($S255*Übersicht!$C$26,2))</f>
        <v>178.12</v>
      </c>
      <c r="R256" s="38">
        <f>IF($S255&lt;=0,0,MIN($S255,IF(Übersicht!$C$14="Annuitätendarlehen",MAX(0,Übersicht!$C$28-$Q256),IF(Übersicht!$C$14="Ratendarlehen",Übersicht!$C$29,IF($A256&gt;=Übersicht!$C$30,$S255,0)))))</f>
        <v>1061.46</v>
      </c>
      <c r="S256" s="38">
        <f>IF($S255&lt;=0,0,ROUND($S255-$R256-IF($S255-$R256&lt;=0,0,IF(MOD($A256,Übersicht!$C$25)=0,MIN(Szenarien!$C$8,$S255-$R256),0)),2))</f>
        <v>60893.18</v>
      </c>
      <c r="T256" s="38">
        <f>IF($V255&lt;=0,0,ROUND($V255*Übersicht!$C$26,2))</f>
        <v>0</v>
      </c>
      <c r="U256" s="38">
        <f>IF($V255&lt;=0,0,MIN($V255,IF(Übersicht!$C$14="Annuitätendarlehen",MAX(0,Übersicht!$C$28-$T256),IF(Übersicht!$C$14="Ratendarlehen",Übersicht!$C$29,IF($A256&gt;=Übersicht!$C$30,$V255,0)))))</f>
        <v>0</v>
      </c>
      <c r="V256" s="38">
        <f>IF($V255&lt;=0,0,ROUND($V255-$U256-IF($V255-$U256&lt;=0,0,IF(MOD($A256,Übersicht!$C$25)=0,MIN(Szenarien!$C$9,$V255-$U256),0)),2))</f>
        <v>0</v>
      </c>
      <c r="W256" s="38">
        <f>IF($Y255&lt;=0,0,ROUND($Y255*Übersicht!$C$26,2))</f>
        <v>0</v>
      </c>
      <c r="X256" s="38">
        <f>IF($Y255&lt;=0,0,MIN($Y255,IF(Übersicht!$C$14="Annuitätendarlehen",MAX(0,Übersicht!$C$28-$W256),IF(Übersicht!$C$14="Ratendarlehen",Übersicht!$C$29,IF($A256&gt;=Übersicht!$C$30,$Y255,0)))))</f>
        <v>0</v>
      </c>
      <c r="Y256" s="38">
        <f>IF($Y255&lt;=0,0,ROUND($Y255-$X256-IF($Y255-$X256&lt;=0,0,IF(MOD($A256,Übersicht!$C$25)=0,MIN(Szenarien!$C$10,$Y255-$X256),0)),2))</f>
        <v>0</v>
      </c>
      <c r="Z256" s="38">
        <f>IF($AB255&lt;=0,0,ROUND($AB255*Übersicht!$C$26,2))</f>
        <v>0</v>
      </c>
      <c r="AA256" s="38">
        <f>IF($AB255&lt;=0,0,MIN($AB255,IF(Übersicht!$C$14="Annuitätendarlehen",MAX(0,Übersicht!$C$28-$Z256),IF(Übersicht!$C$14="Ratendarlehen",Übersicht!$C$29,IF($A256&gt;=Übersicht!$C$30,$AB255,0)))))</f>
        <v>0</v>
      </c>
      <c r="AB256" s="38">
        <f>IF($AB255&lt;=0,0,ROUND($AB255-$AA256-IF($AB255-$AA256&lt;=0,0,IF(MOD($A256,Übersicht!$C$25)=0,MIN(Szenarien!$C$11,$AB255-$AA256),0)),2))</f>
        <v>0</v>
      </c>
      <c r="AC256" s="38">
        <f>IF($AE255&lt;=0,0,ROUND($AE255*Übersicht!$C$26,2))</f>
        <v>0</v>
      </c>
      <c r="AD256" s="38">
        <f>IF($AE255&lt;=0,0,MIN($AE255,IF(Übersicht!$C$14="Annuitätendarlehen",MAX(0,Übersicht!$C$28-$AC256),IF(Übersicht!$C$14="Ratendarlehen",Übersicht!$C$29,IF($A256&gt;=Übersicht!$C$30,$AE255,0)))))</f>
        <v>0</v>
      </c>
      <c r="AE256" s="38">
        <f>IF($AE255&lt;=0,0,ROUND($AE255-$AD256-IF($AE255-$AD256&lt;=0,0,IF(MOD($A256,Übersicht!$C$25)=0,MIN(Szenarien!$C$12,$AE255-$AD256),0)),2))</f>
        <v>0</v>
      </c>
    </row>
    <row r="257" spans="1:31" ht="15" customHeight="1" x14ac:dyDescent="0.25">
      <c r="A257" s="26">
        <v>250</v>
      </c>
      <c r="B257" s="39" t="str">
        <f>IF($D257&lt;=0,"",EDATE(Übersicht!$C$18,($A257-1)*12/Übersicht!$C$25))</f>
        <v/>
      </c>
      <c r="C257" s="26" t="str">
        <f t="shared" si="21"/>
        <v/>
      </c>
      <c r="D257" s="40">
        <f t="shared" si="25"/>
        <v>0</v>
      </c>
      <c r="E257" s="28">
        <f t="shared" si="22"/>
        <v>0</v>
      </c>
      <c r="F257" s="28">
        <f>IF($D257&lt;=0,0,ROUND($D257*Übersicht!$C$26,2))</f>
        <v>0</v>
      </c>
      <c r="G257" s="28">
        <f>IF($D257&lt;=0,0,MIN($D257,IF(Übersicht!$C$14="Annuitätendarlehen",MAX(0,Übersicht!$C$28-$F257),IF(Übersicht!$C$14="Ratendarlehen",Übersicht!$C$29,IF($A257&gt;=Übersicht!$C$30,$D257,0)))))</f>
        <v>0</v>
      </c>
      <c r="H257" s="28">
        <f>IF($D257-$G257&lt;=0,0,IF(MOD($A257,Übersicht!$C$25)=0,MIN(Übersicht!$C$31,$D257-$G257),0))</f>
        <v>0</v>
      </c>
      <c r="I257" s="28">
        <f t="shared" si="23"/>
        <v>0</v>
      </c>
      <c r="J257" s="28">
        <f t="shared" si="24"/>
        <v>0</v>
      </c>
      <c r="K257" s="28">
        <f t="shared" si="26"/>
        <v>80072.129999999961</v>
      </c>
      <c r="L257" s="28">
        <f t="shared" si="27"/>
        <v>250000</v>
      </c>
      <c r="M257" s="29" t="str">
        <f>IF($D257&lt;=0,"",IF(Übersicht!$C$11=0,0,$L257/Übersicht!$C$11))</f>
        <v/>
      </c>
      <c r="N257" s="30" t="str">
        <f>IF($D257&lt;=0,"",IF($J257&lt;=0.005,"Volltilgung erreicht",IF($A257=Übersicht!$C$19*Übersicht!$C$25,"Ende der Zinsbindung",IF($H257&gt;0,"Sondertilgung verrechnet",""))))</f>
        <v/>
      </c>
      <c r="Q257" s="38">
        <f>IF($S256&lt;=0,0,ROUND($S256*Übersicht!$C$26,2))</f>
        <v>175.07</v>
      </c>
      <c r="R257" s="38">
        <f>IF($S256&lt;=0,0,MIN($S256,IF(Übersicht!$C$14="Annuitätendarlehen",MAX(0,Übersicht!$C$28-$Q257),IF(Übersicht!$C$14="Ratendarlehen",Übersicht!$C$29,IF($A257&gt;=Übersicht!$C$30,$S256,0)))))</f>
        <v>1064.51</v>
      </c>
      <c r="S257" s="38">
        <f>IF($S256&lt;=0,0,ROUND($S256-$R257-IF($S256-$R257&lt;=0,0,IF(MOD($A257,Übersicht!$C$25)=0,MIN(Szenarien!$C$8,$S256-$R257),0)),2))</f>
        <v>59828.67</v>
      </c>
      <c r="T257" s="38">
        <f>IF($V256&lt;=0,0,ROUND($V256*Übersicht!$C$26,2))</f>
        <v>0</v>
      </c>
      <c r="U257" s="38">
        <f>IF($V256&lt;=0,0,MIN($V256,IF(Übersicht!$C$14="Annuitätendarlehen",MAX(0,Übersicht!$C$28-$T257),IF(Übersicht!$C$14="Ratendarlehen",Übersicht!$C$29,IF($A257&gt;=Übersicht!$C$30,$V256,0)))))</f>
        <v>0</v>
      </c>
      <c r="V257" s="38">
        <f>IF($V256&lt;=0,0,ROUND($V256-$U257-IF($V256-$U257&lt;=0,0,IF(MOD($A257,Übersicht!$C$25)=0,MIN(Szenarien!$C$9,$V256-$U257),0)),2))</f>
        <v>0</v>
      </c>
      <c r="W257" s="38">
        <f>IF($Y256&lt;=0,0,ROUND($Y256*Übersicht!$C$26,2))</f>
        <v>0</v>
      </c>
      <c r="X257" s="38">
        <f>IF($Y256&lt;=0,0,MIN($Y256,IF(Übersicht!$C$14="Annuitätendarlehen",MAX(0,Übersicht!$C$28-$W257),IF(Übersicht!$C$14="Ratendarlehen",Übersicht!$C$29,IF($A257&gt;=Übersicht!$C$30,$Y256,0)))))</f>
        <v>0</v>
      </c>
      <c r="Y257" s="38">
        <f>IF($Y256&lt;=0,0,ROUND($Y256-$X257-IF($Y256-$X257&lt;=0,0,IF(MOD($A257,Übersicht!$C$25)=0,MIN(Szenarien!$C$10,$Y256-$X257),0)),2))</f>
        <v>0</v>
      </c>
      <c r="Z257" s="38">
        <f>IF($AB256&lt;=0,0,ROUND($AB256*Übersicht!$C$26,2))</f>
        <v>0</v>
      </c>
      <c r="AA257" s="38">
        <f>IF($AB256&lt;=0,0,MIN($AB256,IF(Übersicht!$C$14="Annuitätendarlehen",MAX(0,Übersicht!$C$28-$Z257),IF(Übersicht!$C$14="Ratendarlehen",Übersicht!$C$29,IF($A257&gt;=Übersicht!$C$30,$AB256,0)))))</f>
        <v>0</v>
      </c>
      <c r="AB257" s="38">
        <f>IF($AB256&lt;=0,0,ROUND($AB256-$AA257-IF($AB256-$AA257&lt;=0,0,IF(MOD($A257,Übersicht!$C$25)=0,MIN(Szenarien!$C$11,$AB256-$AA257),0)),2))</f>
        <v>0</v>
      </c>
      <c r="AC257" s="38">
        <f>IF($AE256&lt;=0,0,ROUND($AE256*Übersicht!$C$26,2))</f>
        <v>0</v>
      </c>
      <c r="AD257" s="38">
        <f>IF($AE256&lt;=0,0,MIN($AE256,IF(Übersicht!$C$14="Annuitätendarlehen",MAX(0,Übersicht!$C$28-$AC257),IF(Übersicht!$C$14="Ratendarlehen",Übersicht!$C$29,IF($A257&gt;=Übersicht!$C$30,$AE256,0)))))</f>
        <v>0</v>
      </c>
      <c r="AE257" s="38">
        <f>IF($AE256&lt;=0,0,ROUND($AE256-$AD257-IF($AE256-$AD257&lt;=0,0,IF(MOD($A257,Übersicht!$C$25)=0,MIN(Szenarien!$C$12,$AE256-$AD257),0)),2))</f>
        <v>0</v>
      </c>
    </row>
    <row r="258" spans="1:31" ht="15" customHeight="1" x14ac:dyDescent="0.25">
      <c r="A258" s="21">
        <v>251</v>
      </c>
      <c r="B258" s="36" t="str">
        <f>IF($D258&lt;=0,"",EDATE(Übersicht!$C$18,($A258-1)*12/Übersicht!$C$25))</f>
        <v/>
      </c>
      <c r="C258" s="21" t="str">
        <f t="shared" si="21"/>
        <v/>
      </c>
      <c r="D258" s="37">
        <f t="shared" si="25"/>
        <v>0</v>
      </c>
      <c r="E258" s="23">
        <f t="shared" si="22"/>
        <v>0</v>
      </c>
      <c r="F258" s="23">
        <f>IF($D258&lt;=0,0,ROUND($D258*Übersicht!$C$26,2))</f>
        <v>0</v>
      </c>
      <c r="G258" s="23">
        <f>IF($D258&lt;=0,0,MIN($D258,IF(Übersicht!$C$14="Annuitätendarlehen",MAX(0,Übersicht!$C$28-$F258),IF(Übersicht!$C$14="Ratendarlehen",Übersicht!$C$29,IF($A258&gt;=Übersicht!$C$30,$D258,0)))))</f>
        <v>0</v>
      </c>
      <c r="H258" s="23">
        <f>IF($D258-$G258&lt;=0,0,IF(MOD($A258,Übersicht!$C$25)=0,MIN(Übersicht!$C$31,$D258-$G258),0))</f>
        <v>0</v>
      </c>
      <c r="I258" s="23">
        <f t="shared" si="23"/>
        <v>0</v>
      </c>
      <c r="J258" s="23">
        <f t="shared" si="24"/>
        <v>0</v>
      </c>
      <c r="K258" s="23">
        <f t="shared" si="26"/>
        <v>80072.129999999961</v>
      </c>
      <c r="L258" s="23">
        <f t="shared" si="27"/>
        <v>250000</v>
      </c>
      <c r="M258" s="24" t="str">
        <f>IF($D258&lt;=0,"",IF(Übersicht!$C$11=0,0,$L258/Übersicht!$C$11))</f>
        <v/>
      </c>
      <c r="N258" s="25" t="str">
        <f>IF($D258&lt;=0,"",IF($J258&lt;=0.005,"Volltilgung erreicht",IF($A258=Übersicht!$C$19*Übersicht!$C$25,"Ende der Zinsbindung",IF($H258&gt;0,"Sondertilgung verrechnet",""))))</f>
        <v/>
      </c>
      <c r="Q258" s="38">
        <f>IF($S257&lt;=0,0,ROUND($S257*Übersicht!$C$26,2))</f>
        <v>172.01</v>
      </c>
      <c r="R258" s="38">
        <f>IF($S257&lt;=0,0,MIN($S257,IF(Übersicht!$C$14="Annuitätendarlehen",MAX(0,Übersicht!$C$28-$Q258),IF(Übersicht!$C$14="Ratendarlehen",Übersicht!$C$29,IF($A258&gt;=Übersicht!$C$30,$S257,0)))))</f>
        <v>1067.57</v>
      </c>
      <c r="S258" s="38">
        <f>IF($S257&lt;=0,0,ROUND($S257-$R258-IF($S257-$R258&lt;=0,0,IF(MOD($A258,Übersicht!$C$25)=0,MIN(Szenarien!$C$8,$S257-$R258),0)),2))</f>
        <v>58761.1</v>
      </c>
      <c r="T258" s="38">
        <f>IF($V257&lt;=0,0,ROUND($V257*Übersicht!$C$26,2))</f>
        <v>0</v>
      </c>
      <c r="U258" s="38">
        <f>IF($V257&lt;=0,0,MIN($V257,IF(Übersicht!$C$14="Annuitätendarlehen",MAX(0,Übersicht!$C$28-$T258),IF(Übersicht!$C$14="Ratendarlehen",Übersicht!$C$29,IF($A258&gt;=Übersicht!$C$30,$V257,0)))))</f>
        <v>0</v>
      </c>
      <c r="V258" s="38">
        <f>IF($V257&lt;=0,0,ROUND($V257-$U258-IF($V257-$U258&lt;=0,0,IF(MOD($A258,Übersicht!$C$25)=0,MIN(Szenarien!$C$9,$V257-$U258),0)),2))</f>
        <v>0</v>
      </c>
      <c r="W258" s="38">
        <f>IF($Y257&lt;=0,0,ROUND($Y257*Übersicht!$C$26,2))</f>
        <v>0</v>
      </c>
      <c r="X258" s="38">
        <f>IF($Y257&lt;=0,0,MIN($Y257,IF(Übersicht!$C$14="Annuitätendarlehen",MAX(0,Übersicht!$C$28-$W258),IF(Übersicht!$C$14="Ratendarlehen",Übersicht!$C$29,IF($A258&gt;=Übersicht!$C$30,$Y257,0)))))</f>
        <v>0</v>
      </c>
      <c r="Y258" s="38">
        <f>IF($Y257&lt;=0,0,ROUND($Y257-$X258-IF($Y257-$X258&lt;=0,0,IF(MOD($A258,Übersicht!$C$25)=0,MIN(Szenarien!$C$10,$Y257-$X258),0)),2))</f>
        <v>0</v>
      </c>
      <c r="Z258" s="38">
        <f>IF($AB257&lt;=0,0,ROUND($AB257*Übersicht!$C$26,2))</f>
        <v>0</v>
      </c>
      <c r="AA258" s="38">
        <f>IF($AB257&lt;=0,0,MIN($AB257,IF(Übersicht!$C$14="Annuitätendarlehen",MAX(0,Übersicht!$C$28-$Z258),IF(Übersicht!$C$14="Ratendarlehen",Übersicht!$C$29,IF($A258&gt;=Übersicht!$C$30,$AB257,0)))))</f>
        <v>0</v>
      </c>
      <c r="AB258" s="38">
        <f>IF($AB257&lt;=0,0,ROUND($AB257-$AA258-IF($AB257-$AA258&lt;=0,0,IF(MOD($A258,Übersicht!$C$25)=0,MIN(Szenarien!$C$11,$AB257-$AA258),0)),2))</f>
        <v>0</v>
      </c>
      <c r="AC258" s="38">
        <f>IF($AE257&lt;=0,0,ROUND($AE257*Übersicht!$C$26,2))</f>
        <v>0</v>
      </c>
      <c r="AD258" s="38">
        <f>IF($AE257&lt;=0,0,MIN($AE257,IF(Übersicht!$C$14="Annuitätendarlehen",MAX(0,Übersicht!$C$28-$AC258),IF(Übersicht!$C$14="Ratendarlehen",Übersicht!$C$29,IF($A258&gt;=Übersicht!$C$30,$AE257,0)))))</f>
        <v>0</v>
      </c>
      <c r="AE258" s="38">
        <f>IF($AE257&lt;=0,0,ROUND($AE257-$AD258-IF($AE257-$AD258&lt;=0,0,IF(MOD($A258,Übersicht!$C$25)=0,MIN(Szenarien!$C$12,$AE257-$AD258),0)),2))</f>
        <v>0</v>
      </c>
    </row>
    <row r="259" spans="1:31" ht="15" customHeight="1" x14ac:dyDescent="0.25">
      <c r="A259" s="26">
        <v>252</v>
      </c>
      <c r="B259" s="39" t="str">
        <f>IF($D259&lt;=0,"",EDATE(Übersicht!$C$18,($A259-1)*12/Übersicht!$C$25))</f>
        <v/>
      </c>
      <c r="C259" s="26" t="str">
        <f t="shared" si="21"/>
        <v/>
      </c>
      <c r="D259" s="40">
        <f t="shared" si="25"/>
        <v>0</v>
      </c>
      <c r="E259" s="28">
        <f t="shared" si="22"/>
        <v>0</v>
      </c>
      <c r="F259" s="28">
        <f>IF($D259&lt;=0,0,ROUND($D259*Übersicht!$C$26,2))</f>
        <v>0</v>
      </c>
      <c r="G259" s="28">
        <f>IF($D259&lt;=0,0,MIN($D259,IF(Übersicht!$C$14="Annuitätendarlehen",MAX(0,Übersicht!$C$28-$F259),IF(Übersicht!$C$14="Ratendarlehen",Übersicht!$C$29,IF($A259&gt;=Übersicht!$C$30,$D259,0)))))</f>
        <v>0</v>
      </c>
      <c r="H259" s="28">
        <f>IF($D259-$G259&lt;=0,0,IF(MOD($A259,Übersicht!$C$25)=0,MIN(Übersicht!$C$31,$D259-$G259),0))</f>
        <v>0</v>
      </c>
      <c r="I259" s="28">
        <f t="shared" si="23"/>
        <v>0</v>
      </c>
      <c r="J259" s="28">
        <f t="shared" si="24"/>
        <v>0</v>
      </c>
      <c r="K259" s="28">
        <f t="shared" si="26"/>
        <v>80072.129999999961</v>
      </c>
      <c r="L259" s="28">
        <f t="shared" si="27"/>
        <v>250000</v>
      </c>
      <c r="M259" s="29" t="str">
        <f>IF($D259&lt;=0,"",IF(Übersicht!$C$11=0,0,$L259/Übersicht!$C$11))</f>
        <v/>
      </c>
      <c r="N259" s="30" t="str">
        <f>IF($D259&lt;=0,"",IF($J259&lt;=0.005,"Volltilgung erreicht",IF($A259=Übersicht!$C$19*Übersicht!$C$25,"Ende der Zinsbindung",IF($H259&gt;0,"Sondertilgung verrechnet",""))))</f>
        <v/>
      </c>
      <c r="Q259" s="38">
        <f>IF($S258&lt;=0,0,ROUND($S258*Übersicht!$C$26,2))</f>
        <v>168.94</v>
      </c>
      <c r="R259" s="38">
        <f>IF($S258&lt;=0,0,MIN($S258,IF(Übersicht!$C$14="Annuitätendarlehen",MAX(0,Übersicht!$C$28-$Q259),IF(Übersicht!$C$14="Ratendarlehen",Übersicht!$C$29,IF($A259&gt;=Übersicht!$C$30,$S258,0)))))</f>
        <v>1070.6399999999999</v>
      </c>
      <c r="S259" s="38">
        <f>IF($S258&lt;=0,0,ROUND($S258-$R259-IF($S258-$R259&lt;=0,0,IF(MOD($A259,Übersicht!$C$25)=0,MIN(Szenarien!$C$8,$S258-$R259),0)),2))</f>
        <v>57690.46</v>
      </c>
      <c r="T259" s="38">
        <f>IF($V258&lt;=0,0,ROUND($V258*Übersicht!$C$26,2))</f>
        <v>0</v>
      </c>
      <c r="U259" s="38">
        <f>IF($V258&lt;=0,0,MIN($V258,IF(Übersicht!$C$14="Annuitätendarlehen",MAX(0,Übersicht!$C$28-$T259),IF(Übersicht!$C$14="Ratendarlehen",Übersicht!$C$29,IF($A259&gt;=Übersicht!$C$30,$V258,0)))))</f>
        <v>0</v>
      </c>
      <c r="V259" s="38">
        <f>IF($V258&lt;=0,0,ROUND($V258-$U259-IF($V258-$U259&lt;=0,0,IF(MOD($A259,Übersicht!$C$25)=0,MIN(Szenarien!$C$9,$V258-$U259),0)),2))</f>
        <v>0</v>
      </c>
      <c r="W259" s="38">
        <f>IF($Y258&lt;=0,0,ROUND($Y258*Übersicht!$C$26,2))</f>
        <v>0</v>
      </c>
      <c r="X259" s="38">
        <f>IF($Y258&lt;=0,0,MIN($Y258,IF(Übersicht!$C$14="Annuitätendarlehen",MAX(0,Übersicht!$C$28-$W259),IF(Übersicht!$C$14="Ratendarlehen",Übersicht!$C$29,IF($A259&gt;=Übersicht!$C$30,$Y258,0)))))</f>
        <v>0</v>
      </c>
      <c r="Y259" s="38">
        <f>IF($Y258&lt;=0,0,ROUND($Y258-$X259-IF($Y258-$X259&lt;=0,0,IF(MOD($A259,Übersicht!$C$25)=0,MIN(Szenarien!$C$10,$Y258-$X259),0)),2))</f>
        <v>0</v>
      </c>
      <c r="Z259" s="38">
        <f>IF($AB258&lt;=0,0,ROUND($AB258*Übersicht!$C$26,2))</f>
        <v>0</v>
      </c>
      <c r="AA259" s="38">
        <f>IF($AB258&lt;=0,0,MIN($AB258,IF(Übersicht!$C$14="Annuitätendarlehen",MAX(0,Übersicht!$C$28-$Z259),IF(Übersicht!$C$14="Ratendarlehen",Übersicht!$C$29,IF($A259&gt;=Übersicht!$C$30,$AB258,0)))))</f>
        <v>0</v>
      </c>
      <c r="AB259" s="38">
        <f>IF($AB258&lt;=0,0,ROUND($AB258-$AA259-IF($AB258-$AA259&lt;=0,0,IF(MOD($A259,Übersicht!$C$25)=0,MIN(Szenarien!$C$11,$AB258-$AA259),0)),2))</f>
        <v>0</v>
      </c>
      <c r="AC259" s="38">
        <f>IF($AE258&lt;=0,0,ROUND($AE258*Übersicht!$C$26,2))</f>
        <v>0</v>
      </c>
      <c r="AD259" s="38">
        <f>IF($AE258&lt;=0,0,MIN($AE258,IF(Übersicht!$C$14="Annuitätendarlehen",MAX(0,Übersicht!$C$28-$AC259),IF(Übersicht!$C$14="Ratendarlehen",Übersicht!$C$29,IF($A259&gt;=Übersicht!$C$30,$AE258,0)))))</f>
        <v>0</v>
      </c>
      <c r="AE259" s="38">
        <f>IF($AE258&lt;=0,0,ROUND($AE258-$AD259-IF($AE258-$AD259&lt;=0,0,IF(MOD($A259,Übersicht!$C$25)=0,MIN(Szenarien!$C$12,$AE258-$AD259),0)),2))</f>
        <v>0</v>
      </c>
    </row>
    <row r="260" spans="1:31" ht="15" customHeight="1" x14ac:dyDescent="0.25">
      <c r="A260" s="21">
        <v>253</v>
      </c>
      <c r="B260" s="36" t="str">
        <f>IF($D260&lt;=0,"",EDATE(Übersicht!$C$18,($A260-1)*12/Übersicht!$C$25))</f>
        <v/>
      </c>
      <c r="C260" s="21" t="str">
        <f t="shared" si="21"/>
        <v/>
      </c>
      <c r="D260" s="37">
        <f t="shared" si="25"/>
        <v>0</v>
      </c>
      <c r="E260" s="23">
        <f t="shared" si="22"/>
        <v>0</v>
      </c>
      <c r="F260" s="23">
        <f>IF($D260&lt;=0,0,ROUND($D260*Übersicht!$C$26,2))</f>
        <v>0</v>
      </c>
      <c r="G260" s="23">
        <f>IF($D260&lt;=0,0,MIN($D260,IF(Übersicht!$C$14="Annuitätendarlehen",MAX(0,Übersicht!$C$28-$F260),IF(Übersicht!$C$14="Ratendarlehen",Übersicht!$C$29,IF($A260&gt;=Übersicht!$C$30,$D260,0)))))</f>
        <v>0</v>
      </c>
      <c r="H260" s="23">
        <f>IF($D260-$G260&lt;=0,0,IF(MOD($A260,Übersicht!$C$25)=0,MIN(Übersicht!$C$31,$D260-$G260),0))</f>
        <v>0</v>
      </c>
      <c r="I260" s="23">
        <f t="shared" si="23"/>
        <v>0</v>
      </c>
      <c r="J260" s="23">
        <f t="shared" si="24"/>
        <v>0</v>
      </c>
      <c r="K260" s="23">
        <f t="shared" si="26"/>
        <v>80072.129999999961</v>
      </c>
      <c r="L260" s="23">
        <f t="shared" si="27"/>
        <v>250000</v>
      </c>
      <c r="M260" s="24" t="str">
        <f>IF($D260&lt;=0,"",IF(Übersicht!$C$11=0,0,$L260/Übersicht!$C$11))</f>
        <v/>
      </c>
      <c r="N260" s="25" t="str">
        <f>IF($D260&lt;=0,"",IF($J260&lt;=0.005,"Volltilgung erreicht",IF($A260=Übersicht!$C$19*Übersicht!$C$25,"Ende der Zinsbindung",IF($H260&gt;0,"Sondertilgung verrechnet",""))))</f>
        <v/>
      </c>
      <c r="Q260" s="38">
        <f>IF($S259&lt;=0,0,ROUND($S259*Übersicht!$C$26,2))</f>
        <v>165.86</v>
      </c>
      <c r="R260" s="38">
        <f>IF($S259&lt;=0,0,MIN($S259,IF(Übersicht!$C$14="Annuitätendarlehen",MAX(0,Übersicht!$C$28-$Q260),IF(Übersicht!$C$14="Ratendarlehen",Übersicht!$C$29,IF($A260&gt;=Übersicht!$C$30,$S259,0)))))</f>
        <v>1073.7199999999998</v>
      </c>
      <c r="S260" s="38">
        <f>IF($S259&lt;=0,0,ROUND($S259-$R260-IF($S259-$R260&lt;=0,0,IF(MOD($A260,Übersicht!$C$25)=0,MIN(Szenarien!$C$8,$S259-$R260),0)),2))</f>
        <v>56616.74</v>
      </c>
      <c r="T260" s="38">
        <f>IF($V259&lt;=0,0,ROUND($V259*Übersicht!$C$26,2))</f>
        <v>0</v>
      </c>
      <c r="U260" s="38">
        <f>IF($V259&lt;=0,0,MIN($V259,IF(Übersicht!$C$14="Annuitätendarlehen",MAX(0,Übersicht!$C$28-$T260),IF(Übersicht!$C$14="Ratendarlehen",Übersicht!$C$29,IF($A260&gt;=Übersicht!$C$30,$V259,0)))))</f>
        <v>0</v>
      </c>
      <c r="V260" s="38">
        <f>IF($V259&lt;=0,0,ROUND($V259-$U260-IF($V259-$U260&lt;=0,0,IF(MOD($A260,Übersicht!$C$25)=0,MIN(Szenarien!$C$9,$V259-$U260),0)),2))</f>
        <v>0</v>
      </c>
      <c r="W260" s="38">
        <f>IF($Y259&lt;=0,0,ROUND($Y259*Übersicht!$C$26,2))</f>
        <v>0</v>
      </c>
      <c r="X260" s="38">
        <f>IF($Y259&lt;=0,0,MIN($Y259,IF(Übersicht!$C$14="Annuitätendarlehen",MAX(0,Übersicht!$C$28-$W260),IF(Übersicht!$C$14="Ratendarlehen",Übersicht!$C$29,IF($A260&gt;=Übersicht!$C$30,$Y259,0)))))</f>
        <v>0</v>
      </c>
      <c r="Y260" s="38">
        <f>IF($Y259&lt;=0,0,ROUND($Y259-$X260-IF($Y259-$X260&lt;=0,0,IF(MOD($A260,Übersicht!$C$25)=0,MIN(Szenarien!$C$10,$Y259-$X260),0)),2))</f>
        <v>0</v>
      </c>
      <c r="Z260" s="38">
        <f>IF($AB259&lt;=0,0,ROUND($AB259*Übersicht!$C$26,2))</f>
        <v>0</v>
      </c>
      <c r="AA260" s="38">
        <f>IF($AB259&lt;=0,0,MIN($AB259,IF(Übersicht!$C$14="Annuitätendarlehen",MAX(0,Übersicht!$C$28-$Z260),IF(Übersicht!$C$14="Ratendarlehen",Übersicht!$C$29,IF($A260&gt;=Übersicht!$C$30,$AB259,0)))))</f>
        <v>0</v>
      </c>
      <c r="AB260" s="38">
        <f>IF($AB259&lt;=0,0,ROUND($AB259-$AA260-IF($AB259-$AA260&lt;=0,0,IF(MOD($A260,Übersicht!$C$25)=0,MIN(Szenarien!$C$11,$AB259-$AA260),0)),2))</f>
        <v>0</v>
      </c>
      <c r="AC260" s="38">
        <f>IF($AE259&lt;=0,0,ROUND($AE259*Übersicht!$C$26,2))</f>
        <v>0</v>
      </c>
      <c r="AD260" s="38">
        <f>IF($AE259&lt;=0,0,MIN($AE259,IF(Übersicht!$C$14="Annuitätendarlehen",MAX(0,Übersicht!$C$28-$AC260),IF(Übersicht!$C$14="Ratendarlehen",Übersicht!$C$29,IF($A260&gt;=Übersicht!$C$30,$AE259,0)))))</f>
        <v>0</v>
      </c>
      <c r="AE260" s="38">
        <f>IF($AE259&lt;=0,0,ROUND($AE259-$AD260-IF($AE259-$AD260&lt;=0,0,IF(MOD($A260,Übersicht!$C$25)=0,MIN(Szenarien!$C$12,$AE259-$AD260),0)),2))</f>
        <v>0</v>
      </c>
    </row>
    <row r="261" spans="1:31" ht="15" customHeight="1" x14ac:dyDescent="0.25">
      <c r="A261" s="26">
        <v>254</v>
      </c>
      <c r="B261" s="39" t="str">
        <f>IF($D261&lt;=0,"",EDATE(Übersicht!$C$18,($A261-1)*12/Übersicht!$C$25))</f>
        <v/>
      </c>
      <c r="C261" s="26" t="str">
        <f t="shared" si="21"/>
        <v/>
      </c>
      <c r="D261" s="40">
        <f t="shared" si="25"/>
        <v>0</v>
      </c>
      <c r="E261" s="28">
        <f t="shared" si="22"/>
        <v>0</v>
      </c>
      <c r="F261" s="28">
        <f>IF($D261&lt;=0,0,ROUND($D261*Übersicht!$C$26,2))</f>
        <v>0</v>
      </c>
      <c r="G261" s="28">
        <f>IF($D261&lt;=0,0,MIN($D261,IF(Übersicht!$C$14="Annuitätendarlehen",MAX(0,Übersicht!$C$28-$F261),IF(Übersicht!$C$14="Ratendarlehen",Übersicht!$C$29,IF($A261&gt;=Übersicht!$C$30,$D261,0)))))</f>
        <v>0</v>
      </c>
      <c r="H261" s="28">
        <f>IF($D261-$G261&lt;=0,0,IF(MOD($A261,Übersicht!$C$25)=0,MIN(Übersicht!$C$31,$D261-$G261),0))</f>
        <v>0</v>
      </c>
      <c r="I261" s="28">
        <f t="shared" si="23"/>
        <v>0</v>
      </c>
      <c r="J261" s="28">
        <f t="shared" si="24"/>
        <v>0</v>
      </c>
      <c r="K261" s="28">
        <f t="shared" si="26"/>
        <v>80072.129999999961</v>
      </c>
      <c r="L261" s="28">
        <f t="shared" si="27"/>
        <v>250000</v>
      </c>
      <c r="M261" s="29" t="str">
        <f>IF($D261&lt;=0,"",IF(Übersicht!$C$11=0,0,$L261/Übersicht!$C$11))</f>
        <v/>
      </c>
      <c r="N261" s="30" t="str">
        <f>IF($D261&lt;=0,"",IF($J261&lt;=0.005,"Volltilgung erreicht",IF($A261=Übersicht!$C$19*Übersicht!$C$25,"Ende der Zinsbindung",IF($H261&gt;0,"Sondertilgung verrechnet",""))))</f>
        <v/>
      </c>
      <c r="Q261" s="38">
        <f>IF($S260&lt;=0,0,ROUND($S260*Übersicht!$C$26,2))</f>
        <v>162.77000000000001</v>
      </c>
      <c r="R261" s="38">
        <f>IF($S260&lt;=0,0,MIN($S260,IF(Übersicht!$C$14="Annuitätendarlehen",MAX(0,Übersicht!$C$28-$Q261),IF(Übersicht!$C$14="Ratendarlehen",Übersicht!$C$29,IF($A261&gt;=Übersicht!$C$30,$S260,0)))))</f>
        <v>1076.81</v>
      </c>
      <c r="S261" s="38">
        <f>IF($S260&lt;=0,0,ROUND($S260-$R261-IF($S260-$R261&lt;=0,0,IF(MOD($A261,Übersicht!$C$25)=0,MIN(Szenarien!$C$8,$S260-$R261),0)),2))</f>
        <v>55539.93</v>
      </c>
      <c r="T261" s="38">
        <f>IF($V260&lt;=0,0,ROUND($V260*Übersicht!$C$26,2))</f>
        <v>0</v>
      </c>
      <c r="U261" s="38">
        <f>IF($V260&lt;=0,0,MIN($V260,IF(Übersicht!$C$14="Annuitätendarlehen",MAX(0,Übersicht!$C$28-$T261),IF(Übersicht!$C$14="Ratendarlehen",Übersicht!$C$29,IF($A261&gt;=Übersicht!$C$30,$V260,0)))))</f>
        <v>0</v>
      </c>
      <c r="V261" s="38">
        <f>IF($V260&lt;=0,0,ROUND($V260-$U261-IF($V260-$U261&lt;=0,0,IF(MOD($A261,Übersicht!$C$25)=0,MIN(Szenarien!$C$9,$V260-$U261),0)),2))</f>
        <v>0</v>
      </c>
      <c r="W261" s="38">
        <f>IF($Y260&lt;=0,0,ROUND($Y260*Übersicht!$C$26,2))</f>
        <v>0</v>
      </c>
      <c r="X261" s="38">
        <f>IF($Y260&lt;=0,0,MIN($Y260,IF(Übersicht!$C$14="Annuitätendarlehen",MAX(0,Übersicht!$C$28-$W261),IF(Übersicht!$C$14="Ratendarlehen",Übersicht!$C$29,IF($A261&gt;=Übersicht!$C$30,$Y260,0)))))</f>
        <v>0</v>
      </c>
      <c r="Y261" s="38">
        <f>IF($Y260&lt;=0,0,ROUND($Y260-$X261-IF($Y260-$X261&lt;=0,0,IF(MOD($A261,Übersicht!$C$25)=0,MIN(Szenarien!$C$10,$Y260-$X261),0)),2))</f>
        <v>0</v>
      </c>
      <c r="Z261" s="38">
        <f>IF($AB260&lt;=0,0,ROUND($AB260*Übersicht!$C$26,2))</f>
        <v>0</v>
      </c>
      <c r="AA261" s="38">
        <f>IF($AB260&lt;=0,0,MIN($AB260,IF(Übersicht!$C$14="Annuitätendarlehen",MAX(0,Übersicht!$C$28-$Z261),IF(Übersicht!$C$14="Ratendarlehen",Übersicht!$C$29,IF($A261&gt;=Übersicht!$C$30,$AB260,0)))))</f>
        <v>0</v>
      </c>
      <c r="AB261" s="38">
        <f>IF($AB260&lt;=0,0,ROUND($AB260-$AA261-IF($AB260-$AA261&lt;=0,0,IF(MOD($A261,Übersicht!$C$25)=0,MIN(Szenarien!$C$11,$AB260-$AA261),0)),2))</f>
        <v>0</v>
      </c>
      <c r="AC261" s="38">
        <f>IF($AE260&lt;=0,0,ROUND($AE260*Übersicht!$C$26,2))</f>
        <v>0</v>
      </c>
      <c r="AD261" s="38">
        <f>IF($AE260&lt;=0,0,MIN($AE260,IF(Übersicht!$C$14="Annuitätendarlehen",MAX(0,Übersicht!$C$28-$AC261),IF(Übersicht!$C$14="Ratendarlehen",Übersicht!$C$29,IF($A261&gt;=Übersicht!$C$30,$AE260,0)))))</f>
        <v>0</v>
      </c>
      <c r="AE261" s="38">
        <f>IF($AE260&lt;=0,0,ROUND($AE260-$AD261-IF($AE260-$AD261&lt;=0,0,IF(MOD($A261,Übersicht!$C$25)=0,MIN(Szenarien!$C$12,$AE260-$AD261),0)),2))</f>
        <v>0</v>
      </c>
    </row>
    <row r="262" spans="1:31" ht="15" customHeight="1" x14ac:dyDescent="0.25">
      <c r="A262" s="21">
        <v>255</v>
      </c>
      <c r="B262" s="36" t="str">
        <f>IF($D262&lt;=0,"",EDATE(Übersicht!$C$18,($A262-1)*12/Übersicht!$C$25))</f>
        <v/>
      </c>
      <c r="C262" s="21" t="str">
        <f t="shared" si="21"/>
        <v/>
      </c>
      <c r="D262" s="37">
        <f t="shared" si="25"/>
        <v>0</v>
      </c>
      <c r="E262" s="23">
        <f t="shared" si="22"/>
        <v>0</v>
      </c>
      <c r="F262" s="23">
        <f>IF($D262&lt;=0,0,ROUND($D262*Übersicht!$C$26,2))</f>
        <v>0</v>
      </c>
      <c r="G262" s="23">
        <f>IF($D262&lt;=0,0,MIN($D262,IF(Übersicht!$C$14="Annuitätendarlehen",MAX(0,Übersicht!$C$28-$F262),IF(Übersicht!$C$14="Ratendarlehen",Übersicht!$C$29,IF($A262&gt;=Übersicht!$C$30,$D262,0)))))</f>
        <v>0</v>
      </c>
      <c r="H262" s="23">
        <f>IF($D262-$G262&lt;=0,0,IF(MOD($A262,Übersicht!$C$25)=0,MIN(Übersicht!$C$31,$D262-$G262),0))</f>
        <v>0</v>
      </c>
      <c r="I262" s="23">
        <f t="shared" si="23"/>
        <v>0</v>
      </c>
      <c r="J262" s="23">
        <f t="shared" si="24"/>
        <v>0</v>
      </c>
      <c r="K262" s="23">
        <f t="shared" si="26"/>
        <v>80072.129999999961</v>
      </c>
      <c r="L262" s="23">
        <f t="shared" si="27"/>
        <v>250000</v>
      </c>
      <c r="M262" s="24" t="str">
        <f>IF($D262&lt;=0,"",IF(Übersicht!$C$11=0,0,$L262/Übersicht!$C$11))</f>
        <v/>
      </c>
      <c r="N262" s="25" t="str">
        <f>IF($D262&lt;=0,"",IF($J262&lt;=0.005,"Volltilgung erreicht",IF($A262=Übersicht!$C$19*Übersicht!$C$25,"Ende der Zinsbindung",IF($H262&gt;0,"Sondertilgung verrechnet",""))))</f>
        <v/>
      </c>
      <c r="Q262" s="38">
        <f>IF($S261&lt;=0,0,ROUND($S261*Übersicht!$C$26,2))</f>
        <v>159.68</v>
      </c>
      <c r="R262" s="38">
        <f>IF($S261&lt;=0,0,MIN($S261,IF(Übersicht!$C$14="Annuitätendarlehen",MAX(0,Übersicht!$C$28-$Q262),IF(Übersicht!$C$14="Ratendarlehen",Übersicht!$C$29,IF($A262&gt;=Übersicht!$C$30,$S261,0)))))</f>
        <v>1079.8999999999999</v>
      </c>
      <c r="S262" s="38">
        <f>IF($S261&lt;=0,0,ROUND($S261-$R262-IF($S261-$R262&lt;=0,0,IF(MOD($A262,Übersicht!$C$25)=0,MIN(Szenarien!$C$8,$S261-$R262),0)),2))</f>
        <v>54460.03</v>
      </c>
      <c r="T262" s="38">
        <f>IF($V261&lt;=0,0,ROUND($V261*Übersicht!$C$26,2))</f>
        <v>0</v>
      </c>
      <c r="U262" s="38">
        <f>IF($V261&lt;=0,0,MIN($V261,IF(Übersicht!$C$14="Annuitätendarlehen",MAX(0,Übersicht!$C$28-$T262),IF(Übersicht!$C$14="Ratendarlehen",Übersicht!$C$29,IF($A262&gt;=Übersicht!$C$30,$V261,0)))))</f>
        <v>0</v>
      </c>
      <c r="V262" s="38">
        <f>IF($V261&lt;=0,0,ROUND($V261-$U262-IF($V261-$U262&lt;=0,0,IF(MOD($A262,Übersicht!$C$25)=0,MIN(Szenarien!$C$9,$V261-$U262),0)),2))</f>
        <v>0</v>
      </c>
      <c r="W262" s="38">
        <f>IF($Y261&lt;=0,0,ROUND($Y261*Übersicht!$C$26,2))</f>
        <v>0</v>
      </c>
      <c r="X262" s="38">
        <f>IF($Y261&lt;=0,0,MIN($Y261,IF(Übersicht!$C$14="Annuitätendarlehen",MAX(0,Übersicht!$C$28-$W262),IF(Übersicht!$C$14="Ratendarlehen",Übersicht!$C$29,IF($A262&gt;=Übersicht!$C$30,$Y261,0)))))</f>
        <v>0</v>
      </c>
      <c r="Y262" s="38">
        <f>IF($Y261&lt;=0,0,ROUND($Y261-$X262-IF($Y261-$X262&lt;=0,0,IF(MOD($A262,Übersicht!$C$25)=0,MIN(Szenarien!$C$10,$Y261-$X262),0)),2))</f>
        <v>0</v>
      </c>
      <c r="Z262" s="38">
        <f>IF($AB261&lt;=0,0,ROUND($AB261*Übersicht!$C$26,2))</f>
        <v>0</v>
      </c>
      <c r="AA262" s="38">
        <f>IF($AB261&lt;=0,0,MIN($AB261,IF(Übersicht!$C$14="Annuitätendarlehen",MAX(0,Übersicht!$C$28-$Z262),IF(Übersicht!$C$14="Ratendarlehen",Übersicht!$C$29,IF($A262&gt;=Übersicht!$C$30,$AB261,0)))))</f>
        <v>0</v>
      </c>
      <c r="AB262" s="38">
        <f>IF($AB261&lt;=0,0,ROUND($AB261-$AA262-IF($AB261-$AA262&lt;=0,0,IF(MOD($A262,Übersicht!$C$25)=0,MIN(Szenarien!$C$11,$AB261-$AA262),0)),2))</f>
        <v>0</v>
      </c>
      <c r="AC262" s="38">
        <f>IF($AE261&lt;=0,0,ROUND($AE261*Übersicht!$C$26,2))</f>
        <v>0</v>
      </c>
      <c r="AD262" s="38">
        <f>IF($AE261&lt;=0,0,MIN($AE261,IF(Übersicht!$C$14="Annuitätendarlehen",MAX(0,Übersicht!$C$28-$AC262),IF(Übersicht!$C$14="Ratendarlehen",Übersicht!$C$29,IF($A262&gt;=Übersicht!$C$30,$AE261,0)))))</f>
        <v>0</v>
      </c>
      <c r="AE262" s="38">
        <f>IF($AE261&lt;=0,0,ROUND($AE261-$AD262-IF($AE261-$AD262&lt;=0,0,IF(MOD($A262,Übersicht!$C$25)=0,MIN(Szenarien!$C$12,$AE261-$AD262),0)),2))</f>
        <v>0</v>
      </c>
    </row>
    <row r="263" spans="1:31" ht="15" customHeight="1" x14ac:dyDescent="0.25">
      <c r="A263" s="26">
        <v>256</v>
      </c>
      <c r="B263" s="39" t="str">
        <f>IF($D263&lt;=0,"",EDATE(Übersicht!$C$18,($A263-1)*12/Übersicht!$C$25))</f>
        <v/>
      </c>
      <c r="C263" s="26" t="str">
        <f t="shared" si="21"/>
        <v/>
      </c>
      <c r="D263" s="40">
        <f t="shared" si="25"/>
        <v>0</v>
      </c>
      <c r="E263" s="28">
        <f t="shared" si="22"/>
        <v>0</v>
      </c>
      <c r="F263" s="28">
        <f>IF($D263&lt;=0,0,ROUND($D263*Übersicht!$C$26,2))</f>
        <v>0</v>
      </c>
      <c r="G263" s="28">
        <f>IF($D263&lt;=0,0,MIN($D263,IF(Übersicht!$C$14="Annuitätendarlehen",MAX(0,Übersicht!$C$28-$F263),IF(Übersicht!$C$14="Ratendarlehen",Übersicht!$C$29,IF($A263&gt;=Übersicht!$C$30,$D263,0)))))</f>
        <v>0</v>
      </c>
      <c r="H263" s="28">
        <f>IF($D263-$G263&lt;=0,0,IF(MOD($A263,Übersicht!$C$25)=0,MIN(Übersicht!$C$31,$D263-$G263),0))</f>
        <v>0</v>
      </c>
      <c r="I263" s="28">
        <f t="shared" si="23"/>
        <v>0</v>
      </c>
      <c r="J263" s="28">
        <f t="shared" si="24"/>
        <v>0</v>
      </c>
      <c r="K263" s="28">
        <f t="shared" si="26"/>
        <v>80072.129999999961</v>
      </c>
      <c r="L263" s="28">
        <f t="shared" si="27"/>
        <v>250000</v>
      </c>
      <c r="M263" s="29" t="str">
        <f>IF($D263&lt;=0,"",IF(Übersicht!$C$11=0,0,$L263/Übersicht!$C$11))</f>
        <v/>
      </c>
      <c r="N263" s="30" t="str">
        <f>IF($D263&lt;=0,"",IF($J263&lt;=0.005,"Volltilgung erreicht",IF($A263=Übersicht!$C$19*Übersicht!$C$25,"Ende der Zinsbindung",IF($H263&gt;0,"Sondertilgung verrechnet",""))))</f>
        <v/>
      </c>
      <c r="Q263" s="38">
        <f>IF($S262&lt;=0,0,ROUND($S262*Übersicht!$C$26,2))</f>
        <v>156.57</v>
      </c>
      <c r="R263" s="38">
        <f>IF($S262&lt;=0,0,MIN($S262,IF(Übersicht!$C$14="Annuitätendarlehen",MAX(0,Übersicht!$C$28-$Q263),IF(Übersicht!$C$14="Ratendarlehen",Übersicht!$C$29,IF($A263&gt;=Übersicht!$C$30,$S262,0)))))</f>
        <v>1083.01</v>
      </c>
      <c r="S263" s="38">
        <f>IF($S262&lt;=0,0,ROUND($S262-$R263-IF($S262-$R263&lt;=0,0,IF(MOD($A263,Übersicht!$C$25)=0,MIN(Szenarien!$C$8,$S262-$R263),0)),2))</f>
        <v>53377.02</v>
      </c>
      <c r="T263" s="38">
        <f>IF($V262&lt;=0,0,ROUND($V262*Übersicht!$C$26,2))</f>
        <v>0</v>
      </c>
      <c r="U263" s="38">
        <f>IF($V262&lt;=0,0,MIN($V262,IF(Übersicht!$C$14="Annuitätendarlehen",MAX(0,Übersicht!$C$28-$T263),IF(Übersicht!$C$14="Ratendarlehen",Übersicht!$C$29,IF($A263&gt;=Übersicht!$C$30,$V262,0)))))</f>
        <v>0</v>
      </c>
      <c r="V263" s="38">
        <f>IF($V262&lt;=0,0,ROUND($V262-$U263-IF($V262-$U263&lt;=0,0,IF(MOD($A263,Übersicht!$C$25)=0,MIN(Szenarien!$C$9,$V262-$U263),0)),2))</f>
        <v>0</v>
      </c>
      <c r="W263" s="38">
        <f>IF($Y262&lt;=0,0,ROUND($Y262*Übersicht!$C$26,2))</f>
        <v>0</v>
      </c>
      <c r="X263" s="38">
        <f>IF($Y262&lt;=0,0,MIN($Y262,IF(Übersicht!$C$14="Annuitätendarlehen",MAX(0,Übersicht!$C$28-$W263),IF(Übersicht!$C$14="Ratendarlehen",Übersicht!$C$29,IF($A263&gt;=Übersicht!$C$30,$Y262,0)))))</f>
        <v>0</v>
      </c>
      <c r="Y263" s="38">
        <f>IF($Y262&lt;=0,0,ROUND($Y262-$X263-IF($Y262-$X263&lt;=0,0,IF(MOD($A263,Übersicht!$C$25)=0,MIN(Szenarien!$C$10,$Y262-$X263),0)),2))</f>
        <v>0</v>
      </c>
      <c r="Z263" s="38">
        <f>IF($AB262&lt;=0,0,ROUND($AB262*Übersicht!$C$26,2))</f>
        <v>0</v>
      </c>
      <c r="AA263" s="38">
        <f>IF($AB262&lt;=0,0,MIN($AB262,IF(Übersicht!$C$14="Annuitätendarlehen",MAX(0,Übersicht!$C$28-$Z263),IF(Übersicht!$C$14="Ratendarlehen",Übersicht!$C$29,IF($A263&gt;=Übersicht!$C$30,$AB262,0)))))</f>
        <v>0</v>
      </c>
      <c r="AB263" s="38">
        <f>IF($AB262&lt;=0,0,ROUND($AB262-$AA263-IF($AB262-$AA263&lt;=0,0,IF(MOD($A263,Übersicht!$C$25)=0,MIN(Szenarien!$C$11,$AB262-$AA263),0)),2))</f>
        <v>0</v>
      </c>
      <c r="AC263" s="38">
        <f>IF($AE262&lt;=0,0,ROUND($AE262*Übersicht!$C$26,2))</f>
        <v>0</v>
      </c>
      <c r="AD263" s="38">
        <f>IF($AE262&lt;=0,0,MIN($AE262,IF(Übersicht!$C$14="Annuitätendarlehen",MAX(0,Übersicht!$C$28-$AC263),IF(Übersicht!$C$14="Ratendarlehen",Übersicht!$C$29,IF($A263&gt;=Übersicht!$C$30,$AE262,0)))))</f>
        <v>0</v>
      </c>
      <c r="AE263" s="38">
        <f>IF($AE262&lt;=0,0,ROUND($AE262-$AD263-IF($AE262-$AD263&lt;=0,0,IF(MOD($A263,Übersicht!$C$25)=0,MIN(Szenarien!$C$12,$AE262-$AD263),0)),2))</f>
        <v>0</v>
      </c>
    </row>
    <row r="264" spans="1:31" ht="15" customHeight="1" x14ac:dyDescent="0.25">
      <c r="A264" s="21">
        <v>257</v>
      </c>
      <c r="B264" s="36" t="str">
        <f>IF($D264&lt;=0,"",EDATE(Übersicht!$C$18,($A264-1)*12/Übersicht!$C$25))</f>
        <v/>
      </c>
      <c r="C264" s="21" t="str">
        <f t="shared" ref="C264:C327" si="28">IF($B264="","",YEAR($B264))</f>
        <v/>
      </c>
      <c r="D264" s="37">
        <f t="shared" si="25"/>
        <v>0</v>
      </c>
      <c r="E264" s="23">
        <f t="shared" ref="E264:E327" si="29">IF($D264&lt;=0,0,$F264+$G264)</f>
        <v>0</v>
      </c>
      <c r="F264" s="23">
        <f>IF($D264&lt;=0,0,ROUND($D264*Übersicht!$C$26,2))</f>
        <v>0</v>
      </c>
      <c r="G264" s="23">
        <f>IF($D264&lt;=0,0,MIN($D264,IF(Übersicht!$C$14="Annuitätendarlehen",MAX(0,Übersicht!$C$28-$F264),IF(Übersicht!$C$14="Ratendarlehen",Übersicht!$C$29,IF($A264&gt;=Übersicht!$C$30,$D264,0)))))</f>
        <v>0</v>
      </c>
      <c r="H264" s="23">
        <f>IF($D264-$G264&lt;=0,0,IF(MOD($A264,Übersicht!$C$25)=0,MIN(Übersicht!$C$31,$D264-$G264),0))</f>
        <v>0</v>
      </c>
      <c r="I264" s="23">
        <f t="shared" ref="I264:I327" si="30">IF($D264&lt;=0,0,$E264+$H264)</f>
        <v>0</v>
      </c>
      <c r="J264" s="23">
        <f t="shared" ref="J264:J327" si="31">IF($D264&lt;=0,0,ROUND($D264-$G264-$H264,2))</f>
        <v>0</v>
      </c>
      <c r="K264" s="23">
        <f t="shared" si="26"/>
        <v>80072.129999999961</v>
      </c>
      <c r="L264" s="23">
        <f t="shared" si="27"/>
        <v>250000</v>
      </c>
      <c r="M264" s="24" t="str">
        <f>IF($D264&lt;=0,"",IF(Übersicht!$C$11=0,0,$L264/Übersicht!$C$11))</f>
        <v/>
      </c>
      <c r="N264" s="25" t="str">
        <f>IF($D264&lt;=0,"",IF($J264&lt;=0.005,"Volltilgung erreicht",IF($A264=Übersicht!$C$19*Übersicht!$C$25,"Ende der Zinsbindung",IF($H264&gt;0,"Sondertilgung verrechnet",""))))</f>
        <v/>
      </c>
      <c r="Q264" s="38">
        <f>IF($S263&lt;=0,0,ROUND($S263*Übersicht!$C$26,2))</f>
        <v>153.46</v>
      </c>
      <c r="R264" s="38">
        <f>IF($S263&lt;=0,0,MIN($S263,IF(Übersicht!$C$14="Annuitätendarlehen",MAX(0,Übersicht!$C$28-$Q264),IF(Übersicht!$C$14="Ratendarlehen",Übersicht!$C$29,IF($A264&gt;=Übersicht!$C$30,$S263,0)))))</f>
        <v>1086.1199999999999</v>
      </c>
      <c r="S264" s="38">
        <f>IF($S263&lt;=0,0,ROUND($S263-$R264-IF($S263-$R264&lt;=0,0,IF(MOD($A264,Übersicht!$C$25)=0,MIN(Szenarien!$C$8,$S263-$R264),0)),2))</f>
        <v>52290.9</v>
      </c>
      <c r="T264" s="38">
        <f>IF($V263&lt;=0,0,ROUND($V263*Übersicht!$C$26,2))</f>
        <v>0</v>
      </c>
      <c r="U264" s="38">
        <f>IF($V263&lt;=0,0,MIN($V263,IF(Übersicht!$C$14="Annuitätendarlehen",MAX(0,Übersicht!$C$28-$T264),IF(Übersicht!$C$14="Ratendarlehen",Übersicht!$C$29,IF($A264&gt;=Übersicht!$C$30,$V263,0)))))</f>
        <v>0</v>
      </c>
      <c r="V264" s="38">
        <f>IF($V263&lt;=0,0,ROUND($V263-$U264-IF($V263-$U264&lt;=0,0,IF(MOD($A264,Übersicht!$C$25)=0,MIN(Szenarien!$C$9,$V263-$U264),0)),2))</f>
        <v>0</v>
      </c>
      <c r="W264" s="38">
        <f>IF($Y263&lt;=0,0,ROUND($Y263*Übersicht!$C$26,2))</f>
        <v>0</v>
      </c>
      <c r="X264" s="38">
        <f>IF($Y263&lt;=0,0,MIN($Y263,IF(Übersicht!$C$14="Annuitätendarlehen",MAX(0,Übersicht!$C$28-$W264),IF(Übersicht!$C$14="Ratendarlehen",Übersicht!$C$29,IF($A264&gt;=Übersicht!$C$30,$Y263,0)))))</f>
        <v>0</v>
      </c>
      <c r="Y264" s="38">
        <f>IF($Y263&lt;=0,0,ROUND($Y263-$X264-IF($Y263-$X264&lt;=0,0,IF(MOD($A264,Übersicht!$C$25)=0,MIN(Szenarien!$C$10,$Y263-$X264),0)),2))</f>
        <v>0</v>
      </c>
      <c r="Z264" s="38">
        <f>IF($AB263&lt;=0,0,ROUND($AB263*Übersicht!$C$26,2))</f>
        <v>0</v>
      </c>
      <c r="AA264" s="38">
        <f>IF($AB263&lt;=0,0,MIN($AB263,IF(Übersicht!$C$14="Annuitätendarlehen",MAX(0,Übersicht!$C$28-$Z264),IF(Übersicht!$C$14="Ratendarlehen",Übersicht!$C$29,IF($A264&gt;=Übersicht!$C$30,$AB263,0)))))</f>
        <v>0</v>
      </c>
      <c r="AB264" s="38">
        <f>IF($AB263&lt;=0,0,ROUND($AB263-$AA264-IF($AB263-$AA264&lt;=0,0,IF(MOD($A264,Übersicht!$C$25)=0,MIN(Szenarien!$C$11,$AB263-$AA264),0)),2))</f>
        <v>0</v>
      </c>
      <c r="AC264" s="38">
        <f>IF($AE263&lt;=0,0,ROUND($AE263*Übersicht!$C$26,2))</f>
        <v>0</v>
      </c>
      <c r="AD264" s="38">
        <f>IF($AE263&lt;=0,0,MIN($AE263,IF(Übersicht!$C$14="Annuitätendarlehen",MAX(0,Übersicht!$C$28-$AC264),IF(Übersicht!$C$14="Ratendarlehen",Übersicht!$C$29,IF($A264&gt;=Übersicht!$C$30,$AE263,0)))))</f>
        <v>0</v>
      </c>
      <c r="AE264" s="38">
        <f>IF($AE263&lt;=0,0,ROUND($AE263-$AD264-IF($AE263-$AD264&lt;=0,0,IF(MOD($A264,Übersicht!$C$25)=0,MIN(Szenarien!$C$12,$AE263-$AD264),0)),2))</f>
        <v>0</v>
      </c>
    </row>
    <row r="265" spans="1:31" ht="15" customHeight="1" x14ac:dyDescent="0.25">
      <c r="A265" s="26">
        <v>258</v>
      </c>
      <c r="B265" s="39" t="str">
        <f>IF($D265&lt;=0,"",EDATE(Übersicht!$C$18,($A265-1)*12/Übersicht!$C$25))</f>
        <v/>
      </c>
      <c r="C265" s="26" t="str">
        <f t="shared" si="28"/>
        <v/>
      </c>
      <c r="D265" s="40">
        <f t="shared" ref="D265:D328" si="32">$J264</f>
        <v>0</v>
      </c>
      <c r="E265" s="28">
        <f t="shared" si="29"/>
        <v>0</v>
      </c>
      <c r="F265" s="28">
        <f>IF($D265&lt;=0,0,ROUND($D265*Übersicht!$C$26,2))</f>
        <v>0</v>
      </c>
      <c r="G265" s="28">
        <f>IF($D265&lt;=0,0,MIN($D265,IF(Übersicht!$C$14="Annuitätendarlehen",MAX(0,Übersicht!$C$28-$F265),IF(Übersicht!$C$14="Ratendarlehen",Übersicht!$C$29,IF($A265&gt;=Übersicht!$C$30,$D265,0)))))</f>
        <v>0</v>
      </c>
      <c r="H265" s="28">
        <f>IF($D265-$G265&lt;=0,0,IF(MOD($A265,Übersicht!$C$25)=0,MIN(Übersicht!$C$31,$D265-$G265),0))</f>
        <v>0</v>
      </c>
      <c r="I265" s="28">
        <f t="shared" si="30"/>
        <v>0</v>
      </c>
      <c r="J265" s="28">
        <f t="shared" si="31"/>
        <v>0</v>
      </c>
      <c r="K265" s="28">
        <f t="shared" ref="K265:K328" si="33">$K264+$F265</f>
        <v>80072.129999999961</v>
      </c>
      <c r="L265" s="28">
        <f t="shared" ref="L265:L328" si="34">ROUND($L264+$G265+$H265,2)</f>
        <v>250000</v>
      </c>
      <c r="M265" s="29" t="str">
        <f>IF($D265&lt;=0,"",IF(Übersicht!$C$11=0,0,$L265/Übersicht!$C$11))</f>
        <v/>
      </c>
      <c r="N265" s="30" t="str">
        <f>IF($D265&lt;=0,"",IF($J265&lt;=0.005,"Volltilgung erreicht",IF($A265=Übersicht!$C$19*Übersicht!$C$25,"Ende der Zinsbindung",IF($H265&gt;0,"Sondertilgung verrechnet",""))))</f>
        <v/>
      </c>
      <c r="Q265" s="38">
        <f>IF($S264&lt;=0,0,ROUND($S264*Übersicht!$C$26,2))</f>
        <v>150.34</v>
      </c>
      <c r="R265" s="38">
        <f>IF($S264&lt;=0,0,MIN($S264,IF(Übersicht!$C$14="Annuitätendarlehen",MAX(0,Übersicht!$C$28-$Q265),IF(Übersicht!$C$14="Ratendarlehen",Übersicht!$C$29,IF($A265&gt;=Übersicht!$C$30,$S264,0)))))</f>
        <v>1089.24</v>
      </c>
      <c r="S265" s="38">
        <f>IF($S264&lt;=0,0,ROUND($S264-$R265-IF($S264-$R265&lt;=0,0,IF(MOD($A265,Übersicht!$C$25)=0,MIN(Szenarien!$C$8,$S264-$R265),0)),2))</f>
        <v>51201.66</v>
      </c>
      <c r="T265" s="38">
        <f>IF($V264&lt;=0,0,ROUND($V264*Übersicht!$C$26,2))</f>
        <v>0</v>
      </c>
      <c r="U265" s="38">
        <f>IF($V264&lt;=0,0,MIN($V264,IF(Übersicht!$C$14="Annuitätendarlehen",MAX(0,Übersicht!$C$28-$T265),IF(Übersicht!$C$14="Ratendarlehen",Übersicht!$C$29,IF($A265&gt;=Übersicht!$C$30,$V264,0)))))</f>
        <v>0</v>
      </c>
      <c r="V265" s="38">
        <f>IF($V264&lt;=0,0,ROUND($V264-$U265-IF($V264-$U265&lt;=0,0,IF(MOD($A265,Übersicht!$C$25)=0,MIN(Szenarien!$C$9,$V264-$U265),0)),2))</f>
        <v>0</v>
      </c>
      <c r="W265" s="38">
        <f>IF($Y264&lt;=0,0,ROUND($Y264*Übersicht!$C$26,2))</f>
        <v>0</v>
      </c>
      <c r="X265" s="38">
        <f>IF($Y264&lt;=0,0,MIN($Y264,IF(Übersicht!$C$14="Annuitätendarlehen",MAX(0,Übersicht!$C$28-$W265),IF(Übersicht!$C$14="Ratendarlehen",Übersicht!$C$29,IF($A265&gt;=Übersicht!$C$30,$Y264,0)))))</f>
        <v>0</v>
      </c>
      <c r="Y265" s="38">
        <f>IF($Y264&lt;=0,0,ROUND($Y264-$X265-IF($Y264-$X265&lt;=0,0,IF(MOD($A265,Übersicht!$C$25)=0,MIN(Szenarien!$C$10,$Y264-$X265),0)),2))</f>
        <v>0</v>
      </c>
      <c r="Z265" s="38">
        <f>IF($AB264&lt;=0,0,ROUND($AB264*Übersicht!$C$26,2))</f>
        <v>0</v>
      </c>
      <c r="AA265" s="38">
        <f>IF($AB264&lt;=0,0,MIN($AB264,IF(Übersicht!$C$14="Annuitätendarlehen",MAX(0,Übersicht!$C$28-$Z265),IF(Übersicht!$C$14="Ratendarlehen",Übersicht!$C$29,IF($A265&gt;=Übersicht!$C$30,$AB264,0)))))</f>
        <v>0</v>
      </c>
      <c r="AB265" s="38">
        <f>IF($AB264&lt;=0,0,ROUND($AB264-$AA265-IF($AB264-$AA265&lt;=0,0,IF(MOD($A265,Übersicht!$C$25)=0,MIN(Szenarien!$C$11,$AB264-$AA265),0)),2))</f>
        <v>0</v>
      </c>
      <c r="AC265" s="38">
        <f>IF($AE264&lt;=0,0,ROUND($AE264*Übersicht!$C$26,2))</f>
        <v>0</v>
      </c>
      <c r="AD265" s="38">
        <f>IF($AE264&lt;=0,0,MIN($AE264,IF(Übersicht!$C$14="Annuitätendarlehen",MAX(0,Übersicht!$C$28-$AC265),IF(Übersicht!$C$14="Ratendarlehen",Übersicht!$C$29,IF($A265&gt;=Übersicht!$C$30,$AE264,0)))))</f>
        <v>0</v>
      </c>
      <c r="AE265" s="38">
        <f>IF($AE264&lt;=0,0,ROUND($AE264-$AD265-IF($AE264-$AD265&lt;=0,0,IF(MOD($A265,Übersicht!$C$25)=0,MIN(Szenarien!$C$12,$AE264-$AD265),0)),2))</f>
        <v>0</v>
      </c>
    </row>
    <row r="266" spans="1:31" ht="15" customHeight="1" x14ac:dyDescent="0.25">
      <c r="A266" s="21">
        <v>259</v>
      </c>
      <c r="B266" s="36" t="str">
        <f>IF($D266&lt;=0,"",EDATE(Übersicht!$C$18,($A266-1)*12/Übersicht!$C$25))</f>
        <v/>
      </c>
      <c r="C266" s="21" t="str">
        <f t="shared" si="28"/>
        <v/>
      </c>
      <c r="D266" s="37">
        <f t="shared" si="32"/>
        <v>0</v>
      </c>
      <c r="E266" s="23">
        <f t="shared" si="29"/>
        <v>0</v>
      </c>
      <c r="F266" s="23">
        <f>IF($D266&lt;=0,0,ROUND($D266*Übersicht!$C$26,2))</f>
        <v>0</v>
      </c>
      <c r="G266" s="23">
        <f>IF($D266&lt;=0,0,MIN($D266,IF(Übersicht!$C$14="Annuitätendarlehen",MAX(0,Übersicht!$C$28-$F266),IF(Übersicht!$C$14="Ratendarlehen",Übersicht!$C$29,IF($A266&gt;=Übersicht!$C$30,$D266,0)))))</f>
        <v>0</v>
      </c>
      <c r="H266" s="23">
        <f>IF($D266-$G266&lt;=0,0,IF(MOD($A266,Übersicht!$C$25)=0,MIN(Übersicht!$C$31,$D266-$G266),0))</f>
        <v>0</v>
      </c>
      <c r="I266" s="23">
        <f t="shared" si="30"/>
        <v>0</v>
      </c>
      <c r="J266" s="23">
        <f t="shared" si="31"/>
        <v>0</v>
      </c>
      <c r="K266" s="23">
        <f t="shared" si="33"/>
        <v>80072.129999999961</v>
      </c>
      <c r="L266" s="23">
        <f t="shared" si="34"/>
        <v>250000</v>
      </c>
      <c r="M266" s="24" t="str">
        <f>IF($D266&lt;=0,"",IF(Übersicht!$C$11=0,0,$L266/Übersicht!$C$11))</f>
        <v/>
      </c>
      <c r="N266" s="25" t="str">
        <f>IF($D266&lt;=0,"",IF($J266&lt;=0.005,"Volltilgung erreicht",IF($A266=Übersicht!$C$19*Übersicht!$C$25,"Ende der Zinsbindung",IF($H266&gt;0,"Sondertilgung verrechnet",""))))</f>
        <v/>
      </c>
      <c r="Q266" s="38">
        <f>IF($S265&lt;=0,0,ROUND($S265*Übersicht!$C$26,2))</f>
        <v>147.19999999999999</v>
      </c>
      <c r="R266" s="38">
        <f>IF($S265&lt;=0,0,MIN($S265,IF(Übersicht!$C$14="Annuitätendarlehen",MAX(0,Übersicht!$C$28-$Q266),IF(Übersicht!$C$14="Ratendarlehen",Übersicht!$C$29,IF($A266&gt;=Übersicht!$C$30,$S265,0)))))</f>
        <v>1092.3799999999999</v>
      </c>
      <c r="S266" s="38">
        <f>IF($S265&lt;=0,0,ROUND($S265-$R266-IF($S265-$R266&lt;=0,0,IF(MOD($A266,Übersicht!$C$25)=0,MIN(Szenarien!$C$8,$S265-$R266),0)),2))</f>
        <v>50109.279999999999</v>
      </c>
      <c r="T266" s="38">
        <f>IF($V265&lt;=0,0,ROUND($V265*Übersicht!$C$26,2))</f>
        <v>0</v>
      </c>
      <c r="U266" s="38">
        <f>IF($V265&lt;=0,0,MIN($V265,IF(Übersicht!$C$14="Annuitätendarlehen",MAX(0,Übersicht!$C$28-$T266),IF(Übersicht!$C$14="Ratendarlehen",Übersicht!$C$29,IF($A266&gt;=Übersicht!$C$30,$V265,0)))))</f>
        <v>0</v>
      </c>
      <c r="V266" s="38">
        <f>IF($V265&lt;=0,0,ROUND($V265-$U266-IF($V265-$U266&lt;=0,0,IF(MOD($A266,Übersicht!$C$25)=0,MIN(Szenarien!$C$9,$V265-$U266),0)),2))</f>
        <v>0</v>
      </c>
      <c r="W266" s="38">
        <f>IF($Y265&lt;=0,0,ROUND($Y265*Übersicht!$C$26,2))</f>
        <v>0</v>
      </c>
      <c r="X266" s="38">
        <f>IF($Y265&lt;=0,0,MIN($Y265,IF(Übersicht!$C$14="Annuitätendarlehen",MAX(0,Übersicht!$C$28-$W266),IF(Übersicht!$C$14="Ratendarlehen",Übersicht!$C$29,IF($A266&gt;=Übersicht!$C$30,$Y265,0)))))</f>
        <v>0</v>
      </c>
      <c r="Y266" s="38">
        <f>IF($Y265&lt;=0,0,ROUND($Y265-$X266-IF($Y265-$X266&lt;=0,0,IF(MOD($A266,Übersicht!$C$25)=0,MIN(Szenarien!$C$10,$Y265-$X266),0)),2))</f>
        <v>0</v>
      </c>
      <c r="Z266" s="38">
        <f>IF($AB265&lt;=0,0,ROUND($AB265*Übersicht!$C$26,2))</f>
        <v>0</v>
      </c>
      <c r="AA266" s="38">
        <f>IF($AB265&lt;=0,0,MIN($AB265,IF(Übersicht!$C$14="Annuitätendarlehen",MAX(0,Übersicht!$C$28-$Z266),IF(Übersicht!$C$14="Ratendarlehen",Übersicht!$C$29,IF($A266&gt;=Übersicht!$C$30,$AB265,0)))))</f>
        <v>0</v>
      </c>
      <c r="AB266" s="38">
        <f>IF($AB265&lt;=0,0,ROUND($AB265-$AA266-IF($AB265-$AA266&lt;=0,0,IF(MOD($A266,Übersicht!$C$25)=0,MIN(Szenarien!$C$11,$AB265-$AA266),0)),2))</f>
        <v>0</v>
      </c>
      <c r="AC266" s="38">
        <f>IF($AE265&lt;=0,0,ROUND($AE265*Übersicht!$C$26,2))</f>
        <v>0</v>
      </c>
      <c r="AD266" s="38">
        <f>IF($AE265&lt;=0,0,MIN($AE265,IF(Übersicht!$C$14="Annuitätendarlehen",MAX(0,Übersicht!$C$28-$AC266),IF(Übersicht!$C$14="Ratendarlehen",Übersicht!$C$29,IF($A266&gt;=Übersicht!$C$30,$AE265,0)))))</f>
        <v>0</v>
      </c>
      <c r="AE266" s="38">
        <f>IF($AE265&lt;=0,0,ROUND($AE265-$AD266-IF($AE265-$AD266&lt;=0,0,IF(MOD($A266,Übersicht!$C$25)=0,MIN(Szenarien!$C$12,$AE265-$AD266),0)),2))</f>
        <v>0</v>
      </c>
    </row>
    <row r="267" spans="1:31" ht="15" customHeight="1" x14ac:dyDescent="0.25">
      <c r="A267" s="26">
        <v>260</v>
      </c>
      <c r="B267" s="39" t="str">
        <f>IF($D267&lt;=0,"",EDATE(Übersicht!$C$18,($A267-1)*12/Übersicht!$C$25))</f>
        <v/>
      </c>
      <c r="C267" s="26" t="str">
        <f t="shared" si="28"/>
        <v/>
      </c>
      <c r="D267" s="40">
        <f t="shared" si="32"/>
        <v>0</v>
      </c>
      <c r="E267" s="28">
        <f t="shared" si="29"/>
        <v>0</v>
      </c>
      <c r="F267" s="28">
        <f>IF($D267&lt;=0,0,ROUND($D267*Übersicht!$C$26,2))</f>
        <v>0</v>
      </c>
      <c r="G267" s="28">
        <f>IF($D267&lt;=0,0,MIN($D267,IF(Übersicht!$C$14="Annuitätendarlehen",MAX(0,Übersicht!$C$28-$F267),IF(Übersicht!$C$14="Ratendarlehen",Übersicht!$C$29,IF($A267&gt;=Übersicht!$C$30,$D267,0)))))</f>
        <v>0</v>
      </c>
      <c r="H267" s="28">
        <f>IF($D267-$G267&lt;=0,0,IF(MOD($A267,Übersicht!$C$25)=0,MIN(Übersicht!$C$31,$D267-$G267),0))</f>
        <v>0</v>
      </c>
      <c r="I267" s="28">
        <f t="shared" si="30"/>
        <v>0</v>
      </c>
      <c r="J267" s="28">
        <f t="shared" si="31"/>
        <v>0</v>
      </c>
      <c r="K267" s="28">
        <f t="shared" si="33"/>
        <v>80072.129999999961</v>
      </c>
      <c r="L267" s="28">
        <f t="shared" si="34"/>
        <v>250000</v>
      </c>
      <c r="M267" s="29" t="str">
        <f>IF($D267&lt;=0,"",IF(Übersicht!$C$11=0,0,$L267/Übersicht!$C$11))</f>
        <v/>
      </c>
      <c r="N267" s="30" t="str">
        <f>IF($D267&lt;=0,"",IF($J267&lt;=0.005,"Volltilgung erreicht",IF($A267=Übersicht!$C$19*Übersicht!$C$25,"Ende der Zinsbindung",IF($H267&gt;0,"Sondertilgung verrechnet",""))))</f>
        <v/>
      </c>
      <c r="Q267" s="38">
        <f>IF($S266&lt;=0,0,ROUND($S266*Übersicht!$C$26,2))</f>
        <v>144.06</v>
      </c>
      <c r="R267" s="38">
        <f>IF($S266&lt;=0,0,MIN($S266,IF(Übersicht!$C$14="Annuitätendarlehen",MAX(0,Übersicht!$C$28-$Q267),IF(Übersicht!$C$14="Ratendarlehen",Übersicht!$C$29,IF($A267&gt;=Übersicht!$C$30,$S266,0)))))</f>
        <v>1095.52</v>
      </c>
      <c r="S267" s="38">
        <f>IF($S266&lt;=0,0,ROUND($S266-$R267-IF($S266-$R267&lt;=0,0,IF(MOD($A267,Übersicht!$C$25)=0,MIN(Szenarien!$C$8,$S266-$R267),0)),2))</f>
        <v>49013.760000000002</v>
      </c>
      <c r="T267" s="38">
        <f>IF($V266&lt;=0,0,ROUND($V266*Übersicht!$C$26,2))</f>
        <v>0</v>
      </c>
      <c r="U267" s="38">
        <f>IF($V266&lt;=0,0,MIN($V266,IF(Übersicht!$C$14="Annuitätendarlehen",MAX(0,Übersicht!$C$28-$T267),IF(Übersicht!$C$14="Ratendarlehen",Übersicht!$C$29,IF($A267&gt;=Übersicht!$C$30,$V266,0)))))</f>
        <v>0</v>
      </c>
      <c r="V267" s="38">
        <f>IF($V266&lt;=0,0,ROUND($V266-$U267-IF($V266-$U267&lt;=0,0,IF(MOD($A267,Übersicht!$C$25)=0,MIN(Szenarien!$C$9,$V266-$U267),0)),2))</f>
        <v>0</v>
      </c>
      <c r="W267" s="38">
        <f>IF($Y266&lt;=0,0,ROUND($Y266*Übersicht!$C$26,2))</f>
        <v>0</v>
      </c>
      <c r="X267" s="38">
        <f>IF($Y266&lt;=0,0,MIN($Y266,IF(Übersicht!$C$14="Annuitätendarlehen",MAX(0,Übersicht!$C$28-$W267),IF(Übersicht!$C$14="Ratendarlehen",Übersicht!$C$29,IF($A267&gt;=Übersicht!$C$30,$Y266,0)))))</f>
        <v>0</v>
      </c>
      <c r="Y267" s="38">
        <f>IF($Y266&lt;=0,0,ROUND($Y266-$X267-IF($Y266-$X267&lt;=0,0,IF(MOD($A267,Übersicht!$C$25)=0,MIN(Szenarien!$C$10,$Y266-$X267),0)),2))</f>
        <v>0</v>
      </c>
      <c r="Z267" s="38">
        <f>IF($AB266&lt;=0,0,ROUND($AB266*Übersicht!$C$26,2))</f>
        <v>0</v>
      </c>
      <c r="AA267" s="38">
        <f>IF($AB266&lt;=0,0,MIN($AB266,IF(Übersicht!$C$14="Annuitätendarlehen",MAX(0,Übersicht!$C$28-$Z267),IF(Übersicht!$C$14="Ratendarlehen",Übersicht!$C$29,IF($A267&gt;=Übersicht!$C$30,$AB266,0)))))</f>
        <v>0</v>
      </c>
      <c r="AB267" s="38">
        <f>IF($AB266&lt;=0,0,ROUND($AB266-$AA267-IF($AB266-$AA267&lt;=0,0,IF(MOD($A267,Übersicht!$C$25)=0,MIN(Szenarien!$C$11,$AB266-$AA267),0)),2))</f>
        <v>0</v>
      </c>
      <c r="AC267" s="38">
        <f>IF($AE266&lt;=0,0,ROUND($AE266*Übersicht!$C$26,2))</f>
        <v>0</v>
      </c>
      <c r="AD267" s="38">
        <f>IF($AE266&lt;=0,0,MIN($AE266,IF(Übersicht!$C$14="Annuitätendarlehen",MAX(0,Übersicht!$C$28-$AC267),IF(Übersicht!$C$14="Ratendarlehen",Übersicht!$C$29,IF($A267&gt;=Übersicht!$C$30,$AE266,0)))))</f>
        <v>0</v>
      </c>
      <c r="AE267" s="38">
        <f>IF($AE266&lt;=0,0,ROUND($AE266-$AD267-IF($AE266-$AD267&lt;=0,0,IF(MOD($A267,Übersicht!$C$25)=0,MIN(Szenarien!$C$12,$AE266-$AD267),0)),2))</f>
        <v>0</v>
      </c>
    </row>
    <row r="268" spans="1:31" ht="15" customHeight="1" x14ac:dyDescent="0.25">
      <c r="A268" s="21">
        <v>261</v>
      </c>
      <c r="B268" s="36" t="str">
        <f>IF($D268&lt;=0,"",EDATE(Übersicht!$C$18,($A268-1)*12/Übersicht!$C$25))</f>
        <v/>
      </c>
      <c r="C268" s="21" t="str">
        <f t="shared" si="28"/>
        <v/>
      </c>
      <c r="D268" s="37">
        <f t="shared" si="32"/>
        <v>0</v>
      </c>
      <c r="E268" s="23">
        <f t="shared" si="29"/>
        <v>0</v>
      </c>
      <c r="F268" s="23">
        <f>IF($D268&lt;=0,0,ROUND($D268*Übersicht!$C$26,2))</f>
        <v>0</v>
      </c>
      <c r="G268" s="23">
        <f>IF($D268&lt;=0,0,MIN($D268,IF(Übersicht!$C$14="Annuitätendarlehen",MAX(0,Übersicht!$C$28-$F268),IF(Übersicht!$C$14="Ratendarlehen",Übersicht!$C$29,IF($A268&gt;=Übersicht!$C$30,$D268,0)))))</f>
        <v>0</v>
      </c>
      <c r="H268" s="23">
        <f>IF($D268-$G268&lt;=0,0,IF(MOD($A268,Übersicht!$C$25)=0,MIN(Übersicht!$C$31,$D268-$G268),0))</f>
        <v>0</v>
      </c>
      <c r="I268" s="23">
        <f t="shared" si="30"/>
        <v>0</v>
      </c>
      <c r="J268" s="23">
        <f t="shared" si="31"/>
        <v>0</v>
      </c>
      <c r="K268" s="23">
        <f t="shared" si="33"/>
        <v>80072.129999999961</v>
      </c>
      <c r="L268" s="23">
        <f t="shared" si="34"/>
        <v>250000</v>
      </c>
      <c r="M268" s="24" t="str">
        <f>IF($D268&lt;=0,"",IF(Übersicht!$C$11=0,0,$L268/Übersicht!$C$11))</f>
        <v/>
      </c>
      <c r="N268" s="25" t="str">
        <f>IF($D268&lt;=0,"",IF($J268&lt;=0.005,"Volltilgung erreicht",IF($A268=Übersicht!$C$19*Übersicht!$C$25,"Ende der Zinsbindung",IF($H268&gt;0,"Sondertilgung verrechnet",""))))</f>
        <v/>
      </c>
      <c r="Q268" s="38">
        <f>IF($S267&lt;=0,0,ROUND($S267*Übersicht!$C$26,2))</f>
        <v>140.91</v>
      </c>
      <c r="R268" s="38">
        <f>IF($S267&lt;=0,0,MIN($S267,IF(Übersicht!$C$14="Annuitätendarlehen",MAX(0,Übersicht!$C$28-$Q268),IF(Übersicht!$C$14="Ratendarlehen",Übersicht!$C$29,IF($A268&gt;=Übersicht!$C$30,$S267,0)))))</f>
        <v>1098.6699999999998</v>
      </c>
      <c r="S268" s="38">
        <f>IF($S267&lt;=0,0,ROUND($S267-$R268-IF($S267-$R268&lt;=0,0,IF(MOD($A268,Übersicht!$C$25)=0,MIN(Szenarien!$C$8,$S267-$R268),0)),2))</f>
        <v>47915.09</v>
      </c>
      <c r="T268" s="38">
        <f>IF($V267&lt;=0,0,ROUND($V267*Übersicht!$C$26,2))</f>
        <v>0</v>
      </c>
      <c r="U268" s="38">
        <f>IF($V267&lt;=0,0,MIN($V267,IF(Übersicht!$C$14="Annuitätendarlehen",MAX(0,Übersicht!$C$28-$T268),IF(Übersicht!$C$14="Ratendarlehen",Übersicht!$C$29,IF($A268&gt;=Übersicht!$C$30,$V267,0)))))</f>
        <v>0</v>
      </c>
      <c r="V268" s="38">
        <f>IF($V267&lt;=0,0,ROUND($V267-$U268-IF($V267-$U268&lt;=0,0,IF(MOD($A268,Übersicht!$C$25)=0,MIN(Szenarien!$C$9,$V267-$U268),0)),2))</f>
        <v>0</v>
      </c>
      <c r="W268" s="38">
        <f>IF($Y267&lt;=0,0,ROUND($Y267*Übersicht!$C$26,2))</f>
        <v>0</v>
      </c>
      <c r="X268" s="38">
        <f>IF($Y267&lt;=0,0,MIN($Y267,IF(Übersicht!$C$14="Annuitätendarlehen",MAX(0,Übersicht!$C$28-$W268),IF(Übersicht!$C$14="Ratendarlehen",Übersicht!$C$29,IF($A268&gt;=Übersicht!$C$30,$Y267,0)))))</f>
        <v>0</v>
      </c>
      <c r="Y268" s="38">
        <f>IF($Y267&lt;=0,0,ROUND($Y267-$X268-IF($Y267-$X268&lt;=0,0,IF(MOD($A268,Übersicht!$C$25)=0,MIN(Szenarien!$C$10,$Y267-$X268),0)),2))</f>
        <v>0</v>
      </c>
      <c r="Z268" s="38">
        <f>IF($AB267&lt;=0,0,ROUND($AB267*Übersicht!$C$26,2))</f>
        <v>0</v>
      </c>
      <c r="AA268" s="38">
        <f>IF($AB267&lt;=0,0,MIN($AB267,IF(Übersicht!$C$14="Annuitätendarlehen",MAX(0,Übersicht!$C$28-$Z268),IF(Übersicht!$C$14="Ratendarlehen",Übersicht!$C$29,IF($A268&gt;=Übersicht!$C$30,$AB267,0)))))</f>
        <v>0</v>
      </c>
      <c r="AB268" s="38">
        <f>IF($AB267&lt;=0,0,ROUND($AB267-$AA268-IF($AB267-$AA268&lt;=0,0,IF(MOD($A268,Übersicht!$C$25)=0,MIN(Szenarien!$C$11,$AB267-$AA268),0)),2))</f>
        <v>0</v>
      </c>
      <c r="AC268" s="38">
        <f>IF($AE267&lt;=0,0,ROUND($AE267*Übersicht!$C$26,2))</f>
        <v>0</v>
      </c>
      <c r="AD268" s="38">
        <f>IF($AE267&lt;=0,0,MIN($AE267,IF(Übersicht!$C$14="Annuitätendarlehen",MAX(0,Übersicht!$C$28-$AC268),IF(Übersicht!$C$14="Ratendarlehen",Übersicht!$C$29,IF($A268&gt;=Übersicht!$C$30,$AE267,0)))))</f>
        <v>0</v>
      </c>
      <c r="AE268" s="38">
        <f>IF($AE267&lt;=0,0,ROUND($AE267-$AD268-IF($AE267-$AD268&lt;=0,0,IF(MOD($A268,Übersicht!$C$25)=0,MIN(Szenarien!$C$12,$AE267-$AD268),0)),2))</f>
        <v>0</v>
      </c>
    </row>
    <row r="269" spans="1:31" ht="15" customHeight="1" x14ac:dyDescent="0.25">
      <c r="A269" s="26">
        <v>262</v>
      </c>
      <c r="B269" s="39" t="str">
        <f>IF($D269&lt;=0,"",EDATE(Übersicht!$C$18,($A269-1)*12/Übersicht!$C$25))</f>
        <v/>
      </c>
      <c r="C269" s="26" t="str">
        <f t="shared" si="28"/>
        <v/>
      </c>
      <c r="D269" s="40">
        <f t="shared" si="32"/>
        <v>0</v>
      </c>
      <c r="E269" s="28">
        <f t="shared" si="29"/>
        <v>0</v>
      </c>
      <c r="F269" s="28">
        <f>IF($D269&lt;=0,0,ROUND($D269*Übersicht!$C$26,2))</f>
        <v>0</v>
      </c>
      <c r="G269" s="28">
        <f>IF($D269&lt;=0,0,MIN($D269,IF(Übersicht!$C$14="Annuitätendarlehen",MAX(0,Übersicht!$C$28-$F269),IF(Übersicht!$C$14="Ratendarlehen",Übersicht!$C$29,IF($A269&gt;=Übersicht!$C$30,$D269,0)))))</f>
        <v>0</v>
      </c>
      <c r="H269" s="28">
        <f>IF($D269-$G269&lt;=0,0,IF(MOD($A269,Übersicht!$C$25)=0,MIN(Übersicht!$C$31,$D269-$G269),0))</f>
        <v>0</v>
      </c>
      <c r="I269" s="28">
        <f t="shared" si="30"/>
        <v>0</v>
      </c>
      <c r="J269" s="28">
        <f t="shared" si="31"/>
        <v>0</v>
      </c>
      <c r="K269" s="28">
        <f t="shared" si="33"/>
        <v>80072.129999999961</v>
      </c>
      <c r="L269" s="28">
        <f t="shared" si="34"/>
        <v>250000</v>
      </c>
      <c r="M269" s="29" t="str">
        <f>IF($D269&lt;=0,"",IF(Übersicht!$C$11=0,0,$L269/Übersicht!$C$11))</f>
        <v/>
      </c>
      <c r="N269" s="30" t="str">
        <f>IF($D269&lt;=0,"",IF($J269&lt;=0.005,"Volltilgung erreicht",IF($A269=Übersicht!$C$19*Übersicht!$C$25,"Ende der Zinsbindung",IF($H269&gt;0,"Sondertilgung verrechnet",""))))</f>
        <v/>
      </c>
      <c r="Q269" s="38">
        <f>IF($S268&lt;=0,0,ROUND($S268*Übersicht!$C$26,2))</f>
        <v>137.76</v>
      </c>
      <c r="R269" s="38">
        <f>IF($S268&lt;=0,0,MIN($S268,IF(Übersicht!$C$14="Annuitätendarlehen",MAX(0,Übersicht!$C$28-$Q269),IF(Übersicht!$C$14="Ratendarlehen",Übersicht!$C$29,IF($A269&gt;=Übersicht!$C$30,$S268,0)))))</f>
        <v>1101.82</v>
      </c>
      <c r="S269" s="38">
        <f>IF($S268&lt;=0,0,ROUND($S268-$R269-IF($S268-$R269&lt;=0,0,IF(MOD($A269,Übersicht!$C$25)=0,MIN(Szenarien!$C$8,$S268-$R269),0)),2))</f>
        <v>46813.27</v>
      </c>
      <c r="T269" s="38">
        <f>IF($V268&lt;=0,0,ROUND($V268*Übersicht!$C$26,2))</f>
        <v>0</v>
      </c>
      <c r="U269" s="38">
        <f>IF($V268&lt;=0,0,MIN($V268,IF(Übersicht!$C$14="Annuitätendarlehen",MAX(0,Übersicht!$C$28-$T269),IF(Übersicht!$C$14="Ratendarlehen",Übersicht!$C$29,IF($A269&gt;=Übersicht!$C$30,$V268,0)))))</f>
        <v>0</v>
      </c>
      <c r="V269" s="38">
        <f>IF($V268&lt;=0,0,ROUND($V268-$U269-IF($V268-$U269&lt;=0,0,IF(MOD($A269,Übersicht!$C$25)=0,MIN(Szenarien!$C$9,$V268-$U269),0)),2))</f>
        <v>0</v>
      </c>
      <c r="W269" s="38">
        <f>IF($Y268&lt;=0,0,ROUND($Y268*Übersicht!$C$26,2))</f>
        <v>0</v>
      </c>
      <c r="X269" s="38">
        <f>IF($Y268&lt;=0,0,MIN($Y268,IF(Übersicht!$C$14="Annuitätendarlehen",MAX(0,Übersicht!$C$28-$W269),IF(Übersicht!$C$14="Ratendarlehen",Übersicht!$C$29,IF($A269&gt;=Übersicht!$C$30,$Y268,0)))))</f>
        <v>0</v>
      </c>
      <c r="Y269" s="38">
        <f>IF($Y268&lt;=0,0,ROUND($Y268-$X269-IF($Y268-$X269&lt;=0,0,IF(MOD($A269,Übersicht!$C$25)=0,MIN(Szenarien!$C$10,$Y268-$X269),0)),2))</f>
        <v>0</v>
      </c>
      <c r="Z269" s="38">
        <f>IF($AB268&lt;=0,0,ROUND($AB268*Übersicht!$C$26,2))</f>
        <v>0</v>
      </c>
      <c r="AA269" s="38">
        <f>IF($AB268&lt;=0,0,MIN($AB268,IF(Übersicht!$C$14="Annuitätendarlehen",MAX(0,Übersicht!$C$28-$Z269),IF(Übersicht!$C$14="Ratendarlehen",Übersicht!$C$29,IF($A269&gt;=Übersicht!$C$30,$AB268,0)))))</f>
        <v>0</v>
      </c>
      <c r="AB269" s="38">
        <f>IF($AB268&lt;=0,0,ROUND($AB268-$AA269-IF($AB268-$AA269&lt;=0,0,IF(MOD($A269,Übersicht!$C$25)=0,MIN(Szenarien!$C$11,$AB268-$AA269),0)),2))</f>
        <v>0</v>
      </c>
      <c r="AC269" s="38">
        <f>IF($AE268&lt;=0,0,ROUND($AE268*Übersicht!$C$26,2))</f>
        <v>0</v>
      </c>
      <c r="AD269" s="38">
        <f>IF($AE268&lt;=0,0,MIN($AE268,IF(Übersicht!$C$14="Annuitätendarlehen",MAX(0,Übersicht!$C$28-$AC269),IF(Übersicht!$C$14="Ratendarlehen",Übersicht!$C$29,IF($A269&gt;=Übersicht!$C$30,$AE268,0)))))</f>
        <v>0</v>
      </c>
      <c r="AE269" s="38">
        <f>IF($AE268&lt;=0,0,ROUND($AE268-$AD269-IF($AE268-$AD269&lt;=0,0,IF(MOD($A269,Übersicht!$C$25)=0,MIN(Szenarien!$C$12,$AE268-$AD269),0)),2))</f>
        <v>0</v>
      </c>
    </row>
    <row r="270" spans="1:31" ht="15" customHeight="1" x14ac:dyDescent="0.25">
      <c r="A270" s="21">
        <v>263</v>
      </c>
      <c r="B270" s="36" t="str">
        <f>IF($D270&lt;=0,"",EDATE(Übersicht!$C$18,($A270-1)*12/Übersicht!$C$25))</f>
        <v/>
      </c>
      <c r="C270" s="21" t="str">
        <f t="shared" si="28"/>
        <v/>
      </c>
      <c r="D270" s="37">
        <f t="shared" si="32"/>
        <v>0</v>
      </c>
      <c r="E270" s="23">
        <f t="shared" si="29"/>
        <v>0</v>
      </c>
      <c r="F270" s="23">
        <f>IF($D270&lt;=0,0,ROUND($D270*Übersicht!$C$26,2))</f>
        <v>0</v>
      </c>
      <c r="G270" s="23">
        <f>IF($D270&lt;=0,0,MIN($D270,IF(Übersicht!$C$14="Annuitätendarlehen",MAX(0,Übersicht!$C$28-$F270),IF(Übersicht!$C$14="Ratendarlehen",Übersicht!$C$29,IF($A270&gt;=Übersicht!$C$30,$D270,0)))))</f>
        <v>0</v>
      </c>
      <c r="H270" s="23">
        <f>IF($D270-$G270&lt;=0,0,IF(MOD($A270,Übersicht!$C$25)=0,MIN(Übersicht!$C$31,$D270-$G270),0))</f>
        <v>0</v>
      </c>
      <c r="I270" s="23">
        <f t="shared" si="30"/>
        <v>0</v>
      </c>
      <c r="J270" s="23">
        <f t="shared" si="31"/>
        <v>0</v>
      </c>
      <c r="K270" s="23">
        <f t="shared" si="33"/>
        <v>80072.129999999961</v>
      </c>
      <c r="L270" s="23">
        <f t="shared" si="34"/>
        <v>250000</v>
      </c>
      <c r="M270" s="24" t="str">
        <f>IF($D270&lt;=0,"",IF(Übersicht!$C$11=0,0,$L270/Übersicht!$C$11))</f>
        <v/>
      </c>
      <c r="N270" s="25" t="str">
        <f>IF($D270&lt;=0,"",IF($J270&lt;=0.005,"Volltilgung erreicht",IF($A270=Übersicht!$C$19*Übersicht!$C$25,"Ende der Zinsbindung",IF($H270&gt;0,"Sondertilgung verrechnet",""))))</f>
        <v/>
      </c>
      <c r="Q270" s="38">
        <f>IF($S269&lt;=0,0,ROUND($S269*Übersicht!$C$26,2))</f>
        <v>134.59</v>
      </c>
      <c r="R270" s="38">
        <f>IF($S269&lt;=0,0,MIN($S269,IF(Übersicht!$C$14="Annuitätendarlehen",MAX(0,Übersicht!$C$28-$Q270),IF(Übersicht!$C$14="Ratendarlehen",Übersicht!$C$29,IF($A270&gt;=Übersicht!$C$30,$S269,0)))))</f>
        <v>1104.99</v>
      </c>
      <c r="S270" s="38">
        <f>IF($S269&lt;=0,0,ROUND($S269-$R270-IF($S269-$R270&lt;=0,0,IF(MOD($A270,Übersicht!$C$25)=0,MIN(Szenarien!$C$8,$S269-$R270),0)),2))</f>
        <v>45708.28</v>
      </c>
      <c r="T270" s="38">
        <f>IF($V269&lt;=0,0,ROUND($V269*Übersicht!$C$26,2))</f>
        <v>0</v>
      </c>
      <c r="U270" s="38">
        <f>IF($V269&lt;=0,0,MIN($V269,IF(Übersicht!$C$14="Annuitätendarlehen",MAX(0,Übersicht!$C$28-$T270),IF(Übersicht!$C$14="Ratendarlehen",Übersicht!$C$29,IF($A270&gt;=Übersicht!$C$30,$V269,0)))))</f>
        <v>0</v>
      </c>
      <c r="V270" s="38">
        <f>IF($V269&lt;=0,0,ROUND($V269-$U270-IF($V269-$U270&lt;=0,0,IF(MOD($A270,Übersicht!$C$25)=0,MIN(Szenarien!$C$9,$V269-$U270),0)),2))</f>
        <v>0</v>
      </c>
      <c r="W270" s="38">
        <f>IF($Y269&lt;=0,0,ROUND($Y269*Übersicht!$C$26,2))</f>
        <v>0</v>
      </c>
      <c r="X270" s="38">
        <f>IF($Y269&lt;=0,0,MIN($Y269,IF(Übersicht!$C$14="Annuitätendarlehen",MAX(0,Übersicht!$C$28-$W270),IF(Übersicht!$C$14="Ratendarlehen",Übersicht!$C$29,IF($A270&gt;=Übersicht!$C$30,$Y269,0)))))</f>
        <v>0</v>
      </c>
      <c r="Y270" s="38">
        <f>IF($Y269&lt;=0,0,ROUND($Y269-$X270-IF($Y269-$X270&lt;=0,0,IF(MOD($A270,Übersicht!$C$25)=0,MIN(Szenarien!$C$10,$Y269-$X270),0)),2))</f>
        <v>0</v>
      </c>
      <c r="Z270" s="38">
        <f>IF($AB269&lt;=0,0,ROUND($AB269*Übersicht!$C$26,2))</f>
        <v>0</v>
      </c>
      <c r="AA270" s="38">
        <f>IF($AB269&lt;=0,0,MIN($AB269,IF(Übersicht!$C$14="Annuitätendarlehen",MAX(0,Übersicht!$C$28-$Z270),IF(Übersicht!$C$14="Ratendarlehen",Übersicht!$C$29,IF($A270&gt;=Übersicht!$C$30,$AB269,0)))))</f>
        <v>0</v>
      </c>
      <c r="AB270" s="38">
        <f>IF($AB269&lt;=0,0,ROUND($AB269-$AA270-IF($AB269-$AA270&lt;=0,0,IF(MOD($A270,Übersicht!$C$25)=0,MIN(Szenarien!$C$11,$AB269-$AA270),0)),2))</f>
        <v>0</v>
      </c>
      <c r="AC270" s="38">
        <f>IF($AE269&lt;=0,0,ROUND($AE269*Übersicht!$C$26,2))</f>
        <v>0</v>
      </c>
      <c r="AD270" s="38">
        <f>IF($AE269&lt;=0,0,MIN($AE269,IF(Übersicht!$C$14="Annuitätendarlehen",MAX(0,Übersicht!$C$28-$AC270),IF(Übersicht!$C$14="Ratendarlehen",Übersicht!$C$29,IF($A270&gt;=Übersicht!$C$30,$AE269,0)))))</f>
        <v>0</v>
      </c>
      <c r="AE270" s="38">
        <f>IF($AE269&lt;=0,0,ROUND($AE269-$AD270-IF($AE269-$AD270&lt;=0,0,IF(MOD($A270,Übersicht!$C$25)=0,MIN(Szenarien!$C$12,$AE269-$AD270),0)),2))</f>
        <v>0</v>
      </c>
    </row>
    <row r="271" spans="1:31" ht="15" customHeight="1" x14ac:dyDescent="0.25">
      <c r="A271" s="26">
        <v>264</v>
      </c>
      <c r="B271" s="39" t="str">
        <f>IF($D271&lt;=0,"",EDATE(Übersicht!$C$18,($A271-1)*12/Übersicht!$C$25))</f>
        <v/>
      </c>
      <c r="C271" s="26" t="str">
        <f t="shared" si="28"/>
        <v/>
      </c>
      <c r="D271" s="40">
        <f t="shared" si="32"/>
        <v>0</v>
      </c>
      <c r="E271" s="28">
        <f t="shared" si="29"/>
        <v>0</v>
      </c>
      <c r="F271" s="28">
        <f>IF($D271&lt;=0,0,ROUND($D271*Übersicht!$C$26,2))</f>
        <v>0</v>
      </c>
      <c r="G271" s="28">
        <f>IF($D271&lt;=0,0,MIN($D271,IF(Übersicht!$C$14="Annuitätendarlehen",MAX(0,Übersicht!$C$28-$F271),IF(Übersicht!$C$14="Ratendarlehen",Übersicht!$C$29,IF($A271&gt;=Übersicht!$C$30,$D271,0)))))</f>
        <v>0</v>
      </c>
      <c r="H271" s="28">
        <f>IF($D271-$G271&lt;=0,0,IF(MOD($A271,Übersicht!$C$25)=0,MIN(Übersicht!$C$31,$D271-$G271),0))</f>
        <v>0</v>
      </c>
      <c r="I271" s="28">
        <f t="shared" si="30"/>
        <v>0</v>
      </c>
      <c r="J271" s="28">
        <f t="shared" si="31"/>
        <v>0</v>
      </c>
      <c r="K271" s="28">
        <f t="shared" si="33"/>
        <v>80072.129999999961</v>
      </c>
      <c r="L271" s="28">
        <f t="shared" si="34"/>
        <v>250000</v>
      </c>
      <c r="M271" s="29" t="str">
        <f>IF($D271&lt;=0,"",IF(Übersicht!$C$11=0,0,$L271/Übersicht!$C$11))</f>
        <v/>
      </c>
      <c r="N271" s="30" t="str">
        <f>IF($D271&lt;=0,"",IF($J271&lt;=0.005,"Volltilgung erreicht",IF($A271=Übersicht!$C$19*Übersicht!$C$25,"Ende der Zinsbindung",IF($H271&gt;0,"Sondertilgung verrechnet",""))))</f>
        <v/>
      </c>
      <c r="Q271" s="38">
        <f>IF($S270&lt;=0,0,ROUND($S270*Übersicht!$C$26,2))</f>
        <v>131.41</v>
      </c>
      <c r="R271" s="38">
        <f>IF($S270&lt;=0,0,MIN($S270,IF(Übersicht!$C$14="Annuitätendarlehen",MAX(0,Übersicht!$C$28-$Q271),IF(Übersicht!$C$14="Ratendarlehen",Übersicht!$C$29,IF($A271&gt;=Übersicht!$C$30,$S270,0)))))</f>
        <v>1108.1699999999998</v>
      </c>
      <c r="S271" s="38">
        <f>IF($S270&lt;=0,0,ROUND($S270-$R271-IF($S270-$R271&lt;=0,0,IF(MOD($A271,Übersicht!$C$25)=0,MIN(Szenarien!$C$8,$S270-$R271),0)),2))</f>
        <v>44600.11</v>
      </c>
      <c r="T271" s="38">
        <f>IF($V270&lt;=0,0,ROUND($V270*Übersicht!$C$26,2))</f>
        <v>0</v>
      </c>
      <c r="U271" s="38">
        <f>IF($V270&lt;=0,0,MIN($V270,IF(Übersicht!$C$14="Annuitätendarlehen",MAX(0,Übersicht!$C$28-$T271),IF(Übersicht!$C$14="Ratendarlehen",Übersicht!$C$29,IF($A271&gt;=Übersicht!$C$30,$V270,0)))))</f>
        <v>0</v>
      </c>
      <c r="V271" s="38">
        <f>IF($V270&lt;=0,0,ROUND($V270-$U271-IF($V270-$U271&lt;=0,0,IF(MOD($A271,Übersicht!$C$25)=0,MIN(Szenarien!$C$9,$V270-$U271),0)),2))</f>
        <v>0</v>
      </c>
      <c r="W271" s="38">
        <f>IF($Y270&lt;=0,0,ROUND($Y270*Übersicht!$C$26,2))</f>
        <v>0</v>
      </c>
      <c r="X271" s="38">
        <f>IF($Y270&lt;=0,0,MIN($Y270,IF(Übersicht!$C$14="Annuitätendarlehen",MAX(0,Übersicht!$C$28-$W271),IF(Übersicht!$C$14="Ratendarlehen",Übersicht!$C$29,IF($A271&gt;=Übersicht!$C$30,$Y270,0)))))</f>
        <v>0</v>
      </c>
      <c r="Y271" s="38">
        <f>IF($Y270&lt;=0,0,ROUND($Y270-$X271-IF($Y270-$X271&lt;=0,0,IF(MOD($A271,Übersicht!$C$25)=0,MIN(Szenarien!$C$10,$Y270-$X271),0)),2))</f>
        <v>0</v>
      </c>
      <c r="Z271" s="38">
        <f>IF($AB270&lt;=0,0,ROUND($AB270*Übersicht!$C$26,2))</f>
        <v>0</v>
      </c>
      <c r="AA271" s="38">
        <f>IF($AB270&lt;=0,0,MIN($AB270,IF(Übersicht!$C$14="Annuitätendarlehen",MAX(0,Übersicht!$C$28-$Z271),IF(Übersicht!$C$14="Ratendarlehen",Übersicht!$C$29,IF($A271&gt;=Übersicht!$C$30,$AB270,0)))))</f>
        <v>0</v>
      </c>
      <c r="AB271" s="38">
        <f>IF($AB270&lt;=0,0,ROUND($AB270-$AA271-IF($AB270-$AA271&lt;=0,0,IF(MOD($A271,Übersicht!$C$25)=0,MIN(Szenarien!$C$11,$AB270-$AA271),0)),2))</f>
        <v>0</v>
      </c>
      <c r="AC271" s="38">
        <f>IF($AE270&lt;=0,0,ROUND($AE270*Übersicht!$C$26,2))</f>
        <v>0</v>
      </c>
      <c r="AD271" s="38">
        <f>IF($AE270&lt;=0,0,MIN($AE270,IF(Übersicht!$C$14="Annuitätendarlehen",MAX(0,Übersicht!$C$28-$AC271),IF(Übersicht!$C$14="Ratendarlehen",Übersicht!$C$29,IF($A271&gt;=Übersicht!$C$30,$AE270,0)))))</f>
        <v>0</v>
      </c>
      <c r="AE271" s="38">
        <f>IF($AE270&lt;=0,0,ROUND($AE270-$AD271-IF($AE270-$AD271&lt;=0,0,IF(MOD($A271,Übersicht!$C$25)=0,MIN(Szenarien!$C$12,$AE270-$AD271),0)),2))</f>
        <v>0</v>
      </c>
    </row>
    <row r="272" spans="1:31" ht="15" customHeight="1" x14ac:dyDescent="0.25">
      <c r="A272" s="21">
        <v>265</v>
      </c>
      <c r="B272" s="36" t="str">
        <f>IF($D272&lt;=0,"",EDATE(Übersicht!$C$18,($A272-1)*12/Übersicht!$C$25))</f>
        <v/>
      </c>
      <c r="C272" s="21" t="str">
        <f t="shared" si="28"/>
        <v/>
      </c>
      <c r="D272" s="37">
        <f t="shared" si="32"/>
        <v>0</v>
      </c>
      <c r="E272" s="23">
        <f t="shared" si="29"/>
        <v>0</v>
      </c>
      <c r="F272" s="23">
        <f>IF($D272&lt;=0,0,ROUND($D272*Übersicht!$C$26,2))</f>
        <v>0</v>
      </c>
      <c r="G272" s="23">
        <f>IF($D272&lt;=0,0,MIN($D272,IF(Übersicht!$C$14="Annuitätendarlehen",MAX(0,Übersicht!$C$28-$F272),IF(Übersicht!$C$14="Ratendarlehen",Übersicht!$C$29,IF($A272&gt;=Übersicht!$C$30,$D272,0)))))</f>
        <v>0</v>
      </c>
      <c r="H272" s="23">
        <f>IF($D272-$G272&lt;=0,0,IF(MOD($A272,Übersicht!$C$25)=0,MIN(Übersicht!$C$31,$D272-$G272),0))</f>
        <v>0</v>
      </c>
      <c r="I272" s="23">
        <f t="shared" si="30"/>
        <v>0</v>
      </c>
      <c r="J272" s="23">
        <f t="shared" si="31"/>
        <v>0</v>
      </c>
      <c r="K272" s="23">
        <f t="shared" si="33"/>
        <v>80072.129999999961</v>
      </c>
      <c r="L272" s="23">
        <f t="shared" si="34"/>
        <v>250000</v>
      </c>
      <c r="M272" s="24" t="str">
        <f>IF($D272&lt;=0,"",IF(Übersicht!$C$11=0,0,$L272/Übersicht!$C$11))</f>
        <v/>
      </c>
      <c r="N272" s="25" t="str">
        <f>IF($D272&lt;=0,"",IF($J272&lt;=0.005,"Volltilgung erreicht",IF($A272=Übersicht!$C$19*Übersicht!$C$25,"Ende der Zinsbindung",IF($H272&gt;0,"Sondertilgung verrechnet",""))))</f>
        <v/>
      </c>
      <c r="Q272" s="38">
        <f>IF($S271&lt;=0,0,ROUND($S271*Übersicht!$C$26,2))</f>
        <v>128.22999999999999</v>
      </c>
      <c r="R272" s="38">
        <f>IF($S271&lt;=0,0,MIN($S271,IF(Übersicht!$C$14="Annuitätendarlehen",MAX(0,Übersicht!$C$28-$Q272),IF(Übersicht!$C$14="Ratendarlehen",Übersicht!$C$29,IF($A272&gt;=Übersicht!$C$30,$S271,0)))))</f>
        <v>1111.3499999999999</v>
      </c>
      <c r="S272" s="38">
        <f>IF($S271&lt;=0,0,ROUND($S271-$R272-IF($S271-$R272&lt;=0,0,IF(MOD($A272,Übersicht!$C$25)=0,MIN(Szenarien!$C$8,$S271-$R272),0)),2))</f>
        <v>43488.76</v>
      </c>
      <c r="T272" s="38">
        <f>IF($V271&lt;=0,0,ROUND($V271*Übersicht!$C$26,2))</f>
        <v>0</v>
      </c>
      <c r="U272" s="38">
        <f>IF($V271&lt;=0,0,MIN($V271,IF(Übersicht!$C$14="Annuitätendarlehen",MAX(0,Übersicht!$C$28-$T272),IF(Übersicht!$C$14="Ratendarlehen",Übersicht!$C$29,IF($A272&gt;=Übersicht!$C$30,$V271,0)))))</f>
        <v>0</v>
      </c>
      <c r="V272" s="38">
        <f>IF($V271&lt;=0,0,ROUND($V271-$U272-IF($V271-$U272&lt;=0,0,IF(MOD($A272,Übersicht!$C$25)=0,MIN(Szenarien!$C$9,$V271-$U272),0)),2))</f>
        <v>0</v>
      </c>
      <c r="W272" s="38">
        <f>IF($Y271&lt;=0,0,ROUND($Y271*Übersicht!$C$26,2))</f>
        <v>0</v>
      </c>
      <c r="X272" s="38">
        <f>IF($Y271&lt;=0,0,MIN($Y271,IF(Übersicht!$C$14="Annuitätendarlehen",MAX(0,Übersicht!$C$28-$W272),IF(Übersicht!$C$14="Ratendarlehen",Übersicht!$C$29,IF($A272&gt;=Übersicht!$C$30,$Y271,0)))))</f>
        <v>0</v>
      </c>
      <c r="Y272" s="38">
        <f>IF($Y271&lt;=0,0,ROUND($Y271-$X272-IF($Y271-$X272&lt;=0,0,IF(MOD($A272,Übersicht!$C$25)=0,MIN(Szenarien!$C$10,$Y271-$X272),0)),2))</f>
        <v>0</v>
      </c>
      <c r="Z272" s="38">
        <f>IF($AB271&lt;=0,0,ROUND($AB271*Übersicht!$C$26,2))</f>
        <v>0</v>
      </c>
      <c r="AA272" s="38">
        <f>IF($AB271&lt;=0,0,MIN($AB271,IF(Übersicht!$C$14="Annuitätendarlehen",MAX(0,Übersicht!$C$28-$Z272),IF(Übersicht!$C$14="Ratendarlehen",Übersicht!$C$29,IF($A272&gt;=Übersicht!$C$30,$AB271,0)))))</f>
        <v>0</v>
      </c>
      <c r="AB272" s="38">
        <f>IF($AB271&lt;=0,0,ROUND($AB271-$AA272-IF($AB271-$AA272&lt;=0,0,IF(MOD($A272,Übersicht!$C$25)=0,MIN(Szenarien!$C$11,$AB271-$AA272),0)),2))</f>
        <v>0</v>
      </c>
      <c r="AC272" s="38">
        <f>IF($AE271&lt;=0,0,ROUND($AE271*Übersicht!$C$26,2))</f>
        <v>0</v>
      </c>
      <c r="AD272" s="38">
        <f>IF($AE271&lt;=0,0,MIN($AE271,IF(Übersicht!$C$14="Annuitätendarlehen",MAX(0,Übersicht!$C$28-$AC272),IF(Übersicht!$C$14="Ratendarlehen",Übersicht!$C$29,IF($A272&gt;=Übersicht!$C$30,$AE271,0)))))</f>
        <v>0</v>
      </c>
      <c r="AE272" s="38">
        <f>IF($AE271&lt;=0,0,ROUND($AE271-$AD272-IF($AE271-$AD272&lt;=0,0,IF(MOD($A272,Übersicht!$C$25)=0,MIN(Szenarien!$C$12,$AE271-$AD272),0)),2))</f>
        <v>0</v>
      </c>
    </row>
    <row r="273" spans="1:31" ht="15" customHeight="1" x14ac:dyDescent="0.25">
      <c r="A273" s="26">
        <v>266</v>
      </c>
      <c r="B273" s="39" t="str">
        <f>IF($D273&lt;=0,"",EDATE(Übersicht!$C$18,($A273-1)*12/Übersicht!$C$25))</f>
        <v/>
      </c>
      <c r="C273" s="26" t="str">
        <f t="shared" si="28"/>
        <v/>
      </c>
      <c r="D273" s="40">
        <f t="shared" si="32"/>
        <v>0</v>
      </c>
      <c r="E273" s="28">
        <f t="shared" si="29"/>
        <v>0</v>
      </c>
      <c r="F273" s="28">
        <f>IF($D273&lt;=0,0,ROUND($D273*Übersicht!$C$26,2))</f>
        <v>0</v>
      </c>
      <c r="G273" s="28">
        <f>IF($D273&lt;=0,0,MIN($D273,IF(Übersicht!$C$14="Annuitätendarlehen",MAX(0,Übersicht!$C$28-$F273),IF(Übersicht!$C$14="Ratendarlehen",Übersicht!$C$29,IF($A273&gt;=Übersicht!$C$30,$D273,0)))))</f>
        <v>0</v>
      </c>
      <c r="H273" s="28">
        <f>IF($D273-$G273&lt;=0,0,IF(MOD($A273,Übersicht!$C$25)=0,MIN(Übersicht!$C$31,$D273-$G273),0))</f>
        <v>0</v>
      </c>
      <c r="I273" s="28">
        <f t="shared" si="30"/>
        <v>0</v>
      </c>
      <c r="J273" s="28">
        <f t="shared" si="31"/>
        <v>0</v>
      </c>
      <c r="K273" s="28">
        <f t="shared" si="33"/>
        <v>80072.129999999961</v>
      </c>
      <c r="L273" s="28">
        <f t="shared" si="34"/>
        <v>250000</v>
      </c>
      <c r="M273" s="29" t="str">
        <f>IF($D273&lt;=0,"",IF(Übersicht!$C$11=0,0,$L273/Übersicht!$C$11))</f>
        <v/>
      </c>
      <c r="N273" s="30" t="str">
        <f>IF($D273&lt;=0,"",IF($J273&lt;=0.005,"Volltilgung erreicht",IF($A273=Übersicht!$C$19*Übersicht!$C$25,"Ende der Zinsbindung",IF($H273&gt;0,"Sondertilgung verrechnet",""))))</f>
        <v/>
      </c>
      <c r="Q273" s="38">
        <f>IF($S272&lt;=0,0,ROUND($S272*Übersicht!$C$26,2))</f>
        <v>125.03</v>
      </c>
      <c r="R273" s="38">
        <f>IF($S272&lt;=0,0,MIN($S272,IF(Übersicht!$C$14="Annuitätendarlehen",MAX(0,Übersicht!$C$28-$Q273),IF(Übersicht!$C$14="Ratendarlehen",Übersicht!$C$29,IF($A273&gt;=Übersicht!$C$30,$S272,0)))))</f>
        <v>1114.55</v>
      </c>
      <c r="S273" s="38">
        <f>IF($S272&lt;=0,0,ROUND($S272-$R273-IF($S272-$R273&lt;=0,0,IF(MOD($A273,Übersicht!$C$25)=0,MIN(Szenarien!$C$8,$S272-$R273),0)),2))</f>
        <v>42374.21</v>
      </c>
      <c r="T273" s="38">
        <f>IF($V272&lt;=0,0,ROUND($V272*Übersicht!$C$26,2))</f>
        <v>0</v>
      </c>
      <c r="U273" s="38">
        <f>IF($V272&lt;=0,0,MIN($V272,IF(Übersicht!$C$14="Annuitätendarlehen",MAX(0,Übersicht!$C$28-$T273),IF(Übersicht!$C$14="Ratendarlehen",Übersicht!$C$29,IF($A273&gt;=Übersicht!$C$30,$V272,0)))))</f>
        <v>0</v>
      </c>
      <c r="V273" s="38">
        <f>IF($V272&lt;=0,0,ROUND($V272-$U273-IF($V272-$U273&lt;=0,0,IF(MOD($A273,Übersicht!$C$25)=0,MIN(Szenarien!$C$9,$V272-$U273),0)),2))</f>
        <v>0</v>
      </c>
      <c r="W273" s="38">
        <f>IF($Y272&lt;=0,0,ROUND($Y272*Übersicht!$C$26,2))</f>
        <v>0</v>
      </c>
      <c r="X273" s="38">
        <f>IF($Y272&lt;=0,0,MIN($Y272,IF(Übersicht!$C$14="Annuitätendarlehen",MAX(0,Übersicht!$C$28-$W273),IF(Übersicht!$C$14="Ratendarlehen",Übersicht!$C$29,IF($A273&gt;=Übersicht!$C$30,$Y272,0)))))</f>
        <v>0</v>
      </c>
      <c r="Y273" s="38">
        <f>IF($Y272&lt;=0,0,ROUND($Y272-$X273-IF($Y272-$X273&lt;=0,0,IF(MOD($A273,Übersicht!$C$25)=0,MIN(Szenarien!$C$10,$Y272-$X273),0)),2))</f>
        <v>0</v>
      </c>
      <c r="Z273" s="38">
        <f>IF($AB272&lt;=0,0,ROUND($AB272*Übersicht!$C$26,2))</f>
        <v>0</v>
      </c>
      <c r="AA273" s="38">
        <f>IF($AB272&lt;=0,0,MIN($AB272,IF(Übersicht!$C$14="Annuitätendarlehen",MAX(0,Übersicht!$C$28-$Z273),IF(Übersicht!$C$14="Ratendarlehen",Übersicht!$C$29,IF($A273&gt;=Übersicht!$C$30,$AB272,0)))))</f>
        <v>0</v>
      </c>
      <c r="AB273" s="38">
        <f>IF($AB272&lt;=0,0,ROUND($AB272-$AA273-IF($AB272-$AA273&lt;=0,0,IF(MOD($A273,Übersicht!$C$25)=0,MIN(Szenarien!$C$11,$AB272-$AA273),0)),2))</f>
        <v>0</v>
      </c>
      <c r="AC273" s="38">
        <f>IF($AE272&lt;=0,0,ROUND($AE272*Übersicht!$C$26,2))</f>
        <v>0</v>
      </c>
      <c r="AD273" s="38">
        <f>IF($AE272&lt;=0,0,MIN($AE272,IF(Übersicht!$C$14="Annuitätendarlehen",MAX(0,Übersicht!$C$28-$AC273),IF(Übersicht!$C$14="Ratendarlehen",Übersicht!$C$29,IF($A273&gt;=Übersicht!$C$30,$AE272,0)))))</f>
        <v>0</v>
      </c>
      <c r="AE273" s="38">
        <f>IF($AE272&lt;=0,0,ROUND($AE272-$AD273-IF($AE272-$AD273&lt;=0,0,IF(MOD($A273,Übersicht!$C$25)=0,MIN(Szenarien!$C$12,$AE272-$AD273),0)),2))</f>
        <v>0</v>
      </c>
    </row>
    <row r="274" spans="1:31" ht="15" customHeight="1" x14ac:dyDescent="0.25">
      <c r="A274" s="21">
        <v>267</v>
      </c>
      <c r="B274" s="36" t="str">
        <f>IF($D274&lt;=0,"",EDATE(Übersicht!$C$18,($A274-1)*12/Übersicht!$C$25))</f>
        <v/>
      </c>
      <c r="C274" s="21" t="str">
        <f t="shared" si="28"/>
        <v/>
      </c>
      <c r="D274" s="37">
        <f t="shared" si="32"/>
        <v>0</v>
      </c>
      <c r="E274" s="23">
        <f t="shared" si="29"/>
        <v>0</v>
      </c>
      <c r="F274" s="23">
        <f>IF($D274&lt;=0,0,ROUND($D274*Übersicht!$C$26,2))</f>
        <v>0</v>
      </c>
      <c r="G274" s="23">
        <f>IF($D274&lt;=0,0,MIN($D274,IF(Übersicht!$C$14="Annuitätendarlehen",MAX(0,Übersicht!$C$28-$F274),IF(Übersicht!$C$14="Ratendarlehen",Übersicht!$C$29,IF($A274&gt;=Übersicht!$C$30,$D274,0)))))</f>
        <v>0</v>
      </c>
      <c r="H274" s="23">
        <f>IF($D274-$G274&lt;=0,0,IF(MOD($A274,Übersicht!$C$25)=0,MIN(Übersicht!$C$31,$D274-$G274),0))</f>
        <v>0</v>
      </c>
      <c r="I274" s="23">
        <f t="shared" si="30"/>
        <v>0</v>
      </c>
      <c r="J274" s="23">
        <f t="shared" si="31"/>
        <v>0</v>
      </c>
      <c r="K274" s="23">
        <f t="shared" si="33"/>
        <v>80072.129999999961</v>
      </c>
      <c r="L274" s="23">
        <f t="shared" si="34"/>
        <v>250000</v>
      </c>
      <c r="M274" s="24" t="str">
        <f>IF($D274&lt;=0,"",IF(Übersicht!$C$11=0,0,$L274/Übersicht!$C$11))</f>
        <v/>
      </c>
      <c r="N274" s="25" t="str">
        <f>IF($D274&lt;=0,"",IF($J274&lt;=0.005,"Volltilgung erreicht",IF($A274=Übersicht!$C$19*Übersicht!$C$25,"Ende der Zinsbindung",IF($H274&gt;0,"Sondertilgung verrechnet",""))))</f>
        <v/>
      </c>
      <c r="Q274" s="38">
        <f>IF($S273&lt;=0,0,ROUND($S273*Übersicht!$C$26,2))</f>
        <v>121.83</v>
      </c>
      <c r="R274" s="38">
        <f>IF($S273&lt;=0,0,MIN($S273,IF(Übersicht!$C$14="Annuitätendarlehen",MAX(0,Übersicht!$C$28-$Q274),IF(Übersicht!$C$14="Ratendarlehen",Übersicht!$C$29,IF($A274&gt;=Übersicht!$C$30,$S273,0)))))</f>
        <v>1117.75</v>
      </c>
      <c r="S274" s="38">
        <f>IF($S273&lt;=0,0,ROUND($S273-$R274-IF($S273-$R274&lt;=0,0,IF(MOD($A274,Übersicht!$C$25)=0,MIN(Szenarien!$C$8,$S273-$R274),0)),2))</f>
        <v>41256.46</v>
      </c>
      <c r="T274" s="38">
        <f>IF($V273&lt;=0,0,ROUND($V273*Übersicht!$C$26,2))</f>
        <v>0</v>
      </c>
      <c r="U274" s="38">
        <f>IF($V273&lt;=0,0,MIN($V273,IF(Übersicht!$C$14="Annuitätendarlehen",MAX(0,Übersicht!$C$28-$T274),IF(Übersicht!$C$14="Ratendarlehen",Übersicht!$C$29,IF($A274&gt;=Übersicht!$C$30,$V273,0)))))</f>
        <v>0</v>
      </c>
      <c r="V274" s="38">
        <f>IF($V273&lt;=0,0,ROUND($V273-$U274-IF($V273-$U274&lt;=0,0,IF(MOD($A274,Übersicht!$C$25)=0,MIN(Szenarien!$C$9,$V273-$U274),0)),2))</f>
        <v>0</v>
      </c>
      <c r="W274" s="38">
        <f>IF($Y273&lt;=0,0,ROUND($Y273*Übersicht!$C$26,2))</f>
        <v>0</v>
      </c>
      <c r="X274" s="38">
        <f>IF($Y273&lt;=0,0,MIN($Y273,IF(Übersicht!$C$14="Annuitätendarlehen",MAX(0,Übersicht!$C$28-$W274),IF(Übersicht!$C$14="Ratendarlehen",Übersicht!$C$29,IF($A274&gt;=Übersicht!$C$30,$Y273,0)))))</f>
        <v>0</v>
      </c>
      <c r="Y274" s="38">
        <f>IF($Y273&lt;=0,0,ROUND($Y273-$X274-IF($Y273-$X274&lt;=0,0,IF(MOD($A274,Übersicht!$C$25)=0,MIN(Szenarien!$C$10,$Y273-$X274),0)),2))</f>
        <v>0</v>
      </c>
      <c r="Z274" s="38">
        <f>IF($AB273&lt;=0,0,ROUND($AB273*Übersicht!$C$26,2))</f>
        <v>0</v>
      </c>
      <c r="AA274" s="38">
        <f>IF($AB273&lt;=0,0,MIN($AB273,IF(Übersicht!$C$14="Annuitätendarlehen",MAX(0,Übersicht!$C$28-$Z274),IF(Übersicht!$C$14="Ratendarlehen",Übersicht!$C$29,IF($A274&gt;=Übersicht!$C$30,$AB273,0)))))</f>
        <v>0</v>
      </c>
      <c r="AB274" s="38">
        <f>IF($AB273&lt;=0,0,ROUND($AB273-$AA274-IF($AB273-$AA274&lt;=0,0,IF(MOD($A274,Übersicht!$C$25)=0,MIN(Szenarien!$C$11,$AB273-$AA274),0)),2))</f>
        <v>0</v>
      </c>
      <c r="AC274" s="38">
        <f>IF($AE273&lt;=0,0,ROUND($AE273*Übersicht!$C$26,2))</f>
        <v>0</v>
      </c>
      <c r="AD274" s="38">
        <f>IF($AE273&lt;=0,0,MIN($AE273,IF(Übersicht!$C$14="Annuitätendarlehen",MAX(0,Übersicht!$C$28-$AC274),IF(Übersicht!$C$14="Ratendarlehen",Übersicht!$C$29,IF($A274&gt;=Übersicht!$C$30,$AE273,0)))))</f>
        <v>0</v>
      </c>
      <c r="AE274" s="38">
        <f>IF($AE273&lt;=0,0,ROUND($AE273-$AD274-IF($AE273-$AD274&lt;=0,0,IF(MOD($A274,Übersicht!$C$25)=0,MIN(Szenarien!$C$12,$AE273-$AD274),0)),2))</f>
        <v>0</v>
      </c>
    </row>
    <row r="275" spans="1:31" ht="15" customHeight="1" x14ac:dyDescent="0.25">
      <c r="A275" s="26">
        <v>268</v>
      </c>
      <c r="B275" s="39" t="str">
        <f>IF($D275&lt;=0,"",EDATE(Übersicht!$C$18,($A275-1)*12/Übersicht!$C$25))</f>
        <v/>
      </c>
      <c r="C275" s="26" t="str">
        <f t="shared" si="28"/>
        <v/>
      </c>
      <c r="D275" s="40">
        <f t="shared" si="32"/>
        <v>0</v>
      </c>
      <c r="E275" s="28">
        <f t="shared" si="29"/>
        <v>0</v>
      </c>
      <c r="F275" s="28">
        <f>IF($D275&lt;=0,0,ROUND($D275*Übersicht!$C$26,2))</f>
        <v>0</v>
      </c>
      <c r="G275" s="28">
        <f>IF($D275&lt;=0,0,MIN($D275,IF(Übersicht!$C$14="Annuitätendarlehen",MAX(0,Übersicht!$C$28-$F275),IF(Übersicht!$C$14="Ratendarlehen",Übersicht!$C$29,IF($A275&gt;=Übersicht!$C$30,$D275,0)))))</f>
        <v>0</v>
      </c>
      <c r="H275" s="28">
        <f>IF($D275-$G275&lt;=0,0,IF(MOD($A275,Übersicht!$C$25)=0,MIN(Übersicht!$C$31,$D275-$G275),0))</f>
        <v>0</v>
      </c>
      <c r="I275" s="28">
        <f t="shared" si="30"/>
        <v>0</v>
      </c>
      <c r="J275" s="28">
        <f t="shared" si="31"/>
        <v>0</v>
      </c>
      <c r="K275" s="28">
        <f t="shared" si="33"/>
        <v>80072.129999999961</v>
      </c>
      <c r="L275" s="28">
        <f t="shared" si="34"/>
        <v>250000</v>
      </c>
      <c r="M275" s="29" t="str">
        <f>IF($D275&lt;=0,"",IF(Übersicht!$C$11=0,0,$L275/Übersicht!$C$11))</f>
        <v/>
      </c>
      <c r="N275" s="30" t="str">
        <f>IF($D275&lt;=0,"",IF($J275&lt;=0.005,"Volltilgung erreicht",IF($A275=Übersicht!$C$19*Übersicht!$C$25,"Ende der Zinsbindung",IF($H275&gt;0,"Sondertilgung verrechnet",""))))</f>
        <v/>
      </c>
      <c r="Q275" s="38">
        <f>IF($S274&lt;=0,0,ROUND($S274*Übersicht!$C$26,2))</f>
        <v>118.61</v>
      </c>
      <c r="R275" s="38">
        <f>IF($S274&lt;=0,0,MIN($S274,IF(Übersicht!$C$14="Annuitätendarlehen",MAX(0,Übersicht!$C$28-$Q275),IF(Übersicht!$C$14="Ratendarlehen",Übersicht!$C$29,IF($A275&gt;=Übersicht!$C$30,$S274,0)))))</f>
        <v>1120.97</v>
      </c>
      <c r="S275" s="38">
        <f>IF($S274&lt;=0,0,ROUND($S274-$R275-IF($S274-$R275&lt;=0,0,IF(MOD($A275,Übersicht!$C$25)=0,MIN(Szenarien!$C$8,$S274-$R275),0)),2))</f>
        <v>40135.49</v>
      </c>
      <c r="T275" s="38">
        <f>IF($V274&lt;=0,0,ROUND($V274*Übersicht!$C$26,2))</f>
        <v>0</v>
      </c>
      <c r="U275" s="38">
        <f>IF($V274&lt;=0,0,MIN($V274,IF(Übersicht!$C$14="Annuitätendarlehen",MAX(0,Übersicht!$C$28-$T275),IF(Übersicht!$C$14="Ratendarlehen",Übersicht!$C$29,IF($A275&gt;=Übersicht!$C$30,$V274,0)))))</f>
        <v>0</v>
      </c>
      <c r="V275" s="38">
        <f>IF($V274&lt;=0,0,ROUND($V274-$U275-IF($V274-$U275&lt;=0,0,IF(MOD($A275,Übersicht!$C$25)=0,MIN(Szenarien!$C$9,$V274-$U275),0)),2))</f>
        <v>0</v>
      </c>
      <c r="W275" s="38">
        <f>IF($Y274&lt;=0,0,ROUND($Y274*Übersicht!$C$26,2))</f>
        <v>0</v>
      </c>
      <c r="X275" s="38">
        <f>IF($Y274&lt;=0,0,MIN($Y274,IF(Übersicht!$C$14="Annuitätendarlehen",MAX(0,Übersicht!$C$28-$W275),IF(Übersicht!$C$14="Ratendarlehen",Übersicht!$C$29,IF($A275&gt;=Übersicht!$C$30,$Y274,0)))))</f>
        <v>0</v>
      </c>
      <c r="Y275" s="38">
        <f>IF($Y274&lt;=0,0,ROUND($Y274-$X275-IF($Y274-$X275&lt;=0,0,IF(MOD($A275,Übersicht!$C$25)=0,MIN(Szenarien!$C$10,$Y274-$X275),0)),2))</f>
        <v>0</v>
      </c>
      <c r="Z275" s="38">
        <f>IF($AB274&lt;=0,0,ROUND($AB274*Übersicht!$C$26,2))</f>
        <v>0</v>
      </c>
      <c r="AA275" s="38">
        <f>IF($AB274&lt;=0,0,MIN($AB274,IF(Übersicht!$C$14="Annuitätendarlehen",MAX(0,Übersicht!$C$28-$Z275),IF(Übersicht!$C$14="Ratendarlehen",Übersicht!$C$29,IF($A275&gt;=Übersicht!$C$30,$AB274,0)))))</f>
        <v>0</v>
      </c>
      <c r="AB275" s="38">
        <f>IF($AB274&lt;=0,0,ROUND($AB274-$AA275-IF($AB274-$AA275&lt;=0,0,IF(MOD($A275,Übersicht!$C$25)=0,MIN(Szenarien!$C$11,$AB274-$AA275),0)),2))</f>
        <v>0</v>
      </c>
      <c r="AC275" s="38">
        <f>IF($AE274&lt;=0,0,ROUND($AE274*Übersicht!$C$26,2))</f>
        <v>0</v>
      </c>
      <c r="AD275" s="38">
        <f>IF($AE274&lt;=0,0,MIN($AE274,IF(Übersicht!$C$14="Annuitätendarlehen",MAX(0,Übersicht!$C$28-$AC275),IF(Übersicht!$C$14="Ratendarlehen",Übersicht!$C$29,IF($A275&gt;=Übersicht!$C$30,$AE274,0)))))</f>
        <v>0</v>
      </c>
      <c r="AE275" s="38">
        <f>IF($AE274&lt;=0,0,ROUND($AE274-$AD275-IF($AE274-$AD275&lt;=0,0,IF(MOD($A275,Übersicht!$C$25)=0,MIN(Szenarien!$C$12,$AE274-$AD275),0)),2))</f>
        <v>0</v>
      </c>
    </row>
    <row r="276" spans="1:31" ht="15" customHeight="1" x14ac:dyDescent="0.25">
      <c r="A276" s="21">
        <v>269</v>
      </c>
      <c r="B276" s="36" t="str">
        <f>IF($D276&lt;=0,"",EDATE(Übersicht!$C$18,($A276-1)*12/Übersicht!$C$25))</f>
        <v/>
      </c>
      <c r="C276" s="21" t="str">
        <f t="shared" si="28"/>
        <v/>
      </c>
      <c r="D276" s="37">
        <f t="shared" si="32"/>
        <v>0</v>
      </c>
      <c r="E276" s="23">
        <f t="shared" si="29"/>
        <v>0</v>
      </c>
      <c r="F276" s="23">
        <f>IF($D276&lt;=0,0,ROUND($D276*Übersicht!$C$26,2))</f>
        <v>0</v>
      </c>
      <c r="G276" s="23">
        <f>IF($D276&lt;=0,0,MIN($D276,IF(Übersicht!$C$14="Annuitätendarlehen",MAX(0,Übersicht!$C$28-$F276),IF(Übersicht!$C$14="Ratendarlehen",Übersicht!$C$29,IF($A276&gt;=Übersicht!$C$30,$D276,0)))))</f>
        <v>0</v>
      </c>
      <c r="H276" s="23">
        <f>IF($D276-$G276&lt;=0,0,IF(MOD($A276,Übersicht!$C$25)=0,MIN(Übersicht!$C$31,$D276-$G276),0))</f>
        <v>0</v>
      </c>
      <c r="I276" s="23">
        <f t="shared" si="30"/>
        <v>0</v>
      </c>
      <c r="J276" s="23">
        <f t="shared" si="31"/>
        <v>0</v>
      </c>
      <c r="K276" s="23">
        <f t="shared" si="33"/>
        <v>80072.129999999961</v>
      </c>
      <c r="L276" s="23">
        <f t="shared" si="34"/>
        <v>250000</v>
      </c>
      <c r="M276" s="24" t="str">
        <f>IF($D276&lt;=0,"",IF(Übersicht!$C$11=0,0,$L276/Übersicht!$C$11))</f>
        <v/>
      </c>
      <c r="N276" s="25" t="str">
        <f>IF($D276&lt;=0,"",IF($J276&lt;=0.005,"Volltilgung erreicht",IF($A276=Übersicht!$C$19*Übersicht!$C$25,"Ende der Zinsbindung",IF($H276&gt;0,"Sondertilgung verrechnet",""))))</f>
        <v/>
      </c>
      <c r="Q276" s="38">
        <f>IF($S275&lt;=0,0,ROUND($S275*Übersicht!$C$26,2))</f>
        <v>115.39</v>
      </c>
      <c r="R276" s="38">
        <f>IF($S275&lt;=0,0,MIN($S275,IF(Übersicht!$C$14="Annuitätendarlehen",MAX(0,Übersicht!$C$28-$Q276),IF(Übersicht!$C$14="Ratendarlehen",Übersicht!$C$29,IF($A276&gt;=Übersicht!$C$30,$S275,0)))))</f>
        <v>1124.1899999999998</v>
      </c>
      <c r="S276" s="38">
        <f>IF($S275&lt;=0,0,ROUND($S275-$R276-IF($S275-$R276&lt;=0,0,IF(MOD($A276,Übersicht!$C$25)=0,MIN(Szenarien!$C$8,$S275-$R276),0)),2))</f>
        <v>39011.300000000003</v>
      </c>
      <c r="T276" s="38">
        <f>IF($V275&lt;=0,0,ROUND($V275*Übersicht!$C$26,2))</f>
        <v>0</v>
      </c>
      <c r="U276" s="38">
        <f>IF($V275&lt;=0,0,MIN($V275,IF(Übersicht!$C$14="Annuitätendarlehen",MAX(0,Übersicht!$C$28-$T276),IF(Übersicht!$C$14="Ratendarlehen",Übersicht!$C$29,IF($A276&gt;=Übersicht!$C$30,$V275,0)))))</f>
        <v>0</v>
      </c>
      <c r="V276" s="38">
        <f>IF($V275&lt;=0,0,ROUND($V275-$U276-IF($V275-$U276&lt;=0,0,IF(MOD($A276,Übersicht!$C$25)=0,MIN(Szenarien!$C$9,$V275-$U276),0)),2))</f>
        <v>0</v>
      </c>
      <c r="W276" s="38">
        <f>IF($Y275&lt;=0,0,ROUND($Y275*Übersicht!$C$26,2))</f>
        <v>0</v>
      </c>
      <c r="X276" s="38">
        <f>IF($Y275&lt;=0,0,MIN($Y275,IF(Übersicht!$C$14="Annuitätendarlehen",MAX(0,Übersicht!$C$28-$W276),IF(Übersicht!$C$14="Ratendarlehen",Übersicht!$C$29,IF($A276&gt;=Übersicht!$C$30,$Y275,0)))))</f>
        <v>0</v>
      </c>
      <c r="Y276" s="38">
        <f>IF($Y275&lt;=0,0,ROUND($Y275-$X276-IF($Y275-$X276&lt;=0,0,IF(MOD($A276,Übersicht!$C$25)=0,MIN(Szenarien!$C$10,$Y275-$X276),0)),2))</f>
        <v>0</v>
      </c>
      <c r="Z276" s="38">
        <f>IF($AB275&lt;=0,0,ROUND($AB275*Übersicht!$C$26,2))</f>
        <v>0</v>
      </c>
      <c r="AA276" s="38">
        <f>IF($AB275&lt;=0,0,MIN($AB275,IF(Übersicht!$C$14="Annuitätendarlehen",MAX(0,Übersicht!$C$28-$Z276),IF(Übersicht!$C$14="Ratendarlehen",Übersicht!$C$29,IF($A276&gt;=Übersicht!$C$30,$AB275,0)))))</f>
        <v>0</v>
      </c>
      <c r="AB276" s="38">
        <f>IF($AB275&lt;=0,0,ROUND($AB275-$AA276-IF($AB275-$AA276&lt;=0,0,IF(MOD($A276,Übersicht!$C$25)=0,MIN(Szenarien!$C$11,$AB275-$AA276),0)),2))</f>
        <v>0</v>
      </c>
      <c r="AC276" s="38">
        <f>IF($AE275&lt;=0,0,ROUND($AE275*Übersicht!$C$26,2))</f>
        <v>0</v>
      </c>
      <c r="AD276" s="38">
        <f>IF($AE275&lt;=0,0,MIN($AE275,IF(Übersicht!$C$14="Annuitätendarlehen",MAX(0,Übersicht!$C$28-$AC276),IF(Übersicht!$C$14="Ratendarlehen",Übersicht!$C$29,IF($A276&gt;=Übersicht!$C$30,$AE275,0)))))</f>
        <v>0</v>
      </c>
      <c r="AE276" s="38">
        <f>IF($AE275&lt;=0,0,ROUND($AE275-$AD276-IF($AE275-$AD276&lt;=0,0,IF(MOD($A276,Übersicht!$C$25)=0,MIN(Szenarien!$C$12,$AE275-$AD276),0)),2))</f>
        <v>0</v>
      </c>
    </row>
    <row r="277" spans="1:31" ht="15" customHeight="1" x14ac:dyDescent="0.25">
      <c r="A277" s="26">
        <v>270</v>
      </c>
      <c r="B277" s="39" t="str">
        <f>IF($D277&lt;=0,"",EDATE(Übersicht!$C$18,($A277-1)*12/Übersicht!$C$25))</f>
        <v/>
      </c>
      <c r="C277" s="26" t="str">
        <f t="shared" si="28"/>
        <v/>
      </c>
      <c r="D277" s="40">
        <f t="shared" si="32"/>
        <v>0</v>
      </c>
      <c r="E277" s="28">
        <f t="shared" si="29"/>
        <v>0</v>
      </c>
      <c r="F277" s="28">
        <f>IF($D277&lt;=0,0,ROUND($D277*Übersicht!$C$26,2))</f>
        <v>0</v>
      </c>
      <c r="G277" s="28">
        <f>IF($D277&lt;=0,0,MIN($D277,IF(Übersicht!$C$14="Annuitätendarlehen",MAX(0,Übersicht!$C$28-$F277),IF(Übersicht!$C$14="Ratendarlehen",Übersicht!$C$29,IF($A277&gt;=Übersicht!$C$30,$D277,0)))))</f>
        <v>0</v>
      </c>
      <c r="H277" s="28">
        <f>IF($D277-$G277&lt;=0,0,IF(MOD($A277,Übersicht!$C$25)=0,MIN(Übersicht!$C$31,$D277-$G277),0))</f>
        <v>0</v>
      </c>
      <c r="I277" s="28">
        <f t="shared" si="30"/>
        <v>0</v>
      </c>
      <c r="J277" s="28">
        <f t="shared" si="31"/>
        <v>0</v>
      </c>
      <c r="K277" s="28">
        <f t="shared" si="33"/>
        <v>80072.129999999961</v>
      </c>
      <c r="L277" s="28">
        <f t="shared" si="34"/>
        <v>250000</v>
      </c>
      <c r="M277" s="29" t="str">
        <f>IF($D277&lt;=0,"",IF(Übersicht!$C$11=0,0,$L277/Übersicht!$C$11))</f>
        <v/>
      </c>
      <c r="N277" s="30" t="str">
        <f>IF($D277&lt;=0,"",IF($J277&lt;=0.005,"Volltilgung erreicht",IF($A277=Übersicht!$C$19*Übersicht!$C$25,"Ende der Zinsbindung",IF($H277&gt;0,"Sondertilgung verrechnet",""))))</f>
        <v/>
      </c>
      <c r="Q277" s="38">
        <f>IF($S276&lt;=0,0,ROUND($S276*Übersicht!$C$26,2))</f>
        <v>112.16</v>
      </c>
      <c r="R277" s="38">
        <f>IF($S276&lt;=0,0,MIN($S276,IF(Übersicht!$C$14="Annuitätendarlehen",MAX(0,Übersicht!$C$28-$Q277),IF(Übersicht!$C$14="Ratendarlehen",Übersicht!$C$29,IF($A277&gt;=Übersicht!$C$30,$S276,0)))))</f>
        <v>1127.4199999999998</v>
      </c>
      <c r="S277" s="38">
        <f>IF($S276&lt;=0,0,ROUND($S276-$R277-IF($S276-$R277&lt;=0,0,IF(MOD($A277,Übersicht!$C$25)=0,MIN(Szenarien!$C$8,$S276-$R277),0)),2))</f>
        <v>37883.879999999997</v>
      </c>
      <c r="T277" s="38">
        <f>IF($V276&lt;=0,0,ROUND($V276*Übersicht!$C$26,2))</f>
        <v>0</v>
      </c>
      <c r="U277" s="38">
        <f>IF($V276&lt;=0,0,MIN($V276,IF(Übersicht!$C$14="Annuitätendarlehen",MAX(0,Übersicht!$C$28-$T277),IF(Übersicht!$C$14="Ratendarlehen",Übersicht!$C$29,IF($A277&gt;=Übersicht!$C$30,$V276,0)))))</f>
        <v>0</v>
      </c>
      <c r="V277" s="38">
        <f>IF($V276&lt;=0,0,ROUND($V276-$U277-IF($V276-$U277&lt;=0,0,IF(MOD($A277,Übersicht!$C$25)=0,MIN(Szenarien!$C$9,$V276-$U277),0)),2))</f>
        <v>0</v>
      </c>
      <c r="W277" s="38">
        <f>IF($Y276&lt;=0,0,ROUND($Y276*Übersicht!$C$26,2))</f>
        <v>0</v>
      </c>
      <c r="X277" s="38">
        <f>IF($Y276&lt;=0,0,MIN($Y276,IF(Übersicht!$C$14="Annuitätendarlehen",MAX(0,Übersicht!$C$28-$W277),IF(Übersicht!$C$14="Ratendarlehen",Übersicht!$C$29,IF($A277&gt;=Übersicht!$C$30,$Y276,0)))))</f>
        <v>0</v>
      </c>
      <c r="Y277" s="38">
        <f>IF($Y276&lt;=0,0,ROUND($Y276-$X277-IF($Y276-$X277&lt;=0,0,IF(MOD($A277,Übersicht!$C$25)=0,MIN(Szenarien!$C$10,$Y276-$X277),0)),2))</f>
        <v>0</v>
      </c>
      <c r="Z277" s="38">
        <f>IF($AB276&lt;=0,0,ROUND($AB276*Übersicht!$C$26,2))</f>
        <v>0</v>
      </c>
      <c r="AA277" s="38">
        <f>IF($AB276&lt;=0,0,MIN($AB276,IF(Übersicht!$C$14="Annuitätendarlehen",MAX(0,Übersicht!$C$28-$Z277),IF(Übersicht!$C$14="Ratendarlehen",Übersicht!$C$29,IF($A277&gt;=Übersicht!$C$30,$AB276,0)))))</f>
        <v>0</v>
      </c>
      <c r="AB277" s="38">
        <f>IF($AB276&lt;=0,0,ROUND($AB276-$AA277-IF($AB276-$AA277&lt;=0,0,IF(MOD($A277,Übersicht!$C$25)=0,MIN(Szenarien!$C$11,$AB276-$AA277),0)),2))</f>
        <v>0</v>
      </c>
      <c r="AC277" s="38">
        <f>IF($AE276&lt;=0,0,ROUND($AE276*Übersicht!$C$26,2))</f>
        <v>0</v>
      </c>
      <c r="AD277" s="38">
        <f>IF($AE276&lt;=0,0,MIN($AE276,IF(Übersicht!$C$14="Annuitätendarlehen",MAX(0,Übersicht!$C$28-$AC277),IF(Übersicht!$C$14="Ratendarlehen",Übersicht!$C$29,IF($A277&gt;=Übersicht!$C$30,$AE276,0)))))</f>
        <v>0</v>
      </c>
      <c r="AE277" s="38">
        <f>IF($AE276&lt;=0,0,ROUND($AE276-$AD277-IF($AE276-$AD277&lt;=0,0,IF(MOD($A277,Übersicht!$C$25)=0,MIN(Szenarien!$C$12,$AE276-$AD277),0)),2))</f>
        <v>0</v>
      </c>
    </row>
    <row r="278" spans="1:31" ht="15" customHeight="1" x14ac:dyDescent="0.25">
      <c r="A278" s="21">
        <v>271</v>
      </c>
      <c r="B278" s="36" t="str">
        <f>IF($D278&lt;=0,"",EDATE(Übersicht!$C$18,($A278-1)*12/Übersicht!$C$25))</f>
        <v/>
      </c>
      <c r="C278" s="21" t="str">
        <f t="shared" si="28"/>
        <v/>
      </c>
      <c r="D278" s="37">
        <f t="shared" si="32"/>
        <v>0</v>
      </c>
      <c r="E278" s="23">
        <f t="shared" si="29"/>
        <v>0</v>
      </c>
      <c r="F278" s="23">
        <f>IF($D278&lt;=0,0,ROUND($D278*Übersicht!$C$26,2))</f>
        <v>0</v>
      </c>
      <c r="G278" s="23">
        <f>IF($D278&lt;=0,0,MIN($D278,IF(Übersicht!$C$14="Annuitätendarlehen",MAX(0,Übersicht!$C$28-$F278),IF(Übersicht!$C$14="Ratendarlehen",Übersicht!$C$29,IF($A278&gt;=Übersicht!$C$30,$D278,0)))))</f>
        <v>0</v>
      </c>
      <c r="H278" s="23">
        <f>IF($D278-$G278&lt;=0,0,IF(MOD($A278,Übersicht!$C$25)=0,MIN(Übersicht!$C$31,$D278-$G278),0))</f>
        <v>0</v>
      </c>
      <c r="I278" s="23">
        <f t="shared" si="30"/>
        <v>0</v>
      </c>
      <c r="J278" s="23">
        <f t="shared" si="31"/>
        <v>0</v>
      </c>
      <c r="K278" s="23">
        <f t="shared" si="33"/>
        <v>80072.129999999961</v>
      </c>
      <c r="L278" s="23">
        <f t="shared" si="34"/>
        <v>250000</v>
      </c>
      <c r="M278" s="24" t="str">
        <f>IF($D278&lt;=0,"",IF(Übersicht!$C$11=0,0,$L278/Übersicht!$C$11))</f>
        <v/>
      </c>
      <c r="N278" s="25" t="str">
        <f>IF($D278&lt;=0,"",IF($J278&lt;=0.005,"Volltilgung erreicht",IF($A278=Übersicht!$C$19*Übersicht!$C$25,"Ende der Zinsbindung",IF($H278&gt;0,"Sondertilgung verrechnet",""))))</f>
        <v/>
      </c>
      <c r="Q278" s="38">
        <f>IF($S277&lt;=0,0,ROUND($S277*Übersicht!$C$26,2))</f>
        <v>108.92</v>
      </c>
      <c r="R278" s="38">
        <f>IF($S277&lt;=0,0,MIN($S277,IF(Übersicht!$C$14="Annuitätendarlehen",MAX(0,Übersicht!$C$28-$Q278),IF(Übersicht!$C$14="Ratendarlehen",Übersicht!$C$29,IF($A278&gt;=Übersicht!$C$30,$S277,0)))))</f>
        <v>1130.6599999999999</v>
      </c>
      <c r="S278" s="38">
        <f>IF($S277&lt;=0,0,ROUND($S277-$R278-IF($S277-$R278&lt;=0,0,IF(MOD($A278,Übersicht!$C$25)=0,MIN(Szenarien!$C$8,$S277-$R278),0)),2))</f>
        <v>36753.22</v>
      </c>
      <c r="T278" s="38">
        <f>IF($V277&lt;=0,0,ROUND($V277*Übersicht!$C$26,2))</f>
        <v>0</v>
      </c>
      <c r="U278" s="38">
        <f>IF($V277&lt;=0,0,MIN($V277,IF(Übersicht!$C$14="Annuitätendarlehen",MAX(0,Übersicht!$C$28-$T278),IF(Übersicht!$C$14="Ratendarlehen",Übersicht!$C$29,IF($A278&gt;=Übersicht!$C$30,$V277,0)))))</f>
        <v>0</v>
      </c>
      <c r="V278" s="38">
        <f>IF($V277&lt;=0,0,ROUND($V277-$U278-IF($V277-$U278&lt;=0,0,IF(MOD($A278,Übersicht!$C$25)=0,MIN(Szenarien!$C$9,$V277-$U278),0)),2))</f>
        <v>0</v>
      </c>
      <c r="W278" s="38">
        <f>IF($Y277&lt;=0,0,ROUND($Y277*Übersicht!$C$26,2))</f>
        <v>0</v>
      </c>
      <c r="X278" s="38">
        <f>IF($Y277&lt;=0,0,MIN($Y277,IF(Übersicht!$C$14="Annuitätendarlehen",MAX(0,Übersicht!$C$28-$W278),IF(Übersicht!$C$14="Ratendarlehen",Übersicht!$C$29,IF($A278&gt;=Übersicht!$C$30,$Y277,0)))))</f>
        <v>0</v>
      </c>
      <c r="Y278" s="38">
        <f>IF($Y277&lt;=0,0,ROUND($Y277-$X278-IF($Y277-$X278&lt;=0,0,IF(MOD($A278,Übersicht!$C$25)=0,MIN(Szenarien!$C$10,$Y277-$X278),0)),2))</f>
        <v>0</v>
      </c>
      <c r="Z278" s="38">
        <f>IF($AB277&lt;=0,0,ROUND($AB277*Übersicht!$C$26,2))</f>
        <v>0</v>
      </c>
      <c r="AA278" s="38">
        <f>IF($AB277&lt;=0,0,MIN($AB277,IF(Übersicht!$C$14="Annuitätendarlehen",MAX(0,Übersicht!$C$28-$Z278),IF(Übersicht!$C$14="Ratendarlehen",Übersicht!$C$29,IF($A278&gt;=Übersicht!$C$30,$AB277,0)))))</f>
        <v>0</v>
      </c>
      <c r="AB278" s="38">
        <f>IF($AB277&lt;=0,0,ROUND($AB277-$AA278-IF($AB277-$AA278&lt;=0,0,IF(MOD($A278,Übersicht!$C$25)=0,MIN(Szenarien!$C$11,$AB277-$AA278),0)),2))</f>
        <v>0</v>
      </c>
      <c r="AC278" s="38">
        <f>IF($AE277&lt;=0,0,ROUND($AE277*Übersicht!$C$26,2))</f>
        <v>0</v>
      </c>
      <c r="AD278" s="38">
        <f>IF($AE277&lt;=0,0,MIN($AE277,IF(Übersicht!$C$14="Annuitätendarlehen",MAX(0,Übersicht!$C$28-$AC278),IF(Übersicht!$C$14="Ratendarlehen",Übersicht!$C$29,IF($A278&gt;=Übersicht!$C$30,$AE277,0)))))</f>
        <v>0</v>
      </c>
      <c r="AE278" s="38">
        <f>IF($AE277&lt;=0,0,ROUND($AE277-$AD278-IF($AE277-$AD278&lt;=0,0,IF(MOD($A278,Übersicht!$C$25)=0,MIN(Szenarien!$C$12,$AE277-$AD278),0)),2))</f>
        <v>0</v>
      </c>
    </row>
    <row r="279" spans="1:31" ht="15" customHeight="1" x14ac:dyDescent="0.25">
      <c r="A279" s="26">
        <v>272</v>
      </c>
      <c r="B279" s="39" t="str">
        <f>IF($D279&lt;=0,"",EDATE(Übersicht!$C$18,($A279-1)*12/Übersicht!$C$25))</f>
        <v/>
      </c>
      <c r="C279" s="26" t="str">
        <f t="shared" si="28"/>
        <v/>
      </c>
      <c r="D279" s="40">
        <f t="shared" si="32"/>
        <v>0</v>
      </c>
      <c r="E279" s="28">
        <f t="shared" si="29"/>
        <v>0</v>
      </c>
      <c r="F279" s="28">
        <f>IF($D279&lt;=0,0,ROUND($D279*Übersicht!$C$26,2))</f>
        <v>0</v>
      </c>
      <c r="G279" s="28">
        <f>IF($D279&lt;=0,0,MIN($D279,IF(Übersicht!$C$14="Annuitätendarlehen",MAX(0,Übersicht!$C$28-$F279),IF(Übersicht!$C$14="Ratendarlehen",Übersicht!$C$29,IF($A279&gt;=Übersicht!$C$30,$D279,0)))))</f>
        <v>0</v>
      </c>
      <c r="H279" s="28">
        <f>IF($D279-$G279&lt;=0,0,IF(MOD($A279,Übersicht!$C$25)=0,MIN(Übersicht!$C$31,$D279-$G279),0))</f>
        <v>0</v>
      </c>
      <c r="I279" s="28">
        <f t="shared" si="30"/>
        <v>0</v>
      </c>
      <c r="J279" s="28">
        <f t="shared" si="31"/>
        <v>0</v>
      </c>
      <c r="K279" s="28">
        <f t="shared" si="33"/>
        <v>80072.129999999961</v>
      </c>
      <c r="L279" s="28">
        <f t="shared" si="34"/>
        <v>250000</v>
      </c>
      <c r="M279" s="29" t="str">
        <f>IF($D279&lt;=0,"",IF(Übersicht!$C$11=0,0,$L279/Übersicht!$C$11))</f>
        <v/>
      </c>
      <c r="N279" s="30" t="str">
        <f>IF($D279&lt;=0,"",IF($J279&lt;=0.005,"Volltilgung erreicht",IF($A279=Übersicht!$C$19*Übersicht!$C$25,"Ende der Zinsbindung",IF($H279&gt;0,"Sondertilgung verrechnet",""))))</f>
        <v/>
      </c>
      <c r="Q279" s="38">
        <f>IF($S278&lt;=0,0,ROUND($S278*Übersicht!$C$26,2))</f>
        <v>105.67</v>
      </c>
      <c r="R279" s="38">
        <f>IF($S278&lt;=0,0,MIN($S278,IF(Übersicht!$C$14="Annuitätendarlehen",MAX(0,Übersicht!$C$28-$Q279),IF(Übersicht!$C$14="Ratendarlehen",Übersicht!$C$29,IF($A279&gt;=Übersicht!$C$30,$S278,0)))))</f>
        <v>1133.9099999999999</v>
      </c>
      <c r="S279" s="38">
        <f>IF($S278&lt;=0,0,ROUND($S278-$R279-IF($S278-$R279&lt;=0,0,IF(MOD($A279,Übersicht!$C$25)=0,MIN(Szenarien!$C$8,$S278-$R279),0)),2))</f>
        <v>35619.31</v>
      </c>
      <c r="T279" s="38">
        <f>IF($V278&lt;=0,0,ROUND($V278*Übersicht!$C$26,2))</f>
        <v>0</v>
      </c>
      <c r="U279" s="38">
        <f>IF($V278&lt;=0,0,MIN($V278,IF(Übersicht!$C$14="Annuitätendarlehen",MAX(0,Übersicht!$C$28-$T279),IF(Übersicht!$C$14="Ratendarlehen",Übersicht!$C$29,IF($A279&gt;=Übersicht!$C$30,$V278,0)))))</f>
        <v>0</v>
      </c>
      <c r="V279" s="38">
        <f>IF($V278&lt;=0,0,ROUND($V278-$U279-IF($V278-$U279&lt;=0,0,IF(MOD($A279,Übersicht!$C$25)=0,MIN(Szenarien!$C$9,$V278-$U279),0)),2))</f>
        <v>0</v>
      </c>
      <c r="W279" s="38">
        <f>IF($Y278&lt;=0,0,ROUND($Y278*Übersicht!$C$26,2))</f>
        <v>0</v>
      </c>
      <c r="X279" s="38">
        <f>IF($Y278&lt;=0,0,MIN($Y278,IF(Übersicht!$C$14="Annuitätendarlehen",MAX(0,Übersicht!$C$28-$W279),IF(Übersicht!$C$14="Ratendarlehen",Übersicht!$C$29,IF($A279&gt;=Übersicht!$C$30,$Y278,0)))))</f>
        <v>0</v>
      </c>
      <c r="Y279" s="38">
        <f>IF($Y278&lt;=0,0,ROUND($Y278-$X279-IF($Y278-$X279&lt;=0,0,IF(MOD($A279,Übersicht!$C$25)=0,MIN(Szenarien!$C$10,$Y278-$X279),0)),2))</f>
        <v>0</v>
      </c>
      <c r="Z279" s="38">
        <f>IF($AB278&lt;=0,0,ROUND($AB278*Übersicht!$C$26,2))</f>
        <v>0</v>
      </c>
      <c r="AA279" s="38">
        <f>IF($AB278&lt;=0,0,MIN($AB278,IF(Übersicht!$C$14="Annuitätendarlehen",MAX(0,Übersicht!$C$28-$Z279),IF(Übersicht!$C$14="Ratendarlehen",Übersicht!$C$29,IF($A279&gt;=Übersicht!$C$30,$AB278,0)))))</f>
        <v>0</v>
      </c>
      <c r="AB279" s="38">
        <f>IF($AB278&lt;=0,0,ROUND($AB278-$AA279-IF($AB278-$AA279&lt;=0,0,IF(MOD($A279,Übersicht!$C$25)=0,MIN(Szenarien!$C$11,$AB278-$AA279),0)),2))</f>
        <v>0</v>
      </c>
      <c r="AC279" s="38">
        <f>IF($AE278&lt;=0,0,ROUND($AE278*Übersicht!$C$26,2))</f>
        <v>0</v>
      </c>
      <c r="AD279" s="38">
        <f>IF($AE278&lt;=0,0,MIN($AE278,IF(Übersicht!$C$14="Annuitätendarlehen",MAX(0,Übersicht!$C$28-$AC279),IF(Übersicht!$C$14="Ratendarlehen",Übersicht!$C$29,IF($A279&gt;=Übersicht!$C$30,$AE278,0)))))</f>
        <v>0</v>
      </c>
      <c r="AE279" s="38">
        <f>IF($AE278&lt;=0,0,ROUND($AE278-$AD279-IF($AE278-$AD279&lt;=0,0,IF(MOD($A279,Übersicht!$C$25)=0,MIN(Szenarien!$C$12,$AE278-$AD279),0)),2))</f>
        <v>0</v>
      </c>
    </row>
    <row r="280" spans="1:31" ht="15" customHeight="1" x14ac:dyDescent="0.25">
      <c r="A280" s="21">
        <v>273</v>
      </c>
      <c r="B280" s="36" t="str">
        <f>IF($D280&lt;=0,"",EDATE(Übersicht!$C$18,($A280-1)*12/Übersicht!$C$25))</f>
        <v/>
      </c>
      <c r="C280" s="21" t="str">
        <f t="shared" si="28"/>
        <v/>
      </c>
      <c r="D280" s="37">
        <f t="shared" si="32"/>
        <v>0</v>
      </c>
      <c r="E280" s="23">
        <f t="shared" si="29"/>
        <v>0</v>
      </c>
      <c r="F280" s="23">
        <f>IF($D280&lt;=0,0,ROUND($D280*Übersicht!$C$26,2))</f>
        <v>0</v>
      </c>
      <c r="G280" s="23">
        <f>IF($D280&lt;=0,0,MIN($D280,IF(Übersicht!$C$14="Annuitätendarlehen",MAX(0,Übersicht!$C$28-$F280),IF(Übersicht!$C$14="Ratendarlehen",Übersicht!$C$29,IF($A280&gt;=Übersicht!$C$30,$D280,0)))))</f>
        <v>0</v>
      </c>
      <c r="H280" s="23">
        <f>IF($D280-$G280&lt;=0,0,IF(MOD($A280,Übersicht!$C$25)=0,MIN(Übersicht!$C$31,$D280-$G280),0))</f>
        <v>0</v>
      </c>
      <c r="I280" s="23">
        <f t="shared" si="30"/>
        <v>0</v>
      </c>
      <c r="J280" s="23">
        <f t="shared" si="31"/>
        <v>0</v>
      </c>
      <c r="K280" s="23">
        <f t="shared" si="33"/>
        <v>80072.129999999961</v>
      </c>
      <c r="L280" s="23">
        <f t="shared" si="34"/>
        <v>250000</v>
      </c>
      <c r="M280" s="24" t="str">
        <f>IF($D280&lt;=0,"",IF(Übersicht!$C$11=0,0,$L280/Übersicht!$C$11))</f>
        <v/>
      </c>
      <c r="N280" s="25" t="str">
        <f>IF($D280&lt;=0,"",IF($J280&lt;=0.005,"Volltilgung erreicht",IF($A280=Übersicht!$C$19*Übersicht!$C$25,"Ende der Zinsbindung",IF($H280&gt;0,"Sondertilgung verrechnet",""))))</f>
        <v/>
      </c>
      <c r="Q280" s="38">
        <f>IF($S279&lt;=0,0,ROUND($S279*Übersicht!$C$26,2))</f>
        <v>102.41</v>
      </c>
      <c r="R280" s="38">
        <f>IF($S279&lt;=0,0,MIN($S279,IF(Übersicht!$C$14="Annuitätendarlehen",MAX(0,Übersicht!$C$28-$Q280),IF(Übersicht!$C$14="Ratendarlehen",Übersicht!$C$29,IF($A280&gt;=Übersicht!$C$30,$S279,0)))))</f>
        <v>1137.1699999999998</v>
      </c>
      <c r="S280" s="38">
        <f>IF($S279&lt;=0,0,ROUND($S279-$R280-IF($S279-$R280&lt;=0,0,IF(MOD($A280,Übersicht!$C$25)=0,MIN(Szenarien!$C$8,$S279-$R280),0)),2))</f>
        <v>34482.14</v>
      </c>
      <c r="T280" s="38">
        <f>IF($V279&lt;=0,0,ROUND($V279*Übersicht!$C$26,2))</f>
        <v>0</v>
      </c>
      <c r="U280" s="38">
        <f>IF($V279&lt;=0,0,MIN($V279,IF(Übersicht!$C$14="Annuitätendarlehen",MAX(0,Übersicht!$C$28-$T280),IF(Übersicht!$C$14="Ratendarlehen",Übersicht!$C$29,IF($A280&gt;=Übersicht!$C$30,$V279,0)))))</f>
        <v>0</v>
      </c>
      <c r="V280" s="38">
        <f>IF($V279&lt;=0,0,ROUND($V279-$U280-IF($V279-$U280&lt;=0,0,IF(MOD($A280,Übersicht!$C$25)=0,MIN(Szenarien!$C$9,$V279-$U280),0)),2))</f>
        <v>0</v>
      </c>
      <c r="W280" s="38">
        <f>IF($Y279&lt;=0,0,ROUND($Y279*Übersicht!$C$26,2))</f>
        <v>0</v>
      </c>
      <c r="X280" s="38">
        <f>IF($Y279&lt;=0,0,MIN($Y279,IF(Übersicht!$C$14="Annuitätendarlehen",MAX(0,Übersicht!$C$28-$W280),IF(Übersicht!$C$14="Ratendarlehen",Übersicht!$C$29,IF($A280&gt;=Übersicht!$C$30,$Y279,0)))))</f>
        <v>0</v>
      </c>
      <c r="Y280" s="38">
        <f>IF($Y279&lt;=0,0,ROUND($Y279-$X280-IF($Y279-$X280&lt;=0,0,IF(MOD($A280,Übersicht!$C$25)=0,MIN(Szenarien!$C$10,$Y279-$X280),0)),2))</f>
        <v>0</v>
      </c>
      <c r="Z280" s="38">
        <f>IF($AB279&lt;=0,0,ROUND($AB279*Übersicht!$C$26,2))</f>
        <v>0</v>
      </c>
      <c r="AA280" s="38">
        <f>IF($AB279&lt;=0,0,MIN($AB279,IF(Übersicht!$C$14="Annuitätendarlehen",MAX(0,Übersicht!$C$28-$Z280),IF(Übersicht!$C$14="Ratendarlehen",Übersicht!$C$29,IF($A280&gt;=Übersicht!$C$30,$AB279,0)))))</f>
        <v>0</v>
      </c>
      <c r="AB280" s="38">
        <f>IF($AB279&lt;=0,0,ROUND($AB279-$AA280-IF($AB279-$AA280&lt;=0,0,IF(MOD($A280,Übersicht!$C$25)=0,MIN(Szenarien!$C$11,$AB279-$AA280),0)),2))</f>
        <v>0</v>
      </c>
      <c r="AC280" s="38">
        <f>IF($AE279&lt;=0,0,ROUND($AE279*Übersicht!$C$26,2))</f>
        <v>0</v>
      </c>
      <c r="AD280" s="38">
        <f>IF($AE279&lt;=0,0,MIN($AE279,IF(Übersicht!$C$14="Annuitätendarlehen",MAX(0,Übersicht!$C$28-$AC280),IF(Übersicht!$C$14="Ratendarlehen",Übersicht!$C$29,IF($A280&gt;=Übersicht!$C$30,$AE279,0)))))</f>
        <v>0</v>
      </c>
      <c r="AE280" s="38">
        <f>IF($AE279&lt;=0,0,ROUND($AE279-$AD280-IF($AE279-$AD280&lt;=0,0,IF(MOD($A280,Übersicht!$C$25)=0,MIN(Szenarien!$C$12,$AE279-$AD280),0)),2))</f>
        <v>0</v>
      </c>
    </row>
    <row r="281" spans="1:31" ht="15" customHeight="1" x14ac:dyDescent="0.25">
      <c r="A281" s="26">
        <v>274</v>
      </c>
      <c r="B281" s="39" t="str">
        <f>IF($D281&lt;=0,"",EDATE(Übersicht!$C$18,($A281-1)*12/Übersicht!$C$25))</f>
        <v/>
      </c>
      <c r="C281" s="26" t="str">
        <f t="shared" si="28"/>
        <v/>
      </c>
      <c r="D281" s="40">
        <f t="shared" si="32"/>
        <v>0</v>
      </c>
      <c r="E281" s="28">
        <f t="shared" si="29"/>
        <v>0</v>
      </c>
      <c r="F281" s="28">
        <f>IF($D281&lt;=0,0,ROUND($D281*Übersicht!$C$26,2))</f>
        <v>0</v>
      </c>
      <c r="G281" s="28">
        <f>IF($D281&lt;=0,0,MIN($D281,IF(Übersicht!$C$14="Annuitätendarlehen",MAX(0,Übersicht!$C$28-$F281),IF(Übersicht!$C$14="Ratendarlehen",Übersicht!$C$29,IF($A281&gt;=Übersicht!$C$30,$D281,0)))))</f>
        <v>0</v>
      </c>
      <c r="H281" s="28">
        <f>IF($D281-$G281&lt;=0,0,IF(MOD($A281,Übersicht!$C$25)=0,MIN(Übersicht!$C$31,$D281-$G281),0))</f>
        <v>0</v>
      </c>
      <c r="I281" s="28">
        <f t="shared" si="30"/>
        <v>0</v>
      </c>
      <c r="J281" s="28">
        <f t="shared" si="31"/>
        <v>0</v>
      </c>
      <c r="K281" s="28">
        <f t="shared" si="33"/>
        <v>80072.129999999961</v>
      </c>
      <c r="L281" s="28">
        <f t="shared" si="34"/>
        <v>250000</v>
      </c>
      <c r="M281" s="29" t="str">
        <f>IF($D281&lt;=0,"",IF(Übersicht!$C$11=0,0,$L281/Übersicht!$C$11))</f>
        <v/>
      </c>
      <c r="N281" s="30" t="str">
        <f>IF($D281&lt;=0,"",IF($J281&lt;=0.005,"Volltilgung erreicht",IF($A281=Übersicht!$C$19*Übersicht!$C$25,"Ende der Zinsbindung",IF($H281&gt;0,"Sondertilgung verrechnet",""))))</f>
        <v/>
      </c>
      <c r="Q281" s="38">
        <f>IF($S280&lt;=0,0,ROUND($S280*Übersicht!$C$26,2))</f>
        <v>99.14</v>
      </c>
      <c r="R281" s="38">
        <f>IF($S280&lt;=0,0,MIN($S280,IF(Übersicht!$C$14="Annuitätendarlehen",MAX(0,Übersicht!$C$28-$Q281),IF(Übersicht!$C$14="Ratendarlehen",Übersicht!$C$29,IF($A281&gt;=Übersicht!$C$30,$S280,0)))))</f>
        <v>1140.4399999999998</v>
      </c>
      <c r="S281" s="38">
        <f>IF($S280&lt;=0,0,ROUND($S280-$R281-IF($S280-$R281&lt;=0,0,IF(MOD($A281,Übersicht!$C$25)=0,MIN(Szenarien!$C$8,$S280-$R281),0)),2))</f>
        <v>33341.699999999997</v>
      </c>
      <c r="T281" s="38">
        <f>IF($V280&lt;=0,0,ROUND($V280*Übersicht!$C$26,2))</f>
        <v>0</v>
      </c>
      <c r="U281" s="38">
        <f>IF($V280&lt;=0,0,MIN($V280,IF(Übersicht!$C$14="Annuitätendarlehen",MAX(0,Übersicht!$C$28-$T281),IF(Übersicht!$C$14="Ratendarlehen",Übersicht!$C$29,IF($A281&gt;=Übersicht!$C$30,$V280,0)))))</f>
        <v>0</v>
      </c>
      <c r="V281" s="38">
        <f>IF($V280&lt;=0,0,ROUND($V280-$U281-IF($V280-$U281&lt;=0,0,IF(MOD($A281,Übersicht!$C$25)=0,MIN(Szenarien!$C$9,$V280-$U281),0)),2))</f>
        <v>0</v>
      </c>
      <c r="W281" s="38">
        <f>IF($Y280&lt;=0,0,ROUND($Y280*Übersicht!$C$26,2))</f>
        <v>0</v>
      </c>
      <c r="X281" s="38">
        <f>IF($Y280&lt;=0,0,MIN($Y280,IF(Übersicht!$C$14="Annuitätendarlehen",MAX(0,Übersicht!$C$28-$W281),IF(Übersicht!$C$14="Ratendarlehen",Übersicht!$C$29,IF($A281&gt;=Übersicht!$C$30,$Y280,0)))))</f>
        <v>0</v>
      </c>
      <c r="Y281" s="38">
        <f>IF($Y280&lt;=0,0,ROUND($Y280-$X281-IF($Y280-$X281&lt;=0,0,IF(MOD($A281,Übersicht!$C$25)=0,MIN(Szenarien!$C$10,$Y280-$X281),0)),2))</f>
        <v>0</v>
      </c>
      <c r="Z281" s="38">
        <f>IF($AB280&lt;=0,0,ROUND($AB280*Übersicht!$C$26,2))</f>
        <v>0</v>
      </c>
      <c r="AA281" s="38">
        <f>IF($AB280&lt;=0,0,MIN($AB280,IF(Übersicht!$C$14="Annuitätendarlehen",MAX(0,Übersicht!$C$28-$Z281),IF(Übersicht!$C$14="Ratendarlehen",Übersicht!$C$29,IF($A281&gt;=Übersicht!$C$30,$AB280,0)))))</f>
        <v>0</v>
      </c>
      <c r="AB281" s="38">
        <f>IF($AB280&lt;=0,0,ROUND($AB280-$AA281-IF($AB280-$AA281&lt;=0,0,IF(MOD($A281,Übersicht!$C$25)=0,MIN(Szenarien!$C$11,$AB280-$AA281),0)),2))</f>
        <v>0</v>
      </c>
      <c r="AC281" s="38">
        <f>IF($AE280&lt;=0,0,ROUND($AE280*Übersicht!$C$26,2))</f>
        <v>0</v>
      </c>
      <c r="AD281" s="38">
        <f>IF($AE280&lt;=0,0,MIN($AE280,IF(Übersicht!$C$14="Annuitätendarlehen",MAX(0,Übersicht!$C$28-$AC281),IF(Übersicht!$C$14="Ratendarlehen",Übersicht!$C$29,IF($A281&gt;=Übersicht!$C$30,$AE280,0)))))</f>
        <v>0</v>
      </c>
      <c r="AE281" s="38">
        <f>IF($AE280&lt;=0,0,ROUND($AE280-$AD281-IF($AE280-$AD281&lt;=0,0,IF(MOD($A281,Übersicht!$C$25)=0,MIN(Szenarien!$C$12,$AE280-$AD281),0)),2))</f>
        <v>0</v>
      </c>
    </row>
    <row r="282" spans="1:31" ht="15" customHeight="1" x14ac:dyDescent="0.25">
      <c r="A282" s="21">
        <v>275</v>
      </c>
      <c r="B282" s="36" t="str">
        <f>IF($D282&lt;=0,"",EDATE(Übersicht!$C$18,($A282-1)*12/Übersicht!$C$25))</f>
        <v/>
      </c>
      <c r="C282" s="21" t="str">
        <f t="shared" si="28"/>
        <v/>
      </c>
      <c r="D282" s="37">
        <f t="shared" si="32"/>
        <v>0</v>
      </c>
      <c r="E282" s="23">
        <f t="shared" si="29"/>
        <v>0</v>
      </c>
      <c r="F282" s="23">
        <f>IF($D282&lt;=0,0,ROUND($D282*Übersicht!$C$26,2))</f>
        <v>0</v>
      </c>
      <c r="G282" s="23">
        <f>IF($D282&lt;=0,0,MIN($D282,IF(Übersicht!$C$14="Annuitätendarlehen",MAX(0,Übersicht!$C$28-$F282),IF(Übersicht!$C$14="Ratendarlehen",Übersicht!$C$29,IF($A282&gt;=Übersicht!$C$30,$D282,0)))))</f>
        <v>0</v>
      </c>
      <c r="H282" s="23">
        <f>IF($D282-$G282&lt;=0,0,IF(MOD($A282,Übersicht!$C$25)=0,MIN(Übersicht!$C$31,$D282-$G282),0))</f>
        <v>0</v>
      </c>
      <c r="I282" s="23">
        <f t="shared" si="30"/>
        <v>0</v>
      </c>
      <c r="J282" s="23">
        <f t="shared" si="31"/>
        <v>0</v>
      </c>
      <c r="K282" s="23">
        <f t="shared" si="33"/>
        <v>80072.129999999961</v>
      </c>
      <c r="L282" s="23">
        <f t="shared" si="34"/>
        <v>250000</v>
      </c>
      <c r="M282" s="24" t="str">
        <f>IF($D282&lt;=0,"",IF(Übersicht!$C$11=0,0,$L282/Übersicht!$C$11))</f>
        <v/>
      </c>
      <c r="N282" s="25" t="str">
        <f>IF($D282&lt;=0,"",IF($J282&lt;=0.005,"Volltilgung erreicht",IF($A282=Übersicht!$C$19*Übersicht!$C$25,"Ende der Zinsbindung",IF($H282&gt;0,"Sondertilgung verrechnet",""))))</f>
        <v/>
      </c>
      <c r="Q282" s="38">
        <f>IF($S281&lt;=0,0,ROUND($S281*Übersicht!$C$26,2))</f>
        <v>95.86</v>
      </c>
      <c r="R282" s="38">
        <f>IF($S281&lt;=0,0,MIN($S281,IF(Übersicht!$C$14="Annuitätendarlehen",MAX(0,Übersicht!$C$28-$Q282),IF(Übersicht!$C$14="Ratendarlehen",Übersicht!$C$29,IF($A282&gt;=Übersicht!$C$30,$S281,0)))))</f>
        <v>1143.72</v>
      </c>
      <c r="S282" s="38">
        <f>IF($S281&lt;=0,0,ROUND($S281-$R282-IF($S281-$R282&lt;=0,0,IF(MOD($A282,Übersicht!$C$25)=0,MIN(Szenarien!$C$8,$S281-$R282),0)),2))</f>
        <v>32197.98</v>
      </c>
      <c r="T282" s="38">
        <f>IF($V281&lt;=0,0,ROUND($V281*Übersicht!$C$26,2))</f>
        <v>0</v>
      </c>
      <c r="U282" s="38">
        <f>IF($V281&lt;=0,0,MIN($V281,IF(Übersicht!$C$14="Annuitätendarlehen",MAX(0,Übersicht!$C$28-$T282),IF(Übersicht!$C$14="Ratendarlehen",Übersicht!$C$29,IF($A282&gt;=Übersicht!$C$30,$V281,0)))))</f>
        <v>0</v>
      </c>
      <c r="V282" s="38">
        <f>IF($V281&lt;=0,0,ROUND($V281-$U282-IF($V281-$U282&lt;=0,0,IF(MOD($A282,Übersicht!$C$25)=0,MIN(Szenarien!$C$9,$V281-$U282),0)),2))</f>
        <v>0</v>
      </c>
      <c r="W282" s="38">
        <f>IF($Y281&lt;=0,0,ROUND($Y281*Übersicht!$C$26,2))</f>
        <v>0</v>
      </c>
      <c r="X282" s="38">
        <f>IF($Y281&lt;=0,0,MIN($Y281,IF(Übersicht!$C$14="Annuitätendarlehen",MAX(0,Übersicht!$C$28-$W282),IF(Übersicht!$C$14="Ratendarlehen",Übersicht!$C$29,IF($A282&gt;=Übersicht!$C$30,$Y281,0)))))</f>
        <v>0</v>
      </c>
      <c r="Y282" s="38">
        <f>IF($Y281&lt;=0,0,ROUND($Y281-$X282-IF($Y281-$X282&lt;=0,0,IF(MOD($A282,Übersicht!$C$25)=0,MIN(Szenarien!$C$10,$Y281-$X282),0)),2))</f>
        <v>0</v>
      </c>
      <c r="Z282" s="38">
        <f>IF($AB281&lt;=0,0,ROUND($AB281*Übersicht!$C$26,2))</f>
        <v>0</v>
      </c>
      <c r="AA282" s="38">
        <f>IF($AB281&lt;=0,0,MIN($AB281,IF(Übersicht!$C$14="Annuitätendarlehen",MAX(0,Übersicht!$C$28-$Z282),IF(Übersicht!$C$14="Ratendarlehen",Übersicht!$C$29,IF($A282&gt;=Übersicht!$C$30,$AB281,0)))))</f>
        <v>0</v>
      </c>
      <c r="AB282" s="38">
        <f>IF($AB281&lt;=0,0,ROUND($AB281-$AA282-IF($AB281-$AA282&lt;=0,0,IF(MOD($A282,Übersicht!$C$25)=0,MIN(Szenarien!$C$11,$AB281-$AA282),0)),2))</f>
        <v>0</v>
      </c>
      <c r="AC282" s="38">
        <f>IF($AE281&lt;=0,0,ROUND($AE281*Übersicht!$C$26,2))</f>
        <v>0</v>
      </c>
      <c r="AD282" s="38">
        <f>IF($AE281&lt;=0,0,MIN($AE281,IF(Übersicht!$C$14="Annuitätendarlehen",MAX(0,Übersicht!$C$28-$AC282),IF(Übersicht!$C$14="Ratendarlehen",Übersicht!$C$29,IF($A282&gt;=Übersicht!$C$30,$AE281,0)))))</f>
        <v>0</v>
      </c>
      <c r="AE282" s="38">
        <f>IF($AE281&lt;=0,0,ROUND($AE281-$AD282-IF($AE281-$AD282&lt;=0,0,IF(MOD($A282,Übersicht!$C$25)=0,MIN(Szenarien!$C$12,$AE281-$AD282),0)),2))</f>
        <v>0</v>
      </c>
    </row>
    <row r="283" spans="1:31" ht="15" customHeight="1" x14ac:dyDescent="0.25">
      <c r="A283" s="26">
        <v>276</v>
      </c>
      <c r="B283" s="39" t="str">
        <f>IF($D283&lt;=0,"",EDATE(Übersicht!$C$18,($A283-1)*12/Übersicht!$C$25))</f>
        <v/>
      </c>
      <c r="C283" s="26" t="str">
        <f t="shared" si="28"/>
        <v/>
      </c>
      <c r="D283" s="40">
        <f t="shared" si="32"/>
        <v>0</v>
      </c>
      <c r="E283" s="28">
        <f t="shared" si="29"/>
        <v>0</v>
      </c>
      <c r="F283" s="28">
        <f>IF($D283&lt;=0,0,ROUND($D283*Übersicht!$C$26,2))</f>
        <v>0</v>
      </c>
      <c r="G283" s="28">
        <f>IF($D283&lt;=0,0,MIN($D283,IF(Übersicht!$C$14="Annuitätendarlehen",MAX(0,Übersicht!$C$28-$F283),IF(Übersicht!$C$14="Ratendarlehen",Übersicht!$C$29,IF($A283&gt;=Übersicht!$C$30,$D283,0)))))</f>
        <v>0</v>
      </c>
      <c r="H283" s="28">
        <f>IF($D283-$G283&lt;=0,0,IF(MOD($A283,Übersicht!$C$25)=0,MIN(Übersicht!$C$31,$D283-$G283),0))</f>
        <v>0</v>
      </c>
      <c r="I283" s="28">
        <f t="shared" si="30"/>
        <v>0</v>
      </c>
      <c r="J283" s="28">
        <f t="shared" si="31"/>
        <v>0</v>
      </c>
      <c r="K283" s="28">
        <f t="shared" si="33"/>
        <v>80072.129999999961</v>
      </c>
      <c r="L283" s="28">
        <f t="shared" si="34"/>
        <v>250000</v>
      </c>
      <c r="M283" s="29" t="str">
        <f>IF($D283&lt;=0,"",IF(Übersicht!$C$11=0,0,$L283/Übersicht!$C$11))</f>
        <v/>
      </c>
      <c r="N283" s="30" t="str">
        <f>IF($D283&lt;=0,"",IF($J283&lt;=0.005,"Volltilgung erreicht",IF($A283=Übersicht!$C$19*Übersicht!$C$25,"Ende der Zinsbindung",IF($H283&gt;0,"Sondertilgung verrechnet",""))))</f>
        <v/>
      </c>
      <c r="Q283" s="38">
        <f>IF($S282&lt;=0,0,ROUND($S282*Übersicht!$C$26,2))</f>
        <v>92.57</v>
      </c>
      <c r="R283" s="38">
        <f>IF($S282&lt;=0,0,MIN($S282,IF(Übersicht!$C$14="Annuitätendarlehen",MAX(0,Übersicht!$C$28-$Q283),IF(Übersicht!$C$14="Ratendarlehen",Übersicht!$C$29,IF($A283&gt;=Übersicht!$C$30,$S282,0)))))</f>
        <v>1147.01</v>
      </c>
      <c r="S283" s="38">
        <f>IF($S282&lt;=0,0,ROUND($S282-$R283-IF($S282-$R283&lt;=0,0,IF(MOD($A283,Übersicht!$C$25)=0,MIN(Szenarien!$C$8,$S282-$R283),0)),2))</f>
        <v>31050.97</v>
      </c>
      <c r="T283" s="38">
        <f>IF($V282&lt;=0,0,ROUND($V282*Übersicht!$C$26,2))</f>
        <v>0</v>
      </c>
      <c r="U283" s="38">
        <f>IF($V282&lt;=0,0,MIN($V282,IF(Übersicht!$C$14="Annuitätendarlehen",MAX(0,Übersicht!$C$28-$T283),IF(Übersicht!$C$14="Ratendarlehen",Übersicht!$C$29,IF($A283&gt;=Übersicht!$C$30,$V282,0)))))</f>
        <v>0</v>
      </c>
      <c r="V283" s="38">
        <f>IF($V282&lt;=0,0,ROUND($V282-$U283-IF($V282-$U283&lt;=0,0,IF(MOD($A283,Übersicht!$C$25)=0,MIN(Szenarien!$C$9,$V282-$U283),0)),2))</f>
        <v>0</v>
      </c>
      <c r="W283" s="38">
        <f>IF($Y282&lt;=0,0,ROUND($Y282*Übersicht!$C$26,2))</f>
        <v>0</v>
      </c>
      <c r="X283" s="38">
        <f>IF($Y282&lt;=0,0,MIN($Y282,IF(Übersicht!$C$14="Annuitätendarlehen",MAX(0,Übersicht!$C$28-$W283),IF(Übersicht!$C$14="Ratendarlehen",Übersicht!$C$29,IF($A283&gt;=Übersicht!$C$30,$Y282,0)))))</f>
        <v>0</v>
      </c>
      <c r="Y283" s="38">
        <f>IF($Y282&lt;=0,0,ROUND($Y282-$X283-IF($Y282-$X283&lt;=0,0,IF(MOD($A283,Übersicht!$C$25)=0,MIN(Szenarien!$C$10,$Y282-$X283),0)),2))</f>
        <v>0</v>
      </c>
      <c r="Z283" s="38">
        <f>IF($AB282&lt;=0,0,ROUND($AB282*Übersicht!$C$26,2))</f>
        <v>0</v>
      </c>
      <c r="AA283" s="38">
        <f>IF($AB282&lt;=0,0,MIN($AB282,IF(Übersicht!$C$14="Annuitätendarlehen",MAX(0,Übersicht!$C$28-$Z283),IF(Übersicht!$C$14="Ratendarlehen",Übersicht!$C$29,IF($A283&gt;=Übersicht!$C$30,$AB282,0)))))</f>
        <v>0</v>
      </c>
      <c r="AB283" s="38">
        <f>IF($AB282&lt;=0,0,ROUND($AB282-$AA283-IF($AB282-$AA283&lt;=0,0,IF(MOD($A283,Übersicht!$C$25)=0,MIN(Szenarien!$C$11,$AB282-$AA283),0)),2))</f>
        <v>0</v>
      </c>
      <c r="AC283" s="38">
        <f>IF($AE282&lt;=0,0,ROUND($AE282*Übersicht!$C$26,2))</f>
        <v>0</v>
      </c>
      <c r="AD283" s="38">
        <f>IF($AE282&lt;=0,0,MIN($AE282,IF(Übersicht!$C$14="Annuitätendarlehen",MAX(0,Übersicht!$C$28-$AC283),IF(Übersicht!$C$14="Ratendarlehen",Übersicht!$C$29,IF($A283&gt;=Übersicht!$C$30,$AE282,0)))))</f>
        <v>0</v>
      </c>
      <c r="AE283" s="38">
        <f>IF($AE282&lt;=0,0,ROUND($AE282-$AD283-IF($AE282-$AD283&lt;=0,0,IF(MOD($A283,Übersicht!$C$25)=0,MIN(Szenarien!$C$12,$AE282-$AD283),0)),2))</f>
        <v>0</v>
      </c>
    </row>
    <row r="284" spans="1:31" ht="15" customHeight="1" x14ac:dyDescent="0.25">
      <c r="A284" s="21">
        <v>277</v>
      </c>
      <c r="B284" s="36" t="str">
        <f>IF($D284&lt;=0,"",EDATE(Übersicht!$C$18,($A284-1)*12/Übersicht!$C$25))</f>
        <v/>
      </c>
      <c r="C284" s="21" t="str">
        <f t="shared" si="28"/>
        <v/>
      </c>
      <c r="D284" s="37">
        <f t="shared" si="32"/>
        <v>0</v>
      </c>
      <c r="E284" s="23">
        <f t="shared" si="29"/>
        <v>0</v>
      </c>
      <c r="F284" s="23">
        <f>IF($D284&lt;=0,0,ROUND($D284*Übersicht!$C$26,2))</f>
        <v>0</v>
      </c>
      <c r="G284" s="23">
        <f>IF($D284&lt;=0,0,MIN($D284,IF(Übersicht!$C$14="Annuitätendarlehen",MAX(0,Übersicht!$C$28-$F284),IF(Übersicht!$C$14="Ratendarlehen",Übersicht!$C$29,IF($A284&gt;=Übersicht!$C$30,$D284,0)))))</f>
        <v>0</v>
      </c>
      <c r="H284" s="23">
        <f>IF($D284-$G284&lt;=0,0,IF(MOD($A284,Übersicht!$C$25)=0,MIN(Übersicht!$C$31,$D284-$G284),0))</f>
        <v>0</v>
      </c>
      <c r="I284" s="23">
        <f t="shared" si="30"/>
        <v>0</v>
      </c>
      <c r="J284" s="23">
        <f t="shared" si="31"/>
        <v>0</v>
      </c>
      <c r="K284" s="23">
        <f t="shared" si="33"/>
        <v>80072.129999999961</v>
      </c>
      <c r="L284" s="23">
        <f t="shared" si="34"/>
        <v>250000</v>
      </c>
      <c r="M284" s="24" t="str">
        <f>IF($D284&lt;=0,"",IF(Übersicht!$C$11=0,0,$L284/Übersicht!$C$11))</f>
        <v/>
      </c>
      <c r="N284" s="25" t="str">
        <f>IF($D284&lt;=0,"",IF($J284&lt;=0.005,"Volltilgung erreicht",IF($A284=Übersicht!$C$19*Übersicht!$C$25,"Ende der Zinsbindung",IF($H284&gt;0,"Sondertilgung verrechnet",""))))</f>
        <v/>
      </c>
      <c r="Q284" s="38">
        <f>IF($S283&lt;=0,0,ROUND($S283*Übersicht!$C$26,2))</f>
        <v>89.27</v>
      </c>
      <c r="R284" s="38">
        <f>IF($S283&lt;=0,0,MIN($S283,IF(Übersicht!$C$14="Annuitätendarlehen",MAX(0,Übersicht!$C$28-$Q284),IF(Übersicht!$C$14="Ratendarlehen",Übersicht!$C$29,IF($A284&gt;=Übersicht!$C$30,$S283,0)))))</f>
        <v>1150.31</v>
      </c>
      <c r="S284" s="38">
        <f>IF($S283&lt;=0,0,ROUND($S283-$R284-IF($S283-$R284&lt;=0,0,IF(MOD($A284,Übersicht!$C$25)=0,MIN(Szenarien!$C$8,$S283-$R284),0)),2))</f>
        <v>29900.66</v>
      </c>
      <c r="T284" s="38">
        <f>IF($V283&lt;=0,0,ROUND($V283*Übersicht!$C$26,2))</f>
        <v>0</v>
      </c>
      <c r="U284" s="38">
        <f>IF($V283&lt;=0,0,MIN($V283,IF(Übersicht!$C$14="Annuitätendarlehen",MAX(0,Übersicht!$C$28-$T284),IF(Übersicht!$C$14="Ratendarlehen",Übersicht!$C$29,IF($A284&gt;=Übersicht!$C$30,$V283,0)))))</f>
        <v>0</v>
      </c>
      <c r="V284" s="38">
        <f>IF($V283&lt;=0,0,ROUND($V283-$U284-IF($V283-$U284&lt;=0,0,IF(MOD($A284,Übersicht!$C$25)=0,MIN(Szenarien!$C$9,$V283-$U284),0)),2))</f>
        <v>0</v>
      </c>
      <c r="W284" s="38">
        <f>IF($Y283&lt;=0,0,ROUND($Y283*Übersicht!$C$26,2))</f>
        <v>0</v>
      </c>
      <c r="X284" s="38">
        <f>IF($Y283&lt;=0,0,MIN($Y283,IF(Übersicht!$C$14="Annuitätendarlehen",MAX(0,Übersicht!$C$28-$W284),IF(Übersicht!$C$14="Ratendarlehen",Übersicht!$C$29,IF($A284&gt;=Übersicht!$C$30,$Y283,0)))))</f>
        <v>0</v>
      </c>
      <c r="Y284" s="38">
        <f>IF($Y283&lt;=0,0,ROUND($Y283-$X284-IF($Y283-$X284&lt;=0,0,IF(MOD($A284,Übersicht!$C$25)=0,MIN(Szenarien!$C$10,$Y283-$X284),0)),2))</f>
        <v>0</v>
      </c>
      <c r="Z284" s="38">
        <f>IF($AB283&lt;=0,0,ROUND($AB283*Übersicht!$C$26,2))</f>
        <v>0</v>
      </c>
      <c r="AA284" s="38">
        <f>IF($AB283&lt;=0,0,MIN($AB283,IF(Übersicht!$C$14="Annuitätendarlehen",MAX(0,Übersicht!$C$28-$Z284),IF(Übersicht!$C$14="Ratendarlehen",Übersicht!$C$29,IF($A284&gt;=Übersicht!$C$30,$AB283,0)))))</f>
        <v>0</v>
      </c>
      <c r="AB284" s="38">
        <f>IF($AB283&lt;=0,0,ROUND($AB283-$AA284-IF($AB283-$AA284&lt;=0,0,IF(MOD($A284,Übersicht!$C$25)=0,MIN(Szenarien!$C$11,$AB283-$AA284),0)),2))</f>
        <v>0</v>
      </c>
      <c r="AC284" s="38">
        <f>IF($AE283&lt;=0,0,ROUND($AE283*Übersicht!$C$26,2))</f>
        <v>0</v>
      </c>
      <c r="AD284" s="38">
        <f>IF($AE283&lt;=0,0,MIN($AE283,IF(Übersicht!$C$14="Annuitätendarlehen",MAX(0,Übersicht!$C$28-$AC284),IF(Übersicht!$C$14="Ratendarlehen",Übersicht!$C$29,IF($A284&gt;=Übersicht!$C$30,$AE283,0)))))</f>
        <v>0</v>
      </c>
      <c r="AE284" s="38">
        <f>IF($AE283&lt;=0,0,ROUND($AE283-$AD284-IF($AE283-$AD284&lt;=0,0,IF(MOD($A284,Übersicht!$C$25)=0,MIN(Szenarien!$C$12,$AE283-$AD284),0)),2))</f>
        <v>0</v>
      </c>
    </row>
    <row r="285" spans="1:31" ht="15" customHeight="1" x14ac:dyDescent="0.25">
      <c r="A285" s="26">
        <v>278</v>
      </c>
      <c r="B285" s="39" t="str">
        <f>IF($D285&lt;=0,"",EDATE(Übersicht!$C$18,($A285-1)*12/Übersicht!$C$25))</f>
        <v/>
      </c>
      <c r="C285" s="26" t="str">
        <f t="shared" si="28"/>
        <v/>
      </c>
      <c r="D285" s="40">
        <f t="shared" si="32"/>
        <v>0</v>
      </c>
      <c r="E285" s="28">
        <f t="shared" si="29"/>
        <v>0</v>
      </c>
      <c r="F285" s="28">
        <f>IF($D285&lt;=0,0,ROUND($D285*Übersicht!$C$26,2))</f>
        <v>0</v>
      </c>
      <c r="G285" s="28">
        <f>IF($D285&lt;=0,0,MIN($D285,IF(Übersicht!$C$14="Annuitätendarlehen",MAX(0,Übersicht!$C$28-$F285),IF(Übersicht!$C$14="Ratendarlehen",Übersicht!$C$29,IF($A285&gt;=Übersicht!$C$30,$D285,0)))))</f>
        <v>0</v>
      </c>
      <c r="H285" s="28">
        <f>IF($D285-$G285&lt;=0,0,IF(MOD($A285,Übersicht!$C$25)=0,MIN(Übersicht!$C$31,$D285-$G285),0))</f>
        <v>0</v>
      </c>
      <c r="I285" s="28">
        <f t="shared" si="30"/>
        <v>0</v>
      </c>
      <c r="J285" s="28">
        <f t="shared" si="31"/>
        <v>0</v>
      </c>
      <c r="K285" s="28">
        <f t="shared" si="33"/>
        <v>80072.129999999961</v>
      </c>
      <c r="L285" s="28">
        <f t="shared" si="34"/>
        <v>250000</v>
      </c>
      <c r="M285" s="29" t="str">
        <f>IF($D285&lt;=0,"",IF(Übersicht!$C$11=0,0,$L285/Übersicht!$C$11))</f>
        <v/>
      </c>
      <c r="N285" s="30" t="str">
        <f>IF($D285&lt;=0,"",IF($J285&lt;=0.005,"Volltilgung erreicht",IF($A285=Übersicht!$C$19*Übersicht!$C$25,"Ende der Zinsbindung",IF($H285&gt;0,"Sondertilgung verrechnet",""))))</f>
        <v/>
      </c>
      <c r="Q285" s="38">
        <f>IF($S284&lt;=0,0,ROUND($S284*Übersicht!$C$26,2))</f>
        <v>85.96</v>
      </c>
      <c r="R285" s="38">
        <f>IF($S284&lt;=0,0,MIN($S284,IF(Übersicht!$C$14="Annuitätendarlehen",MAX(0,Übersicht!$C$28-$Q285),IF(Übersicht!$C$14="Ratendarlehen",Übersicht!$C$29,IF($A285&gt;=Übersicht!$C$30,$S284,0)))))</f>
        <v>1153.6199999999999</v>
      </c>
      <c r="S285" s="38">
        <f>IF($S284&lt;=0,0,ROUND($S284-$R285-IF($S284-$R285&lt;=0,0,IF(MOD($A285,Übersicht!$C$25)=0,MIN(Szenarien!$C$8,$S284-$R285),0)),2))</f>
        <v>28747.040000000001</v>
      </c>
      <c r="T285" s="38">
        <f>IF($V284&lt;=0,0,ROUND($V284*Übersicht!$C$26,2))</f>
        <v>0</v>
      </c>
      <c r="U285" s="38">
        <f>IF($V284&lt;=0,0,MIN($V284,IF(Übersicht!$C$14="Annuitätendarlehen",MAX(0,Übersicht!$C$28-$T285),IF(Übersicht!$C$14="Ratendarlehen",Übersicht!$C$29,IF($A285&gt;=Übersicht!$C$30,$V284,0)))))</f>
        <v>0</v>
      </c>
      <c r="V285" s="38">
        <f>IF($V284&lt;=0,0,ROUND($V284-$U285-IF($V284-$U285&lt;=0,0,IF(MOD($A285,Übersicht!$C$25)=0,MIN(Szenarien!$C$9,$V284-$U285),0)),2))</f>
        <v>0</v>
      </c>
      <c r="W285" s="38">
        <f>IF($Y284&lt;=0,0,ROUND($Y284*Übersicht!$C$26,2))</f>
        <v>0</v>
      </c>
      <c r="X285" s="38">
        <f>IF($Y284&lt;=0,0,MIN($Y284,IF(Übersicht!$C$14="Annuitätendarlehen",MAX(0,Übersicht!$C$28-$W285),IF(Übersicht!$C$14="Ratendarlehen",Übersicht!$C$29,IF($A285&gt;=Übersicht!$C$30,$Y284,0)))))</f>
        <v>0</v>
      </c>
      <c r="Y285" s="38">
        <f>IF($Y284&lt;=0,0,ROUND($Y284-$X285-IF($Y284-$X285&lt;=0,0,IF(MOD($A285,Übersicht!$C$25)=0,MIN(Szenarien!$C$10,$Y284-$X285),0)),2))</f>
        <v>0</v>
      </c>
      <c r="Z285" s="38">
        <f>IF($AB284&lt;=0,0,ROUND($AB284*Übersicht!$C$26,2))</f>
        <v>0</v>
      </c>
      <c r="AA285" s="38">
        <f>IF($AB284&lt;=0,0,MIN($AB284,IF(Übersicht!$C$14="Annuitätendarlehen",MAX(0,Übersicht!$C$28-$Z285),IF(Übersicht!$C$14="Ratendarlehen",Übersicht!$C$29,IF($A285&gt;=Übersicht!$C$30,$AB284,0)))))</f>
        <v>0</v>
      </c>
      <c r="AB285" s="38">
        <f>IF($AB284&lt;=0,0,ROUND($AB284-$AA285-IF($AB284-$AA285&lt;=0,0,IF(MOD($A285,Übersicht!$C$25)=0,MIN(Szenarien!$C$11,$AB284-$AA285),0)),2))</f>
        <v>0</v>
      </c>
      <c r="AC285" s="38">
        <f>IF($AE284&lt;=0,0,ROUND($AE284*Übersicht!$C$26,2))</f>
        <v>0</v>
      </c>
      <c r="AD285" s="38">
        <f>IF($AE284&lt;=0,0,MIN($AE284,IF(Übersicht!$C$14="Annuitätendarlehen",MAX(0,Übersicht!$C$28-$AC285),IF(Übersicht!$C$14="Ratendarlehen",Übersicht!$C$29,IF($A285&gt;=Übersicht!$C$30,$AE284,0)))))</f>
        <v>0</v>
      </c>
      <c r="AE285" s="38">
        <f>IF($AE284&lt;=0,0,ROUND($AE284-$AD285-IF($AE284-$AD285&lt;=0,0,IF(MOD($A285,Übersicht!$C$25)=0,MIN(Szenarien!$C$12,$AE284-$AD285),0)),2))</f>
        <v>0</v>
      </c>
    </row>
    <row r="286" spans="1:31" ht="15" customHeight="1" x14ac:dyDescent="0.25">
      <c r="A286" s="21">
        <v>279</v>
      </c>
      <c r="B286" s="36" t="str">
        <f>IF($D286&lt;=0,"",EDATE(Übersicht!$C$18,($A286-1)*12/Übersicht!$C$25))</f>
        <v/>
      </c>
      <c r="C286" s="21" t="str">
        <f t="shared" si="28"/>
        <v/>
      </c>
      <c r="D286" s="37">
        <f t="shared" si="32"/>
        <v>0</v>
      </c>
      <c r="E286" s="23">
        <f t="shared" si="29"/>
        <v>0</v>
      </c>
      <c r="F286" s="23">
        <f>IF($D286&lt;=0,0,ROUND($D286*Übersicht!$C$26,2))</f>
        <v>0</v>
      </c>
      <c r="G286" s="23">
        <f>IF($D286&lt;=0,0,MIN($D286,IF(Übersicht!$C$14="Annuitätendarlehen",MAX(0,Übersicht!$C$28-$F286),IF(Übersicht!$C$14="Ratendarlehen",Übersicht!$C$29,IF($A286&gt;=Übersicht!$C$30,$D286,0)))))</f>
        <v>0</v>
      </c>
      <c r="H286" s="23">
        <f>IF($D286-$G286&lt;=0,0,IF(MOD($A286,Übersicht!$C$25)=0,MIN(Übersicht!$C$31,$D286-$G286),0))</f>
        <v>0</v>
      </c>
      <c r="I286" s="23">
        <f t="shared" si="30"/>
        <v>0</v>
      </c>
      <c r="J286" s="23">
        <f t="shared" si="31"/>
        <v>0</v>
      </c>
      <c r="K286" s="23">
        <f t="shared" si="33"/>
        <v>80072.129999999961</v>
      </c>
      <c r="L286" s="23">
        <f t="shared" si="34"/>
        <v>250000</v>
      </c>
      <c r="M286" s="24" t="str">
        <f>IF($D286&lt;=0,"",IF(Übersicht!$C$11=0,0,$L286/Übersicht!$C$11))</f>
        <v/>
      </c>
      <c r="N286" s="25" t="str">
        <f>IF($D286&lt;=0,"",IF($J286&lt;=0.005,"Volltilgung erreicht",IF($A286=Übersicht!$C$19*Übersicht!$C$25,"Ende der Zinsbindung",IF($H286&gt;0,"Sondertilgung verrechnet",""))))</f>
        <v/>
      </c>
      <c r="Q286" s="38">
        <f>IF($S285&lt;=0,0,ROUND($S285*Übersicht!$C$26,2))</f>
        <v>82.65</v>
      </c>
      <c r="R286" s="38">
        <f>IF($S285&lt;=0,0,MIN($S285,IF(Übersicht!$C$14="Annuitätendarlehen",MAX(0,Übersicht!$C$28-$Q286),IF(Übersicht!$C$14="Ratendarlehen",Übersicht!$C$29,IF($A286&gt;=Übersicht!$C$30,$S285,0)))))</f>
        <v>1156.9299999999998</v>
      </c>
      <c r="S286" s="38">
        <f>IF($S285&lt;=0,0,ROUND($S285-$R286-IF($S285-$R286&lt;=0,0,IF(MOD($A286,Übersicht!$C$25)=0,MIN(Szenarien!$C$8,$S285-$R286),0)),2))</f>
        <v>27590.11</v>
      </c>
      <c r="T286" s="38">
        <f>IF($V285&lt;=0,0,ROUND($V285*Übersicht!$C$26,2))</f>
        <v>0</v>
      </c>
      <c r="U286" s="38">
        <f>IF($V285&lt;=0,0,MIN($V285,IF(Übersicht!$C$14="Annuitätendarlehen",MAX(0,Übersicht!$C$28-$T286),IF(Übersicht!$C$14="Ratendarlehen",Übersicht!$C$29,IF($A286&gt;=Übersicht!$C$30,$V285,0)))))</f>
        <v>0</v>
      </c>
      <c r="V286" s="38">
        <f>IF($V285&lt;=0,0,ROUND($V285-$U286-IF($V285-$U286&lt;=0,0,IF(MOD($A286,Übersicht!$C$25)=0,MIN(Szenarien!$C$9,$V285-$U286),0)),2))</f>
        <v>0</v>
      </c>
      <c r="W286" s="38">
        <f>IF($Y285&lt;=0,0,ROUND($Y285*Übersicht!$C$26,2))</f>
        <v>0</v>
      </c>
      <c r="X286" s="38">
        <f>IF($Y285&lt;=0,0,MIN($Y285,IF(Übersicht!$C$14="Annuitätendarlehen",MAX(0,Übersicht!$C$28-$W286),IF(Übersicht!$C$14="Ratendarlehen",Übersicht!$C$29,IF($A286&gt;=Übersicht!$C$30,$Y285,0)))))</f>
        <v>0</v>
      </c>
      <c r="Y286" s="38">
        <f>IF($Y285&lt;=0,0,ROUND($Y285-$X286-IF($Y285-$X286&lt;=0,0,IF(MOD($A286,Übersicht!$C$25)=0,MIN(Szenarien!$C$10,$Y285-$X286),0)),2))</f>
        <v>0</v>
      </c>
      <c r="Z286" s="38">
        <f>IF($AB285&lt;=0,0,ROUND($AB285*Übersicht!$C$26,2))</f>
        <v>0</v>
      </c>
      <c r="AA286" s="38">
        <f>IF($AB285&lt;=0,0,MIN($AB285,IF(Übersicht!$C$14="Annuitätendarlehen",MAX(0,Übersicht!$C$28-$Z286),IF(Übersicht!$C$14="Ratendarlehen",Übersicht!$C$29,IF($A286&gt;=Übersicht!$C$30,$AB285,0)))))</f>
        <v>0</v>
      </c>
      <c r="AB286" s="38">
        <f>IF($AB285&lt;=0,0,ROUND($AB285-$AA286-IF($AB285-$AA286&lt;=0,0,IF(MOD($A286,Übersicht!$C$25)=0,MIN(Szenarien!$C$11,$AB285-$AA286),0)),2))</f>
        <v>0</v>
      </c>
      <c r="AC286" s="38">
        <f>IF($AE285&lt;=0,0,ROUND($AE285*Übersicht!$C$26,2))</f>
        <v>0</v>
      </c>
      <c r="AD286" s="38">
        <f>IF($AE285&lt;=0,0,MIN($AE285,IF(Übersicht!$C$14="Annuitätendarlehen",MAX(0,Übersicht!$C$28-$AC286),IF(Übersicht!$C$14="Ratendarlehen",Übersicht!$C$29,IF($A286&gt;=Übersicht!$C$30,$AE285,0)))))</f>
        <v>0</v>
      </c>
      <c r="AE286" s="38">
        <f>IF($AE285&lt;=0,0,ROUND($AE285-$AD286-IF($AE285-$AD286&lt;=0,0,IF(MOD($A286,Übersicht!$C$25)=0,MIN(Szenarien!$C$12,$AE285-$AD286),0)),2))</f>
        <v>0</v>
      </c>
    </row>
    <row r="287" spans="1:31" ht="15" customHeight="1" x14ac:dyDescent="0.25">
      <c r="A287" s="26">
        <v>280</v>
      </c>
      <c r="B287" s="39" t="str">
        <f>IF($D287&lt;=0,"",EDATE(Übersicht!$C$18,($A287-1)*12/Übersicht!$C$25))</f>
        <v/>
      </c>
      <c r="C287" s="26" t="str">
        <f t="shared" si="28"/>
        <v/>
      </c>
      <c r="D287" s="40">
        <f t="shared" si="32"/>
        <v>0</v>
      </c>
      <c r="E287" s="28">
        <f t="shared" si="29"/>
        <v>0</v>
      </c>
      <c r="F287" s="28">
        <f>IF($D287&lt;=0,0,ROUND($D287*Übersicht!$C$26,2))</f>
        <v>0</v>
      </c>
      <c r="G287" s="28">
        <f>IF($D287&lt;=0,0,MIN($D287,IF(Übersicht!$C$14="Annuitätendarlehen",MAX(0,Übersicht!$C$28-$F287),IF(Übersicht!$C$14="Ratendarlehen",Übersicht!$C$29,IF($A287&gt;=Übersicht!$C$30,$D287,0)))))</f>
        <v>0</v>
      </c>
      <c r="H287" s="28">
        <f>IF($D287-$G287&lt;=0,0,IF(MOD($A287,Übersicht!$C$25)=0,MIN(Übersicht!$C$31,$D287-$G287),0))</f>
        <v>0</v>
      </c>
      <c r="I287" s="28">
        <f t="shared" si="30"/>
        <v>0</v>
      </c>
      <c r="J287" s="28">
        <f t="shared" si="31"/>
        <v>0</v>
      </c>
      <c r="K287" s="28">
        <f t="shared" si="33"/>
        <v>80072.129999999961</v>
      </c>
      <c r="L287" s="28">
        <f t="shared" si="34"/>
        <v>250000</v>
      </c>
      <c r="M287" s="29" t="str">
        <f>IF($D287&lt;=0,"",IF(Übersicht!$C$11=0,0,$L287/Übersicht!$C$11))</f>
        <v/>
      </c>
      <c r="N287" s="30" t="str">
        <f>IF($D287&lt;=0,"",IF($J287&lt;=0.005,"Volltilgung erreicht",IF($A287=Übersicht!$C$19*Übersicht!$C$25,"Ende der Zinsbindung",IF($H287&gt;0,"Sondertilgung verrechnet",""))))</f>
        <v/>
      </c>
      <c r="Q287" s="38">
        <f>IF($S286&lt;=0,0,ROUND($S286*Übersicht!$C$26,2))</f>
        <v>79.319999999999993</v>
      </c>
      <c r="R287" s="38">
        <f>IF($S286&lt;=0,0,MIN($S286,IF(Übersicht!$C$14="Annuitätendarlehen",MAX(0,Übersicht!$C$28-$Q287),IF(Übersicht!$C$14="Ratendarlehen",Übersicht!$C$29,IF($A287&gt;=Übersicht!$C$30,$S286,0)))))</f>
        <v>1160.26</v>
      </c>
      <c r="S287" s="38">
        <f>IF($S286&lt;=0,0,ROUND($S286-$R287-IF($S286-$R287&lt;=0,0,IF(MOD($A287,Übersicht!$C$25)=0,MIN(Szenarien!$C$8,$S286-$R287),0)),2))</f>
        <v>26429.85</v>
      </c>
      <c r="T287" s="38">
        <f>IF($V286&lt;=0,0,ROUND($V286*Übersicht!$C$26,2))</f>
        <v>0</v>
      </c>
      <c r="U287" s="38">
        <f>IF($V286&lt;=0,0,MIN($V286,IF(Übersicht!$C$14="Annuitätendarlehen",MAX(0,Übersicht!$C$28-$T287),IF(Übersicht!$C$14="Ratendarlehen",Übersicht!$C$29,IF($A287&gt;=Übersicht!$C$30,$V286,0)))))</f>
        <v>0</v>
      </c>
      <c r="V287" s="38">
        <f>IF($V286&lt;=0,0,ROUND($V286-$U287-IF($V286-$U287&lt;=0,0,IF(MOD($A287,Übersicht!$C$25)=0,MIN(Szenarien!$C$9,$V286-$U287),0)),2))</f>
        <v>0</v>
      </c>
      <c r="W287" s="38">
        <f>IF($Y286&lt;=0,0,ROUND($Y286*Übersicht!$C$26,2))</f>
        <v>0</v>
      </c>
      <c r="X287" s="38">
        <f>IF($Y286&lt;=0,0,MIN($Y286,IF(Übersicht!$C$14="Annuitätendarlehen",MAX(0,Übersicht!$C$28-$W287),IF(Übersicht!$C$14="Ratendarlehen",Übersicht!$C$29,IF($A287&gt;=Übersicht!$C$30,$Y286,0)))))</f>
        <v>0</v>
      </c>
      <c r="Y287" s="38">
        <f>IF($Y286&lt;=0,0,ROUND($Y286-$X287-IF($Y286-$X287&lt;=0,0,IF(MOD($A287,Übersicht!$C$25)=0,MIN(Szenarien!$C$10,$Y286-$X287),0)),2))</f>
        <v>0</v>
      </c>
      <c r="Z287" s="38">
        <f>IF($AB286&lt;=0,0,ROUND($AB286*Übersicht!$C$26,2))</f>
        <v>0</v>
      </c>
      <c r="AA287" s="38">
        <f>IF($AB286&lt;=0,0,MIN($AB286,IF(Übersicht!$C$14="Annuitätendarlehen",MAX(0,Übersicht!$C$28-$Z287),IF(Übersicht!$C$14="Ratendarlehen",Übersicht!$C$29,IF($A287&gt;=Übersicht!$C$30,$AB286,0)))))</f>
        <v>0</v>
      </c>
      <c r="AB287" s="38">
        <f>IF($AB286&lt;=0,0,ROUND($AB286-$AA287-IF($AB286-$AA287&lt;=0,0,IF(MOD($A287,Übersicht!$C$25)=0,MIN(Szenarien!$C$11,$AB286-$AA287),0)),2))</f>
        <v>0</v>
      </c>
      <c r="AC287" s="38">
        <f>IF($AE286&lt;=0,0,ROUND($AE286*Übersicht!$C$26,2))</f>
        <v>0</v>
      </c>
      <c r="AD287" s="38">
        <f>IF($AE286&lt;=0,0,MIN($AE286,IF(Übersicht!$C$14="Annuitätendarlehen",MAX(0,Übersicht!$C$28-$AC287),IF(Übersicht!$C$14="Ratendarlehen",Übersicht!$C$29,IF($A287&gt;=Übersicht!$C$30,$AE286,0)))))</f>
        <v>0</v>
      </c>
      <c r="AE287" s="38">
        <f>IF($AE286&lt;=0,0,ROUND($AE286-$AD287-IF($AE286-$AD287&lt;=0,0,IF(MOD($A287,Übersicht!$C$25)=0,MIN(Szenarien!$C$12,$AE286-$AD287),0)),2))</f>
        <v>0</v>
      </c>
    </row>
    <row r="288" spans="1:31" ht="15" customHeight="1" x14ac:dyDescent="0.25">
      <c r="A288" s="21">
        <v>281</v>
      </c>
      <c r="B288" s="36" t="str">
        <f>IF($D288&lt;=0,"",EDATE(Übersicht!$C$18,($A288-1)*12/Übersicht!$C$25))</f>
        <v/>
      </c>
      <c r="C288" s="21" t="str">
        <f t="shared" si="28"/>
        <v/>
      </c>
      <c r="D288" s="37">
        <f t="shared" si="32"/>
        <v>0</v>
      </c>
      <c r="E288" s="23">
        <f t="shared" si="29"/>
        <v>0</v>
      </c>
      <c r="F288" s="23">
        <f>IF($D288&lt;=0,0,ROUND($D288*Übersicht!$C$26,2))</f>
        <v>0</v>
      </c>
      <c r="G288" s="23">
        <f>IF($D288&lt;=0,0,MIN($D288,IF(Übersicht!$C$14="Annuitätendarlehen",MAX(0,Übersicht!$C$28-$F288),IF(Übersicht!$C$14="Ratendarlehen",Übersicht!$C$29,IF($A288&gt;=Übersicht!$C$30,$D288,0)))))</f>
        <v>0</v>
      </c>
      <c r="H288" s="23">
        <f>IF($D288-$G288&lt;=0,0,IF(MOD($A288,Übersicht!$C$25)=0,MIN(Übersicht!$C$31,$D288-$G288),0))</f>
        <v>0</v>
      </c>
      <c r="I288" s="23">
        <f t="shared" si="30"/>
        <v>0</v>
      </c>
      <c r="J288" s="23">
        <f t="shared" si="31"/>
        <v>0</v>
      </c>
      <c r="K288" s="23">
        <f t="shared" si="33"/>
        <v>80072.129999999961</v>
      </c>
      <c r="L288" s="23">
        <f t="shared" si="34"/>
        <v>250000</v>
      </c>
      <c r="M288" s="24" t="str">
        <f>IF($D288&lt;=0,"",IF(Übersicht!$C$11=0,0,$L288/Übersicht!$C$11))</f>
        <v/>
      </c>
      <c r="N288" s="25" t="str">
        <f>IF($D288&lt;=0,"",IF($J288&lt;=0.005,"Volltilgung erreicht",IF($A288=Übersicht!$C$19*Übersicht!$C$25,"Ende der Zinsbindung",IF($H288&gt;0,"Sondertilgung verrechnet",""))))</f>
        <v/>
      </c>
      <c r="Q288" s="38">
        <f>IF($S287&lt;=0,0,ROUND($S287*Übersicht!$C$26,2))</f>
        <v>75.989999999999995</v>
      </c>
      <c r="R288" s="38">
        <f>IF($S287&lt;=0,0,MIN($S287,IF(Übersicht!$C$14="Annuitätendarlehen",MAX(0,Übersicht!$C$28-$Q288),IF(Übersicht!$C$14="Ratendarlehen",Übersicht!$C$29,IF($A288&gt;=Übersicht!$C$30,$S287,0)))))</f>
        <v>1163.5899999999999</v>
      </c>
      <c r="S288" s="38">
        <f>IF($S287&lt;=0,0,ROUND($S287-$R288-IF($S287-$R288&lt;=0,0,IF(MOD($A288,Übersicht!$C$25)=0,MIN(Szenarien!$C$8,$S287-$R288),0)),2))</f>
        <v>25266.26</v>
      </c>
      <c r="T288" s="38">
        <f>IF($V287&lt;=0,0,ROUND($V287*Übersicht!$C$26,2))</f>
        <v>0</v>
      </c>
      <c r="U288" s="38">
        <f>IF($V287&lt;=0,0,MIN($V287,IF(Übersicht!$C$14="Annuitätendarlehen",MAX(0,Übersicht!$C$28-$T288),IF(Übersicht!$C$14="Ratendarlehen",Übersicht!$C$29,IF($A288&gt;=Übersicht!$C$30,$V287,0)))))</f>
        <v>0</v>
      </c>
      <c r="V288" s="38">
        <f>IF($V287&lt;=0,0,ROUND($V287-$U288-IF($V287-$U288&lt;=0,0,IF(MOD($A288,Übersicht!$C$25)=0,MIN(Szenarien!$C$9,$V287-$U288),0)),2))</f>
        <v>0</v>
      </c>
      <c r="W288" s="38">
        <f>IF($Y287&lt;=0,0,ROUND($Y287*Übersicht!$C$26,2))</f>
        <v>0</v>
      </c>
      <c r="X288" s="38">
        <f>IF($Y287&lt;=0,0,MIN($Y287,IF(Übersicht!$C$14="Annuitätendarlehen",MAX(0,Übersicht!$C$28-$W288),IF(Übersicht!$C$14="Ratendarlehen",Übersicht!$C$29,IF($A288&gt;=Übersicht!$C$30,$Y287,0)))))</f>
        <v>0</v>
      </c>
      <c r="Y288" s="38">
        <f>IF($Y287&lt;=0,0,ROUND($Y287-$X288-IF($Y287-$X288&lt;=0,0,IF(MOD($A288,Übersicht!$C$25)=0,MIN(Szenarien!$C$10,$Y287-$X288),0)),2))</f>
        <v>0</v>
      </c>
      <c r="Z288" s="38">
        <f>IF($AB287&lt;=0,0,ROUND($AB287*Übersicht!$C$26,2))</f>
        <v>0</v>
      </c>
      <c r="AA288" s="38">
        <f>IF($AB287&lt;=0,0,MIN($AB287,IF(Übersicht!$C$14="Annuitätendarlehen",MAX(0,Übersicht!$C$28-$Z288),IF(Übersicht!$C$14="Ratendarlehen",Übersicht!$C$29,IF($A288&gt;=Übersicht!$C$30,$AB287,0)))))</f>
        <v>0</v>
      </c>
      <c r="AB288" s="38">
        <f>IF($AB287&lt;=0,0,ROUND($AB287-$AA288-IF($AB287-$AA288&lt;=0,0,IF(MOD($A288,Übersicht!$C$25)=0,MIN(Szenarien!$C$11,$AB287-$AA288),0)),2))</f>
        <v>0</v>
      </c>
      <c r="AC288" s="38">
        <f>IF($AE287&lt;=0,0,ROUND($AE287*Übersicht!$C$26,2))</f>
        <v>0</v>
      </c>
      <c r="AD288" s="38">
        <f>IF($AE287&lt;=0,0,MIN($AE287,IF(Übersicht!$C$14="Annuitätendarlehen",MAX(0,Übersicht!$C$28-$AC288),IF(Übersicht!$C$14="Ratendarlehen",Übersicht!$C$29,IF($A288&gt;=Übersicht!$C$30,$AE287,0)))))</f>
        <v>0</v>
      </c>
      <c r="AE288" s="38">
        <f>IF($AE287&lt;=0,0,ROUND($AE287-$AD288-IF($AE287-$AD288&lt;=0,0,IF(MOD($A288,Übersicht!$C$25)=0,MIN(Szenarien!$C$12,$AE287-$AD288),0)),2))</f>
        <v>0</v>
      </c>
    </row>
    <row r="289" spans="1:31" ht="15" customHeight="1" x14ac:dyDescent="0.25">
      <c r="A289" s="26">
        <v>282</v>
      </c>
      <c r="B289" s="39" t="str">
        <f>IF($D289&lt;=0,"",EDATE(Übersicht!$C$18,($A289-1)*12/Übersicht!$C$25))</f>
        <v/>
      </c>
      <c r="C289" s="26" t="str">
        <f t="shared" si="28"/>
        <v/>
      </c>
      <c r="D289" s="40">
        <f t="shared" si="32"/>
        <v>0</v>
      </c>
      <c r="E289" s="28">
        <f t="shared" si="29"/>
        <v>0</v>
      </c>
      <c r="F289" s="28">
        <f>IF($D289&lt;=0,0,ROUND($D289*Übersicht!$C$26,2))</f>
        <v>0</v>
      </c>
      <c r="G289" s="28">
        <f>IF($D289&lt;=0,0,MIN($D289,IF(Übersicht!$C$14="Annuitätendarlehen",MAX(0,Übersicht!$C$28-$F289),IF(Übersicht!$C$14="Ratendarlehen",Übersicht!$C$29,IF($A289&gt;=Übersicht!$C$30,$D289,0)))))</f>
        <v>0</v>
      </c>
      <c r="H289" s="28">
        <f>IF($D289-$G289&lt;=0,0,IF(MOD($A289,Übersicht!$C$25)=0,MIN(Übersicht!$C$31,$D289-$G289),0))</f>
        <v>0</v>
      </c>
      <c r="I289" s="28">
        <f t="shared" si="30"/>
        <v>0</v>
      </c>
      <c r="J289" s="28">
        <f t="shared" si="31"/>
        <v>0</v>
      </c>
      <c r="K289" s="28">
        <f t="shared" si="33"/>
        <v>80072.129999999961</v>
      </c>
      <c r="L289" s="28">
        <f t="shared" si="34"/>
        <v>250000</v>
      </c>
      <c r="M289" s="29" t="str">
        <f>IF($D289&lt;=0,"",IF(Übersicht!$C$11=0,0,$L289/Übersicht!$C$11))</f>
        <v/>
      </c>
      <c r="N289" s="30" t="str">
        <f>IF($D289&lt;=0,"",IF($J289&lt;=0.005,"Volltilgung erreicht",IF($A289=Übersicht!$C$19*Übersicht!$C$25,"Ende der Zinsbindung",IF($H289&gt;0,"Sondertilgung verrechnet",""))))</f>
        <v/>
      </c>
      <c r="Q289" s="38">
        <f>IF($S288&lt;=0,0,ROUND($S288*Übersicht!$C$26,2))</f>
        <v>72.64</v>
      </c>
      <c r="R289" s="38">
        <f>IF($S288&lt;=0,0,MIN($S288,IF(Übersicht!$C$14="Annuitätendarlehen",MAX(0,Übersicht!$C$28-$Q289),IF(Übersicht!$C$14="Ratendarlehen",Übersicht!$C$29,IF($A289&gt;=Übersicht!$C$30,$S288,0)))))</f>
        <v>1166.9399999999998</v>
      </c>
      <c r="S289" s="38">
        <f>IF($S288&lt;=0,0,ROUND($S288-$R289-IF($S288-$R289&lt;=0,0,IF(MOD($A289,Übersicht!$C$25)=0,MIN(Szenarien!$C$8,$S288-$R289),0)),2))</f>
        <v>24099.32</v>
      </c>
      <c r="T289" s="38">
        <f>IF($V288&lt;=0,0,ROUND($V288*Übersicht!$C$26,2))</f>
        <v>0</v>
      </c>
      <c r="U289" s="38">
        <f>IF($V288&lt;=0,0,MIN($V288,IF(Übersicht!$C$14="Annuitätendarlehen",MAX(0,Übersicht!$C$28-$T289),IF(Übersicht!$C$14="Ratendarlehen",Übersicht!$C$29,IF($A289&gt;=Übersicht!$C$30,$V288,0)))))</f>
        <v>0</v>
      </c>
      <c r="V289" s="38">
        <f>IF($V288&lt;=0,0,ROUND($V288-$U289-IF($V288-$U289&lt;=0,0,IF(MOD($A289,Übersicht!$C$25)=0,MIN(Szenarien!$C$9,$V288-$U289),0)),2))</f>
        <v>0</v>
      </c>
      <c r="W289" s="38">
        <f>IF($Y288&lt;=0,0,ROUND($Y288*Übersicht!$C$26,2))</f>
        <v>0</v>
      </c>
      <c r="X289" s="38">
        <f>IF($Y288&lt;=0,0,MIN($Y288,IF(Übersicht!$C$14="Annuitätendarlehen",MAX(0,Übersicht!$C$28-$W289),IF(Übersicht!$C$14="Ratendarlehen",Übersicht!$C$29,IF($A289&gt;=Übersicht!$C$30,$Y288,0)))))</f>
        <v>0</v>
      </c>
      <c r="Y289" s="38">
        <f>IF($Y288&lt;=0,0,ROUND($Y288-$X289-IF($Y288-$X289&lt;=0,0,IF(MOD($A289,Übersicht!$C$25)=0,MIN(Szenarien!$C$10,$Y288-$X289),0)),2))</f>
        <v>0</v>
      </c>
      <c r="Z289" s="38">
        <f>IF($AB288&lt;=0,0,ROUND($AB288*Übersicht!$C$26,2))</f>
        <v>0</v>
      </c>
      <c r="AA289" s="38">
        <f>IF($AB288&lt;=0,0,MIN($AB288,IF(Übersicht!$C$14="Annuitätendarlehen",MAX(0,Übersicht!$C$28-$Z289),IF(Übersicht!$C$14="Ratendarlehen",Übersicht!$C$29,IF($A289&gt;=Übersicht!$C$30,$AB288,0)))))</f>
        <v>0</v>
      </c>
      <c r="AB289" s="38">
        <f>IF($AB288&lt;=0,0,ROUND($AB288-$AA289-IF($AB288-$AA289&lt;=0,0,IF(MOD($A289,Übersicht!$C$25)=0,MIN(Szenarien!$C$11,$AB288-$AA289),0)),2))</f>
        <v>0</v>
      </c>
      <c r="AC289" s="38">
        <f>IF($AE288&lt;=0,0,ROUND($AE288*Übersicht!$C$26,2))</f>
        <v>0</v>
      </c>
      <c r="AD289" s="38">
        <f>IF($AE288&lt;=0,0,MIN($AE288,IF(Übersicht!$C$14="Annuitätendarlehen",MAX(0,Übersicht!$C$28-$AC289),IF(Übersicht!$C$14="Ratendarlehen",Übersicht!$C$29,IF($A289&gt;=Übersicht!$C$30,$AE288,0)))))</f>
        <v>0</v>
      </c>
      <c r="AE289" s="38">
        <f>IF($AE288&lt;=0,0,ROUND($AE288-$AD289-IF($AE288-$AD289&lt;=0,0,IF(MOD($A289,Übersicht!$C$25)=0,MIN(Szenarien!$C$12,$AE288-$AD289),0)),2))</f>
        <v>0</v>
      </c>
    </row>
    <row r="290" spans="1:31" ht="15" customHeight="1" x14ac:dyDescent="0.25">
      <c r="A290" s="21">
        <v>283</v>
      </c>
      <c r="B290" s="36" t="str">
        <f>IF($D290&lt;=0,"",EDATE(Übersicht!$C$18,($A290-1)*12/Übersicht!$C$25))</f>
        <v/>
      </c>
      <c r="C290" s="21" t="str">
        <f t="shared" si="28"/>
        <v/>
      </c>
      <c r="D290" s="37">
        <f t="shared" si="32"/>
        <v>0</v>
      </c>
      <c r="E290" s="23">
        <f t="shared" si="29"/>
        <v>0</v>
      </c>
      <c r="F290" s="23">
        <f>IF($D290&lt;=0,0,ROUND($D290*Übersicht!$C$26,2))</f>
        <v>0</v>
      </c>
      <c r="G290" s="23">
        <f>IF($D290&lt;=0,0,MIN($D290,IF(Übersicht!$C$14="Annuitätendarlehen",MAX(0,Übersicht!$C$28-$F290),IF(Übersicht!$C$14="Ratendarlehen",Übersicht!$C$29,IF($A290&gt;=Übersicht!$C$30,$D290,0)))))</f>
        <v>0</v>
      </c>
      <c r="H290" s="23">
        <f>IF($D290-$G290&lt;=0,0,IF(MOD($A290,Übersicht!$C$25)=0,MIN(Übersicht!$C$31,$D290-$G290),0))</f>
        <v>0</v>
      </c>
      <c r="I290" s="23">
        <f t="shared" si="30"/>
        <v>0</v>
      </c>
      <c r="J290" s="23">
        <f t="shared" si="31"/>
        <v>0</v>
      </c>
      <c r="K290" s="23">
        <f t="shared" si="33"/>
        <v>80072.129999999961</v>
      </c>
      <c r="L290" s="23">
        <f t="shared" si="34"/>
        <v>250000</v>
      </c>
      <c r="M290" s="24" t="str">
        <f>IF($D290&lt;=0,"",IF(Übersicht!$C$11=0,0,$L290/Übersicht!$C$11))</f>
        <v/>
      </c>
      <c r="N290" s="25" t="str">
        <f>IF($D290&lt;=0,"",IF($J290&lt;=0.005,"Volltilgung erreicht",IF($A290=Übersicht!$C$19*Übersicht!$C$25,"Ende der Zinsbindung",IF($H290&gt;0,"Sondertilgung verrechnet",""))))</f>
        <v/>
      </c>
      <c r="Q290" s="38">
        <f>IF($S289&lt;=0,0,ROUND($S289*Übersicht!$C$26,2))</f>
        <v>69.290000000000006</v>
      </c>
      <c r="R290" s="38">
        <f>IF($S289&lt;=0,0,MIN($S289,IF(Übersicht!$C$14="Annuitätendarlehen",MAX(0,Übersicht!$C$28-$Q290),IF(Übersicht!$C$14="Ratendarlehen",Übersicht!$C$29,IF($A290&gt;=Übersicht!$C$30,$S289,0)))))</f>
        <v>1170.29</v>
      </c>
      <c r="S290" s="38">
        <f>IF($S289&lt;=0,0,ROUND($S289-$R290-IF($S289-$R290&lt;=0,0,IF(MOD($A290,Übersicht!$C$25)=0,MIN(Szenarien!$C$8,$S289-$R290),0)),2))</f>
        <v>22929.03</v>
      </c>
      <c r="T290" s="38">
        <f>IF($V289&lt;=0,0,ROUND($V289*Übersicht!$C$26,2))</f>
        <v>0</v>
      </c>
      <c r="U290" s="38">
        <f>IF($V289&lt;=0,0,MIN($V289,IF(Übersicht!$C$14="Annuitätendarlehen",MAX(0,Übersicht!$C$28-$T290),IF(Übersicht!$C$14="Ratendarlehen",Übersicht!$C$29,IF($A290&gt;=Übersicht!$C$30,$V289,0)))))</f>
        <v>0</v>
      </c>
      <c r="V290" s="38">
        <f>IF($V289&lt;=0,0,ROUND($V289-$U290-IF($V289-$U290&lt;=0,0,IF(MOD($A290,Übersicht!$C$25)=0,MIN(Szenarien!$C$9,$V289-$U290),0)),2))</f>
        <v>0</v>
      </c>
      <c r="W290" s="38">
        <f>IF($Y289&lt;=0,0,ROUND($Y289*Übersicht!$C$26,2))</f>
        <v>0</v>
      </c>
      <c r="X290" s="38">
        <f>IF($Y289&lt;=0,0,MIN($Y289,IF(Übersicht!$C$14="Annuitätendarlehen",MAX(0,Übersicht!$C$28-$W290),IF(Übersicht!$C$14="Ratendarlehen",Übersicht!$C$29,IF($A290&gt;=Übersicht!$C$30,$Y289,0)))))</f>
        <v>0</v>
      </c>
      <c r="Y290" s="38">
        <f>IF($Y289&lt;=0,0,ROUND($Y289-$X290-IF($Y289-$X290&lt;=0,0,IF(MOD($A290,Übersicht!$C$25)=0,MIN(Szenarien!$C$10,$Y289-$X290),0)),2))</f>
        <v>0</v>
      </c>
      <c r="Z290" s="38">
        <f>IF($AB289&lt;=0,0,ROUND($AB289*Übersicht!$C$26,2))</f>
        <v>0</v>
      </c>
      <c r="AA290" s="38">
        <f>IF($AB289&lt;=0,0,MIN($AB289,IF(Übersicht!$C$14="Annuitätendarlehen",MAX(0,Übersicht!$C$28-$Z290),IF(Übersicht!$C$14="Ratendarlehen",Übersicht!$C$29,IF($A290&gt;=Übersicht!$C$30,$AB289,0)))))</f>
        <v>0</v>
      </c>
      <c r="AB290" s="38">
        <f>IF($AB289&lt;=0,0,ROUND($AB289-$AA290-IF($AB289-$AA290&lt;=0,0,IF(MOD($A290,Übersicht!$C$25)=0,MIN(Szenarien!$C$11,$AB289-$AA290),0)),2))</f>
        <v>0</v>
      </c>
      <c r="AC290" s="38">
        <f>IF($AE289&lt;=0,0,ROUND($AE289*Übersicht!$C$26,2))</f>
        <v>0</v>
      </c>
      <c r="AD290" s="38">
        <f>IF($AE289&lt;=0,0,MIN($AE289,IF(Übersicht!$C$14="Annuitätendarlehen",MAX(0,Übersicht!$C$28-$AC290),IF(Übersicht!$C$14="Ratendarlehen",Übersicht!$C$29,IF($A290&gt;=Übersicht!$C$30,$AE289,0)))))</f>
        <v>0</v>
      </c>
      <c r="AE290" s="38">
        <f>IF($AE289&lt;=0,0,ROUND($AE289-$AD290-IF($AE289-$AD290&lt;=0,0,IF(MOD($A290,Übersicht!$C$25)=0,MIN(Szenarien!$C$12,$AE289-$AD290),0)),2))</f>
        <v>0</v>
      </c>
    </row>
    <row r="291" spans="1:31" ht="15" customHeight="1" x14ac:dyDescent="0.25">
      <c r="A291" s="26">
        <v>284</v>
      </c>
      <c r="B291" s="39" t="str">
        <f>IF($D291&lt;=0,"",EDATE(Übersicht!$C$18,($A291-1)*12/Übersicht!$C$25))</f>
        <v/>
      </c>
      <c r="C291" s="26" t="str">
        <f t="shared" si="28"/>
        <v/>
      </c>
      <c r="D291" s="40">
        <f t="shared" si="32"/>
        <v>0</v>
      </c>
      <c r="E291" s="28">
        <f t="shared" si="29"/>
        <v>0</v>
      </c>
      <c r="F291" s="28">
        <f>IF($D291&lt;=0,0,ROUND($D291*Übersicht!$C$26,2))</f>
        <v>0</v>
      </c>
      <c r="G291" s="28">
        <f>IF($D291&lt;=0,0,MIN($D291,IF(Übersicht!$C$14="Annuitätendarlehen",MAX(0,Übersicht!$C$28-$F291),IF(Übersicht!$C$14="Ratendarlehen",Übersicht!$C$29,IF($A291&gt;=Übersicht!$C$30,$D291,0)))))</f>
        <v>0</v>
      </c>
      <c r="H291" s="28">
        <f>IF($D291-$G291&lt;=0,0,IF(MOD($A291,Übersicht!$C$25)=0,MIN(Übersicht!$C$31,$D291-$G291),0))</f>
        <v>0</v>
      </c>
      <c r="I291" s="28">
        <f t="shared" si="30"/>
        <v>0</v>
      </c>
      <c r="J291" s="28">
        <f t="shared" si="31"/>
        <v>0</v>
      </c>
      <c r="K291" s="28">
        <f t="shared" si="33"/>
        <v>80072.129999999961</v>
      </c>
      <c r="L291" s="28">
        <f t="shared" si="34"/>
        <v>250000</v>
      </c>
      <c r="M291" s="29" t="str">
        <f>IF($D291&lt;=0,"",IF(Übersicht!$C$11=0,0,$L291/Übersicht!$C$11))</f>
        <v/>
      </c>
      <c r="N291" s="30" t="str">
        <f>IF($D291&lt;=0,"",IF($J291&lt;=0.005,"Volltilgung erreicht",IF($A291=Übersicht!$C$19*Übersicht!$C$25,"Ende der Zinsbindung",IF($H291&gt;0,"Sondertilgung verrechnet",""))))</f>
        <v/>
      </c>
      <c r="Q291" s="38">
        <f>IF($S290&lt;=0,0,ROUND($S290*Übersicht!$C$26,2))</f>
        <v>65.92</v>
      </c>
      <c r="R291" s="38">
        <f>IF($S290&lt;=0,0,MIN($S290,IF(Übersicht!$C$14="Annuitätendarlehen",MAX(0,Übersicht!$C$28-$Q291),IF(Übersicht!$C$14="Ratendarlehen",Übersicht!$C$29,IF($A291&gt;=Übersicht!$C$30,$S290,0)))))</f>
        <v>1173.6599999999999</v>
      </c>
      <c r="S291" s="38">
        <f>IF($S290&lt;=0,0,ROUND($S290-$R291-IF($S290-$R291&lt;=0,0,IF(MOD($A291,Übersicht!$C$25)=0,MIN(Szenarien!$C$8,$S290-$R291),0)),2))</f>
        <v>21755.37</v>
      </c>
      <c r="T291" s="38">
        <f>IF($V290&lt;=0,0,ROUND($V290*Übersicht!$C$26,2))</f>
        <v>0</v>
      </c>
      <c r="U291" s="38">
        <f>IF($V290&lt;=0,0,MIN($V290,IF(Übersicht!$C$14="Annuitätendarlehen",MAX(0,Übersicht!$C$28-$T291),IF(Übersicht!$C$14="Ratendarlehen",Übersicht!$C$29,IF($A291&gt;=Übersicht!$C$30,$V290,0)))))</f>
        <v>0</v>
      </c>
      <c r="V291" s="38">
        <f>IF($V290&lt;=0,0,ROUND($V290-$U291-IF($V290-$U291&lt;=0,0,IF(MOD($A291,Übersicht!$C$25)=0,MIN(Szenarien!$C$9,$V290-$U291),0)),2))</f>
        <v>0</v>
      </c>
      <c r="W291" s="38">
        <f>IF($Y290&lt;=0,0,ROUND($Y290*Übersicht!$C$26,2))</f>
        <v>0</v>
      </c>
      <c r="X291" s="38">
        <f>IF($Y290&lt;=0,0,MIN($Y290,IF(Übersicht!$C$14="Annuitätendarlehen",MAX(0,Übersicht!$C$28-$W291),IF(Übersicht!$C$14="Ratendarlehen",Übersicht!$C$29,IF($A291&gt;=Übersicht!$C$30,$Y290,0)))))</f>
        <v>0</v>
      </c>
      <c r="Y291" s="38">
        <f>IF($Y290&lt;=0,0,ROUND($Y290-$X291-IF($Y290-$X291&lt;=0,0,IF(MOD($A291,Übersicht!$C$25)=0,MIN(Szenarien!$C$10,$Y290-$X291),0)),2))</f>
        <v>0</v>
      </c>
      <c r="Z291" s="38">
        <f>IF($AB290&lt;=0,0,ROUND($AB290*Übersicht!$C$26,2))</f>
        <v>0</v>
      </c>
      <c r="AA291" s="38">
        <f>IF($AB290&lt;=0,0,MIN($AB290,IF(Übersicht!$C$14="Annuitätendarlehen",MAX(0,Übersicht!$C$28-$Z291),IF(Übersicht!$C$14="Ratendarlehen",Übersicht!$C$29,IF($A291&gt;=Übersicht!$C$30,$AB290,0)))))</f>
        <v>0</v>
      </c>
      <c r="AB291" s="38">
        <f>IF($AB290&lt;=0,0,ROUND($AB290-$AA291-IF($AB290-$AA291&lt;=0,0,IF(MOD($A291,Übersicht!$C$25)=0,MIN(Szenarien!$C$11,$AB290-$AA291),0)),2))</f>
        <v>0</v>
      </c>
      <c r="AC291" s="38">
        <f>IF($AE290&lt;=0,0,ROUND($AE290*Übersicht!$C$26,2))</f>
        <v>0</v>
      </c>
      <c r="AD291" s="38">
        <f>IF($AE290&lt;=0,0,MIN($AE290,IF(Übersicht!$C$14="Annuitätendarlehen",MAX(0,Übersicht!$C$28-$AC291),IF(Übersicht!$C$14="Ratendarlehen",Übersicht!$C$29,IF($A291&gt;=Übersicht!$C$30,$AE290,0)))))</f>
        <v>0</v>
      </c>
      <c r="AE291" s="38">
        <f>IF($AE290&lt;=0,0,ROUND($AE290-$AD291-IF($AE290-$AD291&lt;=0,0,IF(MOD($A291,Übersicht!$C$25)=0,MIN(Szenarien!$C$12,$AE290-$AD291),0)),2))</f>
        <v>0</v>
      </c>
    </row>
    <row r="292" spans="1:31" ht="15" customHeight="1" x14ac:dyDescent="0.25">
      <c r="A292" s="21">
        <v>285</v>
      </c>
      <c r="B292" s="36" t="str">
        <f>IF($D292&lt;=0,"",EDATE(Übersicht!$C$18,($A292-1)*12/Übersicht!$C$25))</f>
        <v/>
      </c>
      <c r="C292" s="21" t="str">
        <f t="shared" si="28"/>
        <v/>
      </c>
      <c r="D292" s="37">
        <f t="shared" si="32"/>
        <v>0</v>
      </c>
      <c r="E292" s="23">
        <f t="shared" si="29"/>
        <v>0</v>
      </c>
      <c r="F292" s="23">
        <f>IF($D292&lt;=0,0,ROUND($D292*Übersicht!$C$26,2))</f>
        <v>0</v>
      </c>
      <c r="G292" s="23">
        <f>IF($D292&lt;=0,0,MIN($D292,IF(Übersicht!$C$14="Annuitätendarlehen",MAX(0,Übersicht!$C$28-$F292),IF(Übersicht!$C$14="Ratendarlehen",Übersicht!$C$29,IF($A292&gt;=Übersicht!$C$30,$D292,0)))))</f>
        <v>0</v>
      </c>
      <c r="H292" s="23">
        <f>IF($D292-$G292&lt;=0,0,IF(MOD($A292,Übersicht!$C$25)=0,MIN(Übersicht!$C$31,$D292-$G292),0))</f>
        <v>0</v>
      </c>
      <c r="I292" s="23">
        <f t="shared" si="30"/>
        <v>0</v>
      </c>
      <c r="J292" s="23">
        <f t="shared" si="31"/>
        <v>0</v>
      </c>
      <c r="K292" s="23">
        <f t="shared" si="33"/>
        <v>80072.129999999961</v>
      </c>
      <c r="L292" s="23">
        <f t="shared" si="34"/>
        <v>250000</v>
      </c>
      <c r="M292" s="24" t="str">
        <f>IF($D292&lt;=0,"",IF(Übersicht!$C$11=0,0,$L292/Übersicht!$C$11))</f>
        <v/>
      </c>
      <c r="N292" s="25" t="str">
        <f>IF($D292&lt;=0,"",IF($J292&lt;=0.005,"Volltilgung erreicht",IF($A292=Übersicht!$C$19*Übersicht!$C$25,"Ende der Zinsbindung",IF($H292&gt;0,"Sondertilgung verrechnet",""))))</f>
        <v/>
      </c>
      <c r="Q292" s="38">
        <f>IF($S291&lt;=0,0,ROUND($S291*Übersicht!$C$26,2))</f>
        <v>62.55</v>
      </c>
      <c r="R292" s="38">
        <f>IF($S291&lt;=0,0,MIN($S291,IF(Übersicht!$C$14="Annuitätendarlehen",MAX(0,Übersicht!$C$28-$Q292),IF(Übersicht!$C$14="Ratendarlehen",Übersicht!$C$29,IF($A292&gt;=Übersicht!$C$30,$S291,0)))))</f>
        <v>1177.03</v>
      </c>
      <c r="S292" s="38">
        <f>IF($S291&lt;=0,0,ROUND($S291-$R292-IF($S291-$R292&lt;=0,0,IF(MOD($A292,Übersicht!$C$25)=0,MIN(Szenarien!$C$8,$S291-$R292),0)),2))</f>
        <v>20578.34</v>
      </c>
      <c r="T292" s="38">
        <f>IF($V291&lt;=0,0,ROUND($V291*Übersicht!$C$26,2))</f>
        <v>0</v>
      </c>
      <c r="U292" s="38">
        <f>IF($V291&lt;=0,0,MIN($V291,IF(Übersicht!$C$14="Annuitätendarlehen",MAX(0,Übersicht!$C$28-$T292),IF(Übersicht!$C$14="Ratendarlehen",Übersicht!$C$29,IF($A292&gt;=Übersicht!$C$30,$V291,0)))))</f>
        <v>0</v>
      </c>
      <c r="V292" s="38">
        <f>IF($V291&lt;=0,0,ROUND($V291-$U292-IF($V291-$U292&lt;=0,0,IF(MOD($A292,Übersicht!$C$25)=0,MIN(Szenarien!$C$9,$V291-$U292),0)),2))</f>
        <v>0</v>
      </c>
      <c r="W292" s="38">
        <f>IF($Y291&lt;=0,0,ROUND($Y291*Übersicht!$C$26,2))</f>
        <v>0</v>
      </c>
      <c r="X292" s="38">
        <f>IF($Y291&lt;=0,0,MIN($Y291,IF(Übersicht!$C$14="Annuitätendarlehen",MAX(0,Übersicht!$C$28-$W292),IF(Übersicht!$C$14="Ratendarlehen",Übersicht!$C$29,IF($A292&gt;=Übersicht!$C$30,$Y291,0)))))</f>
        <v>0</v>
      </c>
      <c r="Y292" s="38">
        <f>IF($Y291&lt;=0,0,ROUND($Y291-$X292-IF($Y291-$X292&lt;=0,0,IF(MOD($A292,Übersicht!$C$25)=0,MIN(Szenarien!$C$10,$Y291-$X292),0)),2))</f>
        <v>0</v>
      </c>
      <c r="Z292" s="38">
        <f>IF($AB291&lt;=0,0,ROUND($AB291*Übersicht!$C$26,2))</f>
        <v>0</v>
      </c>
      <c r="AA292" s="38">
        <f>IF($AB291&lt;=0,0,MIN($AB291,IF(Übersicht!$C$14="Annuitätendarlehen",MAX(0,Übersicht!$C$28-$Z292),IF(Übersicht!$C$14="Ratendarlehen",Übersicht!$C$29,IF($A292&gt;=Übersicht!$C$30,$AB291,0)))))</f>
        <v>0</v>
      </c>
      <c r="AB292" s="38">
        <f>IF($AB291&lt;=0,0,ROUND($AB291-$AA292-IF($AB291-$AA292&lt;=0,0,IF(MOD($A292,Übersicht!$C$25)=0,MIN(Szenarien!$C$11,$AB291-$AA292),0)),2))</f>
        <v>0</v>
      </c>
      <c r="AC292" s="38">
        <f>IF($AE291&lt;=0,0,ROUND($AE291*Übersicht!$C$26,2))</f>
        <v>0</v>
      </c>
      <c r="AD292" s="38">
        <f>IF($AE291&lt;=0,0,MIN($AE291,IF(Übersicht!$C$14="Annuitätendarlehen",MAX(0,Übersicht!$C$28-$AC292),IF(Übersicht!$C$14="Ratendarlehen",Übersicht!$C$29,IF($A292&gt;=Übersicht!$C$30,$AE291,0)))))</f>
        <v>0</v>
      </c>
      <c r="AE292" s="38">
        <f>IF($AE291&lt;=0,0,ROUND($AE291-$AD292-IF($AE291-$AD292&lt;=0,0,IF(MOD($A292,Übersicht!$C$25)=0,MIN(Szenarien!$C$12,$AE291-$AD292),0)),2))</f>
        <v>0</v>
      </c>
    </row>
    <row r="293" spans="1:31" ht="15" customHeight="1" x14ac:dyDescent="0.25">
      <c r="A293" s="26">
        <v>286</v>
      </c>
      <c r="B293" s="39" t="str">
        <f>IF($D293&lt;=0,"",EDATE(Übersicht!$C$18,($A293-1)*12/Übersicht!$C$25))</f>
        <v/>
      </c>
      <c r="C293" s="26" t="str">
        <f t="shared" si="28"/>
        <v/>
      </c>
      <c r="D293" s="40">
        <f t="shared" si="32"/>
        <v>0</v>
      </c>
      <c r="E293" s="28">
        <f t="shared" si="29"/>
        <v>0</v>
      </c>
      <c r="F293" s="28">
        <f>IF($D293&lt;=0,0,ROUND($D293*Übersicht!$C$26,2))</f>
        <v>0</v>
      </c>
      <c r="G293" s="28">
        <f>IF($D293&lt;=0,0,MIN($D293,IF(Übersicht!$C$14="Annuitätendarlehen",MAX(0,Übersicht!$C$28-$F293),IF(Übersicht!$C$14="Ratendarlehen",Übersicht!$C$29,IF($A293&gt;=Übersicht!$C$30,$D293,0)))))</f>
        <v>0</v>
      </c>
      <c r="H293" s="28">
        <f>IF($D293-$G293&lt;=0,0,IF(MOD($A293,Übersicht!$C$25)=0,MIN(Übersicht!$C$31,$D293-$G293),0))</f>
        <v>0</v>
      </c>
      <c r="I293" s="28">
        <f t="shared" si="30"/>
        <v>0</v>
      </c>
      <c r="J293" s="28">
        <f t="shared" si="31"/>
        <v>0</v>
      </c>
      <c r="K293" s="28">
        <f t="shared" si="33"/>
        <v>80072.129999999961</v>
      </c>
      <c r="L293" s="28">
        <f t="shared" si="34"/>
        <v>250000</v>
      </c>
      <c r="M293" s="29" t="str">
        <f>IF($D293&lt;=0,"",IF(Übersicht!$C$11=0,0,$L293/Übersicht!$C$11))</f>
        <v/>
      </c>
      <c r="N293" s="30" t="str">
        <f>IF($D293&lt;=0,"",IF($J293&lt;=0.005,"Volltilgung erreicht",IF($A293=Übersicht!$C$19*Übersicht!$C$25,"Ende der Zinsbindung",IF($H293&gt;0,"Sondertilgung verrechnet",""))))</f>
        <v/>
      </c>
      <c r="Q293" s="38">
        <f>IF($S292&lt;=0,0,ROUND($S292*Übersicht!$C$26,2))</f>
        <v>59.16</v>
      </c>
      <c r="R293" s="38">
        <f>IF($S292&lt;=0,0,MIN($S292,IF(Übersicht!$C$14="Annuitätendarlehen",MAX(0,Übersicht!$C$28-$Q293),IF(Übersicht!$C$14="Ratendarlehen",Übersicht!$C$29,IF($A293&gt;=Übersicht!$C$30,$S292,0)))))</f>
        <v>1180.4199999999998</v>
      </c>
      <c r="S293" s="38">
        <f>IF($S292&lt;=0,0,ROUND($S292-$R293-IF($S292-$R293&lt;=0,0,IF(MOD($A293,Übersicht!$C$25)=0,MIN(Szenarien!$C$8,$S292-$R293),0)),2))</f>
        <v>19397.919999999998</v>
      </c>
      <c r="T293" s="38">
        <f>IF($V292&lt;=0,0,ROUND($V292*Übersicht!$C$26,2))</f>
        <v>0</v>
      </c>
      <c r="U293" s="38">
        <f>IF($V292&lt;=0,0,MIN($V292,IF(Übersicht!$C$14="Annuitätendarlehen",MAX(0,Übersicht!$C$28-$T293),IF(Übersicht!$C$14="Ratendarlehen",Übersicht!$C$29,IF($A293&gt;=Übersicht!$C$30,$V292,0)))))</f>
        <v>0</v>
      </c>
      <c r="V293" s="38">
        <f>IF($V292&lt;=0,0,ROUND($V292-$U293-IF($V292-$U293&lt;=0,0,IF(MOD($A293,Übersicht!$C$25)=0,MIN(Szenarien!$C$9,$V292-$U293),0)),2))</f>
        <v>0</v>
      </c>
      <c r="W293" s="38">
        <f>IF($Y292&lt;=0,0,ROUND($Y292*Übersicht!$C$26,2))</f>
        <v>0</v>
      </c>
      <c r="X293" s="38">
        <f>IF($Y292&lt;=0,0,MIN($Y292,IF(Übersicht!$C$14="Annuitätendarlehen",MAX(0,Übersicht!$C$28-$W293),IF(Übersicht!$C$14="Ratendarlehen",Übersicht!$C$29,IF($A293&gt;=Übersicht!$C$30,$Y292,0)))))</f>
        <v>0</v>
      </c>
      <c r="Y293" s="38">
        <f>IF($Y292&lt;=0,0,ROUND($Y292-$X293-IF($Y292-$X293&lt;=0,0,IF(MOD($A293,Übersicht!$C$25)=0,MIN(Szenarien!$C$10,$Y292-$X293),0)),2))</f>
        <v>0</v>
      </c>
      <c r="Z293" s="38">
        <f>IF($AB292&lt;=0,0,ROUND($AB292*Übersicht!$C$26,2))</f>
        <v>0</v>
      </c>
      <c r="AA293" s="38">
        <f>IF($AB292&lt;=0,0,MIN($AB292,IF(Übersicht!$C$14="Annuitätendarlehen",MAX(0,Übersicht!$C$28-$Z293),IF(Übersicht!$C$14="Ratendarlehen",Übersicht!$C$29,IF($A293&gt;=Übersicht!$C$30,$AB292,0)))))</f>
        <v>0</v>
      </c>
      <c r="AB293" s="38">
        <f>IF($AB292&lt;=0,0,ROUND($AB292-$AA293-IF($AB292-$AA293&lt;=0,0,IF(MOD($A293,Übersicht!$C$25)=0,MIN(Szenarien!$C$11,$AB292-$AA293),0)),2))</f>
        <v>0</v>
      </c>
      <c r="AC293" s="38">
        <f>IF($AE292&lt;=0,0,ROUND($AE292*Übersicht!$C$26,2))</f>
        <v>0</v>
      </c>
      <c r="AD293" s="38">
        <f>IF($AE292&lt;=0,0,MIN($AE292,IF(Übersicht!$C$14="Annuitätendarlehen",MAX(0,Übersicht!$C$28-$AC293),IF(Übersicht!$C$14="Ratendarlehen",Übersicht!$C$29,IF($A293&gt;=Übersicht!$C$30,$AE292,0)))))</f>
        <v>0</v>
      </c>
      <c r="AE293" s="38">
        <f>IF($AE292&lt;=0,0,ROUND($AE292-$AD293-IF($AE292-$AD293&lt;=0,0,IF(MOD($A293,Übersicht!$C$25)=0,MIN(Szenarien!$C$12,$AE292-$AD293),0)),2))</f>
        <v>0</v>
      </c>
    </row>
    <row r="294" spans="1:31" ht="15" customHeight="1" x14ac:dyDescent="0.25">
      <c r="A294" s="21">
        <v>287</v>
      </c>
      <c r="B294" s="36" t="str">
        <f>IF($D294&lt;=0,"",EDATE(Übersicht!$C$18,($A294-1)*12/Übersicht!$C$25))</f>
        <v/>
      </c>
      <c r="C294" s="21" t="str">
        <f t="shared" si="28"/>
        <v/>
      </c>
      <c r="D294" s="37">
        <f t="shared" si="32"/>
        <v>0</v>
      </c>
      <c r="E294" s="23">
        <f t="shared" si="29"/>
        <v>0</v>
      </c>
      <c r="F294" s="23">
        <f>IF($D294&lt;=0,0,ROUND($D294*Übersicht!$C$26,2))</f>
        <v>0</v>
      </c>
      <c r="G294" s="23">
        <f>IF($D294&lt;=0,0,MIN($D294,IF(Übersicht!$C$14="Annuitätendarlehen",MAX(0,Übersicht!$C$28-$F294),IF(Übersicht!$C$14="Ratendarlehen",Übersicht!$C$29,IF($A294&gt;=Übersicht!$C$30,$D294,0)))))</f>
        <v>0</v>
      </c>
      <c r="H294" s="23">
        <f>IF($D294-$G294&lt;=0,0,IF(MOD($A294,Übersicht!$C$25)=0,MIN(Übersicht!$C$31,$D294-$G294),0))</f>
        <v>0</v>
      </c>
      <c r="I294" s="23">
        <f t="shared" si="30"/>
        <v>0</v>
      </c>
      <c r="J294" s="23">
        <f t="shared" si="31"/>
        <v>0</v>
      </c>
      <c r="K294" s="23">
        <f t="shared" si="33"/>
        <v>80072.129999999961</v>
      </c>
      <c r="L294" s="23">
        <f t="shared" si="34"/>
        <v>250000</v>
      </c>
      <c r="M294" s="24" t="str">
        <f>IF($D294&lt;=0,"",IF(Übersicht!$C$11=0,0,$L294/Übersicht!$C$11))</f>
        <v/>
      </c>
      <c r="N294" s="25" t="str">
        <f>IF($D294&lt;=0,"",IF($J294&lt;=0.005,"Volltilgung erreicht",IF($A294=Übersicht!$C$19*Übersicht!$C$25,"Ende der Zinsbindung",IF($H294&gt;0,"Sondertilgung verrechnet",""))))</f>
        <v/>
      </c>
      <c r="Q294" s="38">
        <f>IF($S293&lt;=0,0,ROUND($S293*Übersicht!$C$26,2))</f>
        <v>55.77</v>
      </c>
      <c r="R294" s="38">
        <f>IF($S293&lt;=0,0,MIN($S293,IF(Übersicht!$C$14="Annuitätendarlehen",MAX(0,Übersicht!$C$28-$Q294),IF(Übersicht!$C$14="Ratendarlehen",Übersicht!$C$29,IF($A294&gt;=Übersicht!$C$30,$S293,0)))))</f>
        <v>1183.81</v>
      </c>
      <c r="S294" s="38">
        <f>IF($S293&lt;=0,0,ROUND($S293-$R294-IF($S293-$R294&lt;=0,0,IF(MOD($A294,Übersicht!$C$25)=0,MIN(Szenarien!$C$8,$S293-$R294),0)),2))</f>
        <v>18214.11</v>
      </c>
      <c r="T294" s="38">
        <f>IF($V293&lt;=0,0,ROUND($V293*Übersicht!$C$26,2))</f>
        <v>0</v>
      </c>
      <c r="U294" s="38">
        <f>IF($V293&lt;=0,0,MIN($V293,IF(Übersicht!$C$14="Annuitätendarlehen",MAX(0,Übersicht!$C$28-$T294),IF(Übersicht!$C$14="Ratendarlehen",Übersicht!$C$29,IF($A294&gt;=Übersicht!$C$30,$V293,0)))))</f>
        <v>0</v>
      </c>
      <c r="V294" s="38">
        <f>IF($V293&lt;=0,0,ROUND($V293-$U294-IF($V293-$U294&lt;=0,0,IF(MOD($A294,Übersicht!$C$25)=0,MIN(Szenarien!$C$9,$V293-$U294),0)),2))</f>
        <v>0</v>
      </c>
      <c r="W294" s="38">
        <f>IF($Y293&lt;=0,0,ROUND($Y293*Übersicht!$C$26,2))</f>
        <v>0</v>
      </c>
      <c r="X294" s="38">
        <f>IF($Y293&lt;=0,0,MIN($Y293,IF(Übersicht!$C$14="Annuitätendarlehen",MAX(0,Übersicht!$C$28-$W294),IF(Übersicht!$C$14="Ratendarlehen",Übersicht!$C$29,IF($A294&gt;=Übersicht!$C$30,$Y293,0)))))</f>
        <v>0</v>
      </c>
      <c r="Y294" s="38">
        <f>IF($Y293&lt;=0,0,ROUND($Y293-$X294-IF($Y293-$X294&lt;=0,0,IF(MOD($A294,Übersicht!$C$25)=0,MIN(Szenarien!$C$10,$Y293-$X294),0)),2))</f>
        <v>0</v>
      </c>
      <c r="Z294" s="38">
        <f>IF($AB293&lt;=0,0,ROUND($AB293*Übersicht!$C$26,2))</f>
        <v>0</v>
      </c>
      <c r="AA294" s="38">
        <f>IF($AB293&lt;=0,0,MIN($AB293,IF(Übersicht!$C$14="Annuitätendarlehen",MAX(0,Übersicht!$C$28-$Z294),IF(Übersicht!$C$14="Ratendarlehen",Übersicht!$C$29,IF($A294&gt;=Übersicht!$C$30,$AB293,0)))))</f>
        <v>0</v>
      </c>
      <c r="AB294" s="38">
        <f>IF($AB293&lt;=0,0,ROUND($AB293-$AA294-IF($AB293-$AA294&lt;=0,0,IF(MOD($A294,Übersicht!$C$25)=0,MIN(Szenarien!$C$11,$AB293-$AA294),0)),2))</f>
        <v>0</v>
      </c>
      <c r="AC294" s="38">
        <f>IF($AE293&lt;=0,0,ROUND($AE293*Übersicht!$C$26,2))</f>
        <v>0</v>
      </c>
      <c r="AD294" s="38">
        <f>IF($AE293&lt;=0,0,MIN($AE293,IF(Übersicht!$C$14="Annuitätendarlehen",MAX(0,Übersicht!$C$28-$AC294),IF(Übersicht!$C$14="Ratendarlehen",Übersicht!$C$29,IF($A294&gt;=Übersicht!$C$30,$AE293,0)))))</f>
        <v>0</v>
      </c>
      <c r="AE294" s="38">
        <f>IF($AE293&lt;=0,0,ROUND($AE293-$AD294-IF($AE293-$AD294&lt;=0,0,IF(MOD($A294,Übersicht!$C$25)=0,MIN(Szenarien!$C$12,$AE293-$AD294),0)),2))</f>
        <v>0</v>
      </c>
    </row>
    <row r="295" spans="1:31" ht="15" customHeight="1" x14ac:dyDescent="0.25">
      <c r="A295" s="26">
        <v>288</v>
      </c>
      <c r="B295" s="39" t="str">
        <f>IF($D295&lt;=0,"",EDATE(Übersicht!$C$18,($A295-1)*12/Übersicht!$C$25))</f>
        <v/>
      </c>
      <c r="C295" s="26" t="str">
        <f t="shared" si="28"/>
        <v/>
      </c>
      <c r="D295" s="40">
        <f t="shared" si="32"/>
        <v>0</v>
      </c>
      <c r="E295" s="28">
        <f t="shared" si="29"/>
        <v>0</v>
      </c>
      <c r="F295" s="28">
        <f>IF($D295&lt;=0,0,ROUND($D295*Übersicht!$C$26,2))</f>
        <v>0</v>
      </c>
      <c r="G295" s="28">
        <f>IF($D295&lt;=0,0,MIN($D295,IF(Übersicht!$C$14="Annuitätendarlehen",MAX(0,Übersicht!$C$28-$F295),IF(Übersicht!$C$14="Ratendarlehen",Übersicht!$C$29,IF($A295&gt;=Übersicht!$C$30,$D295,0)))))</f>
        <v>0</v>
      </c>
      <c r="H295" s="28">
        <f>IF($D295-$G295&lt;=0,0,IF(MOD($A295,Übersicht!$C$25)=0,MIN(Übersicht!$C$31,$D295-$G295),0))</f>
        <v>0</v>
      </c>
      <c r="I295" s="28">
        <f t="shared" si="30"/>
        <v>0</v>
      </c>
      <c r="J295" s="28">
        <f t="shared" si="31"/>
        <v>0</v>
      </c>
      <c r="K295" s="28">
        <f t="shared" si="33"/>
        <v>80072.129999999961</v>
      </c>
      <c r="L295" s="28">
        <f t="shared" si="34"/>
        <v>250000</v>
      </c>
      <c r="M295" s="29" t="str">
        <f>IF($D295&lt;=0,"",IF(Übersicht!$C$11=0,0,$L295/Übersicht!$C$11))</f>
        <v/>
      </c>
      <c r="N295" s="30" t="str">
        <f>IF($D295&lt;=0,"",IF($J295&lt;=0.005,"Volltilgung erreicht",IF($A295=Übersicht!$C$19*Übersicht!$C$25,"Ende der Zinsbindung",IF($H295&gt;0,"Sondertilgung verrechnet",""))))</f>
        <v/>
      </c>
      <c r="Q295" s="38">
        <f>IF($S294&lt;=0,0,ROUND($S294*Übersicht!$C$26,2))</f>
        <v>52.37</v>
      </c>
      <c r="R295" s="38">
        <f>IF($S294&lt;=0,0,MIN($S294,IF(Übersicht!$C$14="Annuitätendarlehen",MAX(0,Übersicht!$C$28-$Q295),IF(Übersicht!$C$14="Ratendarlehen",Übersicht!$C$29,IF($A295&gt;=Übersicht!$C$30,$S294,0)))))</f>
        <v>1187.21</v>
      </c>
      <c r="S295" s="38">
        <f>IF($S294&lt;=0,0,ROUND($S294-$R295-IF($S294-$R295&lt;=0,0,IF(MOD($A295,Übersicht!$C$25)=0,MIN(Szenarien!$C$8,$S294-$R295),0)),2))</f>
        <v>17026.900000000001</v>
      </c>
      <c r="T295" s="38">
        <f>IF($V294&lt;=0,0,ROUND($V294*Übersicht!$C$26,2))</f>
        <v>0</v>
      </c>
      <c r="U295" s="38">
        <f>IF($V294&lt;=0,0,MIN($V294,IF(Übersicht!$C$14="Annuitätendarlehen",MAX(0,Übersicht!$C$28-$T295),IF(Übersicht!$C$14="Ratendarlehen",Übersicht!$C$29,IF($A295&gt;=Übersicht!$C$30,$V294,0)))))</f>
        <v>0</v>
      </c>
      <c r="V295" s="38">
        <f>IF($V294&lt;=0,0,ROUND($V294-$U295-IF($V294-$U295&lt;=0,0,IF(MOD($A295,Übersicht!$C$25)=0,MIN(Szenarien!$C$9,$V294-$U295),0)),2))</f>
        <v>0</v>
      </c>
      <c r="W295" s="38">
        <f>IF($Y294&lt;=0,0,ROUND($Y294*Übersicht!$C$26,2))</f>
        <v>0</v>
      </c>
      <c r="X295" s="38">
        <f>IF($Y294&lt;=0,0,MIN($Y294,IF(Übersicht!$C$14="Annuitätendarlehen",MAX(0,Übersicht!$C$28-$W295),IF(Übersicht!$C$14="Ratendarlehen",Übersicht!$C$29,IF($A295&gt;=Übersicht!$C$30,$Y294,0)))))</f>
        <v>0</v>
      </c>
      <c r="Y295" s="38">
        <f>IF($Y294&lt;=0,0,ROUND($Y294-$X295-IF($Y294-$X295&lt;=0,0,IF(MOD($A295,Übersicht!$C$25)=0,MIN(Szenarien!$C$10,$Y294-$X295),0)),2))</f>
        <v>0</v>
      </c>
      <c r="Z295" s="38">
        <f>IF($AB294&lt;=0,0,ROUND($AB294*Übersicht!$C$26,2))</f>
        <v>0</v>
      </c>
      <c r="AA295" s="38">
        <f>IF($AB294&lt;=0,0,MIN($AB294,IF(Übersicht!$C$14="Annuitätendarlehen",MAX(0,Übersicht!$C$28-$Z295),IF(Übersicht!$C$14="Ratendarlehen",Übersicht!$C$29,IF($A295&gt;=Übersicht!$C$30,$AB294,0)))))</f>
        <v>0</v>
      </c>
      <c r="AB295" s="38">
        <f>IF($AB294&lt;=0,0,ROUND($AB294-$AA295-IF($AB294-$AA295&lt;=0,0,IF(MOD($A295,Übersicht!$C$25)=0,MIN(Szenarien!$C$11,$AB294-$AA295),0)),2))</f>
        <v>0</v>
      </c>
      <c r="AC295" s="38">
        <f>IF($AE294&lt;=0,0,ROUND($AE294*Übersicht!$C$26,2))</f>
        <v>0</v>
      </c>
      <c r="AD295" s="38">
        <f>IF($AE294&lt;=0,0,MIN($AE294,IF(Übersicht!$C$14="Annuitätendarlehen",MAX(0,Übersicht!$C$28-$AC295),IF(Übersicht!$C$14="Ratendarlehen",Übersicht!$C$29,IF($A295&gt;=Übersicht!$C$30,$AE294,0)))))</f>
        <v>0</v>
      </c>
      <c r="AE295" s="38">
        <f>IF($AE294&lt;=0,0,ROUND($AE294-$AD295-IF($AE294-$AD295&lt;=0,0,IF(MOD($A295,Übersicht!$C$25)=0,MIN(Szenarien!$C$12,$AE294-$AD295),0)),2))</f>
        <v>0</v>
      </c>
    </row>
    <row r="296" spans="1:31" ht="15" customHeight="1" x14ac:dyDescent="0.25">
      <c r="A296" s="21">
        <v>289</v>
      </c>
      <c r="B296" s="36" t="str">
        <f>IF($D296&lt;=0,"",EDATE(Übersicht!$C$18,($A296-1)*12/Übersicht!$C$25))</f>
        <v/>
      </c>
      <c r="C296" s="21" t="str">
        <f t="shared" si="28"/>
        <v/>
      </c>
      <c r="D296" s="37">
        <f t="shared" si="32"/>
        <v>0</v>
      </c>
      <c r="E296" s="23">
        <f t="shared" si="29"/>
        <v>0</v>
      </c>
      <c r="F296" s="23">
        <f>IF($D296&lt;=0,0,ROUND($D296*Übersicht!$C$26,2))</f>
        <v>0</v>
      </c>
      <c r="G296" s="23">
        <f>IF($D296&lt;=0,0,MIN($D296,IF(Übersicht!$C$14="Annuitätendarlehen",MAX(0,Übersicht!$C$28-$F296),IF(Übersicht!$C$14="Ratendarlehen",Übersicht!$C$29,IF($A296&gt;=Übersicht!$C$30,$D296,0)))))</f>
        <v>0</v>
      </c>
      <c r="H296" s="23">
        <f>IF($D296-$G296&lt;=0,0,IF(MOD($A296,Übersicht!$C$25)=0,MIN(Übersicht!$C$31,$D296-$G296),0))</f>
        <v>0</v>
      </c>
      <c r="I296" s="23">
        <f t="shared" si="30"/>
        <v>0</v>
      </c>
      <c r="J296" s="23">
        <f t="shared" si="31"/>
        <v>0</v>
      </c>
      <c r="K296" s="23">
        <f t="shared" si="33"/>
        <v>80072.129999999961</v>
      </c>
      <c r="L296" s="23">
        <f t="shared" si="34"/>
        <v>250000</v>
      </c>
      <c r="M296" s="24" t="str">
        <f>IF($D296&lt;=0,"",IF(Übersicht!$C$11=0,0,$L296/Übersicht!$C$11))</f>
        <v/>
      </c>
      <c r="N296" s="25" t="str">
        <f>IF($D296&lt;=0,"",IF($J296&lt;=0.005,"Volltilgung erreicht",IF($A296=Übersicht!$C$19*Übersicht!$C$25,"Ende der Zinsbindung",IF($H296&gt;0,"Sondertilgung verrechnet",""))))</f>
        <v/>
      </c>
      <c r="Q296" s="38">
        <f>IF($S295&lt;=0,0,ROUND($S295*Übersicht!$C$26,2))</f>
        <v>48.95</v>
      </c>
      <c r="R296" s="38">
        <f>IF($S295&lt;=0,0,MIN($S295,IF(Übersicht!$C$14="Annuitätendarlehen",MAX(0,Übersicht!$C$28-$Q296),IF(Übersicht!$C$14="Ratendarlehen",Übersicht!$C$29,IF($A296&gt;=Übersicht!$C$30,$S295,0)))))</f>
        <v>1190.6299999999999</v>
      </c>
      <c r="S296" s="38">
        <f>IF($S295&lt;=0,0,ROUND($S295-$R296-IF($S295-$R296&lt;=0,0,IF(MOD($A296,Übersicht!$C$25)=0,MIN(Szenarien!$C$8,$S295-$R296),0)),2))</f>
        <v>15836.27</v>
      </c>
      <c r="T296" s="38">
        <f>IF($V295&lt;=0,0,ROUND($V295*Übersicht!$C$26,2))</f>
        <v>0</v>
      </c>
      <c r="U296" s="38">
        <f>IF($V295&lt;=0,0,MIN($V295,IF(Übersicht!$C$14="Annuitätendarlehen",MAX(0,Übersicht!$C$28-$T296),IF(Übersicht!$C$14="Ratendarlehen",Übersicht!$C$29,IF($A296&gt;=Übersicht!$C$30,$V295,0)))))</f>
        <v>0</v>
      </c>
      <c r="V296" s="38">
        <f>IF($V295&lt;=0,0,ROUND($V295-$U296-IF($V295-$U296&lt;=0,0,IF(MOD($A296,Übersicht!$C$25)=0,MIN(Szenarien!$C$9,$V295-$U296),0)),2))</f>
        <v>0</v>
      </c>
      <c r="W296" s="38">
        <f>IF($Y295&lt;=0,0,ROUND($Y295*Übersicht!$C$26,2))</f>
        <v>0</v>
      </c>
      <c r="X296" s="38">
        <f>IF($Y295&lt;=0,0,MIN($Y295,IF(Übersicht!$C$14="Annuitätendarlehen",MAX(0,Übersicht!$C$28-$W296),IF(Übersicht!$C$14="Ratendarlehen",Übersicht!$C$29,IF($A296&gt;=Übersicht!$C$30,$Y295,0)))))</f>
        <v>0</v>
      </c>
      <c r="Y296" s="38">
        <f>IF($Y295&lt;=0,0,ROUND($Y295-$X296-IF($Y295-$X296&lt;=0,0,IF(MOD($A296,Übersicht!$C$25)=0,MIN(Szenarien!$C$10,$Y295-$X296),0)),2))</f>
        <v>0</v>
      </c>
      <c r="Z296" s="38">
        <f>IF($AB295&lt;=0,0,ROUND($AB295*Übersicht!$C$26,2))</f>
        <v>0</v>
      </c>
      <c r="AA296" s="38">
        <f>IF($AB295&lt;=0,0,MIN($AB295,IF(Übersicht!$C$14="Annuitätendarlehen",MAX(0,Übersicht!$C$28-$Z296),IF(Übersicht!$C$14="Ratendarlehen",Übersicht!$C$29,IF($A296&gt;=Übersicht!$C$30,$AB295,0)))))</f>
        <v>0</v>
      </c>
      <c r="AB296" s="38">
        <f>IF($AB295&lt;=0,0,ROUND($AB295-$AA296-IF($AB295-$AA296&lt;=0,0,IF(MOD($A296,Übersicht!$C$25)=0,MIN(Szenarien!$C$11,$AB295-$AA296),0)),2))</f>
        <v>0</v>
      </c>
      <c r="AC296" s="38">
        <f>IF($AE295&lt;=0,0,ROUND($AE295*Übersicht!$C$26,2))</f>
        <v>0</v>
      </c>
      <c r="AD296" s="38">
        <f>IF($AE295&lt;=0,0,MIN($AE295,IF(Übersicht!$C$14="Annuitätendarlehen",MAX(0,Übersicht!$C$28-$AC296),IF(Übersicht!$C$14="Ratendarlehen",Übersicht!$C$29,IF($A296&gt;=Übersicht!$C$30,$AE295,0)))))</f>
        <v>0</v>
      </c>
      <c r="AE296" s="38">
        <f>IF($AE295&lt;=0,0,ROUND($AE295-$AD296-IF($AE295-$AD296&lt;=0,0,IF(MOD($A296,Übersicht!$C$25)=0,MIN(Szenarien!$C$12,$AE295-$AD296),0)),2))</f>
        <v>0</v>
      </c>
    </row>
    <row r="297" spans="1:31" ht="15" customHeight="1" x14ac:dyDescent="0.25">
      <c r="A297" s="26">
        <v>290</v>
      </c>
      <c r="B297" s="39" t="str">
        <f>IF($D297&lt;=0,"",EDATE(Übersicht!$C$18,($A297-1)*12/Übersicht!$C$25))</f>
        <v/>
      </c>
      <c r="C297" s="26" t="str">
        <f t="shared" si="28"/>
        <v/>
      </c>
      <c r="D297" s="40">
        <f t="shared" si="32"/>
        <v>0</v>
      </c>
      <c r="E297" s="28">
        <f t="shared" si="29"/>
        <v>0</v>
      </c>
      <c r="F297" s="28">
        <f>IF($D297&lt;=0,0,ROUND($D297*Übersicht!$C$26,2))</f>
        <v>0</v>
      </c>
      <c r="G297" s="28">
        <f>IF($D297&lt;=0,0,MIN($D297,IF(Übersicht!$C$14="Annuitätendarlehen",MAX(0,Übersicht!$C$28-$F297),IF(Übersicht!$C$14="Ratendarlehen",Übersicht!$C$29,IF($A297&gt;=Übersicht!$C$30,$D297,0)))))</f>
        <v>0</v>
      </c>
      <c r="H297" s="28">
        <f>IF($D297-$G297&lt;=0,0,IF(MOD($A297,Übersicht!$C$25)=0,MIN(Übersicht!$C$31,$D297-$G297),0))</f>
        <v>0</v>
      </c>
      <c r="I297" s="28">
        <f t="shared" si="30"/>
        <v>0</v>
      </c>
      <c r="J297" s="28">
        <f t="shared" si="31"/>
        <v>0</v>
      </c>
      <c r="K297" s="28">
        <f t="shared" si="33"/>
        <v>80072.129999999961</v>
      </c>
      <c r="L297" s="28">
        <f t="shared" si="34"/>
        <v>250000</v>
      </c>
      <c r="M297" s="29" t="str">
        <f>IF($D297&lt;=0,"",IF(Übersicht!$C$11=0,0,$L297/Übersicht!$C$11))</f>
        <v/>
      </c>
      <c r="N297" s="30" t="str">
        <f>IF($D297&lt;=0,"",IF($J297&lt;=0.005,"Volltilgung erreicht",IF($A297=Übersicht!$C$19*Übersicht!$C$25,"Ende der Zinsbindung",IF($H297&gt;0,"Sondertilgung verrechnet",""))))</f>
        <v/>
      </c>
      <c r="Q297" s="38">
        <f>IF($S296&lt;=0,0,ROUND($S296*Übersicht!$C$26,2))</f>
        <v>45.53</v>
      </c>
      <c r="R297" s="38">
        <f>IF($S296&lt;=0,0,MIN($S296,IF(Übersicht!$C$14="Annuitätendarlehen",MAX(0,Übersicht!$C$28-$Q297),IF(Übersicht!$C$14="Ratendarlehen",Übersicht!$C$29,IF($A297&gt;=Übersicht!$C$30,$S296,0)))))</f>
        <v>1194.05</v>
      </c>
      <c r="S297" s="38">
        <f>IF($S296&lt;=0,0,ROUND($S296-$R297-IF($S296-$R297&lt;=0,0,IF(MOD($A297,Übersicht!$C$25)=0,MIN(Szenarien!$C$8,$S296-$R297),0)),2))</f>
        <v>14642.22</v>
      </c>
      <c r="T297" s="38">
        <f>IF($V296&lt;=0,0,ROUND($V296*Übersicht!$C$26,2))</f>
        <v>0</v>
      </c>
      <c r="U297" s="38">
        <f>IF($V296&lt;=0,0,MIN($V296,IF(Übersicht!$C$14="Annuitätendarlehen",MAX(0,Übersicht!$C$28-$T297),IF(Übersicht!$C$14="Ratendarlehen",Übersicht!$C$29,IF($A297&gt;=Übersicht!$C$30,$V296,0)))))</f>
        <v>0</v>
      </c>
      <c r="V297" s="38">
        <f>IF($V296&lt;=0,0,ROUND($V296-$U297-IF($V296-$U297&lt;=0,0,IF(MOD($A297,Übersicht!$C$25)=0,MIN(Szenarien!$C$9,$V296-$U297),0)),2))</f>
        <v>0</v>
      </c>
      <c r="W297" s="38">
        <f>IF($Y296&lt;=0,0,ROUND($Y296*Übersicht!$C$26,2))</f>
        <v>0</v>
      </c>
      <c r="X297" s="38">
        <f>IF($Y296&lt;=0,0,MIN($Y296,IF(Übersicht!$C$14="Annuitätendarlehen",MAX(0,Übersicht!$C$28-$W297),IF(Übersicht!$C$14="Ratendarlehen",Übersicht!$C$29,IF($A297&gt;=Übersicht!$C$30,$Y296,0)))))</f>
        <v>0</v>
      </c>
      <c r="Y297" s="38">
        <f>IF($Y296&lt;=0,0,ROUND($Y296-$X297-IF($Y296-$X297&lt;=0,0,IF(MOD($A297,Übersicht!$C$25)=0,MIN(Szenarien!$C$10,$Y296-$X297),0)),2))</f>
        <v>0</v>
      </c>
      <c r="Z297" s="38">
        <f>IF($AB296&lt;=0,0,ROUND($AB296*Übersicht!$C$26,2))</f>
        <v>0</v>
      </c>
      <c r="AA297" s="38">
        <f>IF($AB296&lt;=0,0,MIN($AB296,IF(Übersicht!$C$14="Annuitätendarlehen",MAX(0,Übersicht!$C$28-$Z297),IF(Übersicht!$C$14="Ratendarlehen",Übersicht!$C$29,IF($A297&gt;=Übersicht!$C$30,$AB296,0)))))</f>
        <v>0</v>
      </c>
      <c r="AB297" s="38">
        <f>IF($AB296&lt;=0,0,ROUND($AB296-$AA297-IF($AB296-$AA297&lt;=0,0,IF(MOD($A297,Übersicht!$C$25)=0,MIN(Szenarien!$C$11,$AB296-$AA297),0)),2))</f>
        <v>0</v>
      </c>
      <c r="AC297" s="38">
        <f>IF($AE296&lt;=0,0,ROUND($AE296*Übersicht!$C$26,2))</f>
        <v>0</v>
      </c>
      <c r="AD297" s="38">
        <f>IF($AE296&lt;=0,0,MIN($AE296,IF(Übersicht!$C$14="Annuitätendarlehen",MAX(0,Übersicht!$C$28-$AC297),IF(Übersicht!$C$14="Ratendarlehen",Übersicht!$C$29,IF($A297&gt;=Übersicht!$C$30,$AE296,0)))))</f>
        <v>0</v>
      </c>
      <c r="AE297" s="38">
        <f>IF($AE296&lt;=0,0,ROUND($AE296-$AD297-IF($AE296-$AD297&lt;=0,0,IF(MOD($A297,Übersicht!$C$25)=0,MIN(Szenarien!$C$12,$AE296-$AD297),0)),2))</f>
        <v>0</v>
      </c>
    </row>
    <row r="298" spans="1:31" ht="15" customHeight="1" x14ac:dyDescent="0.25">
      <c r="A298" s="21">
        <v>291</v>
      </c>
      <c r="B298" s="36" t="str">
        <f>IF($D298&lt;=0,"",EDATE(Übersicht!$C$18,($A298-1)*12/Übersicht!$C$25))</f>
        <v/>
      </c>
      <c r="C298" s="21" t="str">
        <f t="shared" si="28"/>
        <v/>
      </c>
      <c r="D298" s="37">
        <f t="shared" si="32"/>
        <v>0</v>
      </c>
      <c r="E298" s="23">
        <f t="shared" si="29"/>
        <v>0</v>
      </c>
      <c r="F298" s="23">
        <f>IF($D298&lt;=0,0,ROUND($D298*Übersicht!$C$26,2))</f>
        <v>0</v>
      </c>
      <c r="G298" s="23">
        <f>IF($D298&lt;=0,0,MIN($D298,IF(Übersicht!$C$14="Annuitätendarlehen",MAX(0,Übersicht!$C$28-$F298),IF(Übersicht!$C$14="Ratendarlehen",Übersicht!$C$29,IF($A298&gt;=Übersicht!$C$30,$D298,0)))))</f>
        <v>0</v>
      </c>
      <c r="H298" s="23">
        <f>IF($D298-$G298&lt;=0,0,IF(MOD($A298,Übersicht!$C$25)=0,MIN(Übersicht!$C$31,$D298-$G298),0))</f>
        <v>0</v>
      </c>
      <c r="I298" s="23">
        <f t="shared" si="30"/>
        <v>0</v>
      </c>
      <c r="J298" s="23">
        <f t="shared" si="31"/>
        <v>0</v>
      </c>
      <c r="K298" s="23">
        <f t="shared" si="33"/>
        <v>80072.129999999961</v>
      </c>
      <c r="L298" s="23">
        <f t="shared" si="34"/>
        <v>250000</v>
      </c>
      <c r="M298" s="24" t="str">
        <f>IF($D298&lt;=0,"",IF(Übersicht!$C$11=0,0,$L298/Übersicht!$C$11))</f>
        <v/>
      </c>
      <c r="N298" s="25" t="str">
        <f>IF($D298&lt;=0,"",IF($J298&lt;=0.005,"Volltilgung erreicht",IF($A298=Übersicht!$C$19*Übersicht!$C$25,"Ende der Zinsbindung",IF($H298&gt;0,"Sondertilgung verrechnet",""))))</f>
        <v/>
      </c>
      <c r="Q298" s="38">
        <f>IF($S297&lt;=0,0,ROUND($S297*Übersicht!$C$26,2))</f>
        <v>42.1</v>
      </c>
      <c r="R298" s="38">
        <f>IF($S297&lt;=0,0,MIN($S297,IF(Übersicht!$C$14="Annuitätendarlehen",MAX(0,Übersicht!$C$28-$Q298),IF(Übersicht!$C$14="Ratendarlehen",Übersicht!$C$29,IF($A298&gt;=Übersicht!$C$30,$S297,0)))))</f>
        <v>1197.48</v>
      </c>
      <c r="S298" s="38">
        <f>IF($S297&lt;=0,0,ROUND($S297-$R298-IF($S297-$R298&lt;=0,0,IF(MOD($A298,Übersicht!$C$25)=0,MIN(Szenarien!$C$8,$S297-$R298),0)),2))</f>
        <v>13444.74</v>
      </c>
      <c r="T298" s="38">
        <f>IF($V297&lt;=0,0,ROUND($V297*Übersicht!$C$26,2))</f>
        <v>0</v>
      </c>
      <c r="U298" s="38">
        <f>IF($V297&lt;=0,0,MIN($V297,IF(Übersicht!$C$14="Annuitätendarlehen",MAX(0,Übersicht!$C$28-$T298),IF(Übersicht!$C$14="Ratendarlehen",Übersicht!$C$29,IF($A298&gt;=Übersicht!$C$30,$V297,0)))))</f>
        <v>0</v>
      </c>
      <c r="V298" s="38">
        <f>IF($V297&lt;=0,0,ROUND($V297-$U298-IF($V297-$U298&lt;=0,0,IF(MOD($A298,Übersicht!$C$25)=0,MIN(Szenarien!$C$9,$V297-$U298),0)),2))</f>
        <v>0</v>
      </c>
      <c r="W298" s="38">
        <f>IF($Y297&lt;=0,0,ROUND($Y297*Übersicht!$C$26,2))</f>
        <v>0</v>
      </c>
      <c r="X298" s="38">
        <f>IF($Y297&lt;=0,0,MIN($Y297,IF(Übersicht!$C$14="Annuitätendarlehen",MAX(0,Übersicht!$C$28-$W298),IF(Übersicht!$C$14="Ratendarlehen",Übersicht!$C$29,IF($A298&gt;=Übersicht!$C$30,$Y297,0)))))</f>
        <v>0</v>
      </c>
      <c r="Y298" s="38">
        <f>IF($Y297&lt;=0,0,ROUND($Y297-$X298-IF($Y297-$X298&lt;=0,0,IF(MOD($A298,Übersicht!$C$25)=0,MIN(Szenarien!$C$10,$Y297-$X298),0)),2))</f>
        <v>0</v>
      </c>
      <c r="Z298" s="38">
        <f>IF($AB297&lt;=0,0,ROUND($AB297*Übersicht!$C$26,2))</f>
        <v>0</v>
      </c>
      <c r="AA298" s="38">
        <f>IF($AB297&lt;=0,0,MIN($AB297,IF(Übersicht!$C$14="Annuitätendarlehen",MAX(0,Übersicht!$C$28-$Z298),IF(Übersicht!$C$14="Ratendarlehen",Übersicht!$C$29,IF($A298&gt;=Übersicht!$C$30,$AB297,0)))))</f>
        <v>0</v>
      </c>
      <c r="AB298" s="38">
        <f>IF($AB297&lt;=0,0,ROUND($AB297-$AA298-IF($AB297-$AA298&lt;=0,0,IF(MOD($A298,Übersicht!$C$25)=0,MIN(Szenarien!$C$11,$AB297-$AA298),0)),2))</f>
        <v>0</v>
      </c>
      <c r="AC298" s="38">
        <f>IF($AE297&lt;=0,0,ROUND($AE297*Übersicht!$C$26,2))</f>
        <v>0</v>
      </c>
      <c r="AD298" s="38">
        <f>IF($AE297&lt;=0,0,MIN($AE297,IF(Übersicht!$C$14="Annuitätendarlehen",MAX(0,Übersicht!$C$28-$AC298),IF(Übersicht!$C$14="Ratendarlehen",Übersicht!$C$29,IF($A298&gt;=Übersicht!$C$30,$AE297,0)))))</f>
        <v>0</v>
      </c>
      <c r="AE298" s="38">
        <f>IF($AE297&lt;=0,0,ROUND($AE297-$AD298-IF($AE297-$AD298&lt;=0,0,IF(MOD($A298,Übersicht!$C$25)=0,MIN(Szenarien!$C$12,$AE297-$AD298),0)),2))</f>
        <v>0</v>
      </c>
    </row>
    <row r="299" spans="1:31" ht="15" customHeight="1" x14ac:dyDescent="0.25">
      <c r="A299" s="26">
        <v>292</v>
      </c>
      <c r="B299" s="39" t="str">
        <f>IF($D299&lt;=0,"",EDATE(Übersicht!$C$18,($A299-1)*12/Übersicht!$C$25))</f>
        <v/>
      </c>
      <c r="C299" s="26" t="str">
        <f t="shared" si="28"/>
        <v/>
      </c>
      <c r="D299" s="40">
        <f t="shared" si="32"/>
        <v>0</v>
      </c>
      <c r="E299" s="28">
        <f t="shared" si="29"/>
        <v>0</v>
      </c>
      <c r="F299" s="28">
        <f>IF($D299&lt;=0,0,ROUND($D299*Übersicht!$C$26,2))</f>
        <v>0</v>
      </c>
      <c r="G299" s="28">
        <f>IF($D299&lt;=0,0,MIN($D299,IF(Übersicht!$C$14="Annuitätendarlehen",MAX(0,Übersicht!$C$28-$F299),IF(Übersicht!$C$14="Ratendarlehen",Übersicht!$C$29,IF($A299&gt;=Übersicht!$C$30,$D299,0)))))</f>
        <v>0</v>
      </c>
      <c r="H299" s="28">
        <f>IF($D299-$G299&lt;=0,0,IF(MOD($A299,Übersicht!$C$25)=0,MIN(Übersicht!$C$31,$D299-$G299),0))</f>
        <v>0</v>
      </c>
      <c r="I299" s="28">
        <f t="shared" si="30"/>
        <v>0</v>
      </c>
      <c r="J299" s="28">
        <f t="shared" si="31"/>
        <v>0</v>
      </c>
      <c r="K299" s="28">
        <f t="shared" si="33"/>
        <v>80072.129999999961</v>
      </c>
      <c r="L299" s="28">
        <f t="shared" si="34"/>
        <v>250000</v>
      </c>
      <c r="M299" s="29" t="str">
        <f>IF($D299&lt;=0,"",IF(Übersicht!$C$11=0,0,$L299/Übersicht!$C$11))</f>
        <v/>
      </c>
      <c r="N299" s="30" t="str">
        <f>IF($D299&lt;=0,"",IF($J299&lt;=0.005,"Volltilgung erreicht",IF($A299=Übersicht!$C$19*Übersicht!$C$25,"Ende der Zinsbindung",IF($H299&gt;0,"Sondertilgung verrechnet",""))))</f>
        <v/>
      </c>
      <c r="Q299" s="38">
        <f>IF($S298&lt;=0,0,ROUND($S298*Übersicht!$C$26,2))</f>
        <v>38.65</v>
      </c>
      <c r="R299" s="38">
        <f>IF($S298&lt;=0,0,MIN($S298,IF(Übersicht!$C$14="Annuitätendarlehen",MAX(0,Übersicht!$C$28-$Q299),IF(Übersicht!$C$14="Ratendarlehen",Übersicht!$C$29,IF($A299&gt;=Übersicht!$C$30,$S298,0)))))</f>
        <v>1200.9299999999998</v>
      </c>
      <c r="S299" s="38">
        <f>IF($S298&lt;=0,0,ROUND($S298-$R299-IF($S298-$R299&lt;=0,0,IF(MOD($A299,Übersicht!$C$25)=0,MIN(Szenarien!$C$8,$S298-$R299),0)),2))</f>
        <v>12243.81</v>
      </c>
      <c r="T299" s="38">
        <f>IF($V298&lt;=0,0,ROUND($V298*Übersicht!$C$26,2))</f>
        <v>0</v>
      </c>
      <c r="U299" s="38">
        <f>IF($V298&lt;=0,0,MIN($V298,IF(Übersicht!$C$14="Annuitätendarlehen",MAX(0,Übersicht!$C$28-$T299),IF(Übersicht!$C$14="Ratendarlehen",Übersicht!$C$29,IF($A299&gt;=Übersicht!$C$30,$V298,0)))))</f>
        <v>0</v>
      </c>
      <c r="V299" s="38">
        <f>IF($V298&lt;=0,0,ROUND($V298-$U299-IF($V298-$U299&lt;=0,0,IF(MOD($A299,Übersicht!$C$25)=0,MIN(Szenarien!$C$9,$V298-$U299),0)),2))</f>
        <v>0</v>
      </c>
      <c r="W299" s="38">
        <f>IF($Y298&lt;=0,0,ROUND($Y298*Übersicht!$C$26,2))</f>
        <v>0</v>
      </c>
      <c r="X299" s="38">
        <f>IF($Y298&lt;=0,0,MIN($Y298,IF(Übersicht!$C$14="Annuitätendarlehen",MAX(0,Übersicht!$C$28-$W299),IF(Übersicht!$C$14="Ratendarlehen",Übersicht!$C$29,IF($A299&gt;=Übersicht!$C$30,$Y298,0)))))</f>
        <v>0</v>
      </c>
      <c r="Y299" s="38">
        <f>IF($Y298&lt;=0,0,ROUND($Y298-$X299-IF($Y298-$X299&lt;=0,0,IF(MOD($A299,Übersicht!$C$25)=0,MIN(Szenarien!$C$10,$Y298-$X299),0)),2))</f>
        <v>0</v>
      </c>
      <c r="Z299" s="38">
        <f>IF($AB298&lt;=0,0,ROUND($AB298*Übersicht!$C$26,2))</f>
        <v>0</v>
      </c>
      <c r="AA299" s="38">
        <f>IF($AB298&lt;=0,0,MIN($AB298,IF(Übersicht!$C$14="Annuitätendarlehen",MAX(0,Übersicht!$C$28-$Z299),IF(Übersicht!$C$14="Ratendarlehen",Übersicht!$C$29,IF($A299&gt;=Übersicht!$C$30,$AB298,0)))))</f>
        <v>0</v>
      </c>
      <c r="AB299" s="38">
        <f>IF($AB298&lt;=0,0,ROUND($AB298-$AA299-IF($AB298-$AA299&lt;=0,0,IF(MOD($A299,Übersicht!$C$25)=0,MIN(Szenarien!$C$11,$AB298-$AA299),0)),2))</f>
        <v>0</v>
      </c>
      <c r="AC299" s="38">
        <f>IF($AE298&lt;=0,0,ROUND($AE298*Übersicht!$C$26,2))</f>
        <v>0</v>
      </c>
      <c r="AD299" s="38">
        <f>IF($AE298&lt;=0,0,MIN($AE298,IF(Übersicht!$C$14="Annuitätendarlehen",MAX(0,Übersicht!$C$28-$AC299),IF(Übersicht!$C$14="Ratendarlehen",Übersicht!$C$29,IF($A299&gt;=Übersicht!$C$30,$AE298,0)))))</f>
        <v>0</v>
      </c>
      <c r="AE299" s="38">
        <f>IF($AE298&lt;=0,0,ROUND($AE298-$AD299-IF($AE298-$AD299&lt;=0,0,IF(MOD($A299,Übersicht!$C$25)=0,MIN(Szenarien!$C$12,$AE298-$AD299),0)),2))</f>
        <v>0</v>
      </c>
    </row>
    <row r="300" spans="1:31" ht="15" customHeight="1" x14ac:dyDescent="0.25">
      <c r="A300" s="21">
        <v>293</v>
      </c>
      <c r="B300" s="36" t="str">
        <f>IF($D300&lt;=0,"",EDATE(Übersicht!$C$18,($A300-1)*12/Übersicht!$C$25))</f>
        <v/>
      </c>
      <c r="C300" s="21" t="str">
        <f t="shared" si="28"/>
        <v/>
      </c>
      <c r="D300" s="37">
        <f t="shared" si="32"/>
        <v>0</v>
      </c>
      <c r="E300" s="23">
        <f t="shared" si="29"/>
        <v>0</v>
      </c>
      <c r="F300" s="23">
        <f>IF($D300&lt;=0,0,ROUND($D300*Übersicht!$C$26,2))</f>
        <v>0</v>
      </c>
      <c r="G300" s="23">
        <f>IF($D300&lt;=0,0,MIN($D300,IF(Übersicht!$C$14="Annuitätendarlehen",MAX(0,Übersicht!$C$28-$F300),IF(Übersicht!$C$14="Ratendarlehen",Übersicht!$C$29,IF($A300&gt;=Übersicht!$C$30,$D300,0)))))</f>
        <v>0</v>
      </c>
      <c r="H300" s="23">
        <f>IF($D300-$G300&lt;=0,0,IF(MOD($A300,Übersicht!$C$25)=0,MIN(Übersicht!$C$31,$D300-$G300),0))</f>
        <v>0</v>
      </c>
      <c r="I300" s="23">
        <f t="shared" si="30"/>
        <v>0</v>
      </c>
      <c r="J300" s="23">
        <f t="shared" si="31"/>
        <v>0</v>
      </c>
      <c r="K300" s="23">
        <f t="shared" si="33"/>
        <v>80072.129999999961</v>
      </c>
      <c r="L300" s="23">
        <f t="shared" si="34"/>
        <v>250000</v>
      </c>
      <c r="M300" s="24" t="str">
        <f>IF($D300&lt;=0,"",IF(Übersicht!$C$11=0,0,$L300/Übersicht!$C$11))</f>
        <v/>
      </c>
      <c r="N300" s="25" t="str">
        <f>IF($D300&lt;=0,"",IF($J300&lt;=0.005,"Volltilgung erreicht",IF($A300=Übersicht!$C$19*Übersicht!$C$25,"Ende der Zinsbindung",IF($H300&gt;0,"Sondertilgung verrechnet",""))))</f>
        <v/>
      </c>
      <c r="Q300" s="38">
        <f>IF($S299&lt;=0,0,ROUND($S299*Übersicht!$C$26,2))</f>
        <v>35.200000000000003</v>
      </c>
      <c r="R300" s="38">
        <f>IF($S299&lt;=0,0,MIN($S299,IF(Übersicht!$C$14="Annuitätendarlehen",MAX(0,Übersicht!$C$28-$Q300),IF(Übersicht!$C$14="Ratendarlehen",Übersicht!$C$29,IF($A300&gt;=Übersicht!$C$30,$S299,0)))))</f>
        <v>1204.3799999999999</v>
      </c>
      <c r="S300" s="38">
        <f>IF($S299&lt;=0,0,ROUND($S299-$R300-IF($S299-$R300&lt;=0,0,IF(MOD($A300,Übersicht!$C$25)=0,MIN(Szenarien!$C$8,$S299-$R300),0)),2))</f>
        <v>11039.43</v>
      </c>
      <c r="T300" s="38">
        <f>IF($V299&lt;=0,0,ROUND($V299*Übersicht!$C$26,2))</f>
        <v>0</v>
      </c>
      <c r="U300" s="38">
        <f>IF($V299&lt;=0,0,MIN($V299,IF(Übersicht!$C$14="Annuitätendarlehen",MAX(0,Übersicht!$C$28-$T300),IF(Übersicht!$C$14="Ratendarlehen",Übersicht!$C$29,IF($A300&gt;=Übersicht!$C$30,$V299,0)))))</f>
        <v>0</v>
      </c>
      <c r="V300" s="38">
        <f>IF($V299&lt;=0,0,ROUND($V299-$U300-IF($V299-$U300&lt;=0,0,IF(MOD($A300,Übersicht!$C$25)=0,MIN(Szenarien!$C$9,$V299-$U300),0)),2))</f>
        <v>0</v>
      </c>
      <c r="W300" s="38">
        <f>IF($Y299&lt;=0,0,ROUND($Y299*Übersicht!$C$26,2))</f>
        <v>0</v>
      </c>
      <c r="X300" s="38">
        <f>IF($Y299&lt;=0,0,MIN($Y299,IF(Übersicht!$C$14="Annuitätendarlehen",MAX(0,Übersicht!$C$28-$W300),IF(Übersicht!$C$14="Ratendarlehen",Übersicht!$C$29,IF($A300&gt;=Übersicht!$C$30,$Y299,0)))))</f>
        <v>0</v>
      </c>
      <c r="Y300" s="38">
        <f>IF($Y299&lt;=0,0,ROUND($Y299-$X300-IF($Y299-$X300&lt;=0,0,IF(MOD($A300,Übersicht!$C$25)=0,MIN(Szenarien!$C$10,$Y299-$X300),0)),2))</f>
        <v>0</v>
      </c>
      <c r="Z300" s="38">
        <f>IF($AB299&lt;=0,0,ROUND($AB299*Übersicht!$C$26,2))</f>
        <v>0</v>
      </c>
      <c r="AA300" s="38">
        <f>IF($AB299&lt;=0,0,MIN($AB299,IF(Übersicht!$C$14="Annuitätendarlehen",MAX(0,Übersicht!$C$28-$Z300),IF(Übersicht!$C$14="Ratendarlehen",Übersicht!$C$29,IF($A300&gt;=Übersicht!$C$30,$AB299,0)))))</f>
        <v>0</v>
      </c>
      <c r="AB300" s="38">
        <f>IF($AB299&lt;=0,0,ROUND($AB299-$AA300-IF($AB299-$AA300&lt;=0,0,IF(MOD($A300,Übersicht!$C$25)=0,MIN(Szenarien!$C$11,$AB299-$AA300),0)),2))</f>
        <v>0</v>
      </c>
      <c r="AC300" s="38">
        <f>IF($AE299&lt;=0,0,ROUND($AE299*Übersicht!$C$26,2))</f>
        <v>0</v>
      </c>
      <c r="AD300" s="38">
        <f>IF($AE299&lt;=0,0,MIN($AE299,IF(Übersicht!$C$14="Annuitätendarlehen",MAX(0,Übersicht!$C$28-$AC300),IF(Übersicht!$C$14="Ratendarlehen",Übersicht!$C$29,IF($A300&gt;=Übersicht!$C$30,$AE299,0)))))</f>
        <v>0</v>
      </c>
      <c r="AE300" s="38">
        <f>IF($AE299&lt;=0,0,ROUND($AE299-$AD300-IF($AE299-$AD300&lt;=0,0,IF(MOD($A300,Übersicht!$C$25)=0,MIN(Szenarien!$C$12,$AE299-$AD300),0)),2))</f>
        <v>0</v>
      </c>
    </row>
    <row r="301" spans="1:31" ht="15" customHeight="1" x14ac:dyDescent="0.25">
      <c r="A301" s="26">
        <v>294</v>
      </c>
      <c r="B301" s="39" t="str">
        <f>IF($D301&lt;=0,"",EDATE(Übersicht!$C$18,($A301-1)*12/Übersicht!$C$25))</f>
        <v/>
      </c>
      <c r="C301" s="26" t="str">
        <f t="shared" si="28"/>
        <v/>
      </c>
      <c r="D301" s="40">
        <f t="shared" si="32"/>
        <v>0</v>
      </c>
      <c r="E301" s="28">
        <f t="shared" si="29"/>
        <v>0</v>
      </c>
      <c r="F301" s="28">
        <f>IF($D301&lt;=0,0,ROUND($D301*Übersicht!$C$26,2))</f>
        <v>0</v>
      </c>
      <c r="G301" s="28">
        <f>IF($D301&lt;=0,0,MIN($D301,IF(Übersicht!$C$14="Annuitätendarlehen",MAX(0,Übersicht!$C$28-$F301),IF(Übersicht!$C$14="Ratendarlehen",Übersicht!$C$29,IF($A301&gt;=Übersicht!$C$30,$D301,0)))))</f>
        <v>0</v>
      </c>
      <c r="H301" s="28">
        <f>IF($D301-$G301&lt;=0,0,IF(MOD($A301,Übersicht!$C$25)=0,MIN(Übersicht!$C$31,$D301-$G301),0))</f>
        <v>0</v>
      </c>
      <c r="I301" s="28">
        <f t="shared" si="30"/>
        <v>0</v>
      </c>
      <c r="J301" s="28">
        <f t="shared" si="31"/>
        <v>0</v>
      </c>
      <c r="K301" s="28">
        <f t="shared" si="33"/>
        <v>80072.129999999961</v>
      </c>
      <c r="L301" s="28">
        <f t="shared" si="34"/>
        <v>250000</v>
      </c>
      <c r="M301" s="29" t="str">
        <f>IF($D301&lt;=0,"",IF(Übersicht!$C$11=0,0,$L301/Übersicht!$C$11))</f>
        <v/>
      </c>
      <c r="N301" s="30" t="str">
        <f>IF($D301&lt;=0,"",IF($J301&lt;=0.005,"Volltilgung erreicht",IF($A301=Übersicht!$C$19*Übersicht!$C$25,"Ende der Zinsbindung",IF($H301&gt;0,"Sondertilgung verrechnet",""))))</f>
        <v/>
      </c>
      <c r="Q301" s="38">
        <f>IF($S300&lt;=0,0,ROUND($S300*Übersicht!$C$26,2))</f>
        <v>31.74</v>
      </c>
      <c r="R301" s="38">
        <f>IF($S300&lt;=0,0,MIN($S300,IF(Übersicht!$C$14="Annuitätendarlehen",MAX(0,Übersicht!$C$28-$Q301),IF(Übersicht!$C$14="Ratendarlehen",Übersicht!$C$29,IF($A301&gt;=Übersicht!$C$30,$S300,0)))))</f>
        <v>1207.8399999999999</v>
      </c>
      <c r="S301" s="38">
        <f>IF($S300&lt;=0,0,ROUND($S300-$R301-IF($S300-$R301&lt;=0,0,IF(MOD($A301,Übersicht!$C$25)=0,MIN(Szenarien!$C$8,$S300-$R301),0)),2))</f>
        <v>9831.59</v>
      </c>
      <c r="T301" s="38">
        <f>IF($V300&lt;=0,0,ROUND($V300*Übersicht!$C$26,2))</f>
        <v>0</v>
      </c>
      <c r="U301" s="38">
        <f>IF($V300&lt;=0,0,MIN($V300,IF(Übersicht!$C$14="Annuitätendarlehen",MAX(0,Übersicht!$C$28-$T301),IF(Übersicht!$C$14="Ratendarlehen",Übersicht!$C$29,IF($A301&gt;=Übersicht!$C$30,$V300,0)))))</f>
        <v>0</v>
      </c>
      <c r="V301" s="38">
        <f>IF($V300&lt;=0,0,ROUND($V300-$U301-IF($V300-$U301&lt;=0,0,IF(MOD($A301,Übersicht!$C$25)=0,MIN(Szenarien!$C$9,$V300-$U301),0)),2))</f>
        <v>0</v>
      </c>
      <c r="W301" s="38">
        <f>IF($Y300&lt;=0,0,ROUND($Y300*Übersicht!$C$26,2))</f>
        <v>0</v>
      </c>
      <c r="X301" s="38">
        <f>IF($Y300&lt;=0,0,MIN($Y300,IF(Übersicht!$C$14="Annuitätendarlehen",MAX(0,Übersicht!$C$28-$W301),IF(Übersicht!$C$14="Ratendarlehen",Übersicht!$C$29,IF($A301&gt;=Übersicht!$C$30,$Y300,0)))))</f>
        <v>0</v>
      </c>
      <c r="Y301" s="38">
        <f>IF($Y300&lt;=0,0,ROUND($Y300-$X301-IF($Y300-$X301&lt;=0,0,IF(MOD($A301,Übersicht!$C$25)=0,MIN(Szenarien!$C$10,$Y300-$X301),0)),2))</f>
        <v>0</v>
      </c>
      <c r="Z301" s="38">
        <f>IF($AB300&lt;=0,0,ROUND($AB300*Übersicht!$C$26,2))</f>
        <v>0</v>
      </c>
      <c r="AA301" s="38">
        <f>IF($AB300&lt;=0,0,MIN($AB300,IF(Übersicht!$C$14="Annuitätendarlehen",MAX(0,Übersicht!$C$28-$Z301),IF(Übersicht!$C$14="Ratendarlehen",Übersicht!$C$29,IF($A301&gt;=Übersicht!$C$30,$AB300,0)))))</f>
        <v>0</v>
      </c>
      <c r="AB301" s="38">
        <f>IF($AB300&lt;=0,0,ROUND($AB300-$AA301-IF($AB300-$AA301&lt;=0,0,IF(MOD($A301,Übersicht!$C$25)=0,MIN(Szenarien!$C$11,$AB300-$AA301),0)),2))</f>
        <v>0</v>
      </c>
      <c r="AC301" s="38">
        <f>IF($AE300&lt;=0,0,ROUND($AE300*Übersicht!$C$26,2))</f>
        <v>0</v>
      </c>
      <c r="AD301" s="38">
        <f>IF($AE300&lt;=0,0,MIN($AE300,IF(Übersicht!$C$14="Annuitätendarlehen",MAX(0,Übersicht!$C$28-$AC301),IF(Übersicht!$C$14="Ratendarlehen",Übersicht!$C$29,IF($A301&gt;=Übersicht!$C$30,$AE300,0)))))</f>
        <v>0</v>
      </c>
      <c r="AE301" s="38">
        <f>IF($AE300&lt;=0,0,ROUND($AE300-$AD301-IF($AE300-$AD301&lt;=0,0,IF(MOD($A301,Übersicht!$C$25)=0,MIN(Szenarien!$C$12,$AE300-$AD301),0)),2))</f>
        <v>0</v>
      </c>
    </row>
    <row r="302" spans="1:31" ht="15" customHeight="1" x14ac:dyDescent="0.25">
      <c r="A302" s="21">
        <v>295</v>
      </c>
      <c r="B302" s="36" t="str">
        <f>IF($D302&lt;=0,"",EDATE(Übersicht!$C$18,($A302-1)*12/Übersicht!$C$25))</f>
        <v/>
      </c>
      <c r="C302" s="21" t="str">
        <f t="shared" si="28"/>
        <v/>
      </c>
      <c r="D302" s="37">
        <f t="shared" si="32"/>
        <v>0</v>
      </c>
      <c r="E302" s="23">
        <f t="shared" si="29"/>
        <v>0</v>
      </c>
      <c r="F302" s="23">
        <f>IF($D302&lt;=0,0,ROUND($D302*Übersicht!$C$26,2))</f>
        <v>0</v>
      </c>
      <c r="G302" s="23">
        <f>IF($D302&lt;=0,0,MIN($D302,IF(Übersicht!$C$14="Annuitätendarlehen",MAX(0,Übersicht!$C$28-$F302),IF(Übersicht!$C$14="Ratendarlehen",Übersicht!$C$29,IF($A302&gt;=Übersicht!$C$30,$D302,0)))))</f>
        <v>0</v>
      </c>
      <c r="H302" s="23">
        <f>IF($D302-$G302&lt;=0,0,IF(MOD($A302,Übersicht!$C$25)=0,MIN(Übersicht!$C$31,$D302-$G302),0))</f>
        <v>0</v>
      </c>
      <c r="I302" s="23">
        <f t="shared" si="30"/>
        <v>0</v>
      </c>
      <c r="J302" s="23">
        <f t="shared" si="31"/>
        <v>0</v>
      </c>
      <c r="K302" s="23">
        <f t="shared" si="33"/>
        <v>80072.129999999961</v>
      </c>
      <c r="L302" s="23">
        <f t="shared" si="34"/>
        <v>250000</v>
      </c>
      <c r="M302" s="24" t="str">
        <f>IF($D302&lt;=0,"",IF(Übersicht!$C$11=0,0,$L302/Übersicht!$C$11))</f>
        <v/>
      </c>
      <c r="N302" s="25" t="str">
        <f>IF($D302&lt;=0,"",IF($J302&lt;=0.005,"Volltilgung erreicht",IF($A302=Übersicht!$C$19*Übersicht!$C$25,"Ende der Zinsbindung",IF($H302&gt;0,"Sondertilgung verrechnet",""))))</f>
        <v/>
      </c>
      <c r="Q302" s="38">
        <f>IF($S301&lt;=0,0,ROUND($S301*Übersicht!$C$26,2))</f>
        <v>28.27</v>
      </c>
      <c r="R302" s="38">
        <f>IF($S301&lt;=0,0,MIN($S301,IF(Übersicht!$C$14="Annuitätendarlehen",MAX(0,Übersicht!$C$28-$Q302),IF(Übersicht!$C$14="Ratendarlehen",Übersicht!$C$29,IF($A302&gt;=Übersicht!$C$30,$S301,0)))))</f>
        <v>1211.31</v>
      </c>
      <c r="S302" s="38">
        <f>IF($S301&lt;=0,0,ROUND($S301-$R302-IF($S301-$R302&lt;=0,0,IF(MOD($A302,Übersicht!$C$25)=0,MIN(Szenarien!$C$8,$S301-$R302),0)),2))</f>
        <v>8620.2800000000007</v>
      </c>
      <c r="T302" s="38">
        <f>IF($V301&lt;=0,0,ROUND($V301*Übersicht!$C$26,2))</f>
        <v>0</v>
      </c>
      <c r="U302" s="38">
        <f>IF($V301&lt;=0,0,MIN($V301,IF(Übersicht!$C$14="Annuitätendarlehen",MAX(0,Übersicht!$C$28-$T302),IF(Übersicht!$C$14="Ratendarlehen",Übersicht!$C$29,IF($A302&gt;=Übersicht!$C$30,$V301,0)))))</f>
        <v>0</v>
      </c>
      <c r="V302" s="38">
        <f>IF($V301&lt;=0,0,ROUND($V301-$U302-IF($V301-$U302&lt;=0,0,IF(MOD($A302,Übersicht!$C$25)=0,MIN(Szenarien!$C$9,$V301-$U302),0)),2))</f>
        <v>0</v>
      </c>
      <c r="W302" s="38">
        <f>IF($Y301&lt;=0,0,ROUND($Y301*Übersicht!$C$26,2))</f>
        <v>0</v>
      </c>
      <c r="X302" s="38">
        <f>IF($Y301&lt;=0,0,MIN($Y301,IF(Übersicht!$C$14="Annuitätendarlehen",MAX(0,Übersicht!$C$28-$W302),IF(Übersicht!$C$14="Ratendarlehen",Übersicht!$C$29,IF($A302&gt;=Übersicht!$C$30,$Y301,0)))))</f>
        <v>0</v>
      </c>
      <c r="Y302" s="38">
        <f>IF($Y301&lt;=0,0,ROUND($Y301-$X302-IF($Y301-$X302&lt;=0,0,IF(MOD($A302,Übersicht!$C$25)=0,MIN(Szenarien!$C$10,$Y301-$X302),0)),2))</f>
        <v>0</v>
      </c>
      <c r="Z302" s="38">
        <f>IF($AB301&lt;=0,0,ROUND($AB301*Übersicht!$C$26,2))</f>
        <v>0</v>
      </c>
      <c r="AA302" s="38">
        <f>IF($AB301&lt;=0,0,MIN($AB301,IF(Übersicht!$C$14="Annuitätendarlehen",MAX(0,Übersicht!$C$28-$Z302),IF(Übersicht!$C$14="Ratendarlehen",Übersicht!$C$29,IF($A302&gt;=Übersicht!$C$30,$AB301,0)))))</f>
        <v>0</v>
      </c>
      <c r="AB302" s="38">
        <f>IF($AB301&lt;=0,0,ROUND($AB301-$AA302-IF($AB301-$AA302&lt;=0,0,IF(MOD($A302,Übersicht!$C$25)=0,MIN(Szenarien!$C$11,$AB301-$AA302),0)),2))</f>
        <v>0</v>
      </c>
      <c r="AC302" s="38">
        <f>IF($AE301&lt;=0,0,ROUND($AE301*Übersicht!$C$26,2))</f>
        <v>0</v>
      </c>
      <c r="AD302" s="38">
        <f>IF($AE301&lt;=0,0,MIN($AE301,IF(Übersicht!$C$14="Annuitätendarlehen",MAX(0,Übersicht!$C$28-$AC302),IF(Übersicht!$C$14="Ratendarlehen",Übersicht!$C$29,IF($A302&gt;=Übersicht!$C$30,$AE301,0)))))</f>
        <v>0</v>
      </c>
      <c r="AE302" s="38">
        <f>IF($AE301&lt;=0,0,ROUND($AE301-$AD302-IF($AE301-$AD302&lt;=0,0,IF(MOD($A302,Übersicht!$C$25)=0,MIN(Szenarien!$C$12,$AE301-$AD302),0)),2))</f>
        <v>0</v>
      </c>
    </row>
    <row r="303" spans="1:31" ht="15" customHeight="1" x14ac:dyDescent="0.25">
      <c r="A303" s="26">
        <v>296</v>
      </c>
      <c r="B303" s="39" t="str">
        <f>IF($D303&lt;=0,"",EDATE(Übersicht!$C$18,($A303-1)*12/Übersicht!$C$25))</f>
        <v/>
      </c>
      <c r="C303" s="26" t="str">
        <f t="shared" si="28"/>
        <v/>
      </c>
      <c r="D303" s="40">
        <f t="shared" si="32"/>
        <v>0</v>
      </c>
      <c r="E303" s="28">
        <f t="shared" si="29"/>
        <v>0</v>
      </c>
      <c r="F303" s="28">
        <f>IF($D303&lt;=0,0,ROUND($D303*Übersicht!$C$26,2))</f>
        <v>0</v>
      </c>
      <c r="G303" s="28">
        <f>IF($D303&lt;=0,0,MIN($D303,IF(Übersicht!$C$14="Annuitätendarlehen",MAX(0,Übersicht!$C$28-$F303),IF(Übersicht!$C$14="Ratendarlehen",Übersicht!$C$29,IF($A303&gt;=Übersicht!$C$30,$D303,0)))))</f>
        <v>0</v>
      </c>
      <c r="H303" s="28">
        <f>IF($D303-$G303&lt;=0,0,IF(MOD($A303,Übersicht!$C$25)=0,MIN(Übersicht!$C$31,$D303-$G303),0))</f>
        <v>0</v>
      </c>
      <c r="I303" s="28">
        <f t="shared" si="30"/>
        <v>0</v>
      </c>
      <c r="J303" s="28">
        <f t="shared" si="31"/>
        <v>0</v>
      </c>
      <c r="K303" s="28">
        <f t="shared" si="33"/>
        <v>80072.129999999961</v>
      </c>
      <c r="L303" s="28">
        <f t="shared" si="34"/>
        <v>250000</v>
      </c>
      <c r="M303" s="29" t="str">
        <f>IF($D303&lt;=0,"",IF(Übersicht!$C$11=0,0,$L303/Übersicht!$C$11))</f>
        <v/>
      </c>
      <c r="N303" s="30" t="str">
        <f>IF($D303&lt;=0,"",IF($J303&lt;=0.005,"Volltilgung erreicht",IF($A303=Übersicht!$C$19*Übersicht!$C$25,"Ende der Zinsbindung",IF($H303&gt;0,"Sondertilgung verrechnet",""))))</f>
        <v/>
      </c>
      <c r="Q303" s="38">
        <f>IF($S302&lt;=0,0,ROUND($S302*Übersicht!$C$26,2))</f>
        <v>24.78</v>
      </c>
      <c r="R303" s="38">
        <f>IF($S302&lt;=0,0,MIN($S302,IF(Übersicht!$C$14="Annuitätendarlehen",MAX(0,Übersicht!$C$28-$Q303),IF(Übersicht!$C$14="Ratendarlehen",Übersicht!$C$29,IF($A303&gt;=Übersicht!$C$30,$S302,0)))))</f>
        <v>1214.8</v>
      </c>
      <c r="S303" s="38">
        <f>IF($S302&lt;=0,0,ROUND($S302-$R303-IF($S302-$R303&lt;=0,0,IF(MOD($A303,Übersicht!$C$25)=0,MIN(Szenarien!$C$8,$S302-$R303),0)),2))</f>
        <v>7405.48</v>
      </c>
      <c r="T303" s="38">
        <f>IF($V302&lt;=0,0,ROUND($V302*Übersicht!$C$26,2))</f>
        <v>0</v>
      </c>
      <c r="U303" s="38">
        <f>IF($V302&lt;=0,0,MIN($V302,IF(Übersicht!$C$14="Annuitätendarlehen",MAX(0,Übersicht!$C$28-$T303),IF(Übersicht!$C$14="Ratendarlehen",Übersicht!$C$29,IF($A303&gt;=Übersicht!$C$30,$V302,0)))))</f>
        <v>0</v>
      </c>
      <c r="V303" s="38">
        <f>IF($V302&lt;=0,0,ROUND($V302-$U303-IF($V302-$U303&lt;=0,0,IF(MOD($A303,Übersicht!$C$25)=0,MIN(Szenarien!$C$9,$V302-$U303),0)),2))</f>
        <v>0</v>
      </c>
      <c r="W303" s="38">
        <f>IF($Y302&lt;=0,0,ROUND($Y302*Übersicht!$C$26,2))</f>
        <v>0</v>
      </c>
      <c r="X303" s="38">
        <f>IF($Y302&lt;=0,0,MIN($Y302,IF(Übersicht!$C$14="Annuitätendarlehen",MAX(0,Übersicht!$C$28-$W303),IF(Übersicht!$C$14="Ratendarlehen",Übersicht!$C$29,IF($A303&gt;=Übersicht!$C$30,$Y302,0)))))</f>
        <v>0</v>
      </c>
      <c r="Y303" s="38">
        <f>IF($Y302&lt;=0,0,ROUND($Y302-$X303-IF($Y302-$X303&lt;=0,0,IF(MOD($A303,Übersicht!$C$25)=0,MIN(Szenarien!$C$10,$Y302-$X303),0)),2))</f>
        <v>0</v>
      </c>
      <c r="Z303" s="38">
        <f>IF($AB302&lt;=0,0,ROUND($AB302*Übersicht!$C$26,2))</f>
        <v>0</v>
      </c>
      <c r="AA303" s="38">
        <f>IF($AB302&lt;=0,0,MIN($AB302,IF(Übersicht!$C$14="Annuitätendarlehen",MAX(0,Übersicht!$C$28-$Z303),IF(Übersicht!$C$14="Ratendarlehen",Übersicht!$C$29,IF($A303&gt;=Übersicht!$C$30,$AB302,0)))))</f>
        <v>0</v>
      </c>
      <c r="AB303" s="38">
        <f>IF($AB302&lt;=0,0,ROUND($AB302-$AA303-IF($AB302-$AA303&lt;=0,0,IF(MOD($A303,Übersicht!$C$25)=0,MIN(Szenarien!$C$11,$AB302-$AA303),0)),2))</f>
        <v>0</v>
      </c>
      <c r="AC303" s="38">
        <f>IF($AE302&lt;=0,0,ROUND($AE302*Übersicht!$C$26,2))</f>
        <v>0</v>
      </c>
      <c r="AD303" s="38">
        <f>IF($AE302&lt;=0,0,MIN($AE302,IF(Übersicht!$C$14="Annuitätendarlehen",MAX(0,Übersicht!$C$28-$AC303),IF(Übersicht!$C$14="Ratendarlehen",Übersicht!$C$29,IF($A303&gt;=Übersicht!$C$30,$AE302,0)))))</f>
        <v>0</v>
      </c>
      <c r="AE303" s="38">
        <f>IF($AE302&lt;=0,0,ROUND($AE302-$AD303-IF($AE302-$AD303&lt;=0,0,IF(MOD($A303,Übersicht!$C$25)=0,MIN(Szenarien!$C$12,$AE302-$AD303),0)),2))</f>
        <v>0</v>
      </c>
    </row>
    <row r="304" spans="1:31" ht="15" customHeight="1" x14ac:dyDescent="0.25">
      <c r="A304" s="21">
        <v>297</v>
      </c>
      <c r="B304" s="36" t="str">
        <f>IF($D304&lt;=0,"",EDATE(Übersicht!$C$18,($A304-1)*12/Übersicht!$C$25))</f>
        <v/>
      </c>
      <c r="C304" s="21" t="str">
        <f t="shared" si="28"/>
        <v/>
      </c>
      <c r="D304" s="37">
        <f t="shared" si="32"/>
        <v>0</v>
      </c>
      <c r="E304" s="23">
        <f t="shared" si="29"/>
        <v>0</v>
      </c>
      <c r="F304" s="23">
        <f>IF($D304&lt;=0,0,ROUND($D304*Übersicht!$C$26,2))</f>
        <v>0</v>
      </c>
      <c r="G304" s="23">
        <f>IF($D304&lt;=0,0,MIN($D304,IF(Übersicht!$C$14="Annuitätendarlehen",MAX(0,Übersicht!$C$28-$F304),IF(Übersicht!$C$14="Ratendarlehen",Übersicht!$C$29,IF($A304&gt;=Übersicht!$C$30,$D304,0)))))</f>
        <v>0</v>
      </c>
      <c r="H304" s="23">
        <f>IF($D304-$G304&lt;=0,0,IF(MOD($A304,Übersicht!$C$25)=0,MIN(Übersicht!$C$31,$D304-$G304),0))</f>
        <v>0</v>
      </c>
      <c r="I304" s="23">
        <f t="shared" si="30"/>
        <v>0</v>
      </c>
      <c r="J304" s="23">
        <f t="shared" si="31"/>
        <v>0</v>
      </c>
      <c r="K304" s="23">
        <f t="shared" si="33"/>
        <v>80072.129999999961</v>
      </c>
      <c r="L304" s="23">
        <f t="shared" si="34"/>
        <v>250000</v>
      </c>
      <c r="M304" s="24" t="str">
        <f>IF($D304&lt;=0,"",IF(Übersicht!$C$11=0,0,$L304/Übersicht!$C$11))</f>
        <v/>
      </c>
      <c r="N304" s="25" t="str">
        <f>IF($D304&lt;=0,"",IF($J304&lt;=0.005,"Volltilgung erreicht",IF($A304=Übersicht!$C$19*Übersicht!$C$25,"Ende der Zinsbindung",IF($H304&gt;0,"Sondertilgung verrechnet",""))))</f>
        <v/>
      </c>
      <c r="Q304" s="38">
        <f>IF($S303&lt;=0,0,ROUND($S303*Übersicht!$C$26,2))</f>
        <v>21.29</v>
      </c>
      <c r="R304" s="38">
        <f>IF($S303&lt;=0,0,MIN($S303,IF(Übersicht!$C$14="Annuitätendarlehen",MAX(0,Übersicht!$C$28-$Q304),IF(Übersicht!$C$14="Ratendarlehen",Übersicht!$C$29,IF($A304&gt;=Übersicht!$C$30,$S303,0)))))</f>
        <v>1218.29</v>
      </c>
      <c r="S304" s="38">
        <f>IF($S303&lt;=0,0,ROUND($S303-$R304-IF($S303-$R304&lt;=0,0,IF(MOD($A304,Übersicht!$C$25)=0,MIN(Szenarien!$C$8,$S303-$R304),0)),2))</f>
        <v>6187.19</v>
      </c>
      <c r="T304" s="38">
        <f>IF($V303&lt;=0,0,ROUND($V303*Übersicht!$C$26,2))</f>
        <v>0</v>
      </c>
      <c r="U304" s="38">
        <f>IF($V303&lt;=0,0,MIN($V303,IF(Übersicht!$C$14="Annuitätendarlehen",MAX(0,Übersicht!$C$28-$T304),IF(Übersicht!$C$14="Ratendarlehen",Übersicht!$C$29,IF($A304&gt;=Übersicht!$C$30,$V303,0)))))</f>
        <v>0</v>
      </c>
      <c r="V304" s="38">
        <f>IF($V303&lt;=0,0,ROUND($V303-$U304-IF($V303-$U304&lt;=0,0,IF(MOD($A304,Übersicht!$C$25)=0,MIN(Szenarien!$C$9,$V303-$U304),0)),2))</f>
        <v>0</v>
      </c>
      <c r="W304" s="38">
        <f>IF($Y303&lt;=0,0,ROUND($Y303*Übersicht!$C$26,2))</f>
        <v>0</v>
      </c>
      <c r="X304" s="38">
        <f>IF($Y303&lt;=0,0,MIN($Y303,IF(Übersicht!$C$14="Annuitätendarlehen",MAX(0,Übersicht!$C$28-$W304),IF(Übersicht!$C$14="Ratendarlehen",Übersicht!$C$29,IF($A304&gt;=Übersicht!$C$30,$Y303,0)))))</f>
        <v>0</v>
      </c>
      <c r="Y304" s="38">
        <f>IF($Y303&lt;=0,0,ROUND($Y303-$X304-IF($Y303-$X304&lt;=0,0,IF(MOD($A304,Übersicht!$C$25)=0,MIN(Szenarien!$C$10,$Y303-$X304),0)),2))</f>
        <v>0</v>
      </c>
      <c r="Z304" s="38">
        <f>IF($AB303&lt;=0,0,ROUND($AB303*Übersicht!$C$26,2))</f>
        <v>0</v>
      </c>
      <c r="AA304" s="38">
        <f>IF($AB303&lt;=0,0,MIN($AB303,IF(Übersicht!$C$14="Annuitätendarlehen",MAX(0,Übersicht!$C$28-$Z304),IF(Übersicht!$C$14="Ratendarlehen",Übersicht!$C$29,IF($A304&gt;=Übersicht!$C$30,$AB303,0)))))</f>
        <v>0</v>
      </c>
      <c r="AB304" s="38">
        <f>IF($AB303&lt;=0,0,ROUND($AB303-$AA304-IF($AB303-$AA304&lt;=0,0,IF(MOD($A304,Übersicht!$C$25)=0,MIN(Szenarien!$C$11,$AB303-$AA304),0)),2))</f>
        <v>0</v>
      </c>
      <c r="AC304" s="38">
        <f>IF($AE303&lt;=0,0,ROUND($AE303*Übersicht!$C$26,2))</f>
        <v>0</v>
      </c>
      <c r="AD304" s="38">
        <f>IF($AE303&lt;=0,0,MIN($AE303,IF(Übersicht!$C$14="Annuitätendarlehen",MAX(0,Übersicht!$C$28-$AC304),IF(Übersicht!$C$14="Ratendarlehen",Übersicht!$C$29,IF($A304&gt;=Übersicht!$C$30,$AE303,0)))))</f>
        <v>0</v>
      </c>
      <c r="AE304" s="38">
        <f>IF($AE303&lt;=0,0,ROUND($AE303-$AD304-IF($AE303-$AD304&lt;=0,0,IF(MOD($A304,Übersicht!$C$25)=0,MIN(Szenarien!$C$12,$AE303-$AD304),0)),2))</f>
        <v>0</v>
      </c>
    </row>
    <row r="305" spans="1:31" ht="15" customHeight="1" x14ac:dyDescent="0.25">
      <c r="A305" s="26">
        <v>298</v>
      </c>
      <c r="B305" s="39" t="str">
        <f>IF($D305&lt;=0,"",EDATE(Übersicht!$C$18,($A305-1)*12/Übersicht!$C$25))</f>
        <v/>
      </c>
      <c r="C305" s="26" t="str">
        <f t="shared" si="28"/>
        <v/>
      </c>
      <c r="D305" s="40">
        <f t="shared" si="32"/>
        <v>0</v>
      </c>
      <c r="E305" s="28">
        <f t="shared" si="29"/>
        <v>0</v>
      </c>
      <c r="F305" s="28">
        <f>IF($D305&lt;=0,0,ROUND($D305*Übersicht!$C$26,2))</f>
        <v>0</v>
      </c>
      <c r="G305" s="28">
        <f>IF($D305&lt;=0,0,MIN($D305,IF(Übersicht!$C$14="Annuitätendarlehen",MAX(0,Übersicht!$C$28-$F305),IF(Übersicht!$C$14="Ratendarlehen",Übersicht!$C$29,IF($A305&gt;=Übersicht!$C$30,$D305,0)))))</f>
        <v>0</v>
      </c>
      <c r="H305" s="28">
        <f>IF($D305-$G305&lt;=0,0,IF(MOD($A305,Übersicht!$C$25)=0,MIN(Übersicht!$C$31,$D305-$G305),0))</f>
        <v>0</v>
      </c>
      <c r="I305" s="28">
        <f t="shared" si="30"/>
        <v>0</v>
      </c>
      <c r="J305" s="28">
        <f t="shared" si="31"/>
        <v>0</v>
      </c>
      <c r="K305" s="28">
        <f t="shared" si="33"/>
        <v>80072.129999999961</v>
      </c>
      <c r="L305" s="28">
        <f t="shared" si="34"/>
        <v>250000</v>
      </c>
      <c r="M305" s="29" t="str">
        <f>IF($D305&lt;=0,"",IF(Übersicht!$C$11=0,0,$L305/Übersicht!$C$11))</f>
        <v/>
      </c>
      <c r="N305" s="30" t="str">
        <f>IF($D305&lt;=0,"",IF($J305&lt;=0.005,"Volltilgung erreicht",IF($A305=Übersicht!$C$19*Übersicht!$C$25,"Ende der Zinsbindung",IF($H305&gt;0,"Sondertilgung verrechnet",""))))</f>
        <v/>
      </c>
      <c r="Q305" s="38">
        <f>IF($S304&lt;=0,0,ROUND($S304*Übersicht!$C$26,2))</f>
        <v>17.79</v>
      </c>
      <c r="R305" s="38">
        <f>IF($S304&lt;=0,0,MIN($S304,IF(Übersicht!$C$14="Annuitätendarlehen",MAX(0,Übersicht!$C$28-$Q305),IF(Übersicht!$C$14="Ratendarlehen",Übersicht!$C$29,IF($A305&gt;=Übersicht!$C$30,$S304,0)))))</f>
        <v>1221.79</v>
      </c>
      <c r="S305" s="38">
        <f>IF($S304&lt;=0,0,ROUND($S304-$R305-IF($S304-$R305&lt;=0,0,IF(MOD($A305,Übersicht!$C$25)=0,MIN(Szenarien!$C$8,$S304-$R305),0)),2))</f>
        <v>4965.3999999999996</v>
      </c>
      <c r="T305" s="38">
        <f>IF($V304&lt;=0,0,ROUND($V304*Übersicht!$C$26,2))</f>
        <v>0</v>
      </c>
      <c r="U305" s="38">
        <f>IF($V304&lt;=0,0,MIN($V304,IF(Übersicht!$C$14="Annuitätendarlehen",MAX(0,Übersicht!$C$28-$T305),IF(Übersicht!$C$14="Ratendarlehen",Übersicht!$C$29,IF($A305&gt;=Übersicht!$C$30,$V304,0)))))</f>
        <v>0</v>
      </c>
      <c r="V305" s="38">
        <f>IF($V304&lt;=0,0,ROUND($V304-$U305-IF($V304-$U305&lt;=0,0,IF(MOD($A305,Übersicht!$C$25)=0,MIN(Szenarien!$C$9,$V304-$U305),0)),2))</f>
        <v>0</v>
      </c>
      <c r="W305" s="38">
        <f>IF($Y304&lt;=0,0,ROUND($Y304*Übersicht!$C$26,2))</f>
        <v>0</v>
      </c>
      <c r="X305" s="38">
        <f>IF($Y304&lt;=0,0,MIN($Y304,IF(Übersicht!$C$14="Annuitätendarlehen",MAX(0,Übersicht!$C$28-$W305),IF(Übersicht!$C$14="Ratendarlehen",Übersicht!$C$29,IF($A305&gt;=Übersicht!$C$30,$Y304,0)))))</f>
        <v>0</v>
      </c>
      <c r="Y305" s="38">
        <f>IF($Y304&lt;=0,0,ROUND($Y304-$X305-IF($Y304-$X305&lt;=0,0,IF(MOD($A305,Übersicht!$C$25)=0,MIN(Szenarien!$C$10,$Y304-$X305),0)),2))</f>
        <v>0</v>
      </c>
      <c r="Z305" s="38">
        <f>IF($AB304&lt;=0,0,ROUND($AB304*Übersicht!$C$26,2))</f>
        <v>0</v>
      </c>
      <c r="AA305" s="38">
        <f>IF($AB304&lt;=0,0,MIN($AB304,IF(Übersicht!$C$14="Annuitätendarlehen",MAX(0,Übersicht!$C$28-$Z305),IF(Übersicht!$C$14="Ratendarlehen",Übersicht!$C$29,IF($A305&gt;=Übersicht!$C$30,$AB304,0)))))</f>
        <v>0</v>
      </c>
      <c r="AB305" s="38">
        <f>IF($AB304&lt;=0,0,ROUND($AB304-$AA305-IF($AB304-$AA305&lt;=0,0,IF(MOD($A305,Übersicht!$C$25)=0,MIN(Szenarien!$C$11,$AB304-$AA305),0)),2))</f>
        <v>0</v>
      </c>
      <c r="AC305" s="38">
        <f>IF($AE304&lt;=0,0,ROUND($AE304*Übersicht!$C$26,2))</f>
        <v>0</v>
      </c>
      <c r="AD305" s="38">
        <f>IF($AE304&lt;=0,0,MIN($AE304,IF(Übersicht!$C$14="Annuitätendarlehen",MAX(0,Übersicht!$C$28-$AC305),IF(Übersicht!$C$14="Ratendarlehen",Übersicht!$C$29,IF($A305&gt;=Übersicht!$C$30,$AE304,0)))))</f>
        <v>0</v>
      </c>
      <c r="AE305" s="38">
        <f>IF($AE304&lt;=0,0,ROUND($AE304-$AD305-IF($AE304-$AD305&lt;=0,0,IF(MOD($A305,Übersicht!$C$25)=0,MIN(Szenarien!$C$12,$AE304-$AD305),0)),2))</f>
        <v>0</v>
      </c>
    </row>
    <row r="306" spans="1:31" ht="15" customHeight="1" x14ac:dyDescent="0.25">
      <c r="A306" s="21">
        <v>299</v>
      </c>
      <c r="B306" s="36" t="str">
        <f>IF($D306&lt;=0,"",EDATE(Übersicht!$C$18,($A306-1)*12/Übersicht!$C$25))</f>
        <v/>
      </c>
      <c r="C306" s="21" t="str">
        <f t="shared" si="28"/>
        <v/>
      </c>
      <c r="D306" s="37">
        <f t="shared" si="32"/>
        <v>0</v>
      </c>
      <c r="E306" s="23">
        <f t="shared" si="29"/>
        <v>0</v>
      </c>
      <c r="F306" s="23">
        <f>IF($D306&lt;=0,0,ROUND($D306*Übersicht!$C$26,2))</f>
        <v>0</v>
      </c>
      <c r="G306" s="23">
        <f>IF($D306&lt;=0,0,MIN($D306,IF(Übersicht!$C$14="Annuitätendarlehen",MAX(0,Übersicht!$C$28-$F306),IF(Übersicht!$C$14="Ratendarlehen",Übersicht!$C$29,IF($A306&gt;=Übersicht!$C$30,$D306,0)))))</f>
        <v>0</v>
      </c>
      <c r="H306" s="23">
        <f>IF($D306-$G306&lt;=0,0,IF(MOD($A306,Übersicht!$C$25)=0,MIN(Übersicht!$C$31,$D306-$G306),0))</f>
        <v>0</v>
      </c>
      <c r="I306" s="23">
        <f t="shared" si="30"/>
        <v>0</v>
      </c>
      <c r="J306" s="23">
        <f t="shared" si="31"/>
        <v>0</v>
      </c>
      <c r="K306" s="23">
        <f t="shared" si="33"/>
        <v>80072.129999999961</v>
      </c>
      <c r="L306" s="23">
        <f t="shared" si="34"/>
        <v>250000</v>
      </c>
      <c r="M306" s="24" t="str">
        <f>IF($D306&lt;=0,"",IF(Übersicht!$C$11=0,0,$L306/Übersicht!$C$11))</f>
        <v/>
      </c>
      <c r="N306" s="25" t="str">
        <f>IF($D306&lt;=0,"",IF($J306&lt;=0.005,"Volltilgung erreicht",IF($A306=Übersicht!$C$19*Übersicht!$C$25,"Ende der Zinsbindung",IF($H306&gt;0,"Sondertilgung verrechnet",""))))</f>
        <v/>
      </c>
      <c r="Q306" s="38">
        <f>IF($S305&lt;=0,0,ROUND($S305*Übersicht!$C$26,2))</f>
        <v>14.28</v>
      </c>
      <c r="R306" s="38">
        <f>IF($S305&lt;=0,0,MIN($S305,IF(Übersicht!$C$14="Annuitätendarlehen",MAX(0,Übersicht!$C$28-$Q306),IF(Übersicht!$C$14="Ratendarlehen",Übersicht!$C$29,IF($A306&gt;=Übersicht!$C$30,$S305,0)))))</f>
        <v>1225.3</v>
      </c>
      <c r="S306" s="38">
        <f>IF($S305&lt;=0,0,ROUND($S305-$R306-IF($S305-$R306&lt;=0,0,IF(MOD($A306,Übersicht!$C$25)=0,MIN(Szenarien!$C$8,$S305-$R306),0)),2))</f>
        <v>3740.1</v>
      </c>
      <c r="T306" s="38">
        <f>IF($V305&lt;=0,0,ROUND($V305*Übersicht!$C$26,2))</f>
        <v>0</v>
      </c>
      <c r="U306" s="38">
        <f>IF($V305&lt;=0,0,MIN($V305,IF(Übersicht!$C$14="Annuitätendarlehen",MAX(0,Übersicht!$C$28-$T306),IF(Übersicht!$C$14="Ratendarlehen",Übersicht!$C$29,IF($A306&gt;=Übersicht!$C$30,$V305,0)))))</f>
        <v>0</v>
      </c>
      <c r="V306" s="38">
        <f>IF($V305&lt;=0,0,ROUND($V305-$U306-IF($V305-$U306&lt;=0,0,IF(MOD($A306,Übersicht!$C$25)=0,MIN(Szenarien!$C$9,$V305-$U306),0)),2))</f>
        <v>0</v>
      </c>
      <c r="W306" s="38">
        <f>IF($Y305&lt;=0,0,ROUND($Y305*Übersicht!$C$26,2))</f>
        <v>0</v>
      </c>
      <c r="X306" s="38">
        <f>IF($Y305&lt;=0,0,MIN($Y305,IF(Übersicht!$C$14="Annuitätendarlehen",MAX(0,Übersicht!$C$28-$W306),IF(Übersicht!$C$14="Ratendarlehen",Übersicht!$C$29,IF($A306&gt;=Übersicht!$C$30,$Y305,0)))))</f>
        <v>0</v>
      </c>
      <c r="Y306" s="38">
        <f>IF($Y305&lt;=0,0,ROUND($Y305-$X306-IF($Y305-$X306&lt;=0,0,IF(MOD($A306,Übersicht!$C$25)=0,MIN(Szenarien!$C$10,$Y305-$X306),0)),2))</f>
        <v>0</v>
      </c>
      <c r="Z306" s="38">
        <f>IF($AB305&lt;=0,0,ROUND($AB305*Übersicht!$C$26,2))</f>
        <v>0</v>
      </c>
      <c r="AA306" s="38">
        <f>IF($AB305&lt;=0,0,MIN($AB305,IF(Übersicht!$C$14="Annuitätendarlehen",MAX(0,Übersicht!$C$28-$Z306),IF(Übersicht!$C$14="Ratendarlehen",Übersicht!$C$29,IF($A306&gt;=Übersicht!$C$30,$AB305,0)))))</f>
        <v>0</v>
      </c>
      <c r="AB306" s="38">
        <f>IF($AB305&lt;=0,0,ROUND($AB305-$AA306-IF($AB305-$AA306&lt;=0,0,IF(MOD($A306,Übersicht!$C$25)=0,MIN(Szenarien!$C$11,$AB305-$AA306),0)),2))</f>
        <v>0</v>
      </c>
      <c r="AC306" s="38">
        <f>IF($AE305&lt;=0,0,ROUND($AE305*Übersicht!$C$26,2))</f>
        <v>0</v>
      </c>
      <c r="AD306" s="38">
        <f>IF($AE305&lt;=0,0,MIN($AE305,IF(Übersicht!$C$14="Annuitätendarlehen",MAX(0,Übersicht!$C$28-$AC306),IF(Übersicht!$C$14="Ratendarlehen",Übersicht!$C$29,IF($A306&gt;=Übersicht!$C$30,$AE305,0)))))</f>
        <v>0</v>
      </c>
      <c r="AE306" s="38">
        <f>IF($AE305&lt;=0,0,ROUND($AE305-$AD306-IF($AE305-$AD306&lt;=0,0,IF(MOD($A306,Übersicht!$C$25)=0,MIN(Szenarien!$C$12,$AE305-$AD306),0)),2))</f>
        <v>0</v>
      </c>
    </row>
    <row r="307" spans="1:31" ht="15" customHeight="1" x14ac:dyDescent="0.25">
      <c r="A307" s="26">
        <v>300</v>
      </c>
      <c r="B307" s="39" t="str">
        <f>IF($D307&lt;=0,"",EDATE(Übersicht!$C$18,($A307-1)*12/Übersicht!$C$25))</f>
        <v/>
      </c>
      <c r="C307" s="26" t="str">
        <f t="shared" si="28"/>
        <v/>
      </c>
      <c r="D307" s="40">
        <f t="shared" si="32"/>
        <v>0</v>
      </c>
      <c r="E307" s="28">
        <f t="shared" si="29"/>
        <v>0</v>
      </c>
      <c r="F307" s="28">
        <f>IF($D307&lt;=0,0,ROUND($D307*Übersicht!$C$26,2))</f>
        <v>0</v>
      </c>
      <c r="G307" s="28">
        <f>IF($D307&lt;=0,0,MIN($D307,IF(Übersicht!$C$14="Annuitätendarlehen",MAX(0,Übersicht!$C$28-$F307),IF(Übersicht!$C$14="Ratendarlehen",Übersicht!$C$29,IF($A307&gt;=Übersicht!$C$30,$D307,0)))))</f>
        <v>0</v>
      </c>
      <c r="H307" s="28">
        <f>IF($D307-$G307&lt;=0,0,IF(MOD($A307,Übersicht!$C$25)=0,MIN(Übersicht!$C$31,$D307-$G307),0))</f>
        <v>0</v>
      </c>
      <c r="I307" s="28">
        <f t="shared" si="30"/>
        <v>0</v>
      </c>
      <c r="J307" s="28">
        <f t="shared" si="31"/>
        <v>0</v>
      </c>
      <c r="K307" s="28">
        <f t="shared" si="33"/>
        <v>80072.129999999961</v>
      </c>
      <c r="L307" s="28">
        <f t="shared" si="34"/>
        <v>250000</v>
      </c>
      <c r="M307" s="29" t="str">
        <f>IF($D307&lt;=0,"",IF(Übersicht!$C$11=0,0,$L307/Übersicht!$C$11))</f>
        <v/>
      </c>
      <c r="N307" s="30" t="str">
        <f>IF($D307&lt;=0,"",IF($J307&lt;=0.005,"Volltilgung erreicht",IF($A307=Übersicht!$C$19*Übersicht!$C$25,"Ende der Zinsbindung",IF($H307&gt;0,"Sondertilgung verrechnet",""))))</f>
        <v/>
      </c>
      <c r="Q307" s="38">
        <f>IF($S306&lt;=0,0,ROUND($S306*Übersicht!$C$26,2))</f>
        <v>10.75</v>
      </c>
      <c r="R307" s="38">
        <f>IF($S306&lt;=0,0,MIN($S306,IF(Übersicht!$C$14="Annuitätendarlehen",MAX(0,Übersicht!$C$28-$Q307),IF(Übersicht!$C$14="Ratendarlehen",Übersicht!$C$29,IF($A307&gt;=Übersicht!$C$30,$S306,0)))))</f>
        <v>1228.83</v>
      </c>
      <c r="S307" s="38">
        <f>IF($S306&lt;=0,0,ROUND($S306-$R307-IF($S306-$R307&lt;=0,0,IF(MOD($A307,Übersicht!$C$25)=0,MIN(Szenarien!$C$8,$S306-$R307),0)),2))</f>
        <v>2511.27</v>
      </c>
      <c r="T307" s="38">
        <f>IF($V306&lt;=0,0,ROUND($V306*Übersicht!$C$26,2))</f>
        <v>0</v>
      </c>
      <c r="U307" s="38">
        <f>IF($V306&lt;=0,0,MIN($V306,IF(Übersicht!$C$14="Annuitätendarlehen",MAX(0,Übersicht!$C$28-$T307),IF(Übersicht!$C$14="Ratendarlehen",Übersicht!$C$29,IF($A307&gt;=Übersicht!$C$30,$V306,0)))))</f>
        <v>0</v>
      </c>
      <c r="V307" s="38">
        <f>IF($V306&lt;=0,0,ROUND($V306-$U307-IF($V306-$U307&lt;=0,0,IF(MOD($A307,Übersicht!$C$25)=0,MIN(Szenarien!$C$9,$V306-$U307),0)),2))</f>
        <v>0</v>
      </c>
      <c r="W307" s="38">
        <f>IF($Y306&lt;=0,0,ROUND($Y306*Übersicht!$C$26,2))</f>
        <v>0</v>
      </c>
      <c r="X307" s="38">
        <f>IF($Y306&lt;=0,0,MIN($Y306,IF(Übersicht!$C$14="Annuitätendarlehen",MAX(0,Übersicht!$C$28-$W307),IF(Übersicht!$C$14="Ratendarlehen",Übersicht!$C$29,IF($A307&gt;=Übersicht!$C$30,$Y306,0)))))</f>
        <v>0</v>
      </c>
      <c r="Y307" s="38">
        <f>IF($Y306&lt;=0,0,ROUND($Y306-$X307-IF($Y306-$X307&lt;=0,0,IF(MOD($A307,Übersicht!$C$25)=0,MIN(Szenarien!$C$10,$Y306-$X307),0)),2))</f>
        <v>0</v>
      </c>
      <c r="Z307" s="38">
        <f>IF($AB306&lt;=0,0,ROUND($AB306*Übersicht!$C$26,2))</f>
        <v>0</v>
      </c>
      <c r="AA307" s="38">
        <f>IF($AB306&lt;=0,0,MIN($AB306,IF(Übersicht!$C$14="Annuitätendarlehen",MAX(0,Übersicht!$C$28-$Z307),IF(Übersicht!$C$14="Ratendarlehen",Übersicht!$C$29,IF($A307&gt;=Übersicht!$C$30,$AB306,0)))))</f>
        <v>0</v>
      </c>
      <c r="AB307" s="38">
        <f>IF($AB306&lt;=0,0,ROUND($AB306-$AA307-IF($AB306-$AA307&lt;=0,0,IF(MOD($A307,Übersicht!$C$25)=0,MIN(Szenarien!$C$11,$AB306-$AA307),0)),2))</f>
        <v>0</v>
      </c>
      <c r="AC307" s="38">
        <f>IF($AE306&lt;=0,0,ROUND($AE306*Übersicht!$C$26,2))</f>
        <v>0</v>
      </c>
      <c r="AD307" s="38">
        <f>IF($AE306&lt;=0,0,MIN($AE306,IF(Übersicht!$C$14="Annuitätendarlehen",MAX(0,Übersicht!$C$28-$AC307),IF(Übersicht!$C$14="Ratendarlehen",Übersicht!$C$29,IF($A307&gt;=Übersicht!$C$30,$AE306,0)))))</f>
        <v>0</v>
      </c>
      <c r="AE307" s="38">
        <f>IF($AE306&lt;=0,0,ROUND($AE306-$AD307-IF($AE306-$AD307&lt;=0,0,IF(MOD($A307,Übersicht!$C$25)=0,MIN(Szenarien!$C$12,$AE306-$AD307),0)),2))</f>
        <v>0</v>
      </c>
    </row>
    <row r="308" spans="1:31" ht="15" customHeight="1" x14ac:dyDescent="0.25">
      <c r="A308" s="21">
        <v>301</v>
      </c>
      <c r="B308" s="36" t="str">
        <f>IF($D308&lt;=0,"",EDATE(Übersicht!$C$18,($A308-1)*12/Übersicht!$C$25))</f>
        <v/>
      </c>
      <c r="C308" s="21" t="str">
        <f t="shared" si="28"/>
        <v/>
      </c>
      <c r="D308" s="37">
        <f t="shared" si="32"/>
        <v>0</v>
      </c>
      <c r="E308" s="23">
        <f t="shared" si="29"/>
        <v>0</v>
      </c>
      <c r="F308" s="23">
        <f>IF($D308&lt;=0,0,ROUND($D308*Übersicht!$C$26,2))</f>
        <v>0</v>
      </c>
      <c r="G308" s="23">
        <f>IF($D308&lt;=0,0,MIN($D308,IF(Übersicht!$C$14="Annuitätendarlehen",MAX(0,Übersicht!$C$28-$F308),IF(Übersicht!$C$14="Ratendarlehen",Übersicht!$C$29,IF($A308&gt;=Übersicht!$C$30,$D308,0)))))</f>
        <v>0</v>
      </c>
      <c r="H308" s="23">
        <f>IF($D308-$G308&lt;=0,0,IF(MOD($A308,Übersicht!$C$25)=0,MIN(Übersicht!$C$31,$D308-$G308),0))</f>
        <v>0</v>
      </c>
      <c r="I308" s="23">
        <f t="shared" si="30"/>
        <v>0</v>
      </c>
      <c r="J308" s="23">
        <f t="shared" si="31"/>
        <v>0</v>
      </c>
      <c r="K308" s="23">
        <f t="shared" si="33"/>
        <v>80072.129999999961</v>
      </c>
      <c r="L308" s="23">
        <f t="shared" si="34"/>
        <v>250000</v>
      </c>
      <c r="M308" s="24" t="str">
        <f>IF($D308&lt;=0,"",IF(Übersicht!$C$11=0,0,$L308/Übersicht!$C$11))</f>
        <v/>
      </c>
      <c r="N308" s="25" t="str">
        <f>IF($D308&lt;=0,"",IF($J308&lt;=0.005,"Volltilgung erreicht",IF($A308=Übersicht!$C$19*Übersicht!$C$25,"Ende der Zinsbindung",IF($H308&gt;0,"Sondertilgung verrechnet",""))))</f>
        <v/>
      </c>
      <c r="Q308" s="38">
        <f>IF($S307&lt;=0,0,ROUND($S307*Übersicht!$C$26,2))</f>
        <v>7.22</v>
      </c>
      <c r="R308" s="38">
        <f>IF($S307&lt;=0,0,MIN($S307,IF(Übersicht!$C$14="Annuitätendarlehen",MAX(0,Übersicht!$C$28-$Q308),IF(Übersicht!$C$14="Ratendarlehen",Übersicht!$C$29,IF($A308&gt;=Übersicht!$C$30,$S307,0)))))</f>
        <v>1232.3599999999999</v>
      </c>
      <c r="S308" s="38">
        <f>IF($S307&lt;=0,0,ROUND($S307-$R308-IF($S307-$R308&lt;=0,0,IF(MOD($A308,Übersicht!$C$25)=0,MIN(Szenarien!$C$8,$S307-$R308),0)),2))</f>
        <v>1278.9100000000001</v>
      </c>
      <c r="T308" s="38">
        <f>IF($V307&lt;=0,0,ROUND($V307*Übersicht!$C$26,2))</f>
        <v>0</v>
      </c>
      <c r="U308" s="38">
        <f>IF($V307&lt;=0,0,MIN($V307,IF(Übersicht!$C$14="Annuitätendarlehen",MAX(0,Übersicht!$C$28-$T308),IF(Übersicht!$C$14="Ratendarlehen",Übersicht!$C$29,IF($A308&gt;=Übersicht!$C$30,$V307,0)))))</f>
        <v>0</v>
      </c>
      <c r="V308" s="38">
        <f>IF($V307&lt;=0,0,ROUND($V307-$U308-IF($V307-$U308&lt;=0,0,IF(MOD($A308,Übersicht!$C$25)=0,MIN(Szenarien!$C$9,$V307-$U308),0)),2))</f>
        <v>0</v>
      </c>
      <c r="W308" s="38">
        <f>IF($Y307&lt;=0,0,ROUND($Y307*Übersicht!$C$26,2))</f>
        <v>0</v>
      </c>
      <c r="X308" s="38">
        <f>IF($Y307&lt;=0,0,MIN($Y307,IF(Übersicht!$C$14="Annuitätendarlehen",MAX(0,Übersicht!$C$28-$W308),IF(Übersicht!$C$14="Ratendarlehen",Übersicht!$C$29,IF($A308&gt;=Übersicht!$C$30,$Y307,0)))))</f>
        <v>0</v>
      </c>
      <c r="Y308" s="38">
        <f>IF($Y307&lt;=0,0,ROUND($Y307-$X308-IF($Y307-$X308&lt;=0,0,IF(MOD($A308,Übersicht!$C$25)=0,MIN(Szenarien!$C$10,$Y307-$X308),0)),2))</f>
        <v>0</v>
      </c>
      <c r="Z308" s="38">
        <f>IF($AB307&lt;=0,0,ROUND($AB307*Übersicht!$C$26,2))</f>
        <v>0</v>
      </c>
      <c r="AA308" s="38">
        <f>IF($AB307&lt;=0,0,MIN($AB307,IF(Übersicht!$C$14="Annuitätendarlehen",MAX(0,Übersicht!$C$28-$Z308),IF(Übersicht!$C$14="Ratendarlehen",Übersicht!$C$29,IF($A308&gt;=Übersicht!$C$30,$AB307,0)))))</f>
        <v>0</v>
      </c>
      <c r="AB308" s="38">
        <f>IF($AB307&lt;=0,0,ROUND($AB307-$AA308-IF($AB307-$AA308&lt;=0,0,IF(MOD($A308,Übersicht!$C$25)=0,MIN(Szenarien!$C$11,$AB307-$AA308),0)),2))</f>
        <v>0</v>
      </c>
      <c r="AC308" s="38">
        <f>IF($AE307&lt;=0,0,ROUND($AE307*Übersicht!$C$26,2))</f>
        <v>0</v>
      </c>
      <c r="AD308" s="38">
        <f>IF($AE307&lt;=0,0,MIN($AE307,IF(Übersicht!$C$14="Annuitätendarlehen",MAX(0,Übersicht!$C$28-$AC308),IF(Übersicht!$C$14="Ratendarlehen",Übersicht!$C$29,IF($A308&gt;=Übersicht!$C$30,$AE307,0)))))</f>
        <v>0</v>
      </c>
      <c r="AE308" s="38">
        <f>IF($AE307&lt;=0,0,ROUND($AE307-$AD308-IF($AE307-$AD308&lt;=0,0,IF(MOD($A308,Übersicht!$C$25)=0,MIN(Szenarien!$C$12,$AE307-$AD308),0)),2))</f>
        <v>0</v>
      </c>
    </row>
    <row r="309" spans="1:31" ht="15" customHeight="1" x14ac:dyDescent="0.25">
      <c r="A309" s="26">
        <v>302</v>
      </c>
      <c r="B309" s="39" t="str">
        <f>IF($D309&lt;=0,"",EDATE(Übersicht!$C$18,($A309-1)*12/Übersicht!$C$25))</f>
        <v/>
      </c>
      <c r="C309" s="26" t="str">
        <f t="shared" si="28"/>
        <v/>
      </c>
      <c r="D309" s="40">
        <f t="shared" si="32"/>
        <v>0</v>
      </c>
      <c r="E309" s="28">
        <f t="shared" si="29"/>
        <v>0</v>
      </c>
      <c r="F309" s="28">
        <f>IF($D309&lt;=0,0,ROUND($D309*Übersicht!$C$26,2))</f>
        <v>0</v>
      </c>
      <c r="G309" s="28">
        <f>IF($D309&lt;=0,0,MIN($D309,IF(Übersicht!$C$14="Annuitätendarlehen",MAX(0,Übersicht!$C$28-$F309),IF(Übersicht!$C$14="Ratendarlehen",Übersicht!$C$29,IF($A309&gt;=Übersicht!$C$30,$D309,0)))))</f>
        <v>0</v>
      </c>
      <c r="H309" s="28">
        <f>IF($D309-$G309&lt;=0,0,IF(MOD($A309,Übersicht!$C$25)=0,MIN(Übersicht!$C$31,$D309-$G309),0))</f>
        <v>0</v>
      </c>
      <c r="I309" s="28">
        <f t="shared" si="30"/>
        <v>0</v>
      </c>
      <c r="J309" s="28">
        <f t="shared" si="31"/>
        <v>0</v>
      </c>
      <c r="K309" s="28">
        <f t="shared" si="33"/>
        <v>80072.129999999961</v>
      </c>
      <c r="L309" s="28">
        <f t="shared" si="34"/>
        <v>250000</v>
      </c>
      <c r="M309" s="29" t="str">
        <f>IF($D309&lt;=0,"",IF(Übersicht!$C$11=0,0,$L309/Übersicht!$C$11))</f>
        <v/>
      </c>
      <c r="N309" s="30" t="str">
        <f>IF($D309&lt;=0,"",IF($J309&lt;=0.005,"Volltilgung erreicht",IF($A309=Übersicht!$C$19*Übersicht!$C$25,"Ende der Zinsbindung",IF($H309&gt;0,"Sondertilgung verrechnet",""))))</f>
        <v/>
      </c>
      <c r="Q309" s="38">
        <f>IF($S308&lt;=0,0,ROUND($S308*Übersicht!$C$26,2))</f>
        <v>3.68</v>
      </c>
      <c r="R309" s="38">
        <f>IF($S308&lt;=0,0,MIN($S308,IF(Übersicht!$C$14="Annuitätendarlehen",MAX(0,Übersicht!$C$28-$Q309),IF(Übersicht!$C$14="Ratendarlehen",Übersicht!$C$29,IF($A309&gt;=Übersicht!$C$30,$S308,0)))))</f>
        <v>1235.8999999999999</v>
      </c>
      <c r="S309" s="38">
        <f>IF($S308&lt;=0,0,ROUND($S308-$R309-IF($S308-$R309&lt;=0,0,IF(MOD($A309,Übersicht!$C$25)=0,MIN(Szenarien!$C$8,$S308-$R309),0)),2))</f>
        <v>43.01</v>
      </c>
      <c r="T309" s="38">
        <f>IF($V308&lt;=0,0,ROUND($V308*Übersicht!$C$26,2))</f>
        <v>0</v>
      </c>
      <c r="U309" s="38">
        <f>IF($V308&lt;=0,0,MIN($V308,IF(Übersicht!$C$14="Annuitätendarlehen",MAX(0,Übersicht!$C$28-$T309),IF(Übersicht!$C$14="Ratendarlehen",Übersicht!$C$29,IF($A309&gt;=Übersicht!$C$30,$V308,0)))))</f>
        <v>0</v>
      </c>
      <c r="V309" s="38">
        <f>IF($V308&lt;=0,0,ROUND($V308-$U309-IF($V308-$U309&lt;=0,0,IF(MOD($A309,Übersicht!$C$25)=0,MIN(Szenarien!$C$9,$V308-$U309),0)),2))</f>
        <v>0</v>
      </c>
      <c r="W309" s="38">
        <f>IF($Y308&lt;=0,0,ROUND($Y308*Übersicht!$C$26,2))</f>
        <v>0</v>
      </c>
      <c r="X309" s="38">
        <f>IF($Y308&lt;=0,0,MIN($Y308,IF(Übersicht!$C$14="Annuitätendarlehen",MAX(0,Übersicht!$C$28-$W309),IF(Übersicht!$C$14="Ratendarlehen",Übersicht!$C$29,IF($A309&gt;=Übersicht!$C$30,$Y308,0)))))</f>
        <v>0</v>
      </c>
      <c r="Y309" s="38">
        <f>IF($Y308&lt;=0,0,ROUND($Y308-$X309-IF($Y308-$X309&lt;=0,0,IF(MOD($A309,Übersicht!$C$25)=0,MIN(Szenarien!$C$10,$Y308-$X309),0)),2))</f>
        <v>0</v>
      </c>
      <c r="Z309" s="38">
        <f>IF($AB308&lt;=0,0,ROUND($AB308*Übersicht!$C$26,2))</f>
        <v>0</v>
      </c>
      <c r="AA309" s="38">
        <f>IF($AB308&lt;=0,0,MIN($AB308,IF(Übersicht!$C$14="Annuitätendarlehen",MAX(0,Übersicht!$C$28-$Z309),IF(Übersicht!$C$14="Ratendarlehen",Übersicht!$C$29,IF($A309&gt;=Übersicht!$C$30,$AB308,0)))))</f>
        <v>0</v>
      </c>
      <c r="AB309" s="38">
        <f>IF($AB308&lt;=0,0,ROUND($AB308-$AA309-IF($AB308-$AA309&lt;=0,0,IF(MOD($A309,Übersicht!$C$25)=0,MIN(Szenarien!$C$11,$AB308-$AA309),0)),2))</f>
        <v>0</v>
      </c>
      <c r="AC309" s="38">
        <f>IF($AE308&lt;=0,0,ROUND($AE308*Übersicht!$C$26,2))</f>
        <v>0</v>
      </c>
      <c r="AD309" s="38">
        <f>IF($AE308&lt;=0,0,MIN($AE308,IF(Übersicht!$C$14="Annuitätendarlehen",MAX(0,Übersicht!$C$28-$AC309),IF(Übersicht!$C$14="Ratendarlehen",Übersicht!$C$29,IF($A309&gt;=Übersicht!$C$30,$AE308,0)))))</f>
        <v>0</v>
      </c>
      <c r="AE309" s="38">
        <f>IF($AE308&lt;=0,0,ROUND($AE308-$AD309-IF($AE308-$AD309&lt;=0,0,IF(MOD($A309,Übersicht!$C$25)=0,MIN(Szenarien!$C$12,$AE308-$AD309),0)),2))</f>
        <v>0</v>
      </c>
    </row>
    <row r="310" spans="1:31" ht="15" customHeight="1" x14ac:dyDescent="0.25">
      <c r="A310" s="21">
        <v>303</v>
      </c>
      <c r="B310" s="36" t="str">
        <f>IF($D310&lt;=0,"",EDATE(Übersicht!$C$18,($A310-1)*12/Übersicht!$C$25))</f>
        <v/>
      </c>
      <c r="C310" s="21" t="str">
        <f t="shared" si="28"/>
        <v/>
      </c>
      <c r="D310" s="37">
        <f t="shared" si="32"/>
        <v>0</v>
      </c>
      <c r="E310" s="23">
        <f t="shared" si="29"/>
        <v>0</v>
      </c>
      <c r="F310" s="23">
        <f>IF($D310&lt;=0,0,ROUND($D310*Übersicht!$C$26,2))</f>
        <v>0</v>
      </c>
      <c r="G310" s="23">
        <f>IF($D310&lt;=0,0,MIN($D310,IF(Übersicht!$C$14="Annuitätendarlehen",MAX(0,Übersicht!$C$28-$F310),IF(Übersicht!$C$14="Ratendarlehen",Übersicht!$C$29,IF($A310&gt;=Übersicht!$C$30,$D310,0)))))</f>
        <v>0</v>
      </c>
      <c r="H310" s="23">
        <f>IF($D310-$G310&lt;=0,0,IF(MOD($A310,Übersicht!$C$25)=0,MIN(Übersicht!$C$31,$D310-$G310),0))</f>
        <v>0</v>
      </c>
      <c r="I310" s="23">
        <f t="shared" si="30"/>
        <v>0</v>
      </c>
      <c r="J310" s="23">
        <f t="shared" si="31"/>
        <v>0</v>
      </c>
      <c r="K310" s="23">
        <f t="shared" si="33"/>
        <v>80072.129999999961</v>
      </c>
      <c r="L310" s="23">
        <f t="shared" si="34"/>
        <v>250000</v>
      </c>
      <c r="M310" s="24" t="str">
        <f>IF($D310&lt;=0,"",IF(Übersicht!$C$11=0,0,$L310/Übersicht!$C$11))</f>
        <v/>
      </c>
      <c r="N310" s="25" t="str">
        <f>IF($D310&lt;=0,"",IF($J310&lt;=0.005,"Volltilgung erreicht",IF($A310=Übersicht!$C$19*Übersicht!$C$25,"Ende der Zinsbindung",IF($H310&gt;0,"Sondertilgung verrechnet",""))))</f>
        <v/>
      </c>
      <c r="Q310" s="38">
        <f>IF($S309&lt;=0,0,ROUND($S309*Übersicht!$C$26,2))</f>
        <v>0.12</v>
      </c>
      <c r="R310" s="38">
        <f>IF($S309&lt;=0,0,MIN($S309,IF(Übersicht!$C$14="Annuitätendarlehen",MAX(0,Übersicht!$C$28-$Q310),IF(Übersicht!$C$14="Ratendarlehen",Übersicht!$C$29,IF($A310&gt;=Übersicht!$C$30,$S309,0)))))</f>
        <v>43.01</v>
      </c>
      <c r="S310" s="38">
        <f>IF($S309&lt;=0,0,ROUND($S309-$R310-IF($S309-$R310&lt;=0,0,IF(MOD($A310,Übersicht!$C$25)=0,MIN(Szenarien!$C$8,$S309-$R310),0)),2))</f>
        <v>0</v>
      </c>
      <c r="T310" s="38">
        <f>IF($V309&lt;=0,0,ROUND($V309*Übersicht!$C$26,2))</f>
        <v>0</v>
      </c>
      <c r="U310" s="38">
        <f>IF($V309&lt;=0,0,MIN($V309,IF(Übersicht!$C$14="Annuitätendarlehen",MAX(0,Übersicht!$C$28-$T310),IF(Übersicht!$C$14="Ratendarlehen",Übersicht!$C$29,IF($A310&gt;=Übersicht!$C$30,$V309,0)))))</f>
        <v>0</v>
      </c>
      <c r="V310" s="38">
        <f>IF($V309&lt;=0,0,ROUND($V309-$U310-IF($V309-$U310&lt;=0,0,IF(MOD($A310,Übersicht!$C$25)=0,MIN(Szenarien!$C$9,$V309-$U310),0)),2))</f>
        <v>0</v>
      </c>
      <c r="W310" s="38">
        <f>IF($Y309&lt;=0,0,ROUND($Y309*Übersicht!$C$26,2))</f>
        <v>0</v>
      </c>
      <c r="X310" s="38">
        <f>IF($Y309&lt;=0,0,MIN($Y309,IF(Übersicht!$C$14="Annuitätendarlehen",MAX(0,Übersicht!$C$28-$W310),IF(Übersicht!$C$14="Ratendarlehen",Übersicht!$C$29,IF($A310&gt;=Übersicht!$C$30,$Y309,0)))))</f>
        <v>0</v>
      </c>
      <c r="Y310" s="38">
        <f>IF($Y309&lt;=0,0,ROUND($Y309-$X310-IF($Y309-$X310&lt;=0,0,IF(MOD($A310,Übersicht!$C$25)=0,MIN(Szenarien!$C$10,$Y309-$X310),0)),2))</f>
        <v>0</v>
      </c>
      <c r="Z310" s="38">
        <f>IF($AB309&lt;=0,0,ROUND($AB309*Übersicht!$C$26,2))</f>
        <v>0</v>
      </c>
      <c r="AA310" s="38">
        <f>IF($AB309&lt;=0,0,MIN($AB309,IF(Übersicht!$C$14="Annuitätendarlehen",MAX(0,Übersicht!$C$28-$Z310),IF(Übersicht!$C$14="Ratendarlehen",Übersicht!$C$29,IF($A310&gt;=Übersicht!$C$30,$AB309,0)))))</f>
        <v>0</v>
      </c>
      <c r="AB310" s="38">
        <f>IF($AB309&lt;=0,0,ROUND($AB309-$AA310-IF($AB309-$AA310&lt;=0,0,IF(MOD($A310,Übersicht!$C$25)=0,MIN(Szenarien!$C$11,$AB309-$AA310),0)),2))</f>
        <v>0</v>
      </c>
      <c r="AC310" s="38">
        <f>IF($AE309&lt;=0,0,ROUND($AE309*Übersicht!$C$26,2))</f>
        <v>0</v>
      </c>
      <c r="AD310" s="38">
        <f>IF($AE309&lt;=0,0,MIN($AE309,IF(Übersicht!$C$14="Annuitätendarlehen",MAX(0,Übersicht!$C$28-$AC310),IF(Übersicht!$C$14="Ratendarlehen",Übersicht!$C$29,IF($A310&gt;=Übersicht!$C$30,$AE309,0)))))</f>
        <v>0</v>
      </c>
      <c r="AE310" s="38">
        <f>IF($AE309&lt;=0,0,ROUND($AE309-$AD310-IF($AE309-$AD310&lt;=0,0,IF(MOD($A310,Übersicht!$C$25)=0,MIN(Szenarien!$C$12,$AE309-$AD310),0)),2))</f>
        <v>0</v>
      </c>
    </row>
    <row r="311" spans="1:31" ht="15" customHeight="1" x14ac:dyDescent="0.25">
      <c r="A311" s="26">
        <v>304</v>
      </c>
      <c r="B311" s="39" t="str">
        <f>IF($D311&lt;=0,"",EDATE(Übersicht!$C$18,($A311-1)*12/Übersicht!$C$25))</f>
        <v/>
      </c>
      <c r="C311" s="26" t="str">
        <f t="shared" si="28"/>
        <v/>
      </c>
      <c r="D311" s="40">
        <f t="shared" si="32"/>
        <v>0</v>
      </c>
      <c r="E311" s="28">
        <f t="shared" si="29"/>
        <v>0</v>
      </c>
      <c r="F311" s="28">
        <f>IF($D311&lt;=0,0,ROUND($D311*Übersicht!$C$26,2))</f>
        <v>0</v>
      </c>
      <c r="G311" s="28">
        <f>IF($D311&lt;=0,0,MIN($D311,IF(Übersicht!$C$14="Annuitätendarlehen",MAX(0,Übersicht!$C$28-$F311),IF(Übersicht!$C$14="Ratendarlehen",Übersicht!$C$29,IF($A311&gt;=Übersicht!$C$30,$D311,0)))))</f>
        <v>0</v>
      </c>
      <c r="H311" s="28">
        <f>IF($D311-$G311&lt;=0,0,IF(MOD($A311,Übersicht!$C$25)=0,MIN(Übersicht!$C$31,$D311-$G311),0))</f>
        <v>0</v>
      </c>
      <c r="I311" s="28">
        <f t="shared" si="30"/>
        <v>0</v>
      </c>
      <c r="J311" s="28">
        <f t="shared" si="31"/>
        <v>0</v>
      </c>
      <c r="K311" s="28">
        <f t="shared" si="33"/>
        <v>80072.129999999961</v>
      </c>
      <c r="L311" s="28">
        <f t="shared" si="34"/>
        <v>250000</v>
      </c>
      <c r="M311" s="29" t="str">
        <f>IF($D311&lt;=0,"",IF(Übersicht!$C$11=0,0,$L311/Übersicht!$C$11))</f>
        <v/>
      </c>
      <c r="N311" s="30" t="str">
        <f>IF($D311&lt;=0,"",IF($J311&lt;=0.005,"Volltilgung erreicht",IF($A311=Übersicht!$C$19*Übersicht!$C$25,"Ende der Zinsbindung",IF($H311&gt;0,"Sondertilgung verrechnet",""))))</f>
        <v/>
      </c>
      <c r="Q311" s="38">
        <f>IF($S310&lt;=0,0,ROUND($S310*Übersicht!$C$26,2))</f>
        <v>0</v>
      </c>
      <c r="R311" s="38">
        <f>IF($S310&lt;=0,0,MIN($S310,IF(Übersicht!$C$14="Annuitätendarlehen",MAX(0,Übersicht!$C$28-$Q311),IF(Übersicht!$C$14="Ratendarlehen",Übersicht!$C$29,IF($A311&gt;=Übersicht!$C$30,$S310,0)))))</f>
        <v>0</v>
      </c>
      <c r="S311" s="38">
        <f>IF($S310&lt;=0,0,ROUND($S310-$R311-IF($S310-$R311&lt;=0,0,IF(MOD($A311,Übersicht!$C$25)=0,MIN(Szenarien!$C$8,$S310-$R311),0)),2))</f>
        <v>0</v>
      </c>
      <c r="T311" s="38">
        <f>IF($V310&lt;=0,0,ROUND($V310*Übersicht!$C$26,2))</f>
        <v>0</v>
      </c>
      <c r="U311" s="38">
        <f>IF($V310&lt;=0,0,MIN($V310,IF(Übersicht!$C$14="Annuitätendarlehen",MAX(0,Übersicht!$C$28-$T311),IF(Übersicht!$C$14="Ratendarlehen",Übersicht!$C$29,IF($A311&gt;=Übersicht!$C$30,$V310,0)))))</f>
        <v>0</v>
      </c>
      <c r="V311" s="38">
        <f>IF($V310&lt;=0,0,ROUND($V310-$U311-IF($V310-$U311&lt;=0,0,IF(MOD($A311,Übersicht!$C$25)=0,MIN(Szenarien!$C$9,$V310-$U311),0)),2))</f>
        <v>0</v>
      </c>
      <c r="W311" s="38">
        <f>IF($Y310&lt;=0,0,ROUND($Y310*Übersicht!$C$26,2))</f>
        <v>0</v>
      </c>
      <c r="X311" s="38">
        <f>IF($Y310&lt;=0,0,MIN($Y310,IF(Übersicht!$C$14="Annuitätendarlehen",MAX(0,Übersicht!$C$28-$W311),IF(Übersicht!$C$14="Ratendarlehen",Übersicht!$C$29,IF($A311&gt;=Übersicht!$C$30,$Y310,0)))))</f>
        <v>0</v>
      </c>
      <c r="Y311" s="38">
        <f>IF($Y310&lt;=0,0,ROUND($Y310-$X311-IF($Y310-$X311&lt;=0,0,IF(MOD($A311,Übersicht!$C$25)=0,MIN(Szenarien!$C$10,$Y310-$X311),0)),2))</f>
        <v>0</v>
      </c>
      <c r="Z311" s="38">
        <f>IF($AB310&lt;=0,0,ROUND($AB310*Übersicht!$C$26,2))</f>
        <v>0</v>
      </c>
      <c r="AA311" s="38">
        <f>IF($AB310&lt;=0,0,MIN($AB310,IF(Übersicht!$C$14="Annuitätendarlehen",MAX(0,Übersicht!$C$28-$Z311),IF(Übersicht!$C$14="Ratendarlehen",Übersicht!$C$29,IF($A311&gt;=Übersicht!$C$30,$AB310,0)))))</f>
        <v>0</v>
      </c>
      <c r="AB311" s="38">
        <f>IF($AB310&lt;=0,0,ROUND($AB310-$AA311-IF($AB310-$AA311&lt;=0,0,IF(MOD($A311,Übersicht!$C$25)=0,MIN(Szenarien!$C$11,$AB310-$AA311),0)),2))</f>
        <v>0</v>
      </c>
      <c r="AC311" s="38">
        <f>IF($AE310&lt;=0,0,ROUND($AE310*Übersicht!$C$26,2))</f>
        <v>0</v>
      </c>
      <c r="AD311" s="38">
        <f>IF($AE310&lt;=0,0,MIN($AE310,IF(Übersicht!$C$14="Annuitätendarlehen",MAX(0,Übersicht!$C$28-$AC311),IF(Übersicht!$C$14="Ratendarlehen",Übersicht!$C$29,IF($A311&gt;=Übersicht!$C$30,$AE310,0)))))</f>
        <v>0</v>
      </c>
      <c r="AE311" s="38">
        <f>IF($AE310&lt;=0,0,ROUND($AE310-$AD311-IF($AE310-$AD311&lt;=0,0,IF(MOD($A311,Übersicht!$C$25)=0,MIN(Szenarien!$C$12,$AE310-$AD311),0)),2))</f>
        <v>0</v>
      </c>
    </row>
    <row r="312" spans="1:31" ht="15" customHeight="1" x14ac:dyDescent="0.25">
      <c r="A312" s="21">
        <v>305</v>
      </c>
      <c r="B312" s="36" t="str">
        <f>IF($D312&lt;=0,"",EDATE(Übersicht!$C$18,($A312-1)*12/Übersicht!$C$25))</f>
        <v/>
      </c>
      <c r="C312" s="21" t="str">
        <f t="shared" si="28"/>
        <v/>
      </c>
      <c r="D312" s="37">
        <f t="shared" si="32"/>
        <v>0</v>
      </c>
      <c r="E312" s="23">
        <f t="shared" si="29"/>
        <v>0</v>
      </c>
      <c r="F312" s="23">
        <f>IF($D312&lt;=0,0,ROUND($D312*Übersicht!$C$26,2))</f>
        <v>0</v>
      </c>
      <c r="G312" s="23">
        <f>IF($D312&lt;=0,0,MIN($D312,IF(Übersicht!$C$14="Annuitätendarlehen",MAX(0,Übersicht!$C$28-$F312),IF(Übersicht!$C$14="Ratendarlehen",Übersicht!$C$29,IF($A312&gt;=Übersicht!$C$30,$D312,0)))))</f>
        <v>0</v>
      </c>
      <c r="H312" s="23">
        <f>IF($D312-$G312&lt;=0,0,IF(MOD($A312,Übersicht!$C$25)=0,MIN(Übersicht!$C$31,$D312-$G312),0))</f>
        <v>0</v>
      </c>
      <c r="I312" s="23">
        <f t="shared" si="30"/>
        <v>0</v>
      </c>
      <c r="J312" s="23">
        <f t="shared" si="31"/>
        <v>0</v>
      </c>
      <c r="K312" s="23">
        <f t="shared" si="33"/>
        <v>80072.129999999961</v>
      </c>
      <c r="L312" s="23">
        <f t="shared" si="34"/>
        <v>250000</v>
      </c>
      <c r="M312" s="24" t="str">
        <f>IF($D312&lt;=0,"",IF(Übersicht!$C$11=0,0,$L312/Übersicht!$C$11))</f>
        <v/>
      </c>
      <c r="N312" s="25" t="str">
        <f>IF($D312&lt;=0,"",IF($J312&lt;=0.005,"Volltilgung erreicht",IF($A312=Übersicht!$C$19*Übersicht!$C$25,"Ende der Zinsbindung",IF($H312&gt;0,"Sondertilgung verrechnet",""))))</f>
        <v/>
      </c>
      <c r="Q312" s="38">
        <f>IF($S311&lt;=0,0,ROUND($S311*Übersicht!$C$26,2))</f>
        <v>0</v>
      </c>
      <c r="R312" s="38">
        <f>IF($S311&lt;=0,0,MIN($S311,IF(Übersicht!$C$14="Annuitätendarlehen",MAX(0,Übersicht!$C$28-$Q312),IF(Übersicht!$C$14="Ratendarlehen",Übersicht!$C$29,IF($A312&gt;=Übersicht!$C$30,$S311,0)))))</f>
        <v>0</v>
      </c>
      <c r="S312" s="38">
        <f>IF($S311&lt;=0,0,ROUND($S311-$R312-IF($S311-$R312&lt;=0,0,IF(MOD($A312,Übersicht!$C$25)=0,MIN(Szenarien!$C$8,$S311-$R312),0)),2))</f>
        <v>0</v>
      </c>
      <c r="T312" s="38">
        <f>IF($V311&lt;=0,0,ROUND($V311*Übersicht!$C$26,2))</f>
        <v>0</v>
      </c>
      <c r="U312" s="38">
        <f>IF($V311&lt;=0,0,MIN($V311,IF(Übersicht!$C$14="Annuitätendarlehen",MAX(0,Übersicht!$C$28-$T312),IF(Übersicht!$C$14="Ratendarlehen",Übersicht!$C$29,IF($A312&gt;=Übersicht!$C$30,$V311,0)))))</f>
        <v>0</v>
      </c>
      <c r="V312" s="38">
        <f>IF($V311&lt;=0,0,ROUND($V311-$U312-IF($V311-$U312&lt;=0,0,IF(MOD($A312,Übersicht!$C$25)=0,MIN(Szenarien!$C$9,$V311-$U312),0)),2))</f>
        <v>0</v>
      </c>
      <c r="W312" s="38">
        <f>IF($Y311&lt;=0,0,ROUND($Y311*Übersicht!$C$26,2))</f>
        <v>0</v>
      </c>
      <c r="X312" s="38">
        <f>IF($Y311&lt;=0,0,MIN($Y311,IF(Übersicht!$C$14="Annuitätendarlehen",MAX(0,Übersicht!$C$28-$W312),IF(Übersicht!$C$14="Ratendarlehen",Übersicht!$C$29,IF($A312&gt;=Übersicht!$C$30,$Y311,0)))))</f>
        <v>0</v>
      </c>
      <c r="Y312" s="38">
        <f>IF($Y311&lt;=0,0,ROUND($Y311-$X312-IF($Y311-$X312&lt;=0,0,IF(MOD($A312,Übersicht!$C$25)=0,MIN(Szenarien!$C$10,$Y311-$X312),0)),2))</f>
        <v>0</v>
      </c>
      <c r="Z312" s="38">
        <f>IF($AB311&lt;=0,0,ROUND($AB311*Übersicht!$C$26,2))</f>
        <v>0</v>
      </c>
      <c r="AA312" s="38">
        <f>IF($AB311&lt;=0,0,MIN($AB311,IF(Übersicht!$C$14="Annuitätendarlehen",MAX(0,Übersicht!$C$28-$Z312),IF(Übersicht!$C$14="Ratendarlehen",Übersicht!$C$29,IF($A312&gt;=Übersicht!$C$30,$AB311,0)))))</f>
        <v>0</v>
      </c>
      <c r="AB312" s="38">
        <f>IF($AB311&lt;=0,0,ROUND($AB311-$AA312-IF($AB311-$AA312&lt;=0,0,IF(MOD($A312,Übersicht!$C$25)=0,MIN(Szenarien!$C$11,$AB311-$AA312),0)),2))</f>
        <v>0</v>
      </c>
      <c r="AC312" s="38">
        <f>IF($AE311&lt;=0,0,ROUND($AE311*Übersicht!$C$26,2))</f>
        <v>0</v>
      </c>
      <c r="AD312" s="38">
        <f>IF($AE311&lt;=0,0,MIN($AE311,IF(Übersicht!$C$14="Annuitätendarlehen",MAX(0,Übersicht!$C$28-$AC312),IF(Übersicht!$C$14="Ratendarlehen",Übersicht!$C$29,IF($A312&gt;=Übersicht!$C$30,$AE311,0)))))</f>
        <v>0</v>
      </c>
      <c r="AE312" s="38">
        <f>IF($AE311&lt;=0,0,ROUND($AE311-$AD312-IF($AE311-$AD312&lt;=0,0,IF(MOD($A312,Übersicht!$C$25)=0,MIN(Szenarien!$C$12,$AE311-$AD312),0)),2))</f>
        <v>0</v>
      </c>
    </row>
    <row r="313" spans="1:31" ht="15" customHeight="1" x14ac:dyDescent="0.25">
      <c r="A313" s="26">
        <v>306</v>
      </c>
      <c r="B313" s="39" t="str">
        <f>IF($D313&lt;=0,"",EDATE(Übersicht!$C$18,($A313-1)*12/Übersicht!$C$25))</f>
        <v/>
      </c>
      <c r="C313" s="26" t="str">
        <f t="shared" si="28"/>
        <v/>
      </c>
      <c r="D313" s="40">
        <f t="shared" si="32"/>
        <v>0</v>
      </c>
      <c r="E313" s="28">
        <f t="shared" si="29"/>
        <v>0</v>
      </c>
      <c r="F313" s="28">
        <f>IF($D313&lt;=0,0,ROUND($D313*Übersicht!$C$26,2))</f>
        <v>0</v>
      </c>
      <c r="G313" s="28">
        <f>IF($D313&lt;=0,0,MIN($D313,IF(Übersicht!$C$14="Annuitätendarlehen",MAX(0,Übersicht!$C$28-$F313),IF(Übersicht!$C$14="Ratendarlehen",Übersicht!$C$29,IF($A313&gt;=Übersicht!$C$30,$D313,0)))))</f>
        <v>0</v>
      </c>
      <c r="H313" s="28">
        <f>IF($D313-$G313&lt;=0,0,IF(MOD($A313,Übersicht!$C$25)=0,MIN(Übersicht!$C$31,$D313-$G313),0))</f>
        <v>0</v>
      </c>
      <c r="I313" s="28">
        <f t="shared" si="30"/>
        <v>0</v>
      </c>
      <c r="J313" s="28">
        <f t="shared" si="31"/>
        <v>0</v>
      </c>
      <c r="K313" s="28">
        <f t="shared" si="33"/>
        <v>80072.129999999961</v>
      </c>
      <c r="L313" s="28">
        <f t="shared" si="34"/>
        <v>250000</v>
      </c>
      <c r="M313" s="29" t="str">
        <f>IF($D313&lt;=0,"",IF(Übersicht!$C$11=0,0,$L313/Übersicht!$C$11))</f>
        <v/>
      </c>
      <c r="N313" s="30" t="str">
        <f>IF($D313&lt;=0,"",IF($J313&lt;=0.005,"Volltilgung erreicht",IF($A313=Übersicht!$C$19*Übersicht!$C$25,"Ende der Zinsbindung",IF($H313&gt;0,"Sondertilgung verrechnet",""))))</f>
        <v/>
      </c>
      <c r="Q313" s="38">
        <f>IF($S312&lt;=0,0,ROUND($S312*Übersicht!$C$26,2))</f>
        <v>0</v>
      </c>
      <c r="R313" s="38">
        <f>IF($S312&lt;=0,0,MIN($S312,IF(Übersicht!$C$14="Annuitätendarlehen",MAX(0,Übersicht!$C$28-$Q313),IF(Übersicht!$C$14="Ratendarlehen",Übersicht!$C$29,IF($A313&gt;=Übersicht!$C$30,$S312,0)))))</f>
        <v>0</v>
      </c>
      <c r="S313" s="38">
        <f>IF($S312&lt;=0,0,ROUND($S312-$R313-IF($S312-$R313&lt;=0,0,IF(MOD($A313,Übersicht!$C$25)=0,MIN(Szenarien!$C$8,$S312-$R313),0)),2))</f>
        <v>0</v>
      </c>
      <c r="T313" s="38">
        <f>IF($V312&lt;=0,0,ROUND($V312*Übersicht!$C$26,2))</f>
        <v>0</v>
      </c>
      <c r="U313" s="38">
        <f>IF($V312&lt;=0,0,MIN($V312,IF(Übersicht!$C$14="Annuitätendarlehen",MAX(0,Übersicht!$C$28-$T313),IF(Übersicht!$C$14="Ratendarlehen",Übersicht!$C$29,IF($A313&gt;=Übersicht!$C$30,$V312,0)))))</f>
        <v>0</v>
      </c>
      <c r="V313" s="38">
        <f>IF($V312&lt;=0,0,ROUND($V312-$U313-IF($V312-$U313&lt;=0,0,IF(MOD($A313,Übersicht!$C$25)=0,MIN(Szenarien!$C$9,$V312-$U313),0)),2))</f>
        <v>0</v>
      </c>
      <c r="W313" s="38">
        <f>IF($Y312&lt;=0,0,ROUND($Y312*Übersicht!$C$26,2))</f>
        <v>0</v>
      </c>
      <c r="X313" s="38">
        <f>IF($Y312&lt;=0,0,MIN($Y312,IF(Übersicht!$C$14="Annuitätendarlehen",MAX(0,Übersicht!$C$28-$W313),IF(Übersicht!$C$14="Ratendarlehen",Übersicht!$C$29,IF($A313&gt;=Übersicht!$C$30,$Y312,0)))))</f>
        <v>0</v>
      </c>
      <c r="Y313" s="38">
        <f>IF($Y312&lt;=0,0,ROUND($Y312-$X313-IF($Y312-$X313&lt;=0,0,IF(MOD($A313,Übersicht!$C$25)=0,MIN(Szenarien!$C$10,$Y312-$X313),0)),2))</f>
        <v>0</v>
      </c>
      <c r="Z313" s="38">
        <f>IF($AB312&lt;=0,0,ROUND($AB312*Übersicht!$C$26,2))</f>
        <v>0</v>
      </c>
      <c r="AA313" s="38">
        <f>IF($AB312&lt;=0,0,MIN($AB312,IF(Übersicht!$C$14="Annuitätendarlehen",MAX(0,Übersicht!$C$28-$Z313),IF(Übersicht!$C$14="Ratendarlehen",Übersicht!$C$29,IF($A313&gt;=Übersicht!$C$30,$AB312,0)))))</f>
        <v>0</v>
      </c>
      <c r="AB313" s="38">
        <f>IF($AB312&lt;=0,0,ROUND($AB312-$AA313-IF($AB312-$AA313&lt;=0,0,IF(MOD($A313,Übersicht!$C$25)=0,MIN(Szenarien!$C$11,$AB312-$AA313),0)),2))</f>
        <v>0</v>
      </c>
      <c r="AC313" s="38">
        <f>IF($AE312&lt;=0,0,ROUND($AE312*Übersicht!$C$26,2))</f>
        <v>0</v>
      </c>
      <c r="AD313" s="38">
        <f>IF($AE312&lt;=0,0,MIN($AE312,IF(Übersicht!$C$14="Annuitätendarlehen",MAX(0,Übersicht!$C$28-$AC313),IF(Übersicht!$C$14="Ratendarlehen",Übersicht!$C$29,IF($A313&gt;=Übersicht!$C$30,$AE312,0)))))</f>
        <v>0</v>
      </c>
      <c r="AE313" s="38">
        <f>IF($AE312&lt;=0,0,ROUND($AE312-$AD313-IF($AE312-$AD313&lt;=0,0,IF(MOD($A313,Übersicht!$C$25)=0,MIN(Szenarien!$C$12,$AE312-$AD313),0)),2))</f>
        <v>0</v>
      </c>
    </row>
    <row r="314" spans="1:31" ht="15" customHeight="1" x14ac:dyDescent="0.25">
      <c r="A314" s="21">
        <v>307</v>
      </c>
      <c r="B314" s="36" t="str">
        <f>IF($D314&lt;=0,"",EDATE(Übersicht!$C$18,($A314-1)*12/Übersicht!$C$25))</f>
        <v/>
      </c>
      <c r="C314" s="21" t="str">
        <f t="shared" si="28"/>
        <v/>
      </c>
      <c r="D314" s="37">
        <f t="shared" si="32"/>
        <v>0</v>
      </c>
      <c r="E314" s="23">
        <f t="shared" si="29"/>
        <v>0</v>
      </c>
      <c r="F314" s="23">
        <f>IF($D314&lt;=0,0,ROUND($D314*Übersicht!$C$26,2))</f>
        <v>0</v>
      </c>
      <c r="G314" s="23">
        <f>IF($D314&lt;=0,0,MIN($D314,IF(Übersicht!$C$14="Annuitätendarlehen",MAX(0,Übersicht!$C$28-$F314),IF(Übersicht!$C$14="Ratendarlehen",Übersicht!$C$29,IF($A314&gt;=Übersicht!$C$30,$D314,0)))))</f>
        <v>0</v>
      </c>
      <c r="H314" s="23">
        <f>IF($D314-$G314&lt;=0,0,IF(MOD($A314,Übersicht!$C$25)=0,MIN(Übersicht!$C$31,$D314-$G314),0))</f>
        <v>0</v>
      </c>
      <c r="I314" s="23">
        <f t="shared" si="30"/>
        <v>0</v>
      </c>
      <c r="J314" s="23">
        <f t="shared" si="31"/>
        <v>0</v>
      </c>
      <c r="K314" s="23">
        <f t="shared" si="33"/>
        <v>80072.129999999961</v>
      </c>
      <c r="L314" s="23">
        <f t="shared" si="34"/>
        <v>250000</v>
      </c>
      <c r="M314" s="24" t="str">
        <f>IF($D314&lt;=0,"",IF(Übersicht!$C$11=0,0,$L314/Übersicht!$C$11))</f>
        <v/>
      </c>
      <c r="N314" s="25" t="str">
        <f>IF($D314&lt;=0,"",IF($J314&lt;=0.005,"Volltilgung erreicht",IF($A314=Übersicht!$C$19*Übersicht!$C$25,"Ende der Zinsbindung",IF($H314&gt;0,"Sondertilgung verrechnet",""))))</f>
        <v/>
      </c>
      <c r="Q314" s="38">
        <f>IF($S313&lt;=0,0,ROUND($S313*Übersicht!$C$26,2))</f>
        <v>0</v>
      </c>
      <c r="R314" s="38">
        <f>IF($S313&lt;=0,0,MIN($S313,IF(Übersicht!$C$14="Annuitätendarlehen",MAX(0,Übersicht!$C$28-$Q314),IF(Übersicht!$C$14="Ratendarlehen",Übersicht!$C$29,IF($A314&gt;=Übersicht!$C$30,$S313,0)))))</f>
        <v>0</v>
      </c>
      <c r="S314" s="38">
        <f>IF($S313&lt;=0,0,ROUND($S313-$R314-IF($S313-$R314&lt;=0,0,IF(MOD($A314,Übersicht!$C$25)=0,MIN(Szenarien!$C$8,$S313-$R314),0)),2))</f>
        <v>0</v>
      </c>
      <c r="T314" s="38">
        <f>IF($V313&lt;=0,0,ROUND($V313*Übersicht!$C$26,2))</f>
        <v>0</v>
      </c>
      <c r="U314" s="38">
        <f>IF($V313&lt;=0,0,MIN($V313,IF(Übersicht!$C$14="Annuitätendarlehen",MAX(0,Übersicht!$C$28-$T314),IF(Übersicht!$C$14="Ratendarlehen",Übersicht!$C$29,IF($A314&gt;=Übersicht!$C$30,$V313,0)))))</f>
        <v>0</v>
      </c>
      <c r="V314" s="38">
        <f>IF($V313&lt;=0,0,ROUND($V313-$U314-IF($V313-$U314&lt;=0,0,IF(MOD($A314,Übersicht!$C$25)=0,MIN(Szenarien!$C$9,$V313-$U314),0)),2))</f>
        <v>0</v>
      </c>
      <c r="W314" s="38">
        <f>IF($Y313&lt;=0,0,ROUND($Y313*Übersicht!$C$26,2))</f>
        <v>0</v>
      </c>
      <c r="X314" s="38">
        <f>IF($Y313&lt;=0,0,MIN($Y313,IF(Übersicht!$C$14="Annuitätendarlehen",MAX(0,Übersicht!$C$28-$W314),IF(Übersicht!$C$14="Ratendarlehen",Übersicht!$C$29,IF($A314&gt;=Übersicht!$C$30,$Y313,0)))))</f>
        <v>0</v>
      </c>
      <c r="Y314" s="38">
        <f>IF($Y313&lt;=0,0,ROUND($Y313-$X314-IF($Y313-$X314&lt;=0,0,IF(MOD($A314,Übersicht!$C$25)=0,MIN(Szenarien!$C$10,$Y313-$X314),0)),2))</f>
        <v>0</v>
      </c>
      <c r="Z314" s="38">
        <f>IF($AB313&lt;=0,0,ROUND($AB313*Übersicht!$C$26,2))</f>
        <v>0</v>
      </c>
      <c r="AA314" s="38">
        <f>IF($AB313&lt;=0,0,MIN($AB313,IF(Übersicht!$C$14="Annuitätendarlehen",MAX(0,Übersicht!$C$28-$Z314),IF(Übersicht!$C$14="Ratendarlehen",Übersicht!$C$29,IF($A314&gt;=Übersicht!$C$30,$AB313,0)))))</f>
        <v>0</v>
      </c>
      <c r="AB314" s="38">
        <f>IF($AB313&lt;=0,0,ROUND($AB313-$AA314-IF($AB313-$AA314&lt;=0,0,IF(MOD($A314,Übersicht!$C$25)=0,MIN(Szenarien!$C$11,$AB313-$AA314),0)),2))</f>
        <v>0</v>
      </c>
      <c r="AC314" s="38">
        <f>IF($AE313&lt;=0,0,ROUND($AE313*Übersicht!$C$26,2))</f>
        <v>0</v>
      </c>
      <c r="AD314" s="38">
        <f>IF($AE313&lt;=0,0,MIN($AE313,IF(Übersicht!$C$14="Annuitätendarlehen",MAX(0,Übersicht!$C$28-$AC314),IF(Übersicht!$C$14="Ratendarlehen",Übersicht!$C$29,IF($A314&gt;=Übersicht!$C$30,$AE313,0)))))</f>
        <v>0</v>
      </c>
      <c r="AE314" s="38">
        <f>IF($AE313&lt;=0,0,ROUND($AE313-$AD314-IF($AE313-$AD314&lt;=0,0,IF(MOD($A314,Übersicht!$C$25)=0,MIN(Szenarien!$C$12,$AE313-$AD314),0)),2))</f>
        <v>0</v>
      </c>
    </row>
    <row r="315" spans="1:31" ht="15" customHeight="1" x14ac:dyDescent="0.25">
      <c r="A315" s="26">
        <v>308</v>
      </c>
      <c r="B315" s="39" t="str">
        <f>IF($D315&lt;=0,"",EDATE(Übersicht!$C$18,($A315-1)*12/Übersicht!$C$25))</f>
        <v/>
      </c>
      <c r="C315" s="26" t="str">
        <f t="shared" si="28"/>
        <v/>
      </c>
      <c r="D315" s="40">
        <f t="shared" si="32"/>
        <v>0</v>
      </c>
      <c r="E315" s="28">
        <f t="shared" si="29"/>
        <v>0</v>
      </c>
      <c r="F315" s="28">
        <f>IF($D315&lt;=0,0,ROUND($D315*Übersicht!$C$26,2))</f>
        <v>0</v>
      </c>
      <c r="G315" s="28">
        <f>IF($D315&lt;=0,0,MIN($D315,IF(Übersicht!$C$14="Annuitätendarlehen",MAX(0,Übersicht!$C$28-$F315),IF(Übersicht!$C$14="Ratendarlehen",Übersicht!$C$29,IF($A315&gt;=Übersicht!$C$30,$D315,0)))))</f>
        <v>0</v>
      </c>
      <c r="H315" s="28">
        <f>IF($D315-$G315&lt;=0,0,IF(MOD($A315,Übersicht!$C$25)=0,MIN(Übersicht!$C$31,$D315-$G315),0))</f>
        <v>0</v>
      </c>
      <c r="I315" s="28">
        <f t="shared" si="30"/>
        <v>0</v>
      </c>
      <c r="J315" s="28">
        <f t="shared" si="31"/>
        <v>0</v>
      </c>
      <c r="K315" s="28">
        <f t="shared" si="33"/>
        <v>80072.129999999961</v>
      </c>
      <c r="L315" s="28">
        <f t="shared" si="34"/>
        <v>250000</v>
      </c>
      <c r="M315" s="29" t="str">
        <f>IF($D315&lt;=0,"",IF(Übersicht!$C$11=0,0,$L315/Übersicht!$C$11))</f>
        <v/>
      </c>
      <c r="N315" s="30" t="str">
        <f>IF($D315&lt;=0,"",IF($J315&lt;=0.005,"Volltilgung erreicht",IF($A315=Übersicht!$C$19*Übersicht!$C$25,"Ende der Zinsbindung",IF($H315&gt;0,"Sondertilgung verrechnet",""))))</f>
        <v/>
      </c>
      <c r="Q315" s="38">
        <f>IF($S314&lt;=0,0,ROUND($S314*Übersicht!$C$26,2))</f>
        <v>0</v>
      </c>
      <c r="R315" s="38">
        <f>IF($S314&lt;=0,0,MIN($S314,IF(Übersicht!$C$14="Annuitätendarlehen",MAX(0,Übersicht!$C$28-$Q315),IF(Übersicht!$C$14="Ratendarlehen",Übersicht!$C$29,IF($A315&gt;=Übersicht!$C$30,$S314,0)))))</f>
        <v>0</v>
      </c>
      <c r="S315" s="38">
        <f>IF($S314&lt;=0,0,ROUND($S314-$R315-IF($S314-$R315&lt;=0,0,IF(MOD($A315,Übersicht!$C$25)=0,MIN(Szenarien!$C$8,$S314-$R315),0)),2))</f>
        <v>0</v>
      </c>
      <c r="T315" s="38">
        <f>IF($V314&lt;=0,0,ROUND($V314*Übersicht!$C$26,2))</f>
        <v>0</v>
      </c>
      <c r="U315" s="38">
        <f>IF($V314&lt;=0,0,MIN($V314,IF(Übersicht!$C$14="Annuitätendarlehen",MAX(0,Übersicht!$C$28-$T315),IF(Übersicht!$C$14="Ratendarlehen",Übersicht!$C$29,IF($A315&gt;=Übersicht!$C$30,$V314,0)))))</f>
        <v>0</v>
      </c>
      <c r="V315" s="38">
        <f>IF($V314&lt;=0,0,ROUND($V314-$U315-IF($V314-$U315&lt;=0,0,IF(MOD($A315,Übersicht!$C$25)=0,MIN(Szenarien!$C$9,$V314-$U315),0)),2))</f>
        <v>0</v>
      </c>
      <c r="W315" s="38">
        <f>IF($Y314&lt;=0,0,ROUND($Y314*Übersicht!$C$26,2))</f>
        <v>0</v>
      </c>
      <c r="X315" s="38">
        <f>IF($Y314&lt;=0,0,MIN($Y314,IF(Übersicht!$C$14="Annuitätendarlehen",MAX(0,Übersicht!$C$28-$W315),IF(Übersicht!$C$14="Ratendarlehen",Übersicht!$C$29,IF($A315&gt;=Übersicht!$C$30,$Y314,0)))))</f>
        <v>0</v>
      </c>
      <c r="Y315" s="38">
        <f>IF($Y314&lt;=0,0,ROUND($Y314-$X315-IF($Y314-$X315&lt;=0,0,IF(MOD($A315,Übersicht!$C$25)=0,MIN(Szenarien!$C$10,$Y314-$X315),0)),2))</f>
        <v>0</v>
      </c>
      <c r="Z315" s="38">
        <f>IF($AB314&lt;=0,0,ROUND($AB314*Übersicht!$C$26,2))</f>
        <v>0</v>
      </c>
      <c r="AA315" s="38">
        <f>IF($AB314&lt;=0,0,MIN($AB314,IF(Übersicht!$C$14="Annuitätendarlehen",MAX(0,Übersicht!$C$28-$Z315),IF(Übersicht!$C$14="Ratendarlehen",Übersicht!$C$29,IF($A315&gt;=Übersicht!$C$30,$AB314,0)))))</f>
        <v>0</v>
      </c>
      <c r="AB315" s="38">
        <f>IF($AB314&lt;=0,0,ROUND($AB314-$AA315-IF($AB314-$AA315&lt;=0,0,IF(MOD($A315,Übersicht!$C$25)=0,MIN(Szenarien!$C$11,$AB314-$AA315),0)),2))</f>
        <v>0</v>
      </c>
      <c r="AC315" s="38">
        <f>IF($AE314&lt;=0,0,ROUND($AE314*Übersicht!$C$26,2))</f>
        <v>0</v>
      </c>
      <c r="AD315" s="38">
        <f>IF($AE314&lt;=0,0,MIN($AE314,IF(Übersicht!$C$14="Annuitätendarlehen",MAX(0,Übersicht!$C$28-$AC315),IF(Übersicht!$C$14="Ratendarlehen",Übersicht!$C$29,IF($A315&gt;=Übersicht!$C$30,$AE314,0)))))</f>
        <v>0</v>
      </c>
      <c r="AE315" s="38">
        <f>IF($AE314&lt;=0,0,ROUND($AE314-$AD315-IF($AE314-$AD315&lt;=0,0,IF(MOD($A315,Übersicht!$C$25)=0,MIN(Szenarien!$C$12,$AE314-$AD315),0)),2))</f>
        <v>0</v>
      </c>
    </row>
    <row r="316" spans="1:31" ht="15" customHeight="1" x14ac:dyDescent="0.25">
      <c r="A316" s="21">
        <v>309</v>
      </c>
      <c r="B316" s="36" t="str">
        <f>IF($D316&lt;=0,"",EDATE(Übersicht!$C$18,($A316-1)*12/Übersicht!$C$25))</f>
        <v/>
      </c>
      <c r="C316" s="21" t="str">
        <f t="shared" si="28"/>
        <v/>
      </c>
      <c r="D316" s="37">
        <f t="shared" si="32"/>
        <v>0</v>
      </c>
      <c r="E316" s="23">
        <f t="shared" si="29"/>
        <v>0</v>
      </c>
      <c r="F316" s="23">
        <f>IF($D316&lt;=0,0,ROUND($D316*Übersicht!$C$26,2))</f>
        <v>0</v>
      </c>
      <c r="G316" s="23">
        <f>IF($D316&lt;=0,0,MIN($D316,IF(Übersicht!$C$14="Annuitätendarlehen",MAX(0,Übersicht!$C$28-$F316),IF(Übersicht!$C$14="Ratendarlehen",Übersicht!$C$29,IF($A316&gt;=Übersicht!$C$30,$D316,0)))))</f>
        <v>0</v>
      </c>
      <c r="H316" s="23">
        <f>IF($D316-$G316&lt;=0,0,IF(MOD($A316,Übersicht!$C$25)=0,MIN(Übersicht!$C$31,$D316-$G316),0))</f>
        <v>0</v>
      </c>
      <c r="I316" s="23">
        <f t="shared" si="30"/>
        <v>0</v>
      </c>
      <c r="J316" s="23">
        <f t="shared" si="31"/>
        <v>0</v>
      </c>
      <c r="K316" s="23">
        <f t="shared" si="33"/>
        <v>80072.129999999961</v>
      </c>
      <c r="L316" s="23">
        <f t="shared" si="34"/>
        <v>250000</v>
      </c>
      <c r="M316" s="24" t="str">
        <f>IF($D316&lt;=0,"",IF(Übersicht!$C$11=0,0,$L316/Übersicht!$C$11))</f>
        <v/>
      </c>
      <c r="N316" s="25" t="str">
        <f>IF($D316&lt;=0,"",IF($J316&lt;=0.005,"Volltilgung erreicht",IF($A316=Übersicht!$C$19*Übersicht!$C$25,"Ende der Zinsbindung",IF($H316&gt;0,"Sondertilgung verrechnet",""))))</f>
        <v/>
      </c>
      <c r="Q316" s="38">
        <f>IF($S315&lt;=0,0,ROUND($S315*Übersicht!$C$26,2))</f>
        <v>0</v>
      </c>
      <c r="R316" s="38">
        <f>IF($S315&lt;=0,0,MIN($S315,IF(Übersicht!$C$14="Annuitätendarlehen",MAX(0,Übersicht!$C$28-$Q316),IF(Übersicht!$C$14="Ratendarlehen",Übersicht!$C$29,IF($A316&gt;=Übersicht!$C$30,$S315,0)))))</f>
        <v>0</v>
      </c>
      <c r="S316" s="38">
        <f>IF($S315&lt;=0,0,ROUND($S315-$R316-IF($S315-$R316&lt;=0,0,IF(MOD($A316,Übersicht!$C$25)=0,MIN(Szenarien!$C$8,$S315-$R316),0)),2))</f>
        <v>0</v>
      </c>
      <c r="T316" s="38">
        <f>IF($V315&lt;=0,0,ROUND($V315*Übersicht!$C$26,2))</f>
        <v>0</v>
      </c>
      <c r="U316" s="38">
        <f>IF($V315&lt;=0,0,MIN($V315,IF(Übersicht!$C$14="Annuitätendarlehen",MAX(0,Übersicht!$C$28-$T316),IF(Übersicht!$C$14="Ratendarlehen",Übersicht!$C$29,IF($A316&gt;=Übersicht!$C$30,$V315,0)))))</f>
        <v>0</v>
      </c>
      <c r="V316" s="38">
        <f>IF($V315&lt;=0,0,ROUND($V315-$U316-IF($V315-$U316&lt;=0,0,IF(MOD($A316,Übersicht!$C$25)=0,MIN(Szenarien!$C$9,$V315-$U316),0)),2))</f>
        <v>0</v>
      </c>
      <c r="W316" s="38">
        <f>IF($Y315&lt;=0,0,ROUND($Y315*Übersicht!$C$26,2))</f>
        <v>0</v>
      </c>
      <c r="X316" s="38">
        <f>IF($Y315&lt;=0,0,MIN($Y315,IF(Übersicht!$C$14="Annuitätendarlehen",MAX(0,Übersicht!$C$28-$W316),IF(Übersicht!$C$14="Ratendarlehen",Übersicht!$C$29,IF($A316&gt;=Übersicht!$C$30,$Y315,0)))))</f>
        <v>0</v>
      </c>
      <c r="Y316" s="38">
        <f>IF($Y315&lt;=0,0,ROUND($Y315-$X316-IF($Y315-$X316&lt;=0,0,IF(MOD($A316,Übersicht!$C$25)=0,MIN(Szenarien!$C$10,$Y315-$X316),0)),2))</f>
        <v>0</v>
      </c>
      <c r="Z316" s="38">
        <f>IF($AB315&lt;=0,0,ROUND($AB315*Übersicht!$C$26,2))</f>
        <v>0</v>
      </c>
      <c r="AA316" s="38">
        <f>IF($AB315&lt;=0,0,MIN($AB315,IF(Übersicht!$C$14="Annuitätendarlehen",MAX(0,Übersicht!$C$28-$Z316),IF(Übersicht!$C$14="Ratendarlehen",Übersicht!$C$29,IF($A316&gt;=Übersicht!$C$30,$AB315,0)))))</f>
        <v>0</v>
      </c>
      <c r="AB316" s="38">
        <f>IF($AB315&lt;=0,0,ROUND($AB315-$AA316-IF($AB315-$AA316&lt;=0,0,IF(MOD($A316,Übersicht!$C$25)=0,MIN(Szenarien!$C$11,$AB315-$AA316),0)),2))</f>
        <v>0</v>
      </c>
      <c r="AC316" s="38">
        <f>IF($AE315&lt;=0,0,ROUND($AE315*Übersicht!$C$26,2))</f>
        <v>0</v>
      </c>
      <c r="AD316" s="38">
        <f>IF($AE315&lt;=0,0,MIN($AE315,IF(Übersicht!$C$14="Annuitätendarlehen",MAX(0,Übersicht!$C$28-$AC316),IF(Übersicht!$C$14="Ratendarlehen",Übersicht!$C$29,IF($A316&gt;=Übersicht!$C$30,$AE315,0)))))</f>
        <v>0</v>
      </c>
      <c r="AE316" s="38">
        <f>IF($AE315&lt;=0,0,ROUND($AE315-$AD316-IF($AE315-$AD316&lt;=0,0,IF(MOD($A316,Übersicht!$C$25)=0,MIN(Szenarien!$C$12,$AE315-$AD316),0)),2))</f>
        <v>0</v>
      </c>
    </row>
    <row r="317" spans="1:31" ht="15" customHeight="1" x14ac:dyDescent="0.25">
      <c r="A317" s="26">
        <v>310</v>
      </c>
      <c r="B317" s="39" t="str">
        <f>IF($D317&lt;=0,"",EDATE(Übersicht!$C$18,($A317-1)*12/Übersicht!$C$25))</f>
        <v/>
      </c>
      <c r="C317" s="26" t="str">
        <f t="shared" si="28"/>
        <v/>
      </c>
      <c r="D317" s="40">
        <f t="shared" si="32"/>
        <v>0</v>
      </c>
      <c r="E317" s="28">
        <f t="shared" si="29"/>
        <v>0</v>
      </c>
      <c r="F317" s="28">
        <f>IF($D317&lt;=0,0,ROUND($D317*Übersicht!$C$26,2))</f>
        <v>0</v>
      </c>
      <c r="G317" s="28">
        <f>IF($D317&lt;=0,0,MIN($D317,IF(Übersicht!$C$14="Annuitätendarlehen",MAX(0,Übersicht!$C$28-$F317),IF(Übersicht!$C$14="Ratendarlehen",Übersicht!$C$29,IF($A317&gt;=Übersicht!$C$30,$D317,0)))))</f>
        <v>0</v>
      </c>
      <c r="H317" s="28">
        <f>IF($D317-$G317&lt;=0,0,IF(MOD($A317,Übersicht!$C$25)=0,MIN(Übersicht!$C$31,$D317-$G317),0))</f>
        <v>0</v>
      </c>
      <c r="I317" s="28">
        <f t="shared" si="30"/>
        <v>0</v>
      </c>
      <c r="J317" s="28">
        <f t="shared" si="31"/>
        <v>0</v>
      </c>
      <c r="K317" s="28">
        <f t="shared" si="33"/>
        <v>80072.129999999961</v>
      </c>
      <c r="L317" s="28">
        <f t="shared" si="34"/>
        <v>250000</v>
      </c>
      <c r="M317" s="29" t="str">
        <f>IF($D317&lt;=0,"",IF(Übersicht!$C$11=0,0,$L317/Übersicht!$C$11))</f>
        <v/>
      </c>
      <c r="N317" s="30" t="str">
        <f>IF($D317&lt;=0,"",IF($J317&lt;=0.005,"Volltilgung erreicht",IF($A317=Übersicht!$C$19*Übersicht!$C$25,"Ende der Zinsbindung",IF($H317&gt;0,"Sondertilgung verrechnet",""))))</f>
        <v/>
      </c>
      <c r="Q317" s="38">
        <f>IF($S316&lt;=0,0,ROUND($S316*Übersicht!$C$26,2))</f>
        <v>0</v>
      </c>
      <c r="R317" s="38">
        <f>IF($S316&lt;=0,0,MIN($S316,IF(Übersicht!$C$14="Annuitätendarlehen",MAX(0,Übersicht!$C$28-$Q317),IF(Übersicht!$C$14="Ratendarlehen",Übersicht!$C$29,IF($A317&gt;=Übersicht!$C$30,$S316,0)))))</f>
        <v>0</v>
      </c>
      <c r="S317" s="38">
        <f>IF($S316&lt;=0,0,ROUND($S316-$R317-IF($S316-$R317&lt;=0,0,IF(MOD($A317,Übersicht!$C$25)=0,MIN(Szenarien!$C$8,$S316-$R317),0)),2))</f>
        <v>0</v>
      </c>
      <c r="T317" s="38">
        <f>IF($V316&lt;=0,0,ROUND($V316*Übersicht!$C$26,2))</f>
        <v>0</v>
      </c>
      <c r="U317" s="38">
        <f>IF($V316&lt;=0,0,MIN($V316,IF(Übersicht!$C$14="Annuitätendarlehen",MAX(0,Übersicht!$C$28-$T317),IF(Übersicht!$C$14="Ratendarlehen",Übersicht!$C$29,IF($A317&gt;=Übersicht!$C$30,$V316,0)))))</f>
        <v>0</v>
      </c>
      <c r="V317" s="38">
        <f>IF($V316&lt;=0,0,ROUND($V316-$U317-IF($V316-$U317&lt;=0,0,IF(MOD($A317,Übersicht!$C$25)=0,MIN(Szenarien!$C$9,$V316-$U317),0)),2))</f>
        <v>0</v>
      </c>
      <c r="W317" s="38">
        <f>IF($Y316&lt;=0,0,ROUND($Y316*Übersicht!$C$26,2))</f>
        <v>0</v>
      </c>
      <c r="X317" s="38">
        <f>IF($Y316&lt;=0,0,MIN($Y316,IF(Übersicht!$C$14="Annuitätendarlehen",MAX(0,Übersicht!$C$28-$W317),IF(Übersicht!$C$14="Ratendarlehen",Übersicht!$C$29,IF($A317&gt;=Übersicht!$C$30,$Y316,0)))))</f>
        <v>0</v>
      </c>
      <c r="Y317" s="38">
        <f>IF($Y316&lt;=0,0,ROUND($Y316-$X317-IF($Y316-$X317&lt;=0,0,IF(MOD($A317,Übersicht!$C$25)=0,MIN(Szenarien!$C$10,$Y316-$X317),0)),2))</f>
        <v>0</v>
      </c>
      <c r="Z317" s="38">
        <f>IF($AB316&lt;=0,0,ROUND($AB316*Übersicht!$C$26,2))</f>
        <v>0</v>
      </c>
      <c r="AA317" s="38">
        <f>IF($AB316&lt;=0,0,MIN($AB316,IF(Übersicht!$C$14="Annuitätendarlehen",MAX(0,Übersicht!$C$28-$Z317),IF(Übersicht!$C$14="Ratendarlehen",Übersicht!$C$29,IF($A317&gt;=Übersicht!$C$30,$AB316,0)))))</f>
        <v>0</v>
      </c>
      <c r="AB317" s="38">
        <f>IF($AB316&lt;=0,0,ROUND($AB316-$AA317-IF($AB316-$AA317&lt;=0,0,IF(MOD($A317,Übersicht!$C$25)=0,MIN(Szenarien!$C$11,$AB316-$AA317),0)),2))</f>
        <v>0</v>
      </c>
      <c r="AC317" s="38">
        <f>IF($AE316&lt;=0,0,ROUND($AE316*Übersicht!$C$26,2))</f>
        <v>0</v>
      </c>
      <c r="AD317" s="38">
        <f>IF($AE316&lt;=0,0,MIN($AE316,IF(Übersicht!$C$14="Annuitätendarlehen",MAX(0,Übersicht!$C$28-$AC317),IF(Übersicht!$C$14="Ratendarlehen",Übersicht!$C$29,IF($A317&gt;=Übersicht!$C$30,$AE316,0)))))</f>
        <v>0</v>
      </c>
      <c r="AE317" s="38">
        <f>IF($AE316&lt;=0,0,ROUND($AE316-$AD317-IF($AE316-$AD317&lt;=0,0,IF(MOD($A317,Übersicht!$C$25)=0,MIN(Szenarien!$C$12,$AE316-$AD317),0)),2))</f>
        <v>0</v>
      </c>
    </row>
    <row r="318" spans="1:31" ht="15" customHeight="1" x14ac:dyDescent="0.25">
      <c r="A318" s="21">
        <v>311</v>
      </c>
      <c r="B318" s="36" t="str">
        <f>IF($D318&lt;=0,"",EDATE(Übersicht!$C$18,($A318-1)*12/Übersicht!$C$25))</f>
        <v/>
      </c>
      <c r="C318" s="21" t="str">
        <f t="shared" si="28"/>
        <v/>
      </c>
      <c r="D318" s="37">
        <f t="shared" si="32"/>
        <v>0</v>
      </c>
      <c r="E318" s="23">
        <f t="shared" si="29"/>
        <v>0</v>
      </c>
      <c r="F318" s="23">
        <f>IF($D318&lt;=0,0,ROUND($D318*Übersicht!$C$26,2))</f>
        <v>0</v>
      </c>
      <c r="G318" s="23">
        <f>IF($D318&lt;=0,0,MIN($D318,IF(Übersicht!$C$14="Annuitätendarlehen",MAX(0,Übersicht!$C$28-$F318),IF(Übersicht!$C$14="Ratendarlehen",Übersicht!$C$29,IF($A318&gt;=Übersicht!$C$30,$D318,0)))))</f>
        <v>0</v>
      </c>
      <c r="H318" s="23">
        <f>IF($D318-$G318&lt;=0,0,IF(MOD($A318,Übersicht!$C$25)=0,MIN(Übersicht!$C$31,$D318-$G318),0))</f>
        <v>0</v>
      </c>
      <c r="I318" s="23">
        <f t="shared" si="30"/>
        <v>0</v>
      </c>
      <c r="J318" s="23">
        <f t="shared" si="31"/>
        <v>0</v>
      </c>
      <c r="K318" s="23">
        <f t="shared" si="33"/>
        <v>80072.129999999961</v>
      </c>
      <c r="L318" s="23">
        <f t="shared" si="34"/>
        <v>250000</v>
      </c>
      <c r="M318" s="24" t="str">
        <f>IF($D318&lt;=0,"",IF(Übersicht!$C$11=0,0,$L318/Übersicht!$C$11))</f>
        <v/>
      </c>
      <c r="N318" s="25" t="str">
        <f>IF($D318&lt;=0,"",IF($J318&lt;=0.005,"Volltilgung erreicht",IF($A318=Übersicht!$C$19*Übersicht!$C$25,"Ende der Zinsbindung",IF($H318&gt;0,"Sondertilgung verrechnet",""))))</f>
        <v/>
      </c>
      <c r="Q318" s="38">
        <f>IF($S317&lt;=0,0,ROUND($S317*Übersicht!$C$26,2))</f>
        <v>0</v>
      </c>
      <c r="R318" s="38">
        <f>IF($S317&lt;=0,0,MIN($S317,IF(Übersicht!$C$14="Annuitätendarlehen",MAX(0,Übersicht!$C$28-$Q318),IF(Übersicht!$C$14="Ratendarlehen",Übersicht!$C$29,IF($A318&gt;=Übersicht!$C$30,$S317,0)))))</f>
        <v>0</v>
      </c>
      <c r="S318" s="38">
        <f>IF($S317&lt;=0,0,ROUND($S317-$R318-IF($S317-$R318&lt;=0,0,IF(MOD($A318,Übersicht!$C$25)=0,MIN(Szenarien!$C$8,$S317-$R318),0)),2))</f>
        <v>0</v>
      </c>
      <c r="T318" s="38">
        <f>IF($V317&lt;=0,0,ROUND($V317*Übersicht!$C$26,2))</f>
        <v>0</v>
      </c>
      <c r="U318" s="38">
        <f>IF($V317&lt;=0,0,MIN($V317,IF(Übersicht!$C$14="Annuitätendarlehen",MAX(0,Übersicht!$C$28-$T318),IF(Übersicht!$C$14="Ratendarlehen",Übersicht!$C$29,IF($A318&gt;=Übersicht!$C$30,$V317,0)))))</f>
        <v>0</v>
      </c>
      <c r="V318" s="38">
        <f>IF($V317&lt;=0,0,ROUND($V317-$U318-IF($V317-$U318&lt;=0,0,IF(MOD($A318,Übersicht!$C$25)=0,MIN(Szenarien!$C$9,$V317-$U318),0)),2))</f>
        <v>0</v>
      </c>
      <c r="W318" s="38">
        <f>IF($Y317&lt;=0,0,ROUND($Y317*Übersicht!$C$26,2))</f>
        <v>0</v>
      </c>
      <c r="X318" s="38">
        <f>IF($Y317&lt;=0,0,MIN($Y317,IF(Übersicht!$C$14="Annuitätendarlehen",MAX(0,Übersicht!$C$28-$W318),IF(Übersicht!$C$14="Ratendarlehen",Übersicht!$C$29,IF($A318&gt;=Übersicht!$C$30,$Y317,0)))))</f>
        <v>0</v>
      </c>
      <c r="Y318" s="38">
        <f>IF($Y317&lt;=0,0,ROUND($Y317-$X318-IF($Y317-$X318&lt;=0,0,IF(MOD($A318,Übersicht!$C$25)=0,MIN(Szenarien!$C$10,$Y317-$X318),0)),2))</f>
        <v>0</v>
      </c>
      <c r="Z318" s="38">
        <f>IF($AB317&lt;=0,0,ROUND($AB317*Übersicht!$C$26,2))</f>
        <v>0</v>
      </c>
      <c r="AA318" s="38">
        <f>IF($AB317&lt;=0,0,MIN($AB317,IF(Übersicht!$C$14="Annuitätendarlehen",MAX(0,Übersicht!$C$28-$Z318),IF(Übersicht!$C$14="Ratendarlehen",Übersicht!$C$29,IF($A318&gt;=Übersicht!$C$30,$AB317,0)))))</f>
        <v>0</v>
      </c>
      <c r="AB318" s="38">
        <f>IF($AB317&lt;=0,0,ROUND($AB317-$AA318-IF($AB317-$AA318&lt;=0,0,IF(MOD($A318,Übersicht!$C$25)=0,MIN(Szenarien!$C$11,$AB317-$AA318),0)),2))</f>
        <v>0</v>
      </c>
      <c r="AC318" s="38">
        <f>IF($AE317&lt;=0,0,ROUND($AE317*Übersicht!$C$26,2))</f>
        <v>0</v>
      </c>
      <c r="AD318" s="38">
        <f>IF($AE317&lt;=0,0,MIN($AE317,IF(Übersicht!$C$14="Annuitätendarlehen",MAX(0,Übersicht!$C$28-$AC318),IF(Übersicht!$C$14="Ratendarlehen",Übersicht!$C$29,IF($A318&gt;=Übersicht!$C$30,$AE317,0)))))</f>
        <v>0</v>
      </c>
      <c r="AE318" s="38">
        <f>IF($AE317&lt;=0,0,ROUND($AE317-$AD318-IF($AE317-$AD318&lt;=0,0,IF(MOD($A318,Übersicht!$C$25)=0,MIN(Szenarien!$C$12,$AE317-$AD318),0)),2))</f>
        <v>0</v>
      </c>
    </row>
    <row r="319" spans="1:31" ht="15" customHeight="1" x14ac:dyDescent="0.25">
      <c r="A319" s="26">
        <v>312</v>
      </c>
      <c r="B319" s="39" t="str">
        <f>IF($D319&lt;=0,"",EDATE(Übersicht!$C$18,($A319-1)*12/Übersicht!$C$25))</f>
        <v/>
      </c>
      <c r="C319" s="26" t="str">
        <f t="shared" si="28"/>
        <v/>
      </c>
      <c r="D319" s="40">
        <f t="shared" si="32"/>
        <v>0</v>
      </c>
      <c r="E319" s="28">
        <f t="shared" si="29"/>
        <v>0</v>
      </c>
      <c r="F319" s="28">
        <f>IF($D319&lt;=0,0,ROUND($D319*Übersicht!$C$26,2))</f>
        <v>0</v>
      </c>
      <c r="G319" s="28">
        <f>IF($D319&lt;=0,0,MIN($D319,IF(Übersicht!$C$14="Annuitätendarlehen",MAX(0,Übersicht!$C$28-$F319),IF(Übersicht!$C$14="Ratendarlehen",Übersicht!$C$29,IF($A319&gt;=Übersicht!$C$30,$D319,0)))))</f>
        <v>0</v>
      </c>
      <c r="H319" s="28">
        <f>IF($D319-$G319&lt;=0,0,IF(MOD($A319,Übersicht!$C$25)=0,MIN(Übersicht!$C$31,$D319-$G319),0))</f>
        <v>0</v>
      </c>
      <c r="I319" s="28">
        <f t="shared" si="30"/>
        <v>0</v>
      </c>
      <c r="J319" s="28">
        <f t="shared" si="31"/>
        <v>0</v>
      </c>
      <c r="K319" s="28">
        <f t="shared" si="33"/>
        <v>80072.129999999961</v>
      </c>
      <c r="L319" s="28">
        <f t="shared" si="34"/>
        <v>250000</v>
      </c>
      <c r="M319" s="29" t="str">
        <f>IF($D319&lt;=0,"",IF(Übersicht!$C$11=0,0,$L319/Übersicht!$C$11))</f>
        <v/>
      </c>
      <c r="N319" s="30" t="str">
        <f>IF($D319&lt;=0,"",IF($J319&lt;=0.005,"Volltilgung erreicht",IF($A319=Übersicht!$C$19*Übersicht!$C$25,"Ende der Zinsbindung",IF($H319&gt;0,"Sondertilgung verrechnet",""))))</f>
        <v/>
      </c>
      <c r="Q319" s="38">
        <f>IF($S318&lt;=0,0,ROUND($S318*Übersicht!$C$26,2))</f>
        <v>0</v>
      </c>
      <c r="R319" s="38">
        <f>IF($S318&lt;=0,0,MIN($S318,IF(Übersicht!$C$14="Annuitätendarlehen",MAX(0,Übersicht!$C$28-$Q319),IF(Übersicht!$C$14="Ratendarlehen",Übersicht!$C$29,IF($A319&gt;=Übersicht!$C$30,$S318,0)))))</f>
        <v>0</v>
      </c>
      <c r="S319" s="38">
        <f>IF($S318&lt;=0,0,ROUND($S318-$R319-IF($S318-$R319&lt;=0,0,IF(MOD($A319,Übersicht!$C$25)=0,MIN(Szenarien!$C$8,$S318-$R319),0)),2))</f>
        <v>0</v>
      </c>
      <c r="T319" s="38">
        <f>IF($V318&lt;=0,0,ROUND($V318*Übersicht!$C$26,2))</f>
        <v>0</v>
      </c>
      <c r="U319" s="38">
        <f>IF($V318&lt;=0,0,MIN($V318,IF(Übersicht!$C$14="Annuitätendarlehen",MAX(0,Übersicht!$C$28-$T319),IF(Übersicht!$C$14="Ratendarlehen",Übersicht!$C$29,IF($A319&gt;=Übersicht!$C$30,$V318,0)))))</f>
        <v>0</v>
      </c>
      <c r="V319" s="38">
        <f>IF($V318&lt;=0,0,ROUND($V318-$U319-IF($V318-$U319&lt;=0,0,IF(MOD($A319,Übersicht!$C$25)=0,MIN(Szenarien!$C$9,$V318-$U319),0)),2))</f>
        <v>0</v>
      </c>
      <c r="W319" s="38">
        <f>IF($Y318&lt;=0,0,ROUND($Y318*Übersicht!$C$26,2))</f>
        <v>0</v>
      </c>
      <c r="X319" s="38">
        <f>IF($Y318&lt;=0,0,MIN($Y318,IF(Übersicht!$C$14="Annuitätendarlehen",MAX(0,Übersicht!$C$28-$W319),IF(Übersicht!$C$14="Ratendarlehen",Übersicht!$C$29,IF($A319&gt;=Übersicht!$C$30,$Y318,0)))))</f>
        <v>0</v>
      </c>
      <c r="Y319" s="38">
        <f>IF($Y318&lt;=0,0,ROUND($Y318-$X319-IF($Y318-$X319&lt;=0,0,IF(MOD($A319,Übersicht!$C$25)=0,MIN(Szenarien!$C$10,$Y318-$X319),0)),2))</f>
        <v>0</v>
      </c>
      <c r="Z319" s="38">
        <f>IF($AB318&lt;=0,0,ROUND($AB318*Übersicht!$C$26,2))</f>
        <v>0</v>
      </c>
      <c r="AA319" s="38">
        <f>IF($AB318&lt;=0,0,MIN($AB318,IF(Übersicht!$C$14="Annuitätendarlehen",MAX(0,Übersicht!$C$28-$Z319),IF(Übersicht!$C$14="Ratendarlehen",Übersicht!$C$29,IF($A319&gt;=Übersicht!$C$30,$AB318,0)))))</f>
        <v>0</v>
      </c>
      <c r="AB319" s="38">
        <f>IF($AB318&lt;=0,0,ROUND($AB318-$AA319-IF($AB318-$AA319&lt;=0,0,IF(MOD($A319,Übersicht!$C$25)=0,MIN(Szenarien!$C$11,$AB318-$AA319),0)),2))</f>
        <v>0</v>
      </c>
      <c r="AC319" s="38">
        <f>IF($AE318&lt;=0,0,ROUND($AE318*Übersicht!$C$26,2))</f>
        <v>0</v>
      </c>
      <c r="AD319" s="38">
        <f>IF($AE318&lt;=0,0,MIN($AE318,IF(Übersicht!$C$14="Annuitätendarlehen",MAX(0,Übersicht!$C$28-$AC319),IF(Übersicht!$C$14="Ratendarlehen",Übersicht!$C$29,IF($A319&gt;=Übersicht!$C$30,$AE318,0)))))</f>
        <v>0</v>
      </c>
      <c r="AE319" s="38">
        <f>IF($AE318&lt;=0,0,ROUND($AE318-$AD319-IF($AE318-$AD319&lt;=0,0,IF(MOD($A319,Übersicht!$C$25)=0,MIN(Szenarien!$C$12,$AE318-$AD319),0)),2))</f>
        <v>0</v>
      </c>
    </row>
    <row r="320" spans="1:31" ht="15" customHeight="1" x14ac:dyDescent="0.25">
      <c r="A320" s="21">
        <v>313</v>
      </c>
      <c r="B320" s="36" t="str">
        <f>IF($D320&lt;=0,"",EDATE(Übersicht!$C$18,($A320-1)*12/Übersicht!$C$25))</f>
        <v/>
      </c>
      <c r="C320" s="21" t="str">
        <f t="shared" si="28"/>
        <v/>
      </c>
      <c r="D320" s="37">
        <f t="shared" si="32"/>
        <v>0</v>
      </c>
      <c r="E320" s="23">
        <f t="shared" si="29"/>
        <v>0</v>
      </c>
      <c r="F320" s="23">
        <f>IF($D320&lt;=0,0,ROUND($D320*Übersicht!$C$26,2))</f>
        <v>0</v>
      </c>
      <c r="G320" s="23">
        <f>IF($D320&lt;=0,0,MIN($D320,IF(Übersicht!$C$14="Annuitätendarlehen",MAX(0,Übersicht!$C$28-$F320),IF(Übersicht!$C$14="Ratendarlehen",Übersicht!$C$29,IF($A320&gt;=Übersicht!$C$30,$D320,0)))))</f>
        <v>0</v>
      </c>
      <c r="H320" s="23">
        <f>IF($D320-$G320&lt;=0,0,IF(MOD($A320,Übersicht!$C$25)=0,MIN(Übersicht!$C$31,$D320-$G320),0))</f>
        <v>0</v>
      </c>
      <c r="I320" s="23">
        <f t="shared" si="30"/>
        <v>0</v>
      </c>
      <c r="J320" s="23">
        <f t="shared" si="31"/>
        <v>0</v>
      </c>
      <c r="K320" s="23">
        <f t="shared" si="33"/>
        <v>80072.129999999961</v>
      </c>
      <c r="L320" s="23">
        <f t="shared" si="34"/>
        <v>250000</v>
      </c>
      <c r="M320" s="24" t="str">
        <f>IF($D320&lt;=0,"",IF(Übersicht!$C$11=0,0,$L320/Übersicht!$C$11))</f>
        <v/>
      </c>
      <c r="N320" s="25" t="str">
        <f>IF($D320&lt;=0,"",IF($J320&lt;=0.005,"Volltilgung erreicht",IF($A320=Übersicht!$C$19*Übersicht!$C$25,"Ende der Zinsbindung",IF($H320&gt;0,"Sondertilgung verrechnet",""))))</f>
        <v/>
      </c>
      <c r="Q320" s="38">
        <f>IF($S319&lt;=0,0,ROUND($S319*Übersicht!$C$26,2))</f>
        <v>0</v>
      </c>
      <c r="R320" s="38">
        <f>IF($S319&lt;=0,0,MIN($S319,IF(Übersicht!$C$14="Annuitätendarlehen",MAX(0,Übersicht!$C$28-$Q320),IF(Übersicht!$C$14="Ratendarlehen",Übersicht!$C$29,IF($A320&gt;=Übersicht!$C$30,$S319,0)))))</f>
        <v>0</v>
      </c>
      <c r="S320" s="38">
        <f>IF($S319&lt;=0,0,ROUND($S319-$R320-IF($S319-$R320&lt;=0,0,IF(MOD($A320,Übersicht!$C$25)=0,MIN(Szenarien!$C$8,$S319-$R320),0)),2))</f>
        <v>0</v>
      </c>
      <c r="T320" s="38">
        <f>IF($V319&lt;=0,0,ROUND($V319*Übersicht!$C$26,2))</f>
        <v>0</v>
      </c>
      <c r="U320" s="38">
        <f>IF($V319&lt;=0,0,MIN($V319,IF(Übersicht!$C$14="Annuitätendarlehen",MAX(0,Übersicht!$C$28-$T320),IF(Übersicht!$C$14="Ratendarlehen",Übersicht!$C$29,IF($A320&gt;=Übersicht!$C$30,$V319,0)))))</f>
        <v>0</v>
      </c>
      <c r="V320" s="38">
        <f>IF($V319&lt;=0,0,ROUND($V319-$U320-IF($V319-$U320&lt;=0,0,IF(MOD($A320,Übersicht!$C$25)=0,MIN(Szenarien!$C$9,$V319-$U320),0)),2))</f>
        <v>0</v>
      </c>
      <c r="W320" s="38">
        <f>IF($Y319&lt;=0,0,ROUND($Y319*Übersicht!$C$26,2))</f>
        <v>0</v>
      </c>
      <c r="X320" s="38">
        <f>IF($Y319&lt;=0,0,MIN($Y319,IF(Übersicht!$C$14="Annuitätendarlehen",MAX(0,Übersicht!$C$28-$W320),IF(Übersicht!$C$14="Ratendarlehen",Übersicht!$C$29,IF($A320&gt;=Übersicht!$C$30,$Y319,0)))))</f>
        <v>0</v>
      </c>
      <c r="Y320" s="38">
        <f>IF($Y319&lt;=0,0,ROUND($Y319-$X320-IF($Y319-$X320&lt;=0,0,IF(MOD($A320,Übersicht!$C$25)=0,MIN(Szenarien!$C$10,$Y319-$X320),0)),2))</f>
        <v>0</v>
      </c>
      <c r="Z320" s="38">
        <f>IF($AB319&lt;=0,0,ROUND($AB319*Übersicht!$C$26,2))</f>
        <v>0</v>
      </c>
      <c r="AA320" s="38">
        <f>IF($AB319&lt;=0,0,MIN($AB319,IF(Übersicht!$C$14="Annuitätendarlehen",MAX(0,Übersicht!$C$28-$Z320),IF(Übersicht!$C$14="Ratendarlehen",Übersicht!$C$29,IF($A320&gt;=Übersicht!$C$30,$AB319,0)))))</f>
        <v>0</v>
      </c>
      <c r="AB320" s="38">
        <f>IF($AB319&lt;=0,0,ROUND($AB319-$AA320-IF($AB319-$AA320&lt;=0,0,IF(MOD($A320,Übersicht!$C$25)=0,MIN(Szenarien!$C$11,$AB319-$AA320),0)),2))</f>
        <v>0</v>
      </c>
      <c r="AC320" s="38">
        <f>IF($AE319&lt;=0,0,ROUND($AE319*Übersicht!$C$26,2))</f>
        <v>0</v>
      </c>
      <c r="AD320" s="38">
        <f>IF($AE319&lt;=0,0,MIN($AE319,IF(Übersicht!$C$14="Annuitätendarlehen",MAX(0,Übersicht!$C$28-$AC320),IF(Übersicht!$C$14="Ratendarlehen",Übersicht!$C$29,IF($A320&gt;=Übersicht!$C$30,$AE319,0)))))</f>
        <v>0</v>
      </c>
      <c r="AE320" s="38">
        <f>IF($AE319&lt;=0,0,ROUND($AE319-$AD320-IF($AE319-$AD320&lt;=0,0,IF(MOD($A320,Übersicht!$C$25)=0,MIN(Szenarien!$C$12,$AE319-$AD320),0)),2))</f>
        <v>0</v>
      </c>
    </row>
    <row r="321" spans="1:31" ht="15" customHeight="1" x14ac:dyDescent="0.25">
      <c r="A321" s="26">
        <v>314</v>
      </c>
      <c r="B321" s="39" t="str">
        <f>IF($D321&lt;=0,"",EDATE(Übersicht!$C$18,($A321-1)*12/Übersicht!$C$25))</f>
        <v/>
      </c>
      <c r="C321" s="26" t="str">
        <f t="shared" si="28"/>
        <v/>
      </c>
      <c r="D321" s="40">
        <f t="shared" si="32"/>
        <v>0</v>
      </c>
      <c r="E321" s="28">
        <f t="shared" si="29"/>
        <v>0</v>
      </c>
      <c r="F321" s="28">
        <f>IF($D321&lt;=0,0,ROUND($D321*Übersicht!$C$26,2))</f>
        <v>0</v>
      </c>
      <c r="G321" s="28">
        <f>IF($D321&lt;=0,0,MIN($D321,IF(Übersicht!$C$14="Annuitätendarlehen",MAX(0,Übersicht!$C$28-$F321),IF(Übersicht!$C$14="Ratendarlehen",Übersicht!$C$29,IF($A321&gt;=Übersicht!$C$30,$D321,0)))))</f>
        <v>0</v>
      </c>
      <c r="H321" s="28">
        <f>IF($D321-$G321&lt;=0,0,IF(MOD($A321,Übersicht!$C$25)=0,MIN(Übersicht!$C$31,$D321-$G321),0))</f>
        <v>0</v>
      </c>
      <c r="I321" s="28">
        <f t="shared" si="30"/>
        <v>0</v>
      </c>
      <c r="J321" s="28">
        <f t="shared" si="31"/>
        <v>0</v>
      </c>
      <c r="K321" s="28">
        <f t="shared" si="33"/>
        <v>80072.129999999961</v>
      </c>
      <c r="L321" s="28">
        <f t="shared" si="34"/>
        <v>250000</v>
      </c>
      <c r="M321" s="29" t="str">
        <f>IF($D321&lt;=0,"",IF(Übersicht!$C$11=0,0,$L321/Übersicht!$C$11))</f>
        <v/>
      </c>
      <c r="N321" s="30" t="str">
        <f>IF($D321&lt;=0,"",IF($J321&lt;=0.005,"Volltilgung erreicht",IF($A321=Übersicht!$C$19*Übersicht!$C$25,"Ende der Zinsbindung",IF($H321&gt;0,"Sondertilgung verrechnet",""))))</f>
        <v/>
      </c>
      <c r="Q321" s="38">
        <f>IF($S320&lt;=0,0,ROUND($S320*Übersicht!$C$26,2))</f>
        <v>0</v>
      </c>
      <c r="R321" s="38">
        <f>IF($S320&lt;=0,0,MIN($S320,IF(Übersicht!$C$14="Annuitätendarlehen",MAX(0,Übersicht!$C$28-$Q321),IF(Übersicht!$C$14="Ratendarlehen",Übersicht!$C$29,IF($A321&gt;=Übersicht!$C$30,$S320,0)))))</f>
        <v>0</v>
      </c>
      <c r="S321" s="38">
        <f>IF($S320&lt;=0,0,ROUND($S320-$R321-IF($S320-$R321&lt;=0,0,IF(MOD($A321,Übersicht!$C$25)=0,MIN(Szenarien!$C$8,$S320-$R321),0)),2))</f>
        <v>0</v>
      </c>
      <c r="T321" s="38">
        <f>IF($V320&lt;=0,0,ROUND($V320*Übersicht!$C$26,2))</f>
        <v>0</v>
      </c>
      <c r="U321" s="38">
        <f>IF($V320&lt;=0,0,MIN($V320,IF(Übersicht!$C$14="Annuitätendarlehen",MAX(0,Übersicht!$C$28-$T321),IF(Übersicht!$C$14="Ratendarlehen",Übersicht!$C$29,IF($A321&gt;=Übersicht!$C$30,$V320,0)))))</f>
        <v>0</v>
      </c>
      <c r="V321" s="38">
        <f>IF($V320&lt;=0,0,ROUND($V320-$U321-IF($V320-$U321&lt;=0,0,IF(MOD($A321,Übersicht!$C$25)=0,MIN(Szenarien!$C$9,$V320-$U321),0)),2))</f>
        <v>0</v>
      </c>
      <c r="W321" s="38">
        <f>IF($Y320&lt;=0,0,ROUND($Y320*Übersicht!$C$26,2))</f>
        <v>0</v>
      </c>
      <c r="X321" s="38">
        <f>IF($Y320&lt;=0,0,MIN($Y320,IF(Übersicht!$C$14="Annuitätendarlehen",MAX(0,Übersicht!$C$28-$W321),IF(Übersicht!$C$14="Ratendarlehen",Übersicht!$C$29,IF($A321&gt;=Übersicht!$C$30,$Y320,0)))))</f>
        <v>0</v>
      </c>
      <c r="Y321" s="38">
        <f>IF($Y320&lt;=0,0,ROUND($Y320-$X321-IF($Y320-$X321&lt;=0,0,IF(MOD($A321,Übersicht!$C$25)=0,MIN(Szenarien!$C$10,$Y320-$X321),0)),2))</f>
        <v>0</v>
      </c>
      <c r="Z321" s="38">
        <f>IF($AB320&lt;=0,0,ROUND($AB320*Übersicht!$C$26,2))</f>
        <v>0</v>
      </c>
      <c r="AA321" s="38">
        <f>IF($AB320&lt;=0,0,MIN($AB320,IF(Übersicht!$C$14="Annuitätendarlehen",MAX(0,Übersicht!$C$28-$Z321),IF(Übersicht!$C$14="Ratendarlehen",Übersicht!$C$29,IF($A321&gt;=Übersicht!$C$30,$AB320,0)))))</f>
        <v>0</v>
      </c>
      <c r="AB321" s="38">
        <f>IF($AB320&lt;=0,0,ROUND($AB320-$AA321-IF($AB320-$AA321&lt;=0,0,IF(MOD($A321,Übersicht!$C$25)=0,MIN(Szenarien!$C$11,$AB320-$AA321),0)),2))</f>
        <v>0</v>
      </c>
      <c r="AC321" s="38">
        <f>IF($AE320&lt;=0,0,ROUND($AE320*Übersicht!$C$26,2))</f>
        <v>0</v>
      </c>
      <c r="AD321" s="38">
        <f>IF($AE320&lt;=0,0,MIN($AE320,IF(Übersicht!$C$14="Annuitätendarlehen",MAX(0,Übersicht!$C$28-$AC321),IF(Übersicht!$C$14="Ratendarlehen",Übersicht!$C$29,IF($A321&gt;=Übersicht!$C$30,$AE320,0)))))</f>
        <v>0</v>
      </c>
      <c r="AE321" s="38">
        <f>IF($AE320&lt;=0,0,ROUND($AE320-$AD321-IF($AE320-$AD321&lt;=0,0,IF(MOD($A321,Übersicht!$C$25)=0,MIN(Szenarien!$C$12,$AE320-$AD321),0)),2))</f>
        <v>0</v>
      </c>
    </row>
    <row r="322" spans="1:31" ht="15" customHeight="1" x14ac:dyDescent="0.25">
      <c r="A322" s="21">
        <v>315</v>
      </c>
      <c r="B322" s="36" t="str">
        <f>IF($D322&lt;=0,"",EDATE(Übersicht!$C$18,($A322-1)*12/Übersicht!$C$25))</f>
        <v/>
      </c>
      <c r="C322" s="21" t="str">
        <f t="shared" si="28"/>
        <v/>
      </c>
      <c r="D322" s="37">
        <f t="shared" si="32"/>
        <v>0</v>
      </c>
      <c r="E322" s="23">
        <f t="shared" si="29"/>
        <v>0</v>
      </c>
      <c r="F322" s="23">
        <f>IF($D322&lt;=0,0,ROUND($D322*Übersicht!$C$26,2))</f>
        <v>0</v>
      </c>
      <c r="G322" s="23">
        <f>IF($D322&lt;=0,0,MIN($D322,IF(Übersicht!$C$14="Annuitätendarlehen",MAX(0,Übersicht!$C$28-$F322),IF(Übersicht!$C$14="Ratendarlehen",Übersicht!$C$29,IF($A322&gt;=Übersicht!$C$30,$D322,0)))))</f>
        <v>0</v>
      </c>
      <c r="H322" s="23">
        <f>IF($D322-$G322&lt;=0,0,IF(MOD($A322,Übersicht!$C$25)=0,MIN(Übersicht!$C$31,$D322-$G322),0))</f>
        <v>0</v>
      </c>
      <c r="I322" s="23">
        <f t="shared" si="30"/>
        <v>0</v>
      </c>
      <c r="J322" s="23">
        <f t="shared" si="31"/>
        <v>0</v>
      </c>
      <c r="K322" s="23">
        <f t="shared" si="33"/>
        <v>80072.129999999961</v>
      </c>
      <c r="L322" s="23">
        <f t="shared" si="34"/>
        <v>250000</v>
      </c>
      <c r="M322" s="24" t="str">
        <f>IF($D322&lt;=0,"",IF(Übersicht!$C$11=0,0,$L322/Übersicht!$C$11))</f>
        <v/>
      </c>
      <c r="N322" s="25" t="str">
        <f>IF($D322&lt;=0,"",IF($J322&lt;=0.005,"Volltilgung erreicht",IF($A322=Übersicht!$C$19*Übersicht!$C$25,"Ende der Zinsbindung",IF($H322&gt;0,"Sondertilgung verrechnet",""))))</f>
        <v/>
      </c>
      <c r="Q322" s="38">
        <f>IF($S321&lt;=0,0,ROUND($S321*Übersicht!$C$26,2))</f>
        <v>0</v>
      </c>
      <c r="R322" s="38">
        <f>IF($S321&lt;=0,0,MIN($S321,IF(Übersicht!$C$14="Annuitätendarlehen",MAX(0,Übersicht!$C$28-$Q322),IF(Übersicht!$C$14="Ratendarlehen",Übersicht!$C$29,IF($A322&gt;=Übersicht!$C$30,$S321,0)))))</f>
        <v>0</v>
      </c>
      <c r="S322" s="38">
        <f>IF($S321&lt;=0,0,ROUND($S321-$R322-IF($S321-$R322&lt;=0,0,IF(MOD($A322,Übersicht!$C$25)=0,MIN(Szenarien!$C$8,$S321-$R322),0)),2))</f>
        <v>0</v>
      </c>
      <c r="T322" s="38">
        <f>IF($V321&lt;=0,0,ROUND($V321*Übersicht!$C$26,2))</f>
        <v>0</v>
      </c>
      <c r="U322" s="38">
        <f>IF($V321&lt;=0,0,MIN($V321,IF(Übersicht!$C$14="Annuitätendarlehen",MAX(0,Übersicht!$C$28-$T322),IF(Übersicht!$C$14="Ratendarlehen",Übersicht!$C$29,IF($A322&gt;=Übersicht!$C$30,$V321,0)))))</f>
        <v>0</v>
      </c>
      <c r="V322" s="38">
        <f>IF($V321&lt;=0,0,ROUND($V321-$U322-IF($V321-$U322&lt;=0,0,IF(MOD($A322,Übersicht!$C$25)=0,MIN(Szenarien!$C$9,$V321-$U322),0)),2))</f>
        <v>0</v>
      </c>
      <c r="W322" s="38">
        <f>IF($Y321&lt;=0,0,ROUND($Y321*Übersicht!$C$26,2))</f>
        <v>0</v>
      </c>
      <c r="X322" s="38">
        <f>IF($Y321&lt;=0,0,MIN($Y321,IF(Übersicht!$C$14="Annuitätendarlehen",MAX(0,Übersicht!$C$28-$W322),IF(Übersicht!$C$14="Ratendarlehen",Übersicht!$C$29,IF($A322&gt;=Übersicht!$C$30,$Y321,0)))))</f>
        <v>0</v>
      </c>
      <c r="Y322" s="38">
        <f>IF($Y321&lt;=0,0,ROUND($Y321-$X322-IF($Y321-$X322&lt;=0,0,IF(MOD($A322,Übersicht!$C$25)=0,MIN(Szenarien!$C$10,$Y321-$X322),0)),2))</f>
        <v>0</v>
      </c>
      <c r="Z322" s="38">
        <f>IF($AB321&lt;=0,0,ROUND($AB321*Übersicht!$C$26,2))</f>
        <v>0</v>
      </c>
      <c r="AA322" s="38">
        <f>IF($AB321&lt;=0,0,MIN($AB321,IF(Übersicht!$C$14="Annuitätendarlehen",MAX(0,Übersicht!$C$28-$Z322),IF(Übersicht!$C$14="Ratendarlehen",Übersicht!$C$29,IF($A322&gt;=Übersicht!$C$30,$AB321,0)))))</f>
        <v>0</v>
      </c>
      <c r="AB322" s="38">
        <f>IF($AB321&lt;=0,0,ROUND($AB321-$AA322-IF($AB321-$AA322&lt;=0,0,IF(MOD($A322,Übersicht!$C$25)=0,MIN(Szenarien!$C$11,$AB321-$AA322),0)),2))</f>
        <v>0</v>
      </c>
      <c r="AC322" s="38">
        <f>IF($AE321&lt;=0,0,ROUND($AE321*Übersicht!$C$26,2))</f>
        <v>0</v>
      </c>
      <c r="AD322" s="38">
        <f>IF($AE321&lt;=0,0,MIN($AE321,IF(Übersicht!$C$14="Annuitätendarlehen",MAX(0,Übersicht!$C$28-$AC322),IF(Übersicht!$C$14="Ratendarlehen",Übersicht!$C$29,IF($A322&gt;=Übersicht!$C$30,$AE321,0)))))</f>
        <v>0</v>
      </c>
      <c r="AE322" s="38">
        <f>IF($AE321&lt;=0,0,ROUND($AE321-$AD322-IF($AE321-$AD322&lt;=0,0,IF(MOD($A322,Übersicht!$C$25)=0,MIN(Szenarien!$C$12,$AE321-$AD322),0)),2))</f>
        <v>0</v>
      </c>
    </row>
    <row r="323" spans="1:31" ht="15" customHeight="1" x14ac:dyDescent="0.25">
      <c r="A323" s="26">
        <v>316</v>
      </c>
      <c r="B323" s="39" t="str">
        <f>IF($D323&lt;=0,"",EDATE(Übersicht!$C$18,($A323-1)*12/Übersicht!$C$25))</f>
        <v/>
      </c>
      <c r="C323" s="26" t="str">
        <f t="shared" si="28"/>
        <v/>
      </c>
      <c r="D323" s="40">
        <f t="shared" si="32"/>
        <v>0</v>
      </c>
      <c r="E323" s="28">
        <f t="shared" si="29"/>
        <v>0</v>
      </c>
      <c r="F323" s="28">
        <f>IF($D323&lt;=0,0,ROUND($D323*Übersicht!$C$26,2))</f>
        <v>0</v>
      </c>
      <c r="G323" s="28">
        <f>IF($D323&lt;=0,0,MIN($D323,IF(Übersicht!$C$14="Annuitätendarlehen",MAX(0,Übersicht!$C$28-$F323),IF(Übersicht!$C$14="Ratendarlehen",Übersicht!$C$29,IF($A323&gt;=Übersicht!$C$30,$D323,0)))))</f>
        <v>0</v>
      </c>
      <c r="H323" s="28">
        <f>IF($D323-$G323&lt;=0,0,IF(MOD($A323,Übersicht!$C$25)=0,MIN(Übersicht!$C$31,$D323-$G323),0))</f>
        <v>0</v>
      </c>
      <c r="I323" s="28">
        <f t="shared" si="30"/>
        <v>0</v>
      </c>
      <c r="J323" s="28">
        <f t="shared" si="31"/>
        <v>0</v>
      </c>
      <c r="K323" s="28">
        <f t="shared" si="33"/>
        <v>80072.129999999961</v>
      </c>
      <c r="L323" s="28">
        <f t="shared" si="34"/>
        <v>250000</v>
      </c>
      <c r="M323" s="29" t="str">
        <f>IF($D323&lt;=0,"",IF(Übersicht!$C$11=0,0,$L323/Übersicht!$C$11))</f>
        <v/>
      </c>
      <c r="N323" s="30" t="str">
        <f>IF($D323&lt;=0,"",IF($J323&lt;=0.005,"Volltilgung erreicht",IF($A323=Übersicht!$C$19*Übersicht!$C$25,"Ende der Zinsbindung",IF($H323&gt;0,"Sondertilgung verrechnet",""))))</f>
        <v/>
      </c>
      <c r="Q323" s="38">
        <f>IF($S322&lt;=0,0,ROUND($S322*Übersicht!$C$26,2))</f>
        <v>0</v>
      </c>
      <c r="R323" s="38">
        <f>IF($S322&lt;=0,0,MIN($S322,IF(Übersicht!$C$14="Annuitätendarlehen",MAX(0,Übersicht!$C$28-$Q323),IF(Übersicht!$C$14="Ratendarlehen",Übersicht!$C$29,IF($A323&gt;=Übersicht!$C$30,$S322,0)))))</f>
        <v>0</v>
      </c>
      <c r="S323" s="38">
        <f>IF($S322&lt;=0,0,ROUND($S322-$R323-IF($S322-$R323&lt;=0,0,IF(MOD($A323,Übersicht!$C$25)=0,MIN(Szenarien!$C$8,$S322-$R323),0)),2))</f>
        <v>0</v>
      </c>
      <c r="T323" s="38">
        <f>IF($V322&lt;=0,0,ROUND($V322*Übersicht!$C$26,2))</f>
        <v>0</v>
      </c>
      <c r="U323" s="38">
        <f>IF($V322&lt;=0,0,MIN($V322,IF(Übersicht!$C$14="Annuitätendarlehen",MAX(0,Übersicht!$C$28-$T323),IF(Übersicht!$C$14="Ratendarlehen",Übersicht!$C$29,IF($A323&gt;=Übersicht!$C$30,$V322,0)))))</f>
        <v>0</v>
      </c>
      <c r="V323" s="38">
        <f>IF($V322&lt;=0,0,ROUND($V322-$U323-IF($V322-$U323&lt;=0,0,IF(MOD($A323,Übersicht!$C$25)=0,MIN(Szenarien!$C$9,$V322-$U323),0)),2))</f>
        <v>0</v>
      </c>
      <c r="W323" s="38">
        <f>IF($Y322&lt;=0,0,ROUND($Y322*Übersicht!$C$26,2))</f>
        <v>0</v>
      </c>
      <c r="X323" s="38">
        <f>IF($Y322&lt;=0,0,MIN($Y322,IF(Übersicht!$C$14="Annuitätendarlehen",MAX(0,Übersicht!$C$28-$W323),IF(Übersicht!$C$14="Ratendarlehen",Übersicht!$C$29,IF($A323&gt;=Übersicht!$C$30,$Y322,0)))))</f>
        <v>0</v>
      </c>
      <c r="Y323" s="38">
        <f>IF($Y322&lt;=0,0,ROUND($Y322-$X323-IF($Y322-$X323&lt;=0,0,IF(MOD($A323,Übersicht!$C$25)=0,MIN(Szenarien!$C$10,$Y322-$X323),0)),2))</f>
        <v>0</v>
      </c>
      <c r="Z323" s="38">
        <f>IF($AB322&lt;=0,0,ROUND($AB322*Übersicht!$C$26,2))</f>
        <v>0</v>
      </c>
      <c r="AA323" s="38">
        <f>IF($AB322&lt;=0,0,MIN($AB322,IF(Übersicht!$C$14="Annuitätendarlehen",MAX(0,Übersicht!$C$28-$Z323),IF(Übersicht!$C$14="Ratendarlehen",Übersicht!$C$29,IF($A323&gt;=Übersicht!$C$30,$AB322,0)))))</f>
        <v>0</v>
      </c>
      <c r="AB323" s="38">
        <f>IF($AB322&lt;=0,0,ROUND($AB322-$AA323-IF($AB322-$AA323&lt;=0,0,IF(MOD($A323,Übersicht!$C$25)=0,MIN(Szenarien!$C$11,$AB322-$AA323),0)),2))</f>
        <v>0</v>
      </c>
      <c r="AC323" s="38">
        <f>IF($AE322&lt;=0,0,ROUND($AE322*Übersicht!$C$26,2))</f>
        <v>0</v>
      </c>
      <c r="AD323" s="38">
        <f>IF($AE322&lt;=0,0,MIN($AE322,IF(Übersicht!$C$14="Annuitätendarlehen",MAX(0,Übersicht!$C$28-$AC323),IF(Übersicht!$C$14="Ratendarlehen",Übersicht!$C$29,IF($A323&gt;=Übersicht!$C$30,$AE322,0)))))</f>
        <v>0</v>
      </c>
      <c r="AE323" s="38">
        <f>IF($AE322&lt;=0,0,ROUND($AE322-$AD323-IF($AE322-$AD323&lt;=0,0,IF(MOD($A323,Übersicht!$C$25)=0,MIN(Szenarien!$C$12,$AE322-$AD323),0)),2))</f>
        <v>0</v>
      </c>
    </row>
    <row r="324" spans="1:31" ht="15" customHeight="1" x14ac:dyDescent="0.25">
      <c r="A324" s="21">
        <v>317</v>
      </c>
      <c r="B324" s="36" t="str">
        <f>IF($D324&lt;=0,"",EDATE(Übersicht!$C$18,($A324-1)*12/Übersicht!$C$25))</f>
        <v/>
      </c>
      <c r="C324" s="21" t="str">
        <f t="shared" si="28"/>
        <v/>
      </c>
      <c r="D324" s="37">
        <f t="shared" si="32"/>
        <v>0</v>
      </c>
      <c r="E324" s="23">
        <f t="shared" si="29"/>
        <v>0</v>
      </c>
      <c r="F324" s="23">
        <f>IF($D324&lt;=0,0,ROUND($D324*Übersicht!$C$26,2))</f>
        <v>0</v>
      </c>
      <c r="G324" s="23">
        <f>IF($D324&lt;=0,0,MIN($D324,IF(Übersicht!$C$14="Annuitätendarlehen",MAX(0,Übersicht!$C$28-$F324),IF(Übersicht!$C$14="Ratendarlehen",Übersicht!$C$29,IF($A324&gt;=Übersicht!$C$30,$D324,0)))))</f>
        <v>0</v>
      </c>
      <c r="H324" s="23">
        <f>IF($D324-$G324&lt;=0,0,IF(MOD($A324,Übersicht!$C$25)=0,MIN(Übersicht!$C$31,$D324-$G324),0))</f>
        <v>0</v>
      </c>
      <c r="I324" s="23">
        <f t="shared" si="30"/>
        <v>0</v>
      </c>
      <c r="J324" s="23">
        <f t="shared" si="31"/>
        <v>0</v>
      </c>
      <c r="K324" s="23">
        <f t="shared" si="33"/>
        <v>80072.129999999961</v>
      </c>
      <c r="L324" s="23">
        <f t="shared" si="34"/>
        <v>250000</v>
      </c>
      <c r="M324" s="24" t="str">
        <f>IF($D324&lt;=0,"",IF(Übersicht!$C$11=0,0,$L324/Übersicht!$C$11))</f>
        <v/>
      </c>
      <c r="N324" s="25" t="str">
        <f>IF($D324&lt;=0,"",IF($J324&lt;=0.005,"Volltilgung erreicht",IF($A324=Übersicht!$C$19*Übersicht!$C$25,"Ende der Zinsbindung",IF($H324&gt;0,"Sondertilgung verrechnet",""))))</f>
        <v/>
      </c>
      <c r="Q324" s="38">
        <f>IF($S323&lt;=0,0,ROUND($S323*Übersicht!$C$26,2))</f>
        <v>0</v>
      </c>
      <c r="R324" s="38">
        <f>IF($S323&lt;=0,0,MIN($S323,IF(Übersicht!$C$14="Annuitätendarlehen",MAX(0,Übersicht!$C$28-$Q324),IF(Übersicht!$C$14="Ratendarlehen",Übersicht!$C$29,IF($A324&gt;=Übersicht!$C$30,$S323,0)))))</f>
        <v>0</v>
      </c>
      <c r="S324" s="38">
        <f>IF($S323&lt;=0,0,ROUND($S323-$R324-IF($S323-$R324&lt;=0,0,IF(MOD($A324,Übersicht!$C$25)=0,MIN(Szenarien!$C$8,$S323-$R324),0)),2))</f>
        <v>0</v>
      </c>
      <c r="T324" s="38">
        <f>IF($V323&lt;=0,0,ROUND($V323*Übersicht!$C$26,2))</f>
        <v>0</v>
      </c>
      <c r="U324" s="38">
        <f>IF($V323&lt;=0,0,MIN($V323,IF(Übersicht!$C$14="Annuitätendarlehen",MAX(0,Übersicht!$C$28-$T324),IF(Übersicht!$C$14="Ratendarlehen",Übersicht!$C$29,IF($A324&gt;=Übersicht!$C$30,$V323,0)))))</f>
        <v>0</v>
      </c>
      <c r="V324" s="38">
        <f>IF($V323&lt;=0,0,ROUND($V323-$U324-IF($V323-$U324&lt;=0,0,IF(MOD($A324,Übersicht!$C$25)=0,MIN(Szenarien!$C$9,$V323-$U324),0)),2))</f>
        <v>0</v>
      </c>
      <c r="W324" s="38">
        <f>IF($Y323&lt;=0,0,ROUND($Y323*Übersicht!$C$26,2))</f>
        <v>0</v>
      </c>
      <c r="X324" s="38">
        <f>IF($Y323&lt;=0,0,MIN($Y323,IF(Übersicht!$C$14="Annuitätendarlehen",MAX(0,Übersicht!$C$28-$W324),IF(Übersicht!$C$14="Ratendarlehen",Übersicht!$C$29,IF($A324&gt;=Übersicht!$C$30,$Y323,0)))))</f>
        <v>0</v>
      </c>
      <c r="Y324" s="38">
        <f>IF($Y323&lt;=0,0,ROUND($Y323-$X324-IF($Y323-$X324&lt;=0,0,IF(MOD($A324,Übersicht!$C$25)=0,MIN(Szenarien!$C$10,$Y323-$X324),0)),2))</f>
        <v>0</v>
      </c>
      <c r="Z324" s="38">
        <f>IF($AB323&lt;=0,0,ROUND($AB323*Übersicht!$C$26,2))</f>
        <v>0</v>
      </c>
      <c r="AA324" s="38">
        <f>IF($AB323&lt;=0,0,MIN($AB323,IF(Übersicht!$C$14="Annuitätendarlehen",MAX(0,Übersicht!$C$28-$Z324),IF(Übersicht!$C$14="Ratendarlehen",Übersicht!$C$29,IF($A324&gt;=Übersicht!$C$30,$AB323,0)))))</f>
        <v>0</v>
      </c>
      <c r="AB324" s="38">
        <f>IF($AB323&lt;=0,0,ROUND($AB323-$AA324-IF($AB323-$AA324&lt;=0,0,IF(MOD($A324,Übersicht!$C$25)=0,MIN(Szenarien!$C$11,$AB323-$AA324),0)),2))</f>
        <v>0</v>
      </c>
      <c r="AC324" s="38">
        <f>IF($AE323&lt;=0,0,ROUND($AE323*Übersicht!$C$26,2))</f>
        <v>0</v>
      </c>
      <c r="AD324" s="38">
        <f>IF($AE323&lt;=0,0,MIN($AE323,IF(Übersicht!$C$14="Annuitätendarlehen",MAX(0,Übersicht!$C$28-$AC324),IF(Übersicht!$C$14="Ratendarlehen",Übersicht!$C$29,IF($A324&gt;=Übersicht!$C$30,$AE323,0)))))</f>
        <v>0</v>
      </c>
      <c r="AE324" s="38">
        <f>IF($AE323&lt;=0,0,ROUND($AE323-$AD324-IF($AE323-$AD324&lt;=0,0,IF(MOD($A324,Übersicht!$C$25)=0,MIN(Szenarien!$C$12,$AE323-$AD324),0)),2))</f>
        <v>0</v>
      </c>
    </row>
    <row r="325" spans="1:31" ht="15" customHeight="1" x14ac:dyDescent="0.25">
      <c r="A325" s="26">
        <v>318</v>
      </c>
      <c r="B325" s="39" t="str">
        <f>IF($D325&lt;=0,"",EDATE(Übersicht!$C$18,($A325-1)*12/Übersicht!$C$25))</f>
        <v/>
      </c>
      <c r="C325" s="26" t="str">
        <f t="shared" si="28"/>
        <v/>
      </c>
      <c r="D325" s="40">
        <f t="shared" si="32"/>
        <v>0</v>
      </c>
      <c r="E325" s="28">
        <f t="shared" si="29"/>
        <v>0</v>
      </c>
      <c r="F325" s="28">
        <f>IF($D325&lt;=0,0,ROUND($D325*Übersicht!$C$26,2))</f>
        <v>0</v>
      </c>
      <c r="G325" s="28">
        <f>IF($D325&lt;=0,0,MIN($D325,IF(Übersicht!$C$14="Annuitätendarlehen",MAX(0,Übersicht!$C$28-$F325),IF(Übersicht!$C$14="Ratendarlehen",Übersicht!$C$29,IF($A325&gt;=Übersicht!$C$30,$D325,0)))))</f>
        <v>0</v>
      </c>
      <c r="H325" s="28">
        <f>IF($D325-$G325&lt;=0,0,IF(MOD($A325,Übersicht!$C$25)=0,MIN(Übersicht!$C$31,$D325-$G325),0))</f>
        <v>0</v>
      </c>
      <c r="I325" s="28">
        <f t="shared" si="30"/>
        <v>0</v>
      </c>
      <c r="J325" s="28">
        <f t="shared" si="31"/>
        <v>0</v>
      </c>
      <c r="K325" s="28">
        <f t="shared" si="33"/>
        <v>80072.129999999961</v>
      </c>
      <c r="L325" s="28">
        <f t="shared" si="34"/>
        <v>250000</v>
      </c>
      <c r="M325" s="29" t="str">
        <f>IF($D325&lt;=0,"",IF(Übersicht!$C$11=0,0,$L325/Übersicht!$C$11))</f>
        <v/>
      </c>
      <c r="N325" s="30" t="str">
        <f>IF($D325&lt;=0,"",IF($J325&lt;=0.005,"Volltilgung erreicht",IF($A325=Übersicht!$C$19*Übersicht!$C$25,"Ende der Zinsbindung",IF($H325&gt;0,"Sondertilgung verrechnet",""))))</f>
        <v/>
      </c>
      <c r="Q325" s="38">
        <f>IF($S324&lt;=0,0,ROUND($S324*Übersicht!$C$26,2))</f>
        <v>0</v>
      </c>
      <c r="R325" s="38">
        <f>IF($S324&lt;=0,0,MIN($S324,IF(Übersicht!$C$14="Annuitätendarlehen",MAX(0,Übersicht!$C$28-$Q325),IF(Übersicht!$C$14="Ratendarlehen",Übersicht!$C$29,IF($A325&gt;=Übersicht!$C$30,$S324,0)))))</f>
        <v>0</v>
      </c>
      <c r="S325" s="38">
        <f>IF($S324&lt;=0,0,ROUND($S324-$R325-IF($S324-$R325&lt;=0,0,IF(MOD($A325,Übersicht!$C$25)=0,MIN(Szenarien!$C$8,$S324-$R325),0)),2))</f>
        <v>0</v>
      </c>
      <c r="T325" s="38">
        <f>IF($V324&lt;=0,0,ROUND($V324*Übersicht!$C$26,2))</f>
        <v>0</v>
      </c>
      <c r="U325" s="38">
        <f>IF($V324&lt;=0,0,MIN($V324,IF(Übersicht!$C$14="Annuitätendarlehen",MAX(0,Übersicht!$C$28-$T325),IF(Übersicht!$C$14="Ratendarlehen",Übersicht!$C$29,IF($A325&gt;=Übersicht!$C$30,$V324,0)))))</f>
        <v>0</v>
      </c>
      <c r="V325" s="38">
        <f>IF($V324&lt;=0,0,ROUND($V324-$U325-IF($V324-$U325&lt;=0,0,IF(MOD($A325,Übersicht!$C$25)=0,MIN(Szenarien!$C$9,$V324-$U325),0)),2))</f>
        <v>0</v>
      </c>
      <c r="W325" s="38">
        <f>IF($Y324&lt;=0,0,ROUND($Y324*Übersicht!$C$26,2))</f>
        <v>0</v>
      </c>
      <c r="X325" s="38">
        <f>IF($Y324&lt;=0,0,MIN($Y324,IF(Übersicht!$C$14="Annuitätendarlehen",MAX(0,Übersicht!$C$28-$W325),IF(Übersicht!$C$14="Ratendarlehen",Übersicht!$C$29,IF($A325&gt;=Übersicht!$C$30,$Y324,0)))))</f>
        <v>0</v>
      </c>
      <c r="Y325" s="38">
        <f>IF($Y324&lt;=0,0,ROUND($Y324-$X325-IF($Y324-$X325&lt;=0,0,IF(MOD($A325,Übersicht!$C$25)=0,MIN(Szenarien!$C$10,$Y324-$X325),0)),2))</f>
        <v>0</v>
      </c>
      <c r="Z325" s="38">
        <f>IF($AB324&lt;=0,0,ROUND($AB324*Übersicht!$C$26,2))</f>
        <v>0</v>
      </c>
      <c r="AA325" s="38">
        <f>IF($AB324&lt;=0,0,MIN($AB324,IF(Übersicht!$C$14="Annuitätendarlehen",MAX(0,Übersicht!$C$28-$Z325),IF(Übersicht!$C$14="Ratendarlehen",Übersicht!$C$29,IF($A325&gt;=Übersicht!$C$30,$AB324,0)))))</f>
        <v>0</v>
      </c>
      <c r="AB325" s="38">
        <f>IF($AB324&lt;=0,0,ROUND($AB324-$AA325-IF($AB324-$AA325&lt;=0,0,IF(MOD($A325,Übersicht!$C$25)=0,MIN(Szenarien!$C$11,$AB324-$AA325),0)),2))</f>
        <v>0</v>
      </c>
      <c r="AC325" s="38">
        <f>IF($AE324&lt;=0,0,ROUND($AE324*Übersicht!$C$26,2))</f>
        <v>0</v>
      </c>
      <c r="AD325" s="38">
        <f>IF($AE324&lt;=0,0,MIN($AE324,IF(Übersicht!$C$14="Annuitätendarlehen",MAX(0,Übersicht!$C$28-$AC325),IF(Übersicht!$C$14="Ratendarlehen",Übersicht!$C$29,IF($A325&gt;=Übersicht!$C$30,$AE324,0)))))</f>
        <v>0</v>
      </c>
      <c r="AE325" s="38">
        <f>IF($AE324&lt;=0,0,ROUND($AE324-$AD325-IF($AE324-$AD325&lt;=0,0,IF(MOD($A325,Übersicht!$C$25)=0,MIN(Szenarien!$C$12,$AE324-$AD325),0)),2))</f>
        <v>0</v>
      </c>
    </row>
    <row r="326" spans="1:31" ht="15" customHeight="1" x14ac:dyDescent="0.25">
      <c r="A326" s="21">
        <v>319</v>
      </c>
      <c r="B326" s="36" t="str">
        <f>IF($D326&lt;=0,"",EDATE(Übersicht!$C$18,($A326-1)*12/Übersicht!$C$25))</f>
        <v/>
      </c>
      <c r="C326" s="21" t="str">
        <f t="shared" si="28"/>
        <v/>
      </c>
      <c r="D326" s="37">
        <f t="shared" si="32"/>
        <v>0</v>
      </c>
      <c r="E326" s="23">
        <f t="shared" si="29"/>
        <v>0</v>
      </c>
      <c r="F326" s="23">
        <f>IF($D326&lt;=0,0,ROUND($D326*Übersicht!$C$26,2))</f>
        <v>0</v>
      </c>
      <c r="G326" s="23">
        <f>IF($D326&lt;=0,0,MIN($D326,IF(Übersicht!$C$14="Annuitätendarlehen",MAX(0,Übersicht!$C$28-$F326),IF(Übersicht!$C$14="Ratendarlehen",Übersicht!$C$29,IF($A326&gt;=Übersicht!$C$30,$D326,0)))))</f>
        <v>0</v>
      </c>
      <c r="H326" s="23">
        <f>IF($D326-$G326&lt;=0,0,IF(MOD($A326,Übersicht!$C$25)=0,MIN(Übersicht!$C$31,$D326-$G326),0))</f>
        <v>0</v>
      </c>
      <c r="I326" s="23">
        <f t="shared" si="30"/>
        <v>0</v>
      </c>
      <c r="J326" s="23">
        <f t="shared" si="31"/>
        <v>0</v>
      </c>
      <c r="K326" s="23">
        <f t="shared" si="33"/>
        <v>80072.129999999961</v>
      </c>
      <c r="L326" s="23">
        <f t="shared" si="34"/>
        <v>250000</v>
      </c>
      <c r="M326" s="24" t="str">
        <f>IF($D326&lt;=0,"",IF(Übersicht!$C$11=0,0,$L326/Übersicht!$C$11))</f>
        <v/>
      </c>
      <c r="N326" s="25" t="str">
        <f>IF($D326&lt;=0,"",IF($J326&lt;=0.005,"Volltilgung erreicht",IF($A326=Übersicht!$C$19*Übersicht!$C$25,"Ende der Zinsbindung",IF($H326&gt;0,"Sondertilgung verrechnet",""))))</f>
        <v/>
      </c>
      <c r="Q326" s="38">
        <f>IF($S325&lt;=0,0,ROUND($S325*Übersicht!$C$26,2))</f>
        <v>0</v>
      </c>
      <c r="R326" s="38">
        <f>IF($S325&lt;=0,0,MIN($S325,IF(Übersicht!$C$14="Annuitätendarlehen",MAX(0,Übersicht!$C$28-$Q326),IF(Übersicht!$C$14="Ratendarlehen",Übersicht!$C$29,IF($A326&gt;=Übersicht!$C$30,$S325,0)))))</f>
        <v>0</v>
      </c>
      <c r="S326" s="38">
        <f>IF($S325&lt;=0,0,ROUND($S325-$R326-IF($S325-$R326&lt;=0,0,IF(MOD($A326,Übersicht!$C$25)=0,MIN(Szenarien!$C$8,$S325-$R326),0)),2))</f>
        <v>0</v>
      </c>
      <c r="T326" s="38">
        <f>IF($V325&lt;=0,0,ROUND($V325*Übersicht!$C$26,2))</f>
        <v>0</v>
      </c>
      <c r="U326" s="38">
        <f>IF($V325&lt;=0,0,MIN($V325,IF(Übersicht!$C$14="Annuitätendarlehen",MAX(0,Übersicht!$C$28-$T326),IF(Übersicht!$C$14="Ratendarlehen",Übersicht!$C$29,IF($A326&gt;=Übersicht!$C$30,$V325,0)))))</f>
        <v>0</v>
      </c>
      <c r="V326" s="38">
        <f>IF($V325&lt;=0,0,ROUND($V325-$U326-IF($V325-$U326&lt;=0,0,IF(MOD($A326,Übersicht!$C$25)=0,MIN(Szenarien!$C$9,$V325-$U326),0)),2))</f>
        <v>0</v>
      </c>
      <c r="W326" s="38">
        <f>IF($Y325&lt;=0,0,ROUND($Y325*Übersicht!$C$26,2))</f>
        <v>0</v>
      </c>
      <c r="X326" s="38">
        <f>IF($Y325&lt;=0,0,MIN($Y325,IF(Übersicht!$C$14="Annuitätendarlehen",MAX(0,Übersicht!$C$28-$W326),IF(Übersicht!$C$14="Ratendarlehen",Übersicht!$C$29,IF($A326&gt;=Übersicht!$C$30,$Y325,0)))))</f>
        <v>0</v>
      </c>
      <c r="Y326" s="38">
        <f>IF($Y325&lt;=0,0,ROUND($Y325-$X326-IF($Y325-$X326&lt;=0,0,IF(MOD($A326,Übersicht!$C$25)=0,MIN(Szenarien!$C$10,$Y325-$X326),0)),2))</f>
        <v>0</v>
      </c>
      <c r="Z326" s="38">
        <f>IF($AB325&lt;=0,0,ROUND($AB325*Übersicht!$C$26,2))</f>
        <v>0</v>
      </c>
      <c r="AA326" s="38">
        <f>IF($AB325&lt;=0,0,MIN($AB325,IF(Übersicht!$C$14="Annuitätendarlehen",MAX(0,Übersicht!$C$28-$Z326),IF(Übersicht!$C$14="Ratendarlehen",Übersicht!$C$29,IF($A326&gt;=Übersicht!$C$30,$AB325,0)))))</f>
        <v>0</v>
      </c>
      <c r="AB326" s="38">
        <f>IF($AB325&lt;=0,0,ROUND($AB325-$AA326-IF($AB325-$AA326&lt;=0,0,IF(MOD($A326,Übersicht!$C$25)=0,MIN(Szenarien!$C$11,$AB325-$AA326),0)),2))</f>
        <v>0</v>
      </c>
      <c r="AC326" s="38">
        <f>IF($AE325&lt;=0,0,ROUND($AE325*Übersicht!$C$26,2))</f>
        <v>0</v>
      </c>
      <c r="AD326" s="38">
        <f>IF($AE325&lt;=0,0,MIN($AE325,IF(Übersicht!$C$14="Annuitätendarlehen",MAX(0,Übersicht!$C$28-$AC326),IF(Übersicht!$C$14="Ratendarlehen",Übersicht!$C$29,IF($A326&gt;=Übersicht!$C$30,$AE325,0)))))</f>
        <v>0</v>
      </c>
      <c r="AE326" s="38">
        <f>IF($AE325&lt;=0,0,ROUND($AE325-$AD326-IF($AE325-$AD326&lt;=0,0,IF(MOD($A326,Übersicht!$C$25)=0,MIN(Szenarien!$C$12,$AE325-$AD326),0)),2))</f>
        <v>0</v>
      </c>
    </row>
    <row r="327" spans="1:31" ht="15" customHeight="1" x14ac:dyDescent="0.25">
      <c r="A327" s="26">
        <v>320</v>
      </c>
      <c r="B327" s="39" t="str">
        <f>IF($D327&lt;=0,"",EDATE(Übersicht!$C$18,($A327-1)*12/Übersicht!$C$25))</f>
        <v/>
      </c>
      <c r="C327" s="26" t="str">
        <f t="shared" si="28"/>
        <v/>
      </c>
      <c r="D327" s="40">
        <f t="shared" si="32"/>
        <v>0</v>
      </c>
      <c r="E327" s="28">
        <f t="shared" si="29"/>
        <v>0</v>
      </c>
      <c r="F327" s="28">
        <f>IF($D327&lt;=0,0,ROUND($D327*Übersicht!$C$26,2))</f>
        <v>0</v>
      </c>
      <c r="G327" s="28">
        <f>IF($D327&lt;=0,0,MIN($D327,IF(Übersicht!$C$14="Annuitätendarlehen",MAX(0,Übersicht!$C$28-$F327),IF(Übersicht!$C$14="Ratendarlehen",Übersicht!$C$29,IF($A327&gt;=Übersicht!$C$30,$D327,0)))))</f>
        <v>0</v>
      </c>
      <c r="H327" s="28">
        <f>IF($D327-$G327&lt;=0,0,IF(MOD($A327,Übersicht!$C$25)=0,MIN(Übersicht!$C$31,$D327-$G327),0))</f>
        <v>0</v>
      </c>
      <c r="I327" s="28">
        <f t="shared" si="30"/>
        <v>0</v>
      </c>
      <c r="J327" s="28">
        <f t="shared" si="31"/>
        <v>0</v>
      </c>
      <c r="K327" s="28">
        <f t="shared" si="33"/>
        <v>80072.129999999961</v>
      </c>
      <c r="L327" s="28">
        <f t="shared" si="34"/>
        <v>250000</v>
      </c>
      <c r="M327" s="29" t="str">
        <f>IF($D327&lt;=0,"",IF(Übersicht!$C$11=0,0,$L327/Übersicht!$C$11))</f>
        <v/>
      </c>
      <c r="N327" s="30" t="str">
        <f>IF($D327&lt;=0,"",IF($J327&lt;=0.005,"Volltilgung erreicht",IF($A327=Übersicht!$C$19*Übersicht!$C$25,"Ende der Zinsbindung",IF($H327&gt;0,"Sondertilgung verrechnet",""))))</f>
        <v/>
      </c>
      <c r="Q327" s="38">
        <f>IF($S326&lt;=0,0,ROUND($S326*Übersicht!$C$26,2))</f>
        <v>0</v>
      </c>
      <c r="R327" s="38">
        <f>IF($S326&lt;=0,0,MIN($S326,IF(Übersicht!$C$14="Annuitätendarlehen",MAX(0,Übersicht!$C$28-$Q327),IF(Übersicht!$C$14="Ratendarlehen",Übersicht!$C$29,IF($A327&gt;=Übersicht!$C$30,$S326,0)))))</f>
        <v>0</v>
      </c>
      <c r="S327" s="38">
        <f>IF($S326&lt;=0,0,ROUND($S326-$R327-IF($S326-$R327&lt;=0,0,IF(MOD($A327,Übersicht!$C$25)=0,MIN(Szenarien!$C$8,$S326-$R327),0)),2))</f>
        <v>0</v>
      </c>
      <c r="T327" s="38">
        <f>IF($V326&lt;=0,0,ROUND($V326*Übersicht!$C$26,2))</f>
        <v>0</v>
      </c>
      <c r="U327" s="38">
        <f>IF($V326&lt;=0,0,MIN($V326,IF(Übersicht!$C$14="Annuitätendarlehen",MAX(0,Übersicht!$C$28-$T327),IF(Übersicht!$C$14="Ratendarlehen",Übersicht!$C$29,IF($A327&gt;=Übersicht!$C$30,$V326,0)))))</f>
        <v>0</v>
      </c>
      <c r="V327" s="38">
        <f>IF($V326&lt;=0,0,ROUND($V326-$U327-IF($V326-$U327&lt;=0,0,IF(MOD($A327,Übersicht!$C$25)=0,MIN(Szenarien!$C$9,$V326-$U327),0)),2))</f>
        <v>0</v>
      </c>
      <c r="W327" s="38">
        <f>IF($Y326&lt;=0,0,ROUND($Y326*Übersicht!$C$26,2))</f>
        <v>0</v>
      </c>
      <c r="X327" s="38">
        <f>IF($Y326&lt;=0,0,MIN($Y326,IF(Übersicht!$C$14="Annuitätendarlehen",MAX(0,Übersicht!$C$28-$W327),IF(Übersicht!$C$14="Ratendarlehen",Übersicht!$C$29,IF($A327&gt;=Übersicht!$C$30,$Y326,0)))))</f>
        <v>0</v>
      </c>
      <c r="Y327" s="38">
        <f>IF($Y326&lt;=0,0,ROUND($Y326-$X327-IF($Y326-$X327&lt;=0,0,IF(MOD($A327,Übersicht!$C$25)=0,MIN(Szenarien!$C$10,$Y326-$X327),0)),2))</f>
        <v>0</v>
      </c>
      <c r="Z327" s="38">
        <f>IF($AB326&lt;=0,0,ROUND($AB326*Übersicht!$C$26,2))</f>
        <v>0</v>
      </c>
      <c r="AA327" s="38">
        <f>IF($AB326&lt;=0,0,MIN($AB326,IF(Übersicht!$C$14="Annuitätendarlehen",MAX(0,Übersicht!$C$28-$Z327),IF(Übersicht!$C$14="Ratendarlehen",Übersicht!$C$29,IF($A327&gt;=Übersicht!$C$30,$AB326,0)))))</f>
        <v>0</v>
      </c>
      <c r="AB327" s="38">
        <f>IF($AB326&lt;=0,0,ROUND($AB326-$AA327-IF($AB326-$AA327&lt;=0,0,IF(MOD($A327,Übersicht!$C$25)=0,MIN(Szenarien!$C$11,$AB326-$AA327),0)),2))</f>
        <v>0</v>
      </c>
      <c r="AC327" s="38">
        <f>IF($AE326&lt;=0,0,ROUND($AE326*Übersicht!$C$26,2))</f>
        <v>0</v>
      </c>
      <c r="AD327" s="38">
        <f>IF($AE326&lt;=0,0,MIN($AE326,IF(Übersicht!$C$14="Annuitätendarlehen",MAX(0,Übersicht!$C$28-$AC327),IF(Übersicht!$C$14="Ratendarlehen",Übersicht!$C$29,IF($A327&gt;=Übersicht!$C$30,$AE326,0)))))</f>
        <v>0</v>
      </c>
      <c r="AE327" s="38">
        <f>IF($AE326&lt;=0,0,ROUND($AE326-$AD327-IF($AE326-$AD327&lt;=0,0,IF(MOD($A327,Übersicht!$C$25)=0,MIN(Szenarien!$C$12,$AE326-$AD327),0)),2))</f>
        <v>0</v>
      </c>
    </row>
    <row r="328" spans="1:31" ht="15" customHeight="1" x14ac:dyDescent="0.25">
      <c r="A328" s="21">
        <v>321</v>
      </c>
      <c r="B328" s="36" t="str">
        <f>IF($D328&lt;=0,"",EDATE(Übersicht!$C$18,($A328-1)*12/Übersicht!$C$25))</f>
        <v/>
      </c>
      <c r="C328" s="21" t="str">
        <f t="shared" ref="C328:C391" si="35">IF($B328="","",YEAR($B328))</f>
        <v/>
      </c>
      <c r="D328" s="37">
        <f t="shared" si="32"/>
        <v>0</v>
      </c>
      <c r="E328" s="23">
        <f t="shared" ref="E328:E391" si="36">IF($D328&lt;=0,0,$F328+$G328)</f>
        <v>0</v>
      </c>
      <c r="F328" s="23">
        <f>IF($D328&lt;=0,0,ROUND($D328*Übersicht!$C$26,2))</f>
        <v>0</v>
      </c>
      <c r="G328" s="23">
        <f>IF($D328&lt;=0,0,MIN($D328,IF(Übersicht!$C$14="Annuitätendarlehen",MAX(0,Übersicht!$C$28-$F328),IF(Übersicht!$C$14="Ratendarlehen",Übersicht!$C$29,IF($A328&gt;=Übersicht!$C$30,$D328,0)))))</f>
        <v>0</v>
      </c>
      <c r="H328" s="23">
        <f>IF($D328-$G328&lt;=0,0,IF(MOD($A328,Übersicht!$C$25)=0,MIN(Übersicht!$C$31,$D328-$G328),0))</f>
        <v>0</v>
      </c>
      <c r="I328" s="23">
        <f t="shared" ref="I328:I391" si="37">IF($D328&lt;=0,0,$E328+$H328)</f>
        <v>0</v>
      </c>
      <c r="J328" s="23">
        <f t="shared" ref="J328:J391" si="38">IF($D328&lt;=0,0,ROUND($D328-$G328-$H328,2))</f>
        <v>0</v>
      </c>
      <c r="K328" s="23">
        <f t="shared" si="33"/>
        <v>80072.129999999961</v>
      </c>
      <c r="L328" s="23">
        <f t="shared" si="34"/>
        <v>250000</v>
      </c>
      <c r="M328" s="24" t="str">
        <f>IF($D328&lt;=0,"",IF(Übersicht!$C$11=0,0,$L328/Übersicht!$C$11))</f>
        <v/>
      </c>
      <c r="N328" s="25" t="str">
        <f>IF($D328&lt;=0,"",IF($J328&lt;=0.005,"Volltilgung erreicht",IF($A328=Übersicht!$C$19*Übersicht!$C$25,"Ende der Zinsbindung",IF($H328&gt;0,"Sondertilgung verrechnet",""))))</f>
        <v/>
      </c>
      <c r="Q328" s="38">
        <f>IF($S327&lt;=0,0,ROUND($S327*Übersicht!$C$26,2))</f>
        <v>0</v>
      </c>
      <c r="R328" s="38">
        <f>IF($S327&lt;=0,0,MIN($S327,IF(Übersicht!$C$14="Annuitätendarlehen",MAX(0,Übersicht!$C$28-$Q328),IF(Übersicht!$C$14="Ratendarlehen",Übersicht!$C$29,IF($A328&gt;=Übersicht!$C$30,$S327,0)))))</f>
        <v>0</v>
      </c>
      <c r="S328" s="38">
        <f>IF($S327&lt;=0,0,ROUND($S327-$R328-IF($S327-$R328&lt;=0,0,IF(MOD($A328,Übersicht!$C$25)=0,MIN(Szenarien!$C$8,$S327-$R328),0)),2))</f>
        <v>0</v>
      </c>
      <c r="T328" s="38">
        <f>IF($V327&lt;=0,0,ROUND($V327*Übersicht!$C$26,2))</f>
        <v>0</v>
      </c>
      <c r="U328" s="38">
        <f>IF($V327&lt;=0,0,MIN($V327,IF(Übersicht!$C$14="Annuitätendarlehen",MAX(0,Übersicht!$C$28-$T328),IF(Übersicht!$C$14="Ratendarlehen",Übersicht!$C$29,IF($A328&gt;=Übersicht!$C$30,$V327,0)))))</f>
        <v>0</v>
      </c>
      <c r="V328" s="38">
        <f>IF($V327&lt;=0,0,ROUND($V327-$U328-IF($V327-$U328&lt;=0,0,IF(MOD($A328,Übersicht!$C$25)=0,MIN(Szenarien!$C$9,$V327-$U328),0)),2))</f>
        <v>0</v>
      </c>
      <c r="W328" s="38">
        <f>IF($Y327&lt;=0,0,ROUND($Y327*Übersicht!$C$26,2))</f>
        <v>0</v>
      </c>
      <c r="X328" s="38">
        <f>IF($Y327&lt;=0,0,MIN($Y327,IF(Übersicht!$C$14="Annuitätendarlehen",MAX(0,Übersicht!$C$28-$W328),IF(Übersicht!$C$14="Ratendarlehen",Übersicht!$C$29,IF($A328&gt;=Übersicht!$C$30,$Y327,0)))))</f>
        <v>0</v>
      </c>
      <c r="Y328" s="38">
        <f>IF($Y327&lt;=0,0,ROUND($Y327-$X328-IF($Y327-$X328&lt;=0,0,IF(MOD($A328,Übersicht!$C$25)=0,MIN(Szenarien!$C$10,$Y327-$X328),0)),2))</f>
        <v>0</v>
      </c>
      <c r="Z328" s="38">
        <f>IF($AB327&lt;=0,0,ROUND($AB327*Übersicht!$C$26,2))</f>
        <v>0</v>
      </c>
      <c r="AA328" s="38">
        <f>IF($AB327&lt;=0,0,MIN($AB327,IF(Übersicht!$C$14="Annuitätendarlehen",MAX(0,Übersicht!$C$28-$Z328),IF(Übersicht!$C$14="Ratendarlehen",Übersicht!$C$29,IF($A328&gt;=Übersicht!$C$30,$AB327,0)))))</f>
        <v>0</v>
      </c>
      <c r="AB328" s="38">
        <f>IF($AB327&lt;=0,0,ROUND($AB327-$AA328-IF($AB327-$AA328&lt;=0,0,IF(MOD($A328,Übersicht!$C$25)=0,MIN(Szenarien!$C$11,$AB327-$AA328),0)),2))</f>
        <v>0</v>
      </c>
      <c r="AC328" s="38">
        <f>IF($AE327&lt;=0,0,ROUND($AE327*Übersicht!$C$26,2))</f>
        <v>0</v>
      </c>
      <c r="AD328" s="38">
        <f>IF($AE327&lt;=0,0,MIN($AE327,IF(Übersicht!$C$14="Annuitätendarlehen",MAX(0,Übersicht!$C$28-$AC328),IF(Übersicht!$C$14="Ratendarlehen",Übersicht!$C$29,IF($A328&gt;=Übersicht!$C$30,$AE327,0)))))</f>
        <v>0</v>
      </c>
      <c r="AE328" s="38">
        <f>IF($AE327&lt;=0,0,ROUND($AE327-$AD328-IF($AE327-$AD328&lt;=0,0,IF(MOD($A328,Übersicht!$C$25)=0,MIN(Szenarien!$C$12,$AE327-$AD328),0)),2))</f>
        <v>0</v>
      </c>
    </row>
    <row r="329" spans="1:31" ht="15" customHeight="1" x14ac:dyDescent="0.25">
      <c r="A329" s="26">
        <v>322</v>
      </c>
      <c r="B329" s="39" t="str">
        <f>IF($D329&lt;=0,"",EDATE(Übersicht!$C$18,($A329-1)*12/Übersicht!$C$25))</f>
        <v/>
      </c>
      <c r="C329" s="26" t="str">
        <f t="shared" si="35"/>
        <v/>
      </c>
      <c r="D329" s="40">
        <f t="shared" ref="D329:D392" si="39">$J328</f>
        <v>0</v>
      </c>
      <c r="E329" s="28">
        <f t="shared" si="36"/>
        <v>0</v>
      </c>
      <c r="F329" s="28">
        <f>IF($D329&lt;=0,0,ROUND($D329*Übersicht!$C$26,2))</f>
        <v>0</v>
      </c>
      <c r="G329" s="28">
        <f>IF($D329&lt;=0,0,MIN($D329,IF(Übersicht!$C$14="Annuitätendarlehen",MAX(0,Übersicht!$C$28-$F329),IF(Übersicht!$C$14="Ratendarlehen",Übersicht!$C$29,IF($A329&gt;=Übersicht!$C$30,$D329,0)))))</f>
        <v>0</v>
      </c>
      <c r="H329" s="28">
        <f>IF($D329-$G329&lt;=0,0,IF(MOD($A329,Übersicht!$C$25)=0,MIN(Übersicht!$C$31,$D329-$G329),0))</f>
        <v>0</v>
      </c>
      <c r="I329" s="28">
        <f t="shared" si="37"/>
        <v>0</v>
      </c>
      <c r="J329" s="28">
        <f t="shared" si="38"/>
        <v>0</v>
      </c>
      <c r="K329" s="28">
        <f t="shared" ref="K329:K392" si="40">$K328+$F329</f>
        <v>80072.129999999961</v>
      </c>
      <c r="L329" s="28">
        <f t="shared" ref="L329:L392" si="41">ROUND($L328+$G329+$H329,2)</f>
        <v>250000</v>
      </c>
      <c r="M329" s="29" t="str">
        <f>IF($D329&lt;=0,"",IF(Übersicht!$C$11=0,0,$L329/Übersicht!$C$11))</f>
        <v/>
      </c>
      <c r="N329" s="30" t="str">
        <f>IF($D329&lt;=0,"",IF($J329&lt;=0.005,"Volltilgung erreicht",IF($A329=Übersicht!$C$19*Übersicht!$C$25,"Ende der Zinsbindung",IF($H329&gt;0,"Sondertilgung verrechnet",""))))</f>
        <v/>
      </c>
      <c r="Q329" s="38">
        <f>IF($S328&lt;=0,0,ROUND($S328*Übersicht!$C$26,2))</f>
        <v>0</v>
      </c>
      <c r="R329" s="38">
        <f>IF($S328&lt;=0,0,MIN($S328,IF(Übersicht!$C$14="Annuitätendarlehen",MAX(0,Übersicht!$C$28-$Q329),IF(Übersicht!$C$14="Ratendarlehen",Übersicht!$C$29,IF($A329&gt;=Übersicht!$C$30,$S328,0)))))</f>
        <v>0</v>
      </c>
      <c r="S329" s="38">
        <f>IF($S328&lt;=0,0,ROUND($S328-$R329-IF($S328-$R329&lt;=0,0,IF(MOD($A329,Übersicht!$C$25)=0,MIN(Szenarien!$C$8,$S328-$R329),0)),2))</f>
        <v>0</v>
      </c>
      <c r="T329" s="38">
        <f>IF($V328&lt;=0,0,ROUND($V328*Übersicht!$C$26,2))</f>
        <v>0</v>
      </c>
      <c r="U329" s="38">
        <f>IF($V328&lt;=0,0,MIN($V328,IF(Übersicht!$C$14="Annuitätendarlehen",MAX(0,Übersicht!$C$28-$T329),IF(Übersicht!$C$14="Ratendarlehen",Übersicht!$C$29,IF($A329&gt;=Übersicht!$C$30,$V328,0)))))</f>
        <v>0</v>
      </c>
      <c r="V329" s="38">
        <f>IF($V328&lt;=0,0,ROUND($V328-$U329-IF($V328-$U329&lt;=0,0,IF(MOD($A329,Übersicht!$C$25)=0,MIN(Szenarien!$C$9,$V328-$U329),0)),2))</f>
        <v>0</v>
      </c>
      <c r="W329" s="38">
        <f>IF($Y328&lt;=0,0,ROUND($Y328*Übersicht!$C$26,2))</f>
        <v>0</v>
      </c>
      <c r="X329" s="38">
        <f>IF($Y328&lt;=0,0,MIN($Y328,IF(Übersicht!$C$14="Annuitätendarlehen",MAX(0,Übersicht!$C$28-$W329),IF(Übersicht!$C$14="Ratendarlehen",Übersicht!$C$29,IF($A329&gt;=Übersicht!$C$30,$Y328,0)))))</f>
        <v>0</v>
      </c>
      <c r="Y329" s="38">
        <f>IF($Y328&lt;=0,0,ROUND($Y328-$X329-IF($Y328-$X329&lt;=0,0,IF(MOD($A329,Übersicht!$C$25)=0,MIN(Szenarien!$C$10,$Y328-$X329),0)),2))</f>
        <v>0</v>
      </c>
      <c r="Z329" s="38">
        <f>IF($AB328&lt;=0,0,ROUND($AB328*Übersicht!$C$26,2))</f>
        <v>0</v>
      </c>
      <c r="AA329" s="38">
        <f>IF($AB328&lt;=0,0,MIN($AB328,IF(Übersicht!$C$14="Annuitätendarlehen",MAX(0,Übersicht!$C$28-$Z329),IF(Übersicht!$C$14="Ratendarlehen",Übersicht!$C$29,IF($A329&gt;=Übersicht!$C$30,$AB328,0)))))</f>
        <v>0</v>
      </c>
      <c r="AB329" s="38">
        <f>IF($AB328&lt;=0,0,ROUND($AB328-$AA329-IF($AB328-$AA329&lt;=0,0,IF(MOD($A329,Übersicht!$C$25)=0,MIN(Szenarien!$C$11,$AB328-$AA329),0)),2))</f>
        <v>0</v>
      </c>
      <c r="AC329" s="38">
        <f>IF($AE328&lt;=0,0,ROUND($AE328*Übersicht!$C$26,2))</f>
        <v>0</v>
      </c>
      <c r="AD329" s="38">
        <f>IF($AE328&lt;=0,0,MIN($AE328,IF(Übersicht!$C$14="Annuitätendarlehen",MAX(0,Übersicht!$C$28-$AC329),IF(Übersicht!$C$14="Ratendarlehen",Übersicht!$C$29,IF($A329&gt;=Übersicht!$C$30,$AE328,0)))))</f>
        <v>0</v>
      </c>
      <c r="AE329" s="38">
        <f>IF($AE328&lt;=0,0,ROUND($AE328-$AD329-IF($AE328-$AD329&lt;=0,0,IF(MOD($A329,Übersicht!$C$25)=0,MIN(Szenarien!$C$12,$AE328-$AD329),0)),2))</f>
        <v>0</v>
      </c>
    </row>
    <row r="330" spans="1:31" ht="15" customHeight="1" x14ac:dyDescent="0.25">
      <c r="A330" s="21">
        <v>323</v>
      </c>
      <c r="B330" s="36" t="str">
        <f>IF($D330&lt;=0,"",EDATE(Übersicht!$C$18,($A330-1)*12/Übersicht!$C$25))</f>
        <v/>
      </c>
      <c r="C330" s="21" t="str">
        <f t="shared" si="35"/>
        <v/>
      </c>
      <c r="D330" s="37">
        <f t="shared" si="39"/>
        <v>0</v>
      </c>
      <c r="E330" s="23">
        <f t="shared" si="36"/>
        <v>0</v>
      </c>
      <c r="F330" s="23">
        <f>IF($D330&lt;=0,0,ROUND($D330*Übersicht!$C$26,2))</f>
        <v>0</v>
      </c>
      <c r="G330" s="23">
        <f>IF($D330&lt;=0,0,MIN($D330,IF(Übersicht!$C$14="Annuitätendarlehen",MAX(0,Übersicht!$C$28-$F330),IF(Übersicht!$C$14="Ratendarlehen",Übersicht!$C$29,IF($A330&gt;=Übersicht!$C$30,$D330,0)))))</f>
        <v>0</v>
      </c>
      <c r="H330" s="23">
        <f>IF($D330-$G330&lt;=0,0,IF(MOD($A330,Übersicht!$C$25)=0,MIN(Übersicht!$C$31,$D330-$G330),0))</f>
        <v>0</v>
      </c>
      <c r="I330" s="23">
        <f t="shared" si="37"/>
        <v>0</v>
      </c>
      <c r="J330" s="23">
        <f t="shared" si="38"/>
        <v>0</v>
      </c>
      <c r="K330" s="23">
        <f t="shared" si="40"/>
        <v>80072.129999999961</v>
      </c>
      <c r="L330" s="23">
        <f t="shared" si="41"/>
        <v>250000</v>
      </c>
      <c r="M330" s="24" t="str">
        <f>IF($D330&lt;=0,"",IF(Übersicht!$C$11=0,0,$L330/Übersicht!$C$11))</f>
        <v/>
      </c>
      <c r="N330" s="25" t="str">
        <f>IF($D330&lt;=0,"",IF($J330&lt;=0.005,"Volltilgung erreicht",IF($A330=Übersicht!$C$19*Übersicht!$C$25,"Ende der Zinsbindung",IF($H330&gt;0,"Sondertilgung verrechnet",""))))</f>
        <v/>
      </c>
      <c r="Q330" s="38">
        <f>IF($S329&lt;=0,0,ROUND($S329*Übersicht!$C$26,2))</f>
        <v>0</v>
      </c>
      <c r="R330" s="38">
        <f>IF($S329&lt;=0,0,MIN($S329,IF(Übersicht!$C$14="Annuitätendarlehen",MAX(0,Übersicht!$C$28-$Q330),IF(Übersicht!$C$14="Ratendarlehen",Übersicht!$C$29,IF($A330&gt;=Übersicht!$C$30,$S329,0)))))</f>
        <v>0</v>
      </c>
      <c r="S330" s="38">
        <f>IF($S329&lt;=0,0,ROUND($S329-$R330-IF($S329-$R330&lt;=0,0,IF(MOD($A330,Übersicht!$C$25)=0,MIN(Szenarien!$C$8,$S329-$R330),0)),2))</f>
        <v>0</v>
      </c>
      <c r="T330" s="38">
        <f>IF($V329&lt;=0,0,ROUND($V329*Übersicht!$C$26,2))</f>
        <v>0</v>
      </c>
      <c r="U330" s="38">
        <f>IF($V329&lt;=0,0,MIN($V329,IF(Übersicht!$C$14="Annuitätendarlehen",MAX(0,Übersicht!$C$28-$T330),IF(Übersicht!$C$14="Ratendarlehen",Übersicht!$C$29,IF($A330&gt;=Übersicht!$C$30,$V329,0)))))</f>
        <v>0</v>
      </c>
      <c r="V330" s="38">
        <f>IF($V329&lt;=0,0,ROUND($V329-$U330-IF($V329-$U330&lt;=0,0,IF(MOD($A330,Übersicht!$C$25)=0,MIN(Szenarien!$C$9,$V329-$U330),0)),2))</f>
        <v>0</v>
      </c>
      <c r="W330" s="38">
        <f>IF($Y329&lt;=0,0,ROUND($Y329*Übersicht!$C$26,2))</f>
        <v>0</v>
      </c>
      <c r="X330" s="38">
        <f>IF($Y329&lt;=0,0,MIN($Y329,IF(Übersicht!$C$14="Annuitätendarlehen",MAX(0,Übersicht!$C$28-$W330),IF(Übersicht!$C$14="Ratendarlehen",Übersicht!$C$29,IF($A330&gt;=Übersicht!$C$30,$Y329,0)))))</f>
        <v>0</v>
      </c>
      <c r="Y330" s="38">
        <f>IF($Y329&lt;=0,0,ROUND($Y329-$X330-IF($Y329-$X330&lt;=0,0,IF(MOD($A330,Übersicht!$C$25)=0,MIN(Szenarien!$C$10,$Y329-$X330),0)),2))</f>
        <v>0</v>
      </c>
      <c r="Z330" s="38">
        <f>IF($AB329&lt;=0,0,ROUND($AB329*Übersicht!$C$26,2))</f>
        <v>0</v>
      </c>
      <c r="AA330" s="38">
        <f>IF($AB329&lt;=0,0,MIN($AB329,IF(Übersicht!$C$14="Annuitätendarlehen",MAX(0,Übersicht!$C$28-$Z330),IF(Übersicht!$C$14="Ratendarlehen",Übersicht!$C$29,IF($A330&gt;=Übersicht!$C$30,$AB329,0)))))</f>
        <v>0</v>
      </c>
      <c r="AB330" s="38">
        <f>IF($AB329&lt;=0,0,ROUND($AB329-$AA330-IF($AB329-$AA330&lt;=0,0,IF(MOD($A330,Übersicht!$C$25)=0,MIN(Szenarien!$C$11,$AB329-$AA330),0)),2))</f>
        <v>0</v>
      </c>
      <c r="AC330" s="38">
        <f>IF($AE329&lt;=0,0,ROUND($AE329*Übersicht!$C$26,2))</f>
        <v>0</v>
      </c>
      <c r="AD330" s="38">
        <f>IF($AE329&lt;=0,0,MIN($AE329,IF(Übersicht!$C$14="Annuitätendarlehen",MAX(0,Übersicht!$C$28-$AC330),IF(Übersicht!$C$14="Ratendarlehen",Übersicht!$C$29,IF($A330&gt;=Übersicht!$C$30,$AE329,0)))))</f>
        <v>0</v>
      </c>
      <c r="AE330" s="38">
        <f>IF($AE329&lt;=0,0,ROUND($AE329-$AD330-IF($AE329-$AD330&lt;=0,0,IF(MOD($A330,Übersicht!$C$25)=0,MIN(Szenarien!$C$12,$AE329-$AD330),0)),2))</f>
        <v>0</v>
      </c>
    </row>
    <row r="331" spans="1:31" ht="15" customHeight="1" x14ac:dyDescent="0.25">
      <c r="A331" s="26">
        <v>324</v>
      </c>
      <c r="B331" s="39" t="str">
        <f>IF($D331&lt;=0,"",EDATE(Übersicht!$C$18,($A331-1)*12/Übersicht!$C$25))</f>
        <v/>
      </c>
      <c r="C331" s="26" t="str">
        <f t="shared" si="35"/>
        <v/>
      </c>
      <c r="D331" s="40">
        <f t="shared" si="39"/>
        <v>0</v>
      </c>
      <c r="E331" s="28">
        <f t="shared" si="36"/>
        <v>0</v>
      </c>
      <c r="F331" s="28">
        <f>IF($D331&lt;=0,0,ROUND($D331*Übersicht!$C$26,2))</f>
        <v>0</v>
      </c>
      <c r="G331" s="28">
        <f>IF($D331&lt;=0,0,MIN($D331,IF(Übersicht!$C$14="Annuitätendarlehen",MAX(0,Übersicht!$C$28-$F331),IF(Übersicht!$C$14="Ratendarlehen",Übersicht!$C$29,IF($A331&gt;=Übersicht!$C$30,$D331,0)))))</f>
        <v>0</v>
      </c>
      <c r="H331" s="28">
        <f>IF($D331-$G331&lt;=0,0,IF(MOD($A331,Übersicht!$C$25)=0,MIN(Übersicht!$C$31,$D331-$G331),0))</f>
        <v>0</v>
      </c>
      <c r="I331" s="28">
        <f t="shared" si="37"/>
        <v>0</v>
      </c>
      <c r="J331" s="28">
        <f t="shared" si="38"/>
        <v>0</v>
      </c>
      <c r="K331" s="28">
        <f t="shared" si="40"/>
        <v>80072.129999999961</v>
      </c>
      <c r="L331" s="28">
        <f t="shared" si="41"/>
        <v>250000</v>
      </c>
      <c r="M331" s="29" t="str">
        <f>IF($D331&lt;=0,"",IF(Übersicht!$C$11=0,0,$L331/Übersicht!$C$11))</f>
        <v/>
      </c>
      <c r="N331" s="30" t="str">
        <f>IF($D331&lt;=0,"",IF($J331&lt;=0.005,"Volltilgung erreicht",IF($A331=Übersicht!$C$19*Übersicht!$C$25,"Ende der Zinsbindung",IF($H331&gt;0,"Sondertilgung verrechnet",""))))</f>
        <v/>
      </c>
      <c r="Q331" s="38">
        <f>IF($S330&lt;=0,0,ROUND($S330*Übersicht!$C$26,2))</f>
        <v>0</v>
      </c>
      <c r="R331" s="38">
        <f>IF($S330&lt;=0,0,MIN($S330,IF(Übersicht!$C$14="Annuitätendarlehen",MAX(0,Übersicht!$C$28-$Q331),IF(Übersicht!$C$14="Ratendarlehen",Übersicht!$C$29,IF($A331&gt;=Übersicht!$C$30,$S330,0)))))</f>
        <v>0</v>
      </c>
      <c r="S331" s="38">
        <f>IF($S330&lt;=0,0,ROUND($S330-$R331-IF($S330-$R331&lt;=0,0,IF(MOD($A331,Übersicht!$C$25)=0,MIN(Szenarien!$C$8,$S330-$R331),0)),2))</f>
        <v>0</v>
      </c>
      <c r="T331" s="38">
        <f>IF($V330&lt;=0,0,ROUND($V330*Übersicht!$C$26,2))</f>
        <v>0</v>
      </c>
      <c r="U331" s="38">
        <f>IF($V330&lt;=0,0,MIN($V330,IF(Übersicht!$C$14="Annuitätendarlehen",MAX(0,Übersicht!$C$28-$T331),IF(Übersicht!$C$14="Ratendarlehen",Übersicht!$C$29,IF($A331&gt;=Übersicht!$C$30,$V330,0)))))</f>
        <v>0</v>
      </c>
      <c r="V331" s="38">
        <f>IF($V330&lt;=0,0,ROUND($V330-$U331-IF($V330-$U331&lt;=0,0,IF(MOD($A331,Übersicht!$C$25)=0,MIN(Szenarien!$C$9,$V330-$U331),0)),2))</f>
        <v>0</v>
      </c>
      <c r="W331" s="38">
        <f>IF($Y330&lt;=0,0,ROUND($Y330*Übersicht!$C$26,2))</f>
        <v>0</v>
      </c>
      <c r="X331" s="38">
        <f>IF($Y330&lt;=0,0,MIN($Y330,IF(Übersicht!$C$14="Annuitätendarlehen",MAX(0,Übersicht!$C$28-$W331),IF(Übersicht!$C$14="Ratendarlehen",Übersicht!$C$29,IF($A331&gt;=Übersicht!$C$30,$Y330,0)))))</f>
        <v>0</v>
      </c>
      <c r="Y331" s="38">
        <f>IF($Y330&lt;=0,0,ROUND($Y330-$X331-IF($Y330-$X331&lt;=0,0,IF(MOD($A331,Übersicht!$C$25)=0,MIN(Szenarien!$C$10,$Y330-$X331),0)),2))</f>
        <v>0</v>
      </c>
      <c r="Z331" s="38">
        <f>IF($AB330&lt;=0,0,ROUND($AB330*Übersicht!$C$26,2))</f>
        <v>0</v>
      </c>
      <c r="AA331" s="38">
        <f>IF($AB330&lt;=0,0,MIN($AB330,IF(Übersicht!$C$14="Annuitätendarlehen",MAX(0,Übersicht!$C$28-$Z331),IF(Übersicht!$C$14="Ratendarlehen",Übersicht!$C$29,IF($A331&gt;=Übersicht!$C$30,$AB330,0)))))</f>
        <v>0</v>
      </c>
      <c r="AB331" s="38">
        <f>IF($AB330&lt;=0,0,ROUND($AB330-$AA331-IF($AB330-$AA331&lt;=0,0,IF(MOD($A331,Übersicht!$C$25)=0,MIN(Szenarien!$C$11,$AB330-$AA331),0)),2))</f>
        <v>0</v>
      </c>
      <c r="AC331" s="38">
        <f>IF($AE330&lt;=0,0,ROUND($AE330*Übersicht!$C$26,2))</f>
        <v>0</v>
      </c>
      <c r="AD331" s="38">
        <f>IF($AE330&lt;=0,0,MIN($AE330,IF(Übersicht!$C$14="Annuitätendarlehen",MAX(0,Übersicht!$C$28-$AC331),IF(Übersicht!$C$14="Ratendarlehen",Übersicht!$C$29,IF($A331&gt;=Übersicht!$C$30,$AE330,0)))))</f>
        <v>0</v>
      </c>
      <c r="AE331" s="38">
        <f>IF($AE330&lt;=0,0,ROUND($AE330-$AD331-IF($AE330-$AD331&lt;=0,0,IF(MOD($A331,Übersicht!$C$25)=0,MIN(Szenarien!$C$12,$AE330-$AD331),0)),2))</f>
        <v>0</v>
      </c>
    </row>
    <row r="332" spans="1:31" ht="15" customHeight="1" x14ac:dyDescent="0.25">
      <c r="A332" s="21">
        <v>325</v>
      </c>
      <c r="B332" s="36" t="str">
        <f>IF($D332&lt;=0,"",EDATE(Übersicht!$C$18,($A332-1)*12/Übersicht!$C$25))</f>
        <v/>
      </c>
      <c r="C332" s="21" t="str">
        <f t="shared" si="35"/>
        <v/>
      </c>
      <c r="D332" s="37">
        <f t="shared" si="39"/>
        <v>0</v>
      </c>
      <c r="E332" s="23">
        <f t="shared" si="36"/>
        <v>0</v>
      </c>
      <c r="F332" s="23">
        <f>IF($D332&lt;=0,0,ROUND($D332*Übersicht!$C$26,2))</f>
        <v>0</v>
      </c>
      <c r="G332" s="23">
        <f>IF($D332&lt;=0,0,MIN($D332,IF(Übersicht!$C$14="Annuitätendarlehen",MAX(0,Übersicht!$C$28-$F332),IF(Übersicht!$C$14="Ratendarlehen",Übersicht!$C$29,IF($A332&gt;=Übersicht!$C$30,$D332,0)))))</f>
        <v>0</v>
      </c>
      <c r="H332" s="23">
        <f>IF($D332-$G332&lt;=0,0,IF(MOD($A332,Übersicht!$C$25)=0,MIN(Übersicht!$C$31,$D332-$G332),0))</f>
        <v>0</v>
      </c>
      <c r="I332" s="23">
        <f t="shared" si="37"/>
        <v>0</v>
      </c>
      <c r="J332" s="23">
        <f t="shared" si="38"/>
        <v>0</v>
      </c>
      <c r="K332" s="23">
        <f t="shared" si="40"/>
        <v>80072.129999999961</v>
      </c>
      <c r="L332" s="23">
        <f t="shared" si="41"/>
        <v>250000</v>
      </c>
      <c r="M332" s="24" t="str">
        <f>IF($D332&lt;=0,"",IF(Übersicht!$C$11=0,0,$L332/Übersicht!$C$11))</f>
        <v/>
      </c>
      <c r="N332" s="25" t="str">
        <f>IF($D332&lt;=0,"",IF($J332&lt;=0.005,"Volltilgung erreicht",IF($A332=Übersicht!$C$19*Übersicht!$C$25,"Ende der Zinsbindung",IF($H332&gt;0,"Sondertilgung verrechnet",""))))</f>
        <v/>
      </c>
      <c r="Q332" s="38">
        <f>IF($S331&lt;=0,0,ROUND($S331*Übersicht!$C$26,2))</f>
        <v>0</v>
      </c>
      <c r="R332" s="38">
        <f>IF($S331&lt;=0,0,MIN($S331,IF(Übersicht!$C$14="Annuitätendarlehen",MAX(0,Übersicht!$C$28-$Q332),IF(Übersicht!$C$14="Ratendarlehen",Übersicht!$C$29,IF($A332&gt;=Übersicht!$C$30,$S331,0)))))</f>
        <v>0</v>
      </c>
      <c r="S332" s="38">
        <f>IF($S331&lt;=0,0,ROUND($S331-$R332-IF($S331-$R332&lt;=0,0,IF(MOD($A332,Übersicht!$C$25)=0,MIN(Szenarien!$C$8,$S331-$R332),0)),2))</f>
        <v>0</v>
      </c>
      <c r="T332" s="38">
        <f>IF($V331&lt;=0,0,ROUND($V331*Übersicht!$C$26,2))</f>
        <v>0</v>
      </c>
      <c r="U332" s="38">
        <f>IF($V331&lt;=0,0,MIN($V331,IF(Übersicht!$C$14="Annuitätendarlehen",MAX(0,Übersicht!$C$28-$T332),IF(Übersicht!$C$14="Ratendarlehen",Übersicht!$C$29,IF($A332&gt;=Übersicht!$C$30,$V331,0)))))</f>
        <v>0</v>
      </c>
      <c r="V332" s="38">
        <f>IF($V331&lt;=0,0,ROUND($V331-$U332-IF($V331-$U332&lt;=0,0,IF(MOD($A332,Übersicht!$C$25)=0,MIN(Szenarien!$C$9,$V331-$U332),0)),2))</f>
        <v>0</v>
      </c>
      <c r="W332" s="38">
        <f>IF($Y331&lt;=0,0,ROUND($Y331*Übersicht!$C$26,2))</f>
        <v>0</v>
      </c>
      <c r="X332" s="38">
        <f>IF($Y331&lt;=0,0,MIN($Y331,IF(Übersicht!$C$14="Annuitätendarlehen",MAX(0,Übersicht!$C$28-$W332),IF(Übersicht!$C$14="Ratendarlehen",Übersicht!$C$29,IF($A332&gt;=Übersicht!$C$30,$Y331,0)))))</f>
        <v>0</v>
      </c>
      <c r="Y332" s="38">
        <f>IF($Y331&lt;=0,0,ROUND($Y331-$X332-IF($Y331-$X332&lt;=0,0,IF(MOD($A332,Übersicht!$C$25)=0,MIN(Szenarien!$C$10,$Y331-$X332),0)),2))</f>
        <v>0</v>
      </c>
      <c r="Z332" s="38">
        <f>IF($AB331&lt;=0,0,ROUND($AB331*Übersicht!$C$26,2))</f>
        <v>0</v>
      </c>
      <c r="AA332" s="38">
        <f>IF($AB331&lt;=0,0,MIN($AB331,IF(Übersicht!$C$14="Annuitätendarlehen",MAX(0,Übersicht!$C$28-$Z332),IF(Übersicht!$C$14="Ratendarlehen",Übersicht!$C$29,IF($A332&gt;=Übersicht!$C$30,$AB331,0)))))</f>
        <v>0</v>
      </c>
      <c r="AB332" s="38">
        <f>IF($AB331&lt;=0,0,ROUND($AB331-$AA332-IF($AB331-$AA332&lt;=0,0,IF(MOD($A332,Übersicht!$C$25)=0,MIN(Szenarien!$C$11,$AB331-$AA332),0)),2))</f>
        <v>0</v>
      </c>
      <c r="AC332" s="38">
        <f>IF($AE331&lt;=0,0,ROUND($AE331*Übersicht!$C$26,2))</f>
        <v>0</v>
      </c>
      <c r="AD332" s="38">
        <f>IF($AE331&lt;=0,0,MIN($AE331,IF(Übersicht!$C$14="Annuitätendarlehen",MAX(0,Übersicht!$C$28-$AC332),IF(Übersicht!$C$14="Ratendarlehen",Übersicht!$C$29,IF($A332&gt;=Übersicht!$C$30,$AE331,0)))))</f>
        <v>0</v>
      </c>
      <c r="AE332" s="38">
        <f>IF($AE331&lt;=0,0,ROUND($AE331-$AD332-IF($AE331-$AD332&lt;=0,0,IF(MOD($A332,Übersicht!$C$25)=0,MIN(Szenarien!$C$12,$AE331-$AD332),0)),2))</f>
        <v>0</v>
      </c>
    </row>
    <row r="333" spans="1:31" ht="15" customHeight="1" x14ac:dyDescent="0.25">
      <c r="A333" s="26">
        <v>326</v>
      </c>
      <c r="B333" s="39" t="str">
        <f>IF($D333&lt;=0,"",EDATE(Übersicht!$C$18,($A333-1)*12/Übersicht!$C$25))</f>
        <v/>
      </c>
      <c r="C333" s="26" t="str">
        <f t="shared" si="35"/>
        <v/>
      </c>
      <c r="D333" s="40">
        <f t="shared" si="39"/>
        <v>0</v>
      </c>
      <c r="E333" s="28">
        <f t="shared" si="36"/>
        <v>0</v>
      </c>
      <c r="F333" s="28">
        <f>IF($D333&lt;=0,0,ROUND($D333*Übersicht!$C$26,2))</f>
        <v>0</v>
      </c>
      <c r="G333" s="28">
        <f>IF($D333&lt;=0,0,MIN($D333,IF(Übersicht!$C$14="Annuitätendarlehen",MAX(0,Übersicht!$C$28-$F333),IF(Übersicht!$C$14="Ratendarlehen",Übersicht!$C$29,IF($A333&gt;=Übersicht!$C$30,$D333,0)))))</f>
        <v>0</v>
      </c>
      <c r="H333" s="28">
        <f>IF($D333-$G333&lt;=0,0,IF(MOD($A333,Übersicht!$C$25)=0,MIN(Übersicht!$C$31,$D333-$G333),0))</f>
        <v>0</v>
      </c>
      <c r="I333" s="28">
        <f t="shared" si="37"/>
        <v>0</v>
      </c>
      <c r="J333" s="28">
        <f t="shared" si="38"/>
        <v>0</v>
      </c>
      <c r="K333" s="28">
        <f t="shared" si="40"/>
        <v>80072.129999999961</v>
      </c>
      <c r="L333" s="28">
        <f t="shared" si="41"/>
        <v>250000</v>
      </c>
      <c r="M333" s="29" t="str">
        <f>IF($D333&lt;=0,"",IF(Übersicht!$C$11=0,0,$L333/Übersicht!$C$11))</f>
        <v/>
      </c>
      <c r="N333" s="30" t="str">
        <f>IF($D333&lt;=0,"",IF($J333&lt;=0.005,"Volltilgung erreicht",IF($A333=Übersicht!$C$19*Übersicht!$C$25,"Ende der Zinsbindung",IF($H333&gt;0,"Sondertilgung verrechnet",""))))</f>
        <v/>
      </c>
      <c r="Q333" s="38">
        <f>IF($S332&lt;=0,0,ROUND($S332*Übersicht!$C$26,2))</f>
        <v>0</v>
      </c>
      <c r="R333" s="38">
        <f>IF($S332&lt;=0,0,MIN($S332,IF(Übersicht!$C$14="Annuitätendarlehen",MAX(0,Übersicht!$C$28-$Q333),IF(Übersicht!$C$14="Ratendarlehen",Übersicht!$C$29,IF($A333&gt;=Übersicht!$C$30,$S332,0)))))</f>
        <v>0</v>
      </c>
      <c r="S333" s="38">
        <f>IF($S332&lt;=0,0,ROUND($S332-$R333-IF($S332-$R333&lt;=0,0,IF(MOD($A333,Übersicht!$C$25)=0,MIN(Szenarien!$C$8,$S332-$R333),0)),2))</f>
        <v>0</v>
      </c>
      <c r="T333" s="38">
        <f>IF($V332&lt;=0,0,ROUND($V332*Übersicht!$C$26,2))</f>
        <v>0</v>
      </c>
      <c r="U333" s="38">
        <f>IF($V332&lt;=0,0,MIN($V332,IF(Übersicht!$C$14="Annuitätendarlehen",MAX(0,Übersicht!$C$28-$T333),IF(Übersicht!$C$14="Ratendarlehen",Übersicht!$C$29,IF($A333&gt;=Übersicht!$C$30,$V332,0)))))</f>
        <v>0</v>
      </c>
      <c r="V333" s="38">
        <f>IF($V332&lt;=0,0,ROUND($V332-$U333-IF($V332-$U333&lt;=0,0,IF(MOD($A333,Übersicht!$C$25)=0,MIN(Szenarien!$C$9,$V332-$U333),0)),2))</f>
        <v>0</v>
      </c>
      <c r="W333" s="38">
        <f>IF($Y332&lt;=0,0,ROUND($Y332*Übersicht!$C$26,2))</f>
        <v>0</v>
      </c>
      <c r="X333" s="38">
        <f>IF($Y332&lt;=0,0,MIN($Y332,IF(Übersicht!$C$14="Annuitätendarlehen",MAX(0,Übersicht!$C$28-$W333),IF(Übersicht!$C$14="Ratendarlehen",Übersicht!$C$29,IF($A333&gt;=Übersicht!$C$30,$Y332,0)))))</f>
        <v>0</v>
      </c>
      <c r="Y333" s="38">
        <f>IF($Y332&lt;=0,0,ROUND($Y332-$X333-IF($Y332-$X333&lt;=0,0,IF(MOD($A333,Übersicht!$C$25)=0,MIN(Szenarien!$C$10,$Y332-$X333),0)),2))</f>
        <v>0</v>
      </c>
      <c r="Z333" s="38">
        <f>IF($AB332&lt;=0,0,ROUND($AB332*Übersicht!$C$26,2))</f>
        <v>0</v>
      </c>
      <c r="AA333" s="38">
        <f>IF($AB332&lt;=0,0,MIN($AB332,IF(Übersicht!$C$14="Annuitätendarlehen",MAX(0,Übersicht!$C$28-$Z333),IF(Übersicht!$C$14="Ratendarlehen",Übersicht!$C$29,IF($A333&gt;=Übersicht!$C$30,$AB332,0)))))</f>
        <v>0</v>
      </c>
      <c r="AB333" s="38">
        <f>IF($AB332&lt;=0,0,ROUND($AB332-$AA333-IF($AB332-$AA333&lt;=0,0,IF(MOD($A333,Übersicht!$C$25)=0,MIN(Szenarien!$C$11,$AB332-$AA333),0)),2))</f>
        <v>0</v>
      </c>
      <c r="AC333" s="38">
        <f>IF($AE332&lt;=0,0,ROUND($AE332*Übersicht!$C$26,2))</f>
        <v>0</v>
      </c>
      <c r="AD333" s="38">
        <f>IF($AE332&lt;=0,0,MIN($AE332,IF(Übersicht!$C$14="Annuitätendarlehen",MAX(0,Übersicht!$C$28-$AC333),IF(Übersicht!$C$14="Ratendarlehen",Übersicht!$C$29,IF($A333&gt;=Übersicht!$C$30,$AE332,0)))))</f>
        <v>0</v>
      </c>
      <c r="AE333" s="38">
        <f>IF($AE332&lt;=0,0,ROUND($AE332-$AD333-IF($AE332-$AD333&lt;=0,0,IF(MOD($A333,Übersicht!$C$25)=0,MIN(Szenarien!$C$12,$AE332-$AD333),0)),2))</f>
        <v>0</v>
      </c>
    </row>
    <row r="334" spans="1:31" ht="15" customHeight="1" x14ac:dyDescent="0.25">
      <c r="A334" s="21">
        <v>327</v>
      </c>
      <c r="B334" s="36" t="str">
        <f>IF($D334&lt;=0,"",EDATE(Übersicht!$C$18,($A334-1)*12/Übersicht!$C$25))</f>
        <v/>
      </c>
      <c r="C334" s="21" t="str">
        <f t="shared" si="35"/>
        <v/>
      </c>
      <c r="D334" s="37">
        <f t="shared" si="39"/>
        <v>0</v>
      </c>
      <c r="E334" s="23">
        <f t="shared" si="36"/>
        <v>0</v>
      </c>
      <c r="F334" s="23">
        <f>IF($D334&lt;=0,0,ROUND($D334*Übersicht!$C$26,2))</f>
        <v>0</v>
      </c>
      <c r="G334" s="23">
        <f>IF($D334&lt;=0,0,MIN($D334,IF(Übersicht!$C$14="Annuitätendarlehen",MAX(0,Übersicht!$C$28-$F334),IF(Übersicht!$C$14="Ratendarlehen",Übersicht!$C$29,IF($A334&gt;=Übersicht!$C$30,$D334,0)))))</f>
        <v>0</v>
      </c>
      <c r="H334" s="23">
        <f>IF($D334-$G334&lt;=0,0,IF(MOD($A334,Übersicht!$C$25)=0,MIN(Übersicht!$C$31,$D334-$G334),0))</f>
        <v>0</v>
      </c>
      <c r="I334" s="23">
        <f t="shared" si="37"/>
        <v>0</v>
      </c>
      <c r="J334" s="23">
        <f t="shared" si="38"/>
        <v>0</v>
      </c>
      <c r="K334" s="23">
        <f t="shared" si="40"/>
        <v>80072.129999999961</v>
      </c>
      <c r="L334" s="23">
        <f t="shared" si="41"/>
        <v>250000</v>
      </c>
      <c r="M334" s="24" t="str">
        <f>IF($D334&lt;=0,"",IF(Übersicht!$C$11=0,0,$L334/Übersicht!$C$11))</f>
        <v/>
      </c>
      <c r="N334" s="25" t="str">
        <f>IF($D334&lt;=0,"",IF($J334&lt;=0.005,"Volltilgung erreicht",IF($A334=Übersicht!$C$19*Übersicht!$C$25,"Ende der Zinsbindung",IF($H334&gt;0,"Sondertilgung verrechnet",""))))</f>
        <v/>
      </c>
      <c r="Q334" s="38">
        <f>IF($S333&lt;=0,0,ROUND($S333*Übersicht!$C$26,2))</f>
        <v>0</v>
      </c>
      <c r="R334" s="38">
        <f>IF($S333&lt;=0,0,MIN($S333,IF(Übersicht!$C$14="Annuitätendarlehen",MAX(0,Übersicht!$C$28-$Q334),IF(Übersicht!$C$14="Ratendarlehen",Übersicht!$C$29,IF($A334&gt;=Übersicht!$C$30,$S333,0)))))</f>
        <v>0</v>
      </c>
      <c r="S334" s="38">
        <f>IF($S333&lt;=0,0,ROUND($S333-$R334-IF($S333-$R334&lt;=0,0,IF(MOD($A334,Übersicht!$C$25)=0,MIN(Szenarien!$C$8,$S333-$R334),0)),2))</f>
        <v>0</v>
      </c>
      <c r="T334" s="38">
        <f>IF($V333&lt;=0,0,ROUND($V333*Übersicht!$C$26,2))</f>
        <v>0</v>
      </c>
      <c r="U334" s="38">
        <f>IF($V333&lt;=0,0,MIN($V333,IF(Übersicht!$C$14="Annuitätendarlehen",MAX(0,Übersicht!$C$28-$T334),IF(Übersicht!$C$14="Ratendarlehen",Übersicht!$C$29,IF($A334&gt;=Übersicht!$C$30,$V333,0)))))</f>
        <v>0</v>
      </c>
      <c r="V334" s="38">
        <f>IF($V333&lt;=0,0,ROUND($V333-$U334-IF($V333-$U334&lt;=0,0,IF(MOD($A334,Übersicht!$C$25)=0,MIN(Szenarien!$C$9,$V333-$U334),0)),2))</f>
        <v>0</v>
      </c>
      <c r="W334" s="38">
        <f>IF($Y333&lt;=0,0,ROUND($Y333*Übersicht!$C$26,2))</f>
        <v>0</v>
      </c>
      <c r="X334" s="38">
        <f>IF($Y333&lt;=0,0,MIN($Y333,IF(Übersicht!$C$14="Annuitätendarlehen",MAX(0,Übersicht!$C$28-$W334),IF(Übersicht!$C$14="Ratendarlehen",Übersicht!$C$29,IF($A334&gt;=Übersicht!$C$30,$Y333,0)))))</f>
        <v>0</v>
      </c>
      <c r="Y334" s="38">
        <f>IF($Y333&lt;=0,0,ROUND($Y333-$X334-IF($Y333-$X334&lt;=0,0,IF(MOD($A334,Übersicht!$C$25)=0,MIN(Szenarien!$C$10,$Y333-$X334),0)),2))</f>
        <v>0</v>
      </c>
      <c r="Z334" s="38">
        <f>IF($AB333&lt;=0,0,ROUND($AB333*Übersicht!$C$26,2))</f>
        <v>0</v>
      </c>
      <c r="AA334" s="38">
        <f>IF($AB333&lt;=0,0,MIN($AB333,IF(Übersicht!$C$14="Annuitätendarlehen",MAX(0,Übersicht!$C$28-$Z334),IF(Übersicht!$C$14="Ratendarlehen",Übersicht!$C$29,IF($A334&gt;=Übersicht!$C$30,$AB333,0)))))</f>
        <v>0</v>
      </c>
      <c r="AB334" s="38">
        <f>IF($AB333&lt;=0,0,ROUND($AB333-$AA334-IF($AB333-$AA334&lt;=0,0,IF(MOD($A334,Übersicht!$C$25)=0,MIN(Szenarien!$C$11,$AB333-$AA334),0)),2))</f>
        <v>0</v>
      </c>
      <c r="AC334" s="38">
        <f>IF($AE333&lt;=0,0,ROUND($AE333*Übersicht!$C$26,2))</f>
        <v>0</v>
      </c>
      <c r="AD334" s="38">
        <f>IF($AE333&lt;=0,0,MIN($AE333,IF(Übersicht!$C$14="Annuitätendarlehen",MAX(0,Übersicht!$C$28-$AC334),IF(Übersicht!$C$14="Ratendarlehen",Übersicht!$C$29,IF($A334&gt;=Übersicht!$C$30,$AE333,0)))))</f>
        <v>0</v>
      </c>
      <c r="AE334" s="38">
        <f>IF($AE333&lt;=0,0,ROUND($AE333-$AD334-IF($AE333-$AD334&lt;=0,0,IF(MOD($A334,Übersicht!$C$25)=0,MIN(Szenarien!$C$12,$AE333-$AD334),0)),2))</f>
        <v>0</v>
      </c>
    </row>
    <row r="335" spans="1:31" ht="15" customHeight="1" x14ac:dyDescent="0.25">
      <c r="A335" s="26">
        <v>328</v>
      </c>
      <c r="B335" s="39" t="str">
        <f>IF($D335&lt;=0,"",EDATE(Übersicht!$C$18,($A335-1)*12/Übersicht!$C$25))</f>
        <v/>
      </c>
      <c r="C335" s="26" t="str">
        <f t="shared" si="35"/>
        <v/>
      </c>
      <c r="D335" s="40">
        <f t="shared" si="39"/>
        <v>0</v>
      </c>
      <c r="E335" s="28">
        <f t="shared" si="36"/>
        <v>0</v>
      </c>
      <c r="F335" s="28">
        <f>IF($D335&lt;=0,0,ROUND($D335*Übersicht!$C$26,2))</f>
        <v>0</v>
      </c>
      <c r="G335" s="28">
        <f>IF($D335&lt;=0,0,MIN($D335,IF(Übersicht!$C$14="Annuitätendarlehen",MAX(0,Übersicht!$C$28-$F335),IF(Übersicht!$C$14="Ratendarlehen",Übersicht!$C$29,IF($A335&gt;=Übersicht!$C$30,$D335,0)))))</f>
        <v>0</v>
      </c>
      <c r="H335" s="28">
        <f>IF($D335-$G335&lt;=0,0,IF(MOD($A335,Übersicht!$C$25)=0,MIN(Übersicht!$C$31,$D335-$G335),0))</f>
        <v>0</v>
      </c>
      <c r="I335" s="28">
        <f t="shared" si="37"/>
        <v>0</v>
      </c>
      <c r="J335" s="28">
        <f t="shared" si="38"/>
        <v>0</v>
      </c>
      <c r="K335" s="28">
        <f t="shared" si="40"/>
        <v>80072.129999999961</v>
      </c>
      <c r="L335" s="28">
        <f t="shared" si="41"/>
        <v>250000</v>
      </c>
      <c r="M335" s="29" t="str">
        <f>IF($D335&lt;=0,"",IF(Übersicht!$C$11=0,0,$L335/Übersicht!$C$11))</f>
        <v/>
      </c>
      <c r="N335" s="30" t="str">
        <f>IF($D335&lt;=0,"",IF($J335&lt;=0.005,"Volltilgung erreicht",IF($A335=Übersicht!$C$19*Übersicht!$C$25,"Ende der Zinsbindung",IF($H335&gt;0,"Sondertilgung verrechnet",""))))</f>
        <v/>
      </c>
      <c r="Q335" s="38">
        <f>IF($S334&lt;=0,0,ROUND($S334*Übersicht!$C$26,2))</f>
        <v>0</v>
      </c>
      <c r="R335" s="38">
        <f>IF($S334&lt;=0,0,MIN($S334,IF(Übersicht!$C$14="Annuitätendarlehen",MAX(0,Übersicht!$C$28-$Q335),IF(Übersicht!$C$14="Ratendarlehen",Übersicht!$C$29,IF($A335&gt;=Übersicht!$C$30,$S334,0)))))</f>
        <v>0</v>
      </c>
      <c r="S335" s="38">
        <f>IF($S334&lt;=0,0,ROUND($S334-$R335-IF($S334-$R335&lt;=0,0,IF(MOD($A335,Übersicht!$C$25)=0,MIN(Szenarien!$C$8,$S334-$R335),0)),2))</f>
        <v>0</v>
      </c>
      <c r="T335" s="38">
        <f>IF($V334&lt;=0,0,ROUND($V334*Übersicht!$C$26,2))</f>
        <v>0</v>
      </c>
      <c r="U335" s="38">
        <f>IF($V334&lt;=0,0,MIN($V334,IF(Übersicht!$C$14="Annuitätendarlehen",MAX(0,Übersicht!$C$28-$T335),IF(Übersicht!$C$14="Ratendarlehen",Übersicht!$C$29,IF($A335&gt;=Übersicht!$C$30,$V334,0)))))</f>
        <v>0</v>
      </c>
      <c r="V335" s="38">
        <f>IF($V334&lt;=0,0,ROUND($V334-$U335-IF($V334-$U335&lt;=0,0,IF(MOD($A335,Übersicht!$C$25)=0,MIN(Szenarien!$C$9,$V334-$U335),0)),2))</f>
        <v>0</v>
      </c>
      <c r="W335" s="38">
        <f>IF($Y334&lt;=0,0,ROUND($Y334*Übersicht!$C$26,2))</f>
        <v>0</v>
      </c>
      <c r="X335" s="38">
        <f>IF($Y334&lt;=0,0,MIN($Y334,IF(Übersicht!$C$14="Annuitätendarlehen",MAX(0,Übersicht!$C$28-$W335),IF(Übersicht!$C$14="Ratendarlehen",Übersicht!$C$29,IF($A335&gt;=Übersicht!$C$30,$Y334,0)))))</f>
        <v>0</v>
      </c>
      <c r="Y335" s="38">
        <f>IF($Y334&lt;=0,0,ROUND($Y334-$X335-IF($Y334-$X335&lt;=0,0,IF(MOD($A335,Übersicht!$C$25)=0,MIN(Szenarien!$C$10,$Y334-$X335),0)),2))</f>
        <v>0</v>
      </c>
      <c r="Z335" s="38">
        <f>IF($AB334&lt;=0,0,ROUND($AB334*Übersicht!$C$26,2))</f>
        <v>0</v>
      </c>
      <c r="AA335" s="38">
        <f>IF($AB334&lt;=0,0,MIN($AB334,IF(Übersicht!$C$14="Annuitätendarlehen",MAX(0,Übersicht!$C$28-$Z335),IF(Übersicht!$C$14="Ratendarlehen",Übersicht!$C$29,IF($A335&gt;=Übersicht!$C$30,$AB334,0)))))</f>
        <v>0</v>
      </c>
      <c r="AB335" s="38">
        <f>IF($AB334&lt;=0,0,ROUND($AB334-$AA335-IF($AB334-$AA335&lt;=0,0,IF(MOD($A335,Übersicht!$C$25)=0,MIN(Szenarien!$C$11,$AB334-$AA335),0)),2))</f>
        <v>0</v>
      </c>
      <c r="AC335" s="38">
        <f>IF($AE334&lt;=0,0,ROUND($AE334*Übersicht!$C$26,2))</f>
        <v>0</v>
      </c>
      <c r="AD335" s="38">
        <f>IF($AE334&lt;=0,0,MIN($AE334,IF(Übersicht!$C$14="Annuitätendarlehen",MAX(0,Übersicht!$C$28-$AC335),IF(Übersicht!$C$14="Ratendarlehen",Übersicht!$C$29,IF($A335&gt;=Übersicht!$C$30,$AE334,0)))))</f>
        <v>0</v>
      </c>
      <c r="AE335" s="38">
        <f>IF($AE334&lt;=0,0,ROUND($AE334-$AD335-IF($AE334-$AD335&lt;=0,0,IF(MOD($A335,Übersicht!$C$25)=0,MIN(Szenarien!$C$12,$AE334-$AD335),0)),2))</f>
        <v>0</v>
      </c>
    </row>
    <row r="336" spans="1:31" ht="15" customHeight="1" x14ac:dyDescent="0.25">
      <c r="A336" s="21">
        <v>329</v>
      </c>
      <c r="B336" s="36" t="str">
        <f>IF($D336&lt;=0,"",EDATE(Übersicht!$C$18,($A336-1)*12/Übersicht!$C$25))</f>
        <v/>
      </c>
      <c r="C336" s="21" t="str">
        <f t="shared" si="35"/>
        <v/>
      </c>
      <c r="D336" s="37">
        <f t="shared" si="39"/>
        <v>0</v>
      </c>
      <c r="E336" s="23">
        <f t="shared" si="36"/>
        <v>0</v>
      </c>
      <c r="F336" s="23">
        <f>IF($D336&lt;=0,0,ROUND($D336*Übersicht!$C$26,2))</f>
        <v>0</v>
      </c>
      <c r="G336" s="23">
        <f>IF($D336&lt;=0,0,MIN($D336,IF(Übersicht!$C$14="Annuitätendarlehen",MAX(0,Übersicht!$C$28-$F336),IF(Übersicht!$C$14="Ratendarlehen",Übersicht!$C$29,IF($A336&gt;=Übersicht!$C$30,$D336,0)))))</f>
        <v>0</v>
      </c>
      <c r="H336" s="23">
        <f>IF($D336-$G336&lt;=0,0,IF(MOD($A336,Übersicht!$C$25)=0,MIN(Übersicht!$C$31,$D336-$G336),0))</f>
        <v>0</v>
      </c>
      <c r="I336" s="23">
        <f t="shared" si="37"/>
        <v>0</v>
      </c>
      <c r="J336" s="23">
        <f t="shared" si="38"/>
        <v>0</v>
      </c>
      <c r="K336" s="23">
        <f t="shared" si="40"/>
        <v>80072.129999999961</v>
      </c>
      <c r="L336" s="23">
        <f t="shared" si="41"/>
        <v>250000</v>
      </c>
      <c r="M336" s="24" t="str">
        <f>IF($D336&lt;=0,"",IF(Übersicht!$C$11=0,0,$L336/Übersicht!$C$11))</f>
        <v/>
      </c>
      <c r="N336" s="25" t="str">
        <f>IF($D336&lt;=0,"",IF($J336&lt;=0.005,"Volltilgung erreicht",IF($A336=Übersicht!$C$19*Übersicht!$C$25,"Ende der Zinsbindung",IF($H336&gt;0,"Sondertilgung verrechnet",""))))</f>
        <v/>
      </c>
      <c r="Q336" s="38">
        <f>IF($S335&lt;=0,0,ROUND($S335*Übersicht!$C$26,2))</f>
        <v>0</v>
      </c>
      <c r="R336" s="38">
        <f>IF($S335&lt;=0,0,MIN($S335,IF(Übersicht!$C$14="Annuitätendarlehen",MAX(0,Übersicht!$C$28-$Q336),IF(Übersicht!$C$14="Ratendarlehen",Übersicht!$C$29,IF($A336&gt;=Übersicht!$C$30,$S335,0)))))</f>
        <v>0</v>
      </c>
      <c r="S336" s="38">
        <f>IF($S335&lt;=0,0,ROUND($S335-$R336-IF($S335-$R336&lt;=0,0,IF(MOD($A336,Übersicht!$C$25)=0,MIN(Szenarien!$C$8,$S335-$R336),0)),2))</f>
        <v>0</v>
      </c>
      <c r="T336" s="38">
        <f>IF($V335&lt;=0,0,ROUND($V335*Übersicht!$C$26,2))</f>
        <v>0</v>
      </c>
      <c r="U336" s="38">
        <f>IF($V335&lt;=0,0,MIN($V335,IF(Übersicht!$C$14="Annuitätendarlehen",MAX(0,Übersicht!$C$28-$T336),IF(Übersicht!$C$14="Ratendarlehen",Übersicht!$C$29,IF($A336&gt;=Übersicht!$C$30,$V335,0)))))</f>
        <v>0</v>
      </c>
      <c r="V336" s="38">
        <f>IF($V335&lt;=0,0,ROUND($V335-$U336-IF($V335-$U336&lt;=0,0,IF(MOD($A336,Übersicht!$C$25)=0,MIN(Szenarien!$C$9,$V335-$U336),0)),2))</f>
        <v>0</v>
      </c>
      <c r="W336" s="38">
        <f>IF($Y335&lt;=0,0,ROUND($Y335*Übersicht!$C$26,2))</f>
        <v>0</v>
      </c>
      <c r="X336" s="38">
        <f>IF($Y335&lt;=0,0,MIN($Y335,IF(Übersicht!$C$14="Annuitätendarlehen",MAX(0,Übersicht!$C$28-$W336),IF(Übersicht!$C$14="Ratendarlehen",Übersicht!$C$29,IF($A336&gt;=Übersicht!$C$30,$Y335,0)))))</f>
        <v>0</v>
      </c>
      <c r="Y336" s="38">
        <f>IF($Y335&lt;=0,0,ROUND($Y335-$X336-IF($Y335-$X336&lt;=0,0,IF(MOD($A336,Übersicht!$C$25)=0,MIN(Szenarien!$C$10,$Y335-$X336),0)),2))</f>
        <v>0</v>
      </c>
      <c r="Z336" s="38">
        <f>IF($AB335&lt;=0,0,ROUND($AB335*Übersicht!$C$26,2))</f>
        <v>0</v>
      </c>
      <c r="AA336" s="38">
        <f>IF($AB335&lt;=0,0,MIN($AB335,IF(Übersicht!$C$14="Annuitätendarlehen",MAX(0,Übersicht!$C$28-$Z336),IF(Übersicht!$C$14="Ratendarlehen",Übersicht!$C$29,IF($A336&gt;=Übersicht!$C$30,$AB335,0)))))</f>
        <v>0</v>
      </c>
      <c r="AB336" s="38">
        <f>IF($AB335&lt;=0,0,ROUND($AB335-$AA336-IF($AB335-$AA336&lt;=0,0,IF(MOD($A336,Übersicht!$C$25)=0,MIN(Szenarien!$C$11,$AB335-$AA336),0)),2))</f>
        <v>0</v>
      </c>
      <c r="AC336" s="38">
        <f>IF($AE335&lt;=0,0,ROUND($AE335*Übersicht!$C$26,2))</f>
        <v>0</v>
      </c>
      <c r="AD336" s="38">
        <f>IF($AE335&lt;=0,0,MIN($AE335,IF(Übersicht!$C$14="Annuitätendarlehen",MAX(0,Übersicht!$C$28-$AC336),IF(Übersicht!$C$14="Ratendarlehen",Übersicht!$C$29,IF($A336&gt;=Übersicht!$C$30,$AE335,0)))))</f>
        <v>0</v>
      </c>
      <c r="AE336" s="38">
        <f>IF($AE335&lt;=0,0,ROUND($AE335-$AD336-IF($AE335-$AD336&lt;=0,0,IF(MOD($A336,Übersicht!$C$25)=0,MIN(Szenarien!$C$12,$AE335-$AD336),0)),2))</f>
        <v>0</v>
      </c>
    </row>
    <row r="337" spans="1:31" ht="15" customHeight="1" x14ac:dyDescent="0.25">
      <c r="A337" s="26">
        <v>330</v>
      </c>
      <c r="B337" s="39" t="str">
        <f>IF($D337&lt;=0,"",EDATE(Übersicht!$C$18,($A337-1)*12/Übersicht!$C$25))</f>
        <v/>
      </c>
      <c r="C337" s="26" t="str">
        <f t="shared" si="35"/>
        <v/>
      </c>
      <c r="D337" s="40">
        <f t="shared" si="39"/>
        <v>0</v>
      </c>
      <c r="E337" s="28">
        <f t="shared" si="36"/>
        <v>0</v>
      </c>
      <c r="F337" s="28">
        <f>IF($D337&lt;=0,0,ROUND($D337*Übersicht!$C$26,2))</f>
        <v>0</v>
      </c>
      <c r="G337" s="28">
        <f>IF($D337&lt;=0,0,MIN($D337,IF(Übersicht!$C$14="Annuitätendarlehen",MAX(0,Übersicht!$C$28-$F337),IF(Übersicht!$C$14="Ratendarlehen",Übersicht!$C$29,IF($A337&gt;=Übersicht!$C$30,$D337,0)))))</f>
        <v>0</v>
      </c>
      <c r="H337" s="28">
        <f>IF($D337-$G337&lt;=0,0,IF(MOD($A337,Übersicht!$C$25)=0,MIN(Übersicht!$C$31,$D337-$G337),0))</f>
        <v>0</v>
      </c>
      <c r="I337" s="28">
        <f t="shared" si="37"/>
        <v>0</v>
      </c>
      <c r="J337" s="28">
        <f t="shared" si="38"/>
        <v>0</v>
      </c>
      <c r="K337" s="28">
        <f t="shared" si="40"/>
        <v>80072.129999999961</v>
      </c>
      <c r="L337" s="28">
        <f t="shared" si="41"/>
        <v>250000</v>
      </c>
      <c r="M337" s="29" t="str">
        <f>IF($D337&lt;=0,"",IF(Übersicht!$C$11=0,0,$L337/Übersicht!$C$11))</f>
        <v/>
      </c>
      <c r="N337" s="30" t="str">
        <f>IF($D337&lt;=0,"",IF($J337&lt;=0.005,"Volltilgung erreicht",IF($A337=Übersicht!$C$19*Übersicht!$C$25,"Ende der Zinsbindung",IF($H337&gt;0,"Sondertilgung verrechnet",""))))</f>
        <v/>
      </c>
      <c r="Q337" s="38">
        <f>IF($S336&lt;=0,0,ROUND($S336*Übersicht!$C$26,2))</f>
        <v>0</v>
      </c>
      <c r="R337" s="38">
        <f>IF($S336&lt;=0,0,MIN($S336,IF(Übersicht!$C$14="Annuitätendarlehen",MAX(0,Übersicht!$C$28-$Q337),IF(Übersicht!$C$14="Ratendarlehen",Übersicht!$C$29,IF($A337&gt;=Übersicht!$C$30,$S336,0)))))</f>
        <v>0</v>
      </c>
      <c r="S337" s="38">
        <f>IF($S336&lt;=0,0,ROUND($S336-$R337-IF($S336-$R337&lt;=0,0,IF(MOD($A337,Übersicht!$C$25)=0,MIN(Szenarien!$C$8,$S336-$R337),0)),2))</f>
        <v>0</v>
      </c>
      <c r="T337" s="38">
        <f>IF($V336&lt;=0,0,ROUND($V336*Übersicht!$C$26,2))</f>
        <v>0</v>
      </c>
      <c r="U337" s="38">
        <f>IF($V336&lt;=0,0,MIN($V336,IF(Übersicht!$C$14="Annuitätendarlehen",MAX(0,Übersicht!$C$28-$T337),IF(Übersicht!$C$14="Ratendarlehen",Übersicht!$C$29,IF($A337&gt;=Übersicht!$C$30,$V336,0)))))</f>
        <v>0</v>
      </c>
      <c r="V337" s="38">
        <f>IF($V336&lt;=0,0,ROUND($V336-$U337-IF($V336-$U337&lt;=0,0,IF(MOD($A337,Übersicht!$C$25)=0,MIN(Szenarien!$C$9,$V336-$U337),0)),2))</f>
        <v>0</v>
      </c>
      <c r="W337" s="38">
        <f>IF($Y336&lt;=0,0,ROUND($Y336*Übersicht!$C$26,2))</f>
        <v>0</v>
      </c>
      <c r="X337" s="38">
        <f>IF($Y336&lt;=0,0,MIN($Y336,IF(Übersicht!$C$14="Annuitätendarlehen",MAX(0,Übersicht!$C$28-$W337),IF(Übersicht!$C$14="Ratendarlehen",Übersicht!$C$29,IF($A337&gt;=Übersicht!$C$30,$Y336,0)))))</f>
        <v>0</v>
      </c>
      <c r="Y337" s="38">
        <f>IF($Y336&lt;=0,0,ROUND($Y336-$X337-IF($Y336-$X337&lt;=0,0,IF(MOD($A337,Übersicht!$C$25)=0,MIN(Szenarien!$C$10,$Y336-$X337),0)),2))</f>
        <v>0</v>
      </c>
      <c r="Z337" s="38">
        <f>IF($AB336&lt;=0,0,ROUND($AB336*Übersicht!$C$26,2))</f>
        <v>0</v>
      </c>
      <c r="AA337" s="38">
        <f>IF($AB336&lt;=0,0,MIN($AB336,IF(Übersicht!$C$14="Annuitätendarlehen",MAX(0,Übersicht!$C$28-$Z337),IF(Übersicht!$C$14="Ratendarlehen",Übersicht!$C$29,IF($A337&gt;=Übersicht!$C$30,$AB336,0)))))</f>
        <v>0</v>
      </c>
      <c r="AB337" s="38">
        <f>IF($AB336&lt;=0,0,ROUND($AB336-$AA337-IF($AB336-$AA337&lt;=0,0,IF(MOD($A337,Übersicht!$C$25)=0,MIN(Szenarien!$C$11,$AB336-$AA337),0)),2))</f>
        <v>0</v>
      </c>
      <c r="AC337" s="38">
        <f>IF($AE336&lt;=0,0,ROUND($AE336*Übersicht!$C$26,2))</f>
        <v>0</v>
      </c>
      <c r="AD337" s="38">
        <f>IF($AE336&lt;=0,0,MIN($AE336,IF(Übersicht!$C$14="Annuitätendarlehen",MAX(0,Übersicht!$C$28-$AC337),IF(Übersicht!$C$14="Ratendarlehen",Übersicht!$C$29,IF($A337&gt;=Übersicht!$C$30,$AE336,0)))))</f>
        <v>0</v>
      </c>
      <c r="AE337" s="38">
        <f>IF($AE336&lt;=0,0,ROUND($AE336-$AD337-IF($AE336-$AD337&lt;=0,0,IF(MOD($A337,Übersicht!$C$25)=0,MIN(Szenarien!$C$12,$AE336-$AD337),0)),2))</f>
        <v>0</v>
      </c>
    </row>
    <row r="338" spans="1:31" ht="15" customHeight="1" x14ac:dyDescent="0.25">
      <c r="A338" s="21">
        <v>331</v>
      </c>
      <c r="B338" s="36" t="str">
        <f>IF($D338&lt;=0,"",EDATE(Übersicht!$C$18,($A338-1)*12/Übersicht!$C$25))</f>
        <v/>
      </c>
      <c r="C338" s="21" t="str">
        <f t="shared" si="35"/>
        <v/>
      </c>
      <c r="D338" s="37">
        <f t="shared" si="39"/>
        <v>0</v>
      </c>
      <c r="E338" s="23">
        <f t="shared" si="36"/>
        <v>0</v>
      </c>
      <c r="F338" s="23">
        <f>IF($D338&lt;=0,0,ROUND($D338*Übersicht!$C$26,2))</f>
        <v>0</v>
      </c>
      <c r="G338" s="23">
        <f>IF($D338&lt;=0,0,MIN($D338,IF(Übersicht!$C$14="Annuitätendarlehen",MAX(0,Übersicht!$C$28-$F338),IF(Übersicht!$C$14="Ratendarlehen",Übersicht!$C$29,IF($A338&gt;=Übersicht!$C$30,$D338,0)))))</f>
        <v>0</v>
      </c>
      <c r="H338" s="23">
        <f>IF($D338-$G338&lt;=0,0,IF(MOD($A338,Übersicht!$C$25)=0,MIN(Übersicht!$C$31,$D338-$G338),0))</f>
        <v>0</v>
      </c>
      <c r="I338" s="23">
        <f t="shared" si="37"/>
        <v>0</v>
      </c>
      <c r="J338" s="23">
        <f t="shared" si="38"/>
        <v>0</v>
      </c>
      <c r="K338" s="23">
        <f t="shared" si="40"/>
        <v>80072.129999999961</v>
      </c>
      <c r="L338" s="23">
        <f t="shared" si="41"/>
        <v>250000</v>
      </c>
      <c r="M338" s="24" t="str">
        <f>IF($D338&lt;=0,"",IF(Übersicht!$C$11=0,0,$L338/Übersicht!$C$11))</f>
        <v/>
      </c>
      <c r="N338" s="25" t="str">
        <f>IF($D338&lt;=0,"",IF($J338&lt;=0.005,"Volltilgung erreicht",IF($A338=Übersicht!$C$19*Übersicht!$C$25,"Ende der Zinsbindung",IF($H338&gt;0,"Sondertilgung verrechnet",""))))</f>
        <v/>
      </c>
      <c r="Q338" s="38">
        <f>IF($S337&lt;=0,0,ROUND($S337*Übersicht!$C$26,2))</f>
        <v>0</v>
      </c>
      <c r="R338" s="38">
        <f>IF($S337&lt;=0,0,MIN($S337,IF(Übersicht!$C$14="Annuitätendarlehen",MAX(0,Übersicht!$C$28-$Q338),IF(Übersicht!$C$14="Ratendarlehen",Übersicht!$C$29,IF($A338&gt;=Übersicht!$C$30,$S337,0)))))</f>
        <v>0</v>
      </c>
      <c r="S338" s="38">
        <f>IF($S337&lt;=0,0,ROUND($S337-$R338-IF($S337-$R338&lt;=0,0,IF(MOD($A338,Übersicht!$C$25)=0,MIN(Szenarien!$C$8,$S337-$R338),0)),2))</f>
        <v>0</v>
      </c>
      <c r="T338" s="38">
        <f>IF($V337&lt;=0,0,ROUND($V337*Übersicht!$C$26,2))</f>
        <v>0</v>
      </c>
      <c r="U338" s="38">
        <f>IF($V337&lt;=0,0,MIN($V337,IF(Übersicht!$C$14="Annuitätendarlehen",MAX(0,Übersicht!$C$28-$T338),IF(Übersicht!$C$14="Ratendarlehen",Übersicht!$C$29,IF($A338&gt;=Übersicht!$C$30,$V337,0)))))</f>
        <v>0</v>
      </c>
      <c r="V338" s="38">
        <f>IF($V337&lt;=0,0,ROUND($V337-$U338-IF($V337-$U338&lt;=0,0,IF(MOD($A338,Übersicht!$C$25)=0,MIN(Szenarien!$C$9,$V337-$U338),0)),2))</f>
        <v>0</v>
      </c>
      <c r="W338" s="38">
        <f>IF($Y337&lt;=0,0,ROUND($Y337*Übersicht!$C$26,2))</f>
        <v>0</v>
      </c>
      <c r="X338" s="38">
        <f>IF($Y337&lt;=0,0,MIN($Y337,IF(Übersicht!$C$14="Annuitätendarlehen",MAX(0,Übersicht!$C$28-$W338),IF(Übersicht!$C$14="Ratendarlehen",Übersicht!$C$29,IF($A338&gt;=Übersicht!$C$30,$Y337,0)))))</f>
        <v>0</v>
      </c>
      <c r="Y338" s="38">
        <f>IF($Y337&lt;=0,0,ROUND($Y337-$X338-IF($Y337-$X338&lt;=0,0,IF(MOD($A338,Übersicht!$C$25)=0,MIN(Szenarien!$C$10,$Y337-$X338),0)),2))</f>
        <v>0</v>
      </c>
      <c r="Z338" s="38">
        <f>IF($AB337&lt;=0,0,ROUND($AB337*Übersicht!$C$26,2))</f>
        <v>0</v>
      </c>
      <c r="AA338" s="38">
        <f>IF($AB337&lt;=0,0,MIN($AB337,IF(Übersicht!$C$14="Annuitätendarlehen",MAX(0,Übersicht!$C$28-$Z338),IF(Übersicht!$C$14="Ratendarlehen",Übersicht!$C$29,IF($A338&gt;=Übersicht!$C$30,$AB337,0)))))</f>
        <v>0</v>
      </c>
      <c r="AB338" s="38">
        <f>IF($AB337&lt;=0,0,ROUND($AB337-$AA338-IF($AB337-$AA338&lt;=0,0,IF(MOD($A338,Übersicht!$C$25)=0,MIN(Szenarien!$C$11,$AB337-$AA338),0)),2))</f>
        <v>0</v>
      </c>
      <c r="AC338" s="38">
        <f>IF($AE337&lt;=0,0,ROUND($AE337*Übersicht!$C$26,2))</f>
        <v>0</v>
      </c>
      <c r="AD338" s="38">
        <f>IF($AE337&lt;=0,0,MIN($AE337,IF(Übersicht!$C$14="Annuitätendarlehen",MAX(0,Übersicht!$C$28-$AC338),IF(Übersicht!$C$14="Ratendarlehen",Übersicht!$C$29,IF($A338&gt;=Übersicht!$C$30,$AE337,0)))))</f>
        <v>0</v>
      </c>
      <c r="AE338" s="38">
        <f>IF($AE337&lt;=0,0,ROUND($AE337-$AD338-IF($AE337-$AD338&lt;=0,0,IF(MOD($A338,Übersicht!$C$25)=0,MIN(Szenarien!$C$12,$AE337-$AD338),0)),2))</f>
        <v>0</v>
      </c>
    </row>
    <row r="339" spans="1:31" ht="15" customHeight="1" x14ac:dyDescent="0.25">
      <c r="A339" s="26">
        <v>332</v>
      </c>
      <c r="B339" s="39" t="str">
        <f>IF($D339&lt;=0,"",EDATE(Übersicht!$C$18,($A339-1)*12/Übersicht!$C$25))</f>
        <v/>
      </c>
      <c r="C339" s="26" t="str">
        <f t="shared" si="35"/>
        <v/>
      </c>
      <c r="D339" s="40">
        <f t="shared" si="39"/>
        <v>0</v>
      </c>
      <c r="E339" s="28">
        <f t="shared" si="36"/>
        <v>0</v>
      </c>
      <c r="F339" s="28">
        <f>IF($D339&lt;=0,0,ROUND($D339*Übersicht!$C$26,2))</f>
        <v>0</v>
      </c>
      <c r="G339" s="28">
        <f>IF($D339&lt;=0,0,MIN($D339,IF(Übersicht!$C$14="Annuitätendarlehen",MAX(0,Übersicht!$C$28-$F339),IF(Übersicht!$C$14="Ratendarlehen",Übersicht!$C$29,IF($A339&gt;=Übersicht!$C$30,$D339,0)))))</f>
        <v>0</v>
      </c>
      <c r="H339" s="28">
        <f>IF($D339-$G339&lt;=0,0,IF(MOD($A339,Übersicht!$C$25)=0,MIN(Übersicht!$C$31,$D339-$G339),0))</f>
        <v>0</v>
      </c>
      <c r="I339" s="28">
        <f t="shared" si="37"/>
        <v>0</v>
      </c>
      <c r="J339" s="28">
        <f t="shared" si="38"/>
        <v>0</v>
      </c>
      <c r="K339" s="28">
        <f t="shared" si="40"/>
        <v>80072.129999999961</v>
      </c>
      <c r="L339" s="28">
        <f t="shared" si="41"/>
        <v>250000</v>
      </c>
      <c r="M339" s="29" t="str">
        <f>IF($D339&lt;=0,"",IF(Übersicht!$C$11=0,0,$L339/Übersicht!$C$11))</f>
        <v/>
      </c>
      <c r="N339" s="30" t="str">
        <f>IF($D339&lt;=0,"",IF($J339&lt;=0.005,"Volltilgung erreicht",IF($A339=Übersicht!$C$19*Übersicht!$C$25,"Ende der Zinsbindung",IF($H339&gt;0,"Sondertilgung verrechnet",""))))</f>
        <v/>
      </c>
      <c r="Q339" s="38">
        <f>IF($S338&lt;=0,0,ROUND($S338*Übersicht!$C$26,2))</f>
        <v>0</v>
      </c>
      <c r="R339" s="38">
        <f>IF($S338&lt;=0,0,MIN($S338,IF(Übersicht!$C$14="Annuitätendarlehen",MAX(0,Übersicht!$C$28-$Q339),IF(Übersicht!$C$14="Ratendarlehen",Übersicht!$C$29,IF($A339&gt;=Übersicht!$C$30,$S338,0)))))</f>
        <v>0</v>
      </c>
      <c r="S339" s="38">
        <f>IF($S338&lt;=0,0,ROUND($S338-$R339-IF($S338-$R339&lt;=0,0,IF(MOD($A339,Übersicht!$C$25)=0,MIN(Szenarien!$C$8,$S338-$R339),0)),2))</f>
        <v>0</v>
      </c>
      <c r="T339" s="38">
        <f>IF($V338&lt;=0,0,ROUND($V338*Übersicht!$C$26,2))</f>
        <v>0</v>
      </c>
      <c r="U339" s="38">
        <f>IF($V338&lt;=0,0,MIN($V338,IF(Übersicht!$C$14="Annuitätendarlehen",MAX(0,Übersicht!$C$28-$T339),IF(Übersicht!$C$14="Ratendarlehen",Übersicht!$C$29,IF($A339&gt;=Übersicht!$C$30,$V338,0)))))</f>
        <v>0</v>
      </c>
      <c r="V339" s="38">
        <f>IF($V338&lt;=0,0,ROUND($V338-$U339-IF($V338-$U339&lt;=0,0,IF(MOD($A339,Übersicht!$C$25)=0,MIN(Szenarien!$C$9,$V338-$U339),0)),2))</f>
        <v>0</v>
      </c>
      <c r="W339" s="38">
        <f>IF($Y338&lt;=0,0,ROUND($Y338*Übersicht!$C$26,2))</f>
        <v>0</v>
      </c>
      <c r="X339" s="38">
        <f>IF($Y338&lt;=0,0,MIN($Y338,IF(Übersicht!$C$14="Annuitätendarlehen",MAX(0,Übersicht!$C$28-$W339),IF(Übersicht!$C$14="Ratendarlehen",Übersicht!$C$29,IF($A339&gt;=Übersicht!$C$30,$Y338,0)))))</f>
        <v>0</v>
      </c>
      <c r="Y339" s="38">
        <f>IF($Y338&lt;=0,0,ROUND($Y338-$X339-IF($Y338-$X339&lt;=0,0,IF(MOD($A339,Übersicht!$C$25)=0,MIN(Szenarien!$C$10,$Y338-$X339),0)),2))</f>
        <v>0</v>
      </c>
      <c r="Z339" s="38">
        <f>IF($AB338&lt;=0,0,ROUND($AB338*Übersicht!$C$26,2))</f>
        <v>0</v>
      </c>
      <c r="AA339" s="38">
        <f>IF($AB338&lt;=0,0,MIN($AB338,IF(Übersicht!$C$14="Annuitätendarlehen",MAX(0,Übersicht!$C$28-$Z339),IF(Übersicht!$C$14="Ratendarlehen",Übersicht!$C$29,IF($A339&gt;=Übersicht!$C$30,$AB338,0)))))</f>
        <v>0</v>
      </c>
      <c r="AB339" s="38">
        <f>IF($AB338&lt;=0,0,ROUND($AB338-$AA339-IF($AB338-$AA339&lt;=0,0,IF(MOD($A339,Übersicht!$C$25)=0,MIN(Szenarien!$C$11,$AB338-$AA339),0)),2))</f>
        <v>0</v>
      </c>
      <c r="AC339" s="38">
        <f>IF($AE338&lt;=0,0,ROUND($AE338*Übersicht!$C$26,2))</f>
        <v>0</v>
      </c>
      <c r="AD339" s="38">
        <f>IF($AE338&lt;=0,0,MIN($AE338,IF(Übersicht!$C$14="Annuitätendarlehen",MAX(0,Übersicht!$C$28-$AC339),IF(Übersicht!$C$14="Ratendarlehen",Übersicht!$C$29,IF($A339&gt;=Übersicht!$C$30,$AE338,0)))))</f>
        <v>0</v>
      </c>
      <c r="AE339" s="38">
        <f>IF($AE338&lt;=0,0,ROUND($AE338-$AD339-IF($AE338-$AD339&lt;=0,0,IF(MOD($A339,Übersicht!$C$25)=0,MIN(Szenarien!$C$12,$AE338-$AD339),0)),2))</f>
        <v>0</v>
      </c>
    </row>
    <row r="340" spans="1:31" ht="15" customHeight="1" x14ac:dyDescent="0.25">
      <c r="A340" s="21">
        <v>333</v>
      </c>
      <c r="B340" s="36" t="str">
        <f>IF($D340&lt;=0,"",EDATE(Übersicht!$C$18,($A340-1)*12/Übersicht!$C$25))</f>
        <v/>
      </c>
      <c r="C340" s="21" t="str">
        <f t="shared" si="35"/>
        <v/>
      </c>
      <c r="D340" s="37">
        <f t="shared" si="39"/>
        <v>0</v>
      </c>
      <c r="E340" s="23">
        <f t="shared" si="36"/>
        <v>0</v>
      </c>
      <c r="F340" s="23">
        <f>IF($D340&lt;=0,0,ROUND($D340*Übersicht!$C$26,2))</f>
        <v>0</v>
      </c>
      <c r="G340" s="23">
        <f>IF($D340&lt;=0,0,MIN($D340,IF(Übersicht!$C$14="Annuitätendarlehen",MAX(0,Übersicht!$C$28-$F340),IF(Übersicht!$C$14="Ratendarlehen",Übersicht!$C$29,IF($A340&gt;=Übersicht!$C$30,$D340,0)))))</f>
        <v>0</v>
      </c>
      <c r="H340" s="23">
        <f>IF($D340-$G340&lt;=0,0,IF(MOD($A340,Übersicht!$C$25)=0,MIN(Übersicht!$C$31,$D340-$G340),0))</f>
        <v>0</v>
      </c>
      <c r="I340" s="23">
        <f t="shared" si="37"/>
        <v>0</v>
      </c>
      <c r="J340" s="23">
        <f t="shared" si="38"/>
        <v>0</v>
      </c>
      <c r="K340" s="23">
        <f t="shared" si="40"/>
        <v>80072.129999999961</v>
      </c>
      <c r="L340" s="23">
        <f t="shared" si="41"/>
        <v>250000</v>
      </c>
      <c r="M340" s="24" t="str">
        <f>IF($D340&lt;=0,"",IF(Übersicht!$C$11=0,0,$L340/Übersicht!$C$11))</f>
        <v/>
      </c>
      <c r="N340" s="25" t="str">
        <f>IF($D340&lt;=0,"",IF($J340&lt;=0.005,"Volltilgung erreicht",IF($A340=Übersicht!$C$19*Übersicht!$C$25,"Ende der Zinsbindung",IF($H340&gt;0,"Sondertilgung verrechnet",""))))</f>
        <v/>
      </c>
      <c r="Q340" s="38">
        <f>IF($S339&lt;=0,0,ROUND($S339*Übersicht!$C$26,2))</f>
        <v>0</v>
      </c>
      <c r="R340" s="38">
        <f>IF($S339&lt;=0,0,MIN($S339,IF(Übersicht!$C$14="Annuitätendarlehen",MAX(0,Übersicht!$C$28-$Q340),IF(Übersicht!$C$14="Ratendarlehen",Übersicht!$C$29,IF($A340&gt;=Übersicht!$C$30,$S339,0)))))</f>
        <v>0</v>
      </c>
      <c r="S340" s="38">
        <f>IF($S339&lt;=0,0,ROUND($S339-$R340-IF($S339-$R340&lt;=0,0,IF(MOD($A340,Übersicht!$C$25)=0,MIN(Szenarien!$C$8,$S339-$R340),0)),2))</f>
        <v>0</v>
      </c>
      <c r="T340" s="38">
        <f>IF($V339&lt;=0,0,ROUND($V339*Übersicht!$C$26,2))</f>
        <v>0</v>
      </c>
      <c r="U340" s="38">
        <f>IF($V339&lt;=0,0,MIN($V339,IF(Übersicht!$C$14="Annuitätendarlehen",MAX(0,Übersicht!$C$28-$T340),IF(Übersicht!$C$14="Ratendarlehen",Übersicht!$C$29,IF($A340&gt;=Übersicht!$C$30,$V339,0)))))</f>
        <v>0</v>
      </c>
      <c r="V340" s="38">
        <f>IF($V339&lt;=0,0,ROUND($V339-$U340-IF($V339-$U340&lt;=0,0,IF(MOD($A340,Übersicht!$C$25)=0,MIN(Szenarien!$C$9,$V339-$U340),0)),2))</f>
        <v>0</v>
      </c>
      <c r="W340" s="38">
        <f>IF($Y339&lt;=0,0,ROUND($Y339*Übersicht!$C$26,2))</f>
        <v>0</v>
      </c>
      <c r="X340" s="38">
        <f>IF($Y339&lt;=0,0,MIN($Y339,IF(Übersicht!$C$14="Annuitätendarlehen",MAX(0,Übersicht!$C$28-$W340),IF(Übersicht!$C$14="Ratendarlehen",Übersicht!$C$29,IF($A340&gt;=Übersicht!$C$30,$Y339,0)))))</f>
        <v>0</v>
      </c>
      <c r="Y340" s="38">
        <f>IF($Y339&lt;=0,0,ROUND($Y339-$X340-IF($Y339-$X340&lt;=0,0,IF(MOD($A340,Übersicht!$C$25)=0,MIN(Szenarien!$C$10,$Y339-$X340),0)),2))</f>
        <v>0</v>
      </c>
      <c r="Z340" s="38">
        <f>IF($AB339&lt;=0,0,ROUND($AB339*Übersicht!$C$26,2))</f>
        <v>0</v>
      </c>
      <c r="AA340" s="38">
        <f>IF($AB339&lt;=0,0,MIN($AB339,IF(Übersicht!$C$14="Annuitätendarlehen",MAX(0,Übersicht!$C$28-$Z340),IF(Übersicht!$C$14="Ratendarlehen",Übersicht!$C$29,IF($A340&gt;=Übersicht!$C$30,$AB339,0)))))</f>
        <v>0</v>
      </c>
      <c r="AB340" s="38">
        <f>IF($AB339&lt;=0,0,ROUND($AB339-$AA340-IF($AB339-$AA340&lt;=0,0,IF(MOD($A340,Übersicht!$C$25)=0,MIN(Szenarien!$C$11,$AB339-$AA340),0)),2))</f>
        <v>0</v>
      </c>
      <c r="AC340" s="38">
        <f>IF($AE339&lt;=0,0,ROUND($AE339*Übersicht!$C$26,2))</f>
        <v>0</v>
      </c>
      <c r="AD340" s="38">
        <f>IF($AE339&lt;=0,0,MIN($AE339,IF(Übersicht!$C$14="Annuitätendarlehen",MAX(0,Übersicht!$C$28-$AC340),IF(Übersicht!$C$14="Ratendarlehen",Übersicht!$C$29,IF($A340&gt;=Übersicht!$C$30,$AE339,0)))))</f>
        <v>0</v>
      </c>
      <c r="AE340" s="38">
        <f>IF($AE339&lt;=0,0,ROUND($AE339-$AD340-IF($AE339-$AD340&lt;=0,0,IF(MOD($A340,Übersicht!$C$25)=0,MIN(Szenarien!$C$12,$AE339-$AD340),0)),2))</f>
        <v>0</v>
      </c>
    </row>
    <row r="341" spans="1:31" ht="15" customHeight="1" x14ac:dyDescent="0.25">
      <c r="A341" s="26">
        <v>334</v>
      </c>
      <c r="B341" s="39" t="str">
        <f>IF($D341&lt;=0,"",EDATE(Übersicht!$C$18,($A341-1)*12/Übersicht!$C$25))</f>
        <v/>
      </c>
      <c r="C341" s="26" t="str">
        <f t="shared" si="35"/>
        <v/>
      </c>
      <c r="D341" s="40">
        <f t="shared" si="39"/>
        <v>0</v>
      </c>
      <c r="E341" s="28">
        <f t="shared" si="36"/>
        <v>0</v>
      </c>
      <c r="F341" s="28">
        <f>IF($D341&lt;=0,0,ROUND($D341*Übersicht!$C$26,2))</f>
        <v>0</v>
      </c>
      <c r="G341" s="28">
        <f>IF($D341&lt;=0,0,MIN($D341,IF(Übersicht!$C$14="Annuitätendarlehen",MAX(0,Übersicht!$C$28-$F341),IF(Übersicht!$C$14="Ratendarlehen",Übersicht!$C$29,IF($A341&gt;=Übersicht!$C$30,$D341,0)))))</f>
        <v>0</v>
      </c>
      <c r="H341" s="28">
        <f>IF($D341-$G341&lt;=0,0,IF(MOD($A341,Übersicht!$C$25)=0,MIN(Übersicht!$C$31,$D341-$G341),0))</f>
        <v>0</v>
      </c>
      <c r="I341" s="28">
        <f t="shared" si="37"/>
        <v>0</v>
      </c>
      <c r="J341" s="28">
        <f t="shared" si="38"/>
        <v>0</v>
      </c>
      <c r="K341" s="28">
        <f t="shared" si="40"/>
        <v>80072.129999999961</v>
      </c>
      <c r="L341" s="28">
        <f t="shared" si="41"/>
        <v>250000</v>
      </c>
      <c r="M341" s="29" t="str">
        <f>IF($D341&lt;=0,"",IF(Übersicht!$C$11=0,0,$L341/Übersicht!$C$11))</f>
        <v/>
      </c>
      <c r="N341" s="30" t="str">
        <f>IF($D341&lt;=0,"",IF($J341&lt;=0.005,"Volltilgung erreicht",IF($A341=Übersicht!$C$19*Übersicht!$C$25,"Ende der Zinsbindung",IF($H341&gt;0,"Sondertilgung verrechnet",""))))</f>
        <v/>
      </c>
      <c r="Q341" s="38">
        <f>IF($S340&lt;=0,0,ROUND($S340*Übersicht!$C$26,2))</f>
        <v>0</v>
      </c>
      <c r="R341" s="38">
        <f>IF($S340&lt;=0,0,MIN($S340,IF(Übersicht!$C$14="Annuitätendarlehen",MAX(0,Übersicht!$C$28-$Q341),IF(Übersicht!$C$14="Ratendarlehen",Übersicht!$C$29,IF($A341&gt;=Übersicht!$C$30,$S340,0)))))</f>
        <v>0</v>
      </c>
      <c r="S341" s="38">
        <f>IF($S340&lt;=0,0,ROUND($S340-$R341-IF($S340-$R341&lt;=0,0,IF(MOD($A341,Übersicht!$C$25)=0,MIN(Szenarien!$C$8,$S340-$R341),0)),2))</f>
        <v>0</v>
      </c>
      <c r="T341" s="38">
        <f>IF($V340&lt;=0,0,ROUND($V340*Übersicht!$C$26,2))</f>
        <v>0</v>
      </c>
      <c r="U341" s="38">
        <f>IF($V340&lt;=0,0,MIN($V340,IF(Übersicht!$C$14="Annuitätendarlehen",MAX(0,Übersicht!$C$28-$T341),IF(Übersicht!$C$14="Ratendarlehen",Übersicht!$C$29,IF($A341&gt;=Übersicht!$C$30,$V340,0)))))</f>
        <v>0</v>
      </c>
      <c r="V341" s="38">
        <f>IF($V340&lt;=0,0,ROUND($V340-$U341-IF($V340-$U341&lt;=0,0,IF(MOD($A341,Übersicht!$C$25)=0,MIN(Szenarien!$C$9,$V340-$U341),0)),2))</f>
        <v>0</v>
      </c>
      <c r="W341" s="38">
        <f>IF($Y340&lt;=0,0,ROUND($Y340*Übersicht!$C$26,2))</f>
        <v>0</v>
      </c>
      <c r="X341" s="38">
        <f>IF($Y340&lt;=0,0,MIN($Y340,IF(Übersicht!$C$14="Annuitätendarlehen",MAX(0,Übersicht!$C$28-$W341),IF(Übersicht!$C$14="Ratendarlehen",Übersicht!$C$29,IF($A341&gt;=Übersicht!$C$30,$Y340,0)))))</f>
        <v>0</v>
      </c>
      <c r="Y341" s="38">
        <f>IF($Y340&lt;=0,0,ROUND($Y340-$X341-IF($Y340-$X341&lt;=0,0,IF(MOD($A341,Übersicht!$C$25)=0,MIN(Szenarien!$C$10,$Y340-$X341),0)),2))</f>
        <v>0</v>
      </c>
      <c r="Z341" s="38">
        <f>IF($AB340&lt;=0,0,ROUND($AB340*Übersicht!$C$26,2))</f>
        <v>0</v>
      </c>
      <c r="AA341" s="38">
        <f>IF($AB340&lt;=0,0,MIN($AB340,IF(Übersicht!$C$14="Annuitätendarlehen",MAX(0,Übersicht!$C$28-$Z341),IF(Übersicht!$C$14="Ratendarlehen",Übersicht!$C$29,IF($A341&gt;=Übersicht!$C$30,$AB340,0)))))</f>
        <v>0</v>
      </c>
      <c r="AB341" s="38">
        <f>IF($AB340&lt;=0,0,ROUND($AB340-$AA341-IF($AB340-$AA341&lt;=0,0,IF(MOD($A341,Übersicht!$C$25)=0,MIN(Szenarien!$C$11,$AB340-$AA341),0)),2))</f>
        <v>0</v>
      </c>
      <c r="AC341" s="38">
        <f>IF($AE340&lt;=0,0,ROUND($AE340*Übersicht!$C$26,2))</f>
        <v>0</v>
      </c>
      <c r="AD341" s="38">
        <f>IF($AE340&lt;=0,0,MIN($AE340,IF(Übersicht!$C$14="Annuitätendarlehen",MAX(0,Übersicht!$C$28-$AC341),IF(Übersicht!$C$14="Ratendarlehen",Übersicht!$C$29,IF($A341&gt;=Übersicht!$C$30,$AE340,0)))))</f>
        <v>0</v>
      </c>
      <c r="AE341" s="38">
        <f>IF($AE340&lt;=0,0,ROUND($AE340-$AD341-IF($AE340-$AD341&lt;=0,0,IF(MOD($A341,Übersicht!$C$25)=0,MIN(Szenarien!$C$12,$AE340-$AD341),0)),2))</f>
        <v>0</v>
      </c>
    </row>
    <row r="342" spans="1:31" ht="15" customHeight="1" x14ac:dyDescent="0.25">
      <c r="A342" s="21">
        <v>335</v>
      </c>
      <c r="B342" s="36" t="str">
        <f>IF($D342&lt;=0,"",EDATE(Übersicht!$C$18,($A342-1)*12/Übersicht!$C$25))</f>
        <v/>
      </c>
      <c r="C342" s="21" t="str">
        <f t="shared" si="35"/>
        <v/>
      </c>
      <c r="D342" s="37">
        <f t="shared" si="39"/>
        <v>0</v>
      </c>
      <c r="E342" s="23">
        <f t="shared" si="36"/>
        <v>0</v>
      </c>
      <c r="F342" s="23">
        <f>IF($D342&lt;=0,0,ROUND($D342*Übersicht!$C$26,2))</f>
        <v>0</v>
      </c>
      <c r="G342" s="23">
        <f>IF($D342&lt;=0,0,MIN($D342,IF(Übersicht!$C$14="Annuitätendarlehen",MAX(0,Übersicht!$C$28-$F342),IF(Übersicht!$C$14="Ratendarlehen",Übersicht!$C$29,IF($A342&gt;=Übersicht!$C$30,$D342,0)))))</f>
        <v>0</v>
      </c>
      <c r="H342" s="23">
        <f>IF($D342-$G342&lt;=0,0,IF(MOD($A342,Übersicht!$C$25)=0,MIN(Übersicht!$C$31,$D342-$G342),0))</f>
        <v>0</v>
      </c>
      <c r="I342" s="23">
        <f t="shared" si="37"/>
        <v>0</v>
      </c>
      <c r="J342" s="23">
        <f t="shared" si="38"/>
        <v>0</v>
      </c>
      <c r="K342" s="23">
        <f t="shared" si="40"/>
        <v>80072.129999999961</v>
      </c>
      <c r="L342" s="23">
        <f t="shared" si="41"/>
        <v>250000</v>
      </c>
      <c r="M342" s="24" t="str">
        <f>IF($D342&lt;=0,"",IF(Übersicht!$C$11=0,0,$L342/Übersicht!$C$11))</f>
        <v/>
      </c>
      <c r="N342" s="25" t="str">
        <f>IF($D342&lt;=0,"",IF($J342&lt;=0.005,"Volltilgung erreicht",IF($A342=Übersicht!$C$19*Übersicht!$C$25,"Ende der Zinsbindung",IF($H342&gt;0,"Sondertilgung verrechnet",""))))</f>
        <v/>
      </c>
      <c r="Q342" s="38">
        <f>IF($S341&lt;=0,0,ROUND($S341*Übersicht!$C$26,2))</f>
        <v>0</v>
      </c>
      <c r="R342" s="38">
        <f>IF($S341&lt;=0,0,MIN($S341,IF(Übersicht!$C$14="Annuitätendarlehen",MAX(0,Übersicht!$C$28-$Q342),IF(Übersicht!$C$14="Ratendarlehen",Übersicht!$C$29,IF($A342&gt;=Übersicht!$C$30,$S341,0)))))</f>
        <v>0</v>
      </c>
      <c r="S342" s="38">
        <f>IF($S341&lt;=0,0,ROUND($S341-$R342-IF($S341-$R342&lt;=0,0,IF(MOD($A342,Übersicht!$C$25)=0,MIN(Szenarien!$C$8,$S341-$R342),0)),2))</f>
        <v>0</v>
      </c>
      <c r="T342" s="38">
        <f>IF($V341&lt;=0,0,ROUND($V341*Übersicht!$C$26,2))</f>
        <v>0</v>
      </c>
      <c r="U342" s="38">
        <f>IF($V341&lt;=0,0,MIN($V341,IF(Übersicht!$C$14="Annuitätendarlehen",MAX(0,Übersicht!$C$28-$T342),IF(Übersicht!$C$14="Ratendarlehen",Übersicht!$C$29,IF($A342&gt;=Übersicht!$C$30,$V341,0)))))</f>
        <v>0</v>
      </c>
      <c r="V342" s="38">
        <f>IF($V341&lt;=0,0,ROUND($V341-$U342-IF($V341-$U342&lt;=0,0,IF(MOD($A342,Übersicht!$C$25)=0,MIN(Szenarien!$C$9,$V341-$U342),0)),2))</f>
        <v>0</v>
      </c>
      <c r="W342" s="38">
        <f>IF($Y341&lt;=0,0,ROUND($Y341*Übersicht!$C$26,2))</f>
        <v>0</v>
      </c>
      <c r="X342" s="38">
        <f>IF($Y341&lt;=0,0,MIN($Y341,IF(Übersicht!$C$14="Annuitätendarlehen",MAX(0,Übersicht!$C$28-$W342),IF(Übersicht!$C$14="Ratendarlehen",Übersicht!$C$29,IF($A342&gt;=Übersicht!$C$30,$Y341,0)))))</f>
        <v>0</v>
      </c>
      <c r="Y342" s="38">
        <f>IF($Y341&lt;=0,0,ROUND($Y341-$X342-IF($Y341-$X342&lt;=0,0,IF(MOD($A342,Übersicht!$C$25)=0,MIN(Szenarien!$C$10,$Y341-$X342),0)),2))</f>
        <v>0</v>
      </c>
      <c r="Z342" s="38">
        <f>IF($AB341&lt;=0,0,ROUND($AB341*Übersicht!$C$26,2))</f>
        <v>0</v>
      </c>
      <c r="AA342" s="38">
        <f>IF($AB341&lt;=0,0,MIN($AB341,IF(Übersicht!$C$14="Annuitätendarlehen",MAX(0,Übersicht!$C$28-$Z342),IF(Übersicht!$C$14="Ratendarlehen",Übersicht!$C$29,IF($A342&gt;=Übersicht!$C$30,$AB341,0)))))</f>
        <v>0</v>
      </c>
      <c r="AB342" s="38">
        <f>IF($AB341&lt;=0,0,ROUND($AB341-$AA342-IF($AB341-$AA342&lt;=0,0,IF(MOD($A342,Übersicht!$C$25)=0,MIN(Szenarien!$C$11,$AB341-$AA342),0)),2))</f>
        <v>0</v>
      </c>
      <c r="AC342" s="38">
        <f>IF($AE341&lt;=0,0,ROUND($AE341*Übersicht!$C$26,2))</f>
        <v>0</v>
      </c>
      <c r="AD342" s="38">
        <f>IF($AE341&lt;=0,0,MIN($AE341,IF(Übersicht!$C$14="Annuitätendarlehen",MAX(0,Übersicht!$C$28-$AC342),IF(Übersicht!$C$14="Ratendarlehen",Übersicht!$C$29,IF($A342&gt;=Übersicht!$C$30,$AE341,0)))))</f>
        <v>0</v>
      </c>
      <c r="AE342" s="38">
        <f>IF($AE341&lt;=0,0,ROUND($AE341-$AD342-IF($AE341-$AD342&lt;=0,0,IF(MOD($A342,Übersicht!$C$25)=0,MIN(Szenarien!$C$12,$AE341-$AD342),0)),2))</f>
        <v>0</v>
      </c>
    </row>
    <row r="343" spans="1:31" ht="15" customHeight="1" x14ac:dyDescent="0.25">
      <c r="A343" s="26">
        <v>336</v>
      </c>
      <c r="B343" s="39" t="str">
        <f>IF($D343&lt;=0,"",EDATE(Übersicht!$C$18,($A343-1)*12/Übersicht!$C$25))</f>
        <v/>
      </c>
      <c r="C343" s="26" t="str">
        <f t="shared" si="35"/>
        <v/>
      </c>
      <c r="D343" s="40">
        <f t="shared" si="39"/>
        <v>0</v>
      </c>
      <c r="E343" s="28">
        <f t="shared" si="36"/>
        <v>0</v>
      </c>
      <c r="F343" s="28">
        <f>IF($D343&lt;=0,0,ROUND($D343*Übersicht!$C$26,2))</f>
        <v>0</v>
      </c>
      <c r="G343" s="28">
        <f>IF($D343&lt;=0,0,MIN($D343,IF(Übersicht!$C$14="Annuitätendarlehen",MAX(0,Übersicht!$C$28-$F343),IF(Übersicht!$C$14="Ratendarlehen",Übersicht!$C$29,IF($A343&gt;=Übersicht!$C$30,$D343,0)))))</f>
        <v>0</v>
      </c>
      <c r="H343" s="28">
        <f>IF($D343-$G343&lt;=0,0,IF(MOD($A343,Übersicht!$C$25)=0,MIN(Übersicht!$C$31,$D343-$G343),0))</f>
        <v>0</v>
      </c>
      <c r="I343" s="28">
        <f t="shared" si="37"/>
        <v>0</v>
      </c>
      <c r="J343" s="28">
        <f t="shared" si="38"/>
        <v>0</v>
      </c>
      <c r="K343" s="28">
        <f t="shared" si="40"/>
        <v>80072.129999999961</v>
      </c>
      <c r="L343" s="28">
        <f t="shared" si="41"/>
        <v>250000</v>
      </c>
      <c r="M343" s="29" t="str">
        <f>IF($D343&lt;=0,"",IF(Übersicht!$C$11=0,0,$L343/Übersicht!$C$11))</f>
        <v/>
      </c>
      <c r="N343" s="30" t="str">
        <f>IF($D343&lt;=0,"",IF($J343&lt;=0.005,"Volltilgung erreicht",IF($A343=Übersicht!$C$19*Übersicht!$C$25,"Ende der Zinsbindung",IF($H343&gt;0,"Sondertilgung verrechnet",""))))</f>
        <v/>
      </c>
      <c r="Q343" s="38">
        <f>IF($S342&lt;=0,0,ROUND($S342*Übersicht!$C$26,2))</f>
        <v>0</v>
      </c>
      <c r="R343" s="38">
        <f>IF($S342&lt;=0,0,MIN($S342,IF(Übersicht!$C$14="Annuitätendarlehen",MAX(0,Übersicht!$C$28-$Q343),IF(Übersicht!$C$14="Ratendarlehen",Übersicht!$C$29,IF($A343&gt;=Übersicht!$C$30,$S342,0)))))</f>
        <v>0</v>
      </c>
      <c r="S343" s="38">
        <f>IF($S342&lt;=0,0,ROUND($S342-$R343-IF($S342-$R343&lt;=0,0,IF(MOD($A343,Übersicht!$C$25)=0,MIN(Szenarien!$C$8,$S342-$R343),0)),2))</f>
        <v>0</v>
      </c>
      <c r="T343" s="38">
        <f>IF($V342&lt;=0,0,ROUND($V342*Übersicht!$C$26,2))</f>
        <v>0</v>
      </c>
      <c r="U343" s="38">
        <f>IF($V342&lt;=0,0,MIN($V342,IF(Übersicht!$C$14="Annuitätendarlehen",MAX(0,Übersicht!$C$28-$T343),IF(Übersicht!$C$14="Ratendarlehen",Übersicht!$C$29,IF($A343&gt;=Übersicht!$C$30,$V342,0)))))</f>
        <v>0</v>
      </c>
      <c r="V343" s="38">
        <f>IF($V342&lt;=0,0,ROUND($V342-$U343-IF($V342-$U343&lt;=0,0,IF(MOD($A343,Übersicht!$C$25)=0,MIN(Szenarien!$C$9,$V342-$U343),0)),2))</f>
        <v>0</v>
      </c>
      <c r="W343" s="38">
        <f>IF($Y342&lt;=0,0,ROUND($Y342*Übersicht!$C$26,2))</f>
        <v>0</v>
      </c>
      <c r="X343" s="38">
        <f>IF($Y342&lt;=0,0,MIN($Y342,IF(Übersicht!$C$14="Annuitätendarlehen",MAX(0,Übersicht!$C$28-$W343),IF(Übersicht!$C$14="Ratendarlehen",Übersicht!$C$29,IF($A343&gt;=Übersicht!$C$30,$Y342,0)))))</f>
        <v>0</v>
      </c>
      <c r="Y343" s="38">
        <f>IF($Y342&lt;=0,0,ROUND($Y342-$X343-IF($Y342-$X343&lt;=0,0,IF(MOD($A343,Übersicht!$C$25)=0,MIN(Szenarien!$C$10,$Y342-$X343),0)),2))</f>
        <v>0</v>
      </c>
      <c r="Z343" s="38">
        <f>IF($AB342&lt;=0,0,ROUND($AB342*Übersicht!$C$26,2))</f>
        <v>0</v>
      </c>
      <c r="AA343" s="38">
        <f>IF($AB342&lt;=0,0,MIN($AB342,IF(Übersicht!$C$14="Annuitätendarlehen",MAX(0,Übersicht!$C$28-$Z343),IF(Übersicht!$C$14="Ratendarlehen",Übersicht!$C$29,IF($A343&gt;=Übersicht!$C$30,$AB342,0)))))</f>
        <v>0</v>
      </c>
      <c r="AB343" s="38">
        <f>IF($AB342&lt;=0,0,ROUND($AB342-$AA343-IF($AB342-$AA343&lt;=0,0,IF(MOD($A343,Übersicht!$C$25)=0,MIN(Szenarien!$C$11,$AB342-$AA343),0)),2))</f>
        <v>0</v>
      </c>
      <c r="AC343" s="38">
        <f>IF($AE342&lt;=0,0,ROUND($AE342*Übersicht!$C$26,2))</f>
        <v>0</v>
      </c>
      <c r="AD343" s="38">
        <f>IF($AE342&lt;=0,0,MIN($AE342,IF(Übersicht!$C$14="Annuitätendarlehen",MAX(0,Übersicht!$C$28-$AC343),IF(Übersicht!$C$14="Ratendarlehen",Übersicht!$C$29,IF($A343&gt;=Übersicht!$C$30,$AE342,0)))))</f>
        <v>0</v>
      </c>
      <c r="AE343" s="38">
        <f>IF($AE342&lt;=0,0,ROUND($AE342-$AD343-IF($AE342-$AD343&lt;=0,0,IF(MOD($A343,Übersicht!$C$25)=0,MIN(Szenarien!$C$12,$AE342-$AD343),0)),2))</f>
        <v>0</v>
      </c>
    </row>
    <row r="344" spans="1:31" ht="15" customHeight="1" x14ac:dyDescent="0.25">
      <c r="A344" s="21">
        <v>337</v>
      </c>
      <c r="B344" s="36" t="str">
        <f>IF($D344&lt;=0,"",EDATE(Übersicht!$C$18,($A344-1)*12/Übersicht!$C$25))</f>
        <v/>
      </c>
      <c r="C344" s="21" t="str">
        <f t="shared" si="35"/>
        <v/>
      </c>
      <c r="D344" s="37">
        <f t="shared" si="39"/>
        <v>0</v>
      </c>
      <c r="E344" s="23">
        <f t="shared" si="36"/>
        <v>0</v>
      </c>
      <c r="F344" s="23">
        <f>IF($D344&lt;=0,0,ROUND($D344*Übersicht!$C$26,2))</f>
        <v>0</v>
      </c>
      <c r="G344" s="23">
        <f>IF($D344&lt;=0,0,MIN($D344,IF(Übersicht!$C$14="Annuitätendarlehen",MAX(0,Übersicht!$C$28-$F344),IF(Übersicht!$C$14="Ratendarlehen",Übersicht!$C$29,IF($A344&gt;=Übersicht!$C$30,$D344,0)))))</f>
        <v>0</v>
      </c>
      <c r="H344" s="23">
        <f>IF($D344-$G344&lt;=0,0,IF(MOD($A344,Übersicht!$C$25)=0,MIN(Übersicht!$C$31,$D344-$G344),0))</f>
        <v>0</v>
      </c>
      <c r="I344" s="23">
        <f t="shared" si="37"/>
        <v>0</v>
      </c>
      <c r="J344" s="23">
        <f t="shared" si="38"/>
        <v>0</v>
      </c>
      <c r="K344" s="23">
        <f t="shared" si="40"/>
        <v>80072.129999999961</v>
      </c>
      <c r="L344" s="23">
        <f t="shared" si="41"/>
        <v>250000</v>
      </c>
      <c r="M344" s="24" t="str">
        <f>IF($D344&lt;=0,"",IF(Übersicht!$C$11=0,0,$L344/Übersicht!$C$11))</f>
        <v/>
      </c>
      <c r="N344" s="25" t="str">
        <f>IF($D344&lt;=0,"",IF($J344&lt;=0.005,"Volltilgung erreicht",IF($A344=Übersicht!$C$19*Übersicht!$C$25,"Ende der Zinsbindung",IF($H344&gt;0,"Sondertilgung verrechnet",""))))</f>
        <v/>
      </c>
      <c r="Q344" s="38">
        <f>IF($S343&lt;=0,0,ROUND($S343*Übersicht!$C$26,2))</f>
        <v>0</v>
      </c>
      <c r="R344" s="38">
        <f>IF($S343&lt;=0,0,MIN($S343,IF(Übersicht!$C$14="Annuitätendarlehen",MAX(0,Übersicht!$C$28-$Q344),IF(Übersicht!$C$14="Ratendarlehen",Übersicht!$C$29,IF($A344&gt;=Übersicht!$C$30,$S343,0)))))</f>
        <v>0</v>
      </c>
      <c r="S344" s="38">
        <f>IF($S343&lt;=0,0,ROUND($S343-$R344-IF($S343-$R344&lt;=0,0,IF(MOD($A344,Übersicht!$C$25)=0,MIN(Szenarien!$C$8,$S343-$R344),0)),2))</f>
        <v>0</v>
      </c>
      <c r="T344" s="38">
        <f>IF($V343&lt;=0,0,ROUND($V343*Übersicht!$C$26,2))</f>
        <v>0</v>
      </c>
      <c r="U344" s="38">
        <f>IF($V343&lt;=0,0,MIN($V343,IF(Übersicht!$C$14="Annuitätendarlehen",MAX(0,Übersicht!$C$28-$T344),IF(Übersicht!$C$14="Ratendarlehen",Übersicht!$C$29,IF($A344&gt;=Übersicht!$C$30,$V343,0)))))</f>
        <v>0</v>
      </c>
      <c r="V344" s="38">
        <f>IF($V343&lt;=0,0,ROUND($V343-$U344-IF($V343-$U344&lt;=0,0,IF(MOD($A344,Übersicht!$C$25)=0,MIN(Szenarien!$C$9,$V343-$U344),0)),2))</f>
        <v>0</v>
      </c>
      <c r="W344" s="38">
        <f>IF($Y343&lt;=0,0,ROUND($Y343*Übersicht!$C$26,2))</f>
        <v>0</v>
      </c>
      <c r="X344" s="38">
        <f>IF($Y343&lt;=0,0,MIN($Y343,IF(Übersicht!$C$14="Annuitätendarlehen",MAX(0,Übersicht!$C$28-$W344),IF(Übersicht!$C$14="Ratendarlehen",Übersicht!$C$29,IF($A344&gt;=Übersicht!$C$30,$Y343,0)))))</f>
        <v>0</v>
      </c>
      <c r="Y344" s="38">
        <f>IF($Y343&lt;=0,0,ROUND($Y343-$X344-IF($Y343-$X344&lt;=0,0,IF(MOD($A344,Übersicht!$C$25)=0,MIN(Szenarien!$C$10,$Y343-$X344),0)),2))</f>
        <v>0</v>
      </c>
      <c r="Z344" s="38">
        <f>IF($AB343&lt;=0,0,ROUND($AB343*Übersicht!$C$26,2))</f>
        <v>0</v>
      </c>
      <c r="AA344" s="38">
        <f>IF($AB343&lt;=0,0,MIN($AB343,IF(Übersicht!$C$14="Annuitätendarlehen",MAX(0,Übersicht!$C$28-$Z344),IF(Übersicht!$C$14="Ratendarlehen",Übersicht!$C$29,IF($A344&gt;=Übersicht!$C$30,$AB343,0)))))</f>
        <v>0</v>
      </c>
      <c r="AB344" s="38">
        <f>IF($AB343&lt;=0,0,ROUND($AB343-$AA344-IF($AB343-$AA344&lt;=0,0,IF(MOD($A344,Übersicht!$C$25)=0,MIN(Szenarien!$C$11,$AB343-$AA344),0)),2))</f>
        <v>0</v>
      </c>
      <c r="AC344" s="38">
        <f>IF($AE343&lt;=0,0,ROUND($AE343*Übersicht!$C$26,2))</f>
        <v>0</v>
      </c>
      <c r="AD344" s="38">
        <f>IF($AE343&lt;=0,0,MIN($AE343,IF(Übersicht!$C$14="Annuitätendarlehen",MAX(0,Übersicht!$C$28-$AC344),IF(Übersicht!$C$14="Ratendarlehen",Übersicht!$C$29,IF($A344&gt;=Übersicht!$C$30,$AE343,0)))))</f>
        <v>0</v>
      </c>
      <c r="AE344" s="38">
        <f>IF($AE343&lt;=0,0,ROUND($AE343-$AD344-IF($AE343-$AD344&lt;=0,0,IF(MOD($A344,Übersicht!$C$25)=0,MIN(Szenarien!$C$12,$AE343-$AD344),0)),2))</f>
        <v>0</v>
      </c>
    </row>
    <row r="345" spans="1:31" ht="15" customHeight="1" x14ac:dyDescent="0.25">
      <c r="A345" s="26">
        <v>338</v>
      </c>
      <c r="B345" s="39" t="str">
        <f>IF($D345&lt;=0,"",EDATE(Übersicht!$C$18,($A345-1)*12/Übersicht!$C$25))</f>
        <v/>
      </c>
      <c r="C345" s="26" t="str">
        <f t="shared" si="35"/>
        <v/>
      </c>
      <c r="D345" s="40">
        <f t="shared" si="39"/>
        <v>0</v>
      </c>
      <c r="E345" s="28">
        <f t="shared" si="36"/>
        <v>0</v>
      </c>
      <c r="F345" s="28">
        <f>IF($D345&lt;=0,0,ROUND($D345*Übersicht!$C$26,2))</f>
        <v>0</v>
      </c>
      <c r="G345" s="28">
        <f>IF($D345&lt;=0,0,MIN($D345,IF(Übersicht!$C$14="Annuitätendarlehen",MAX(0,Übersicht!$C$28-$F345),IF(Übersicht!$C$14="Ratendarlehen",Übersicht!$C$29,IF($A345&gt;=Übersicht!$C$30,$D345,0)))))</f>
        <v>0</v>
      </c>
      <c r="H345" s="28">
        <f>IF($D345-$G345&lt;=0,0,IF(MOD($A345,Übersicht!$C$25)=0,MIN(Übersicht!$C$31,$D345-$G345),0))</f>
        <v>0</v>
      </c>
      <c r="I345" s="28">
        <f t="shared" si="37"/>
        <v>0</v>
      </c>
      <c r="J345" s="28">
        <f t="shared" si="38"/>
        <v>0</v>
      </c>
      <c r="K345" s="28">
        <f t="shared" si="40"/>
        <v>80072.129999999961</v>
      </c>
      <c r="L345" s="28">
        <f t="shared" si="41"/>
        <v>250000</v>
      </c>
      <c r="M345" s="29" t="str">
        <f>IF($D345&lt;=0,"",IF(Übersicht!$C$11=0,0,$L345/Übersicht!$C$11))</f>
        <v/>
      </c>
      <c r="N345" s="30" t="str">
        <f>IF($D345&lt;=0,"",IF($J345&lt;=0.005,"Volltilgung erreicht",IF($A345=Übersicht!$C$19*Übersicht!$C$25,"Ende der Zinsbindung",IF($H345&gt;0,"Sondertilgung verrechnet",""))))</f>
        <v/>
      </c>
      <c r="Q345" s="38">
        <f>IF($S344&lt;=0,0,ROUND($S344*Übersicht!$C$26,2))</f>
        <v>0</v>
      </c>
      <c r="R345" s="38">
        <f>IF($S344&lt;=0,0,MIN($S344,IF(Übersicht!$C$14="Annuitätendarlehen",MAX(0,Übersicht!$C$28-$Q345),IF(Übersicht!$C$14="Ratendarlehen",Übersicht!$C$29,IF($A345&gt;=Übersicht!$C$30,$S344,0)))))</f>
        <v>0</v>
      </c>
      <c r="S345" s="38">
        <f>IF($S344&lt;=0,0,ROUND($S344-$R345-IF($S344-$R345&lt;=0,0,IF(MOD($A345,Übersicht!$C$25)=0,MIN(Szenarien!$C$8,$S344-$R345),0)),2))</f>
        <v>0</v>
      </c>
      <c r="T345" s="38">
        <f>IF($V344&lt;=0,0,ROUND($V344*Übersicht!$C$26,2))</f>
        <v>0</v>
      </c>
      <c r="U345" s="38">
        <f>IF($V344&lt;=0,0,MIN($V344,IF(Übersicht!$C$14="Annuitätendarlehen",MAX(0,Übersicht!$C$28-$T345),IF(Übersicht!$C$14="Ratendarlehen",Übersicht!$C$29,IF($A345&gt;=Übersicht!$C$30,$V344,0)))))</f>
        <v>0</v>
      </c>
      <c r="V345" s="38">
        <f>IF($V344&lt;=0,0,ROUND($V344-$U345-IF($V344-$U345&lt;=0,0,IF(MOD($A345,Übersicht!$C$25)=0,MIN(Szenarien!$C$9,$V344-$U345),0)),2))</f>
        <v>0</v>
      </c>
      <c r="W345" s="38">
        <f>IF($Y344&lt;=0,0,ROUND($Y344*Übersicht!$C$26,2))</f>
        <v>0</v>
      </c>
      <c r="X345" s="38">
        <f>IF($Y344&lt;=0,0,MIN($Y344,IF(Übersicht!$C$14="Annuitätendarlehen",MAX(0,Übersicht!$C$28-$W345),IF(Übersicht!$C$14="Ratendarlehen",Übersicht!$C$29,IF($A345&gt;=Übersicht!$C$30,$Y344,0)))))</f>
        <v>0</v>
      </c>
      <c r="Y345" s="38">
        <f>IF($Y344&lt;=0,0,ROUND($Y344-$X345-IF($Y344-$X345&lt;=0,0,IF(MOD($A345,Übersicht!$C$25)=0,MIN(Szenarien!$C$10,$Y344-$X345),0)),2))</f>
        <v>0</v>
      </c>
      <c r="Z345" s="38">
        <f>IF($AB344&lt;=0,0,ROUND($AB344*Übersicht!$C$26,2))</f>
        <v>0</v>
      </c>
      <c r="AA345" s="38">
        <f>IF($AB344&lt;=0,0,MIN($AB344,IF(Übersicht!$C$14="Annuitätendarlehen",MAX(0,Übersicht!$C$28-$Z345),IF(Übersicht!$C$14="Ratendarlehen",Übersicht!$C$29,IF($A345&gt;=Übersicht!$C$30,$AB344,0)))))</f>
        <v>0</v>
      </c>
      <c r="AB345" s="38">
        <f>IF($AB344&lt;=0,0,ROUND($AB344-$AA345-IF($AB344-$AA345&lt;=0,0,IF(MOD($A345,Übersicht!$C$25)=0,MIN(Szenarien!$C$11,$AB344-$AA345),0)),2))</f>
        <v>0</v>
      </c>
      <c r="AC345" s="38">
        <f>IF($AE344&lt;=0,0,ROUND($AE344*Übersicht!$C$26,2))</f>
        <v>0</v>
      </c>
      <c r="AD345" s="38">
        <f>IF($AE344&lt;=0,0,MIN($AE344,IF(Übersicht!$C$14="Annuitätendarlehen",MAX(0,Übersicht!$C$28-$AC345),IF(Übersicht!$C$14="Ratendarlehen",Übersicht!$C$29,IF($A345&gt;=Übersicht!$C$30,$AE344,0)))))</f>
        <v>0</v>
      </c>
      <c r="AE345" s="38">
        <f>IF($AE344&lt;=0,0,ROUND($AE344-$AD345-IF($AE344-$AD345&lt;=0,0,IF(MOD($A345,Übersicht!$C$25)=0,MIN(Szenarien!$C$12,$AE344-$AD345),0)),2))</f>
        <v>0</v>
      </c>
    </row>
    <row r="346" spans="1:31" ht="15" customHeight="1" x14ac:dyDescent="0.25">
      <c r="A346" s="21">
        <v>339</v>
      </c>
      <c r="B346" s="36" t="str">
        <f>IF($D346&lt;=0,"",EDATE(Übersicht!$C$18,($A346-1)*12/Übersicht!$C$25))</f>
        <v/>
      </c>
      <c r="C346" s="21" t="str">
        <f t="shared" si="35"/>
        <v/>
      </c>
      <c r="D346" s="37">
        <f t="shared" si="39"/>
        <v>0</v>
      </c>
      <c r="E346" s="23">
        <f t="shared" si="36"/>
        <v>0</v>
      </c>
      <c r="F346" s="23">
        <f>IF($D346&lt;=0,0,ROUND($D346*Übersicht!$C$26,2))</f>
        <v>0</v>
      </c>
      <c r="G346" s="23">
        <f>IF($D346&lt;=0,0,MIN($D346,IF(Übersicht!$C$14="Annuitätendarlehen",MAX(0,Übersicht!$C$28-$F346),IF(Übersicht!$C$14="Ratendarlehen",Übersicht!$C$29,IF($A346&gt;=Übersicht!$C$30,$D346,0)))))</f>
        <v>0</v>
      </c>
      <c r="H346" s="23">
        <f>IF($D346-$G346&lt;=0,0,IF(MOD($A346,Übersicht!$C$25)=0,MIN(Übersicht!$C$31,$D346-$G346),0))</f>
        <v>0</v>
      </c>
      <c r="I346" s="23">
        <f t="shared" si="37"/>
        <v>0</v>
      </c>
      <c r="J346" s="23">
        <f t="shared" si="38"/>
        <v>0</v>
      </c>
      <c r="K346" s="23">
        <f t="shared" si="40"/>
        <v>80072.129999999961</v>
      </c>
      <c r="L346" s="23">
        <f t="shared" si="41"/>
        <v>250000</v>
      </c>
      <c r="M346" s="24" t="str">
        <f>IF($D346&lt;=0,"",IF(Übersicht!$C$11=0,0,$L346/Übersicht!$C$11))</f>
        <v/>
      </c>
      <c r="N346" s="25" t="str">
        <f>IF($D346&lt;=0,"",IF($J346&lt;=0.005,"Volltilgung erreicht",IF($A346=Übersicht!$C$19*Übersicht!$C$25,"Ende der Zinsbindung",IF($H346&gt;0,"Sondertilgung verrechnet",""))))</f>
        <v/>
      </c>
      <c r="Q346" s="38">
        <f>IF($S345&lt;=0,0,ROUND($S345*Übersicht!$C$26,2))</f>
        <v>0</v>
      </c>
      <c r="R346" s="38">
        <f>IF($S345&lt;=0,0,MIN($S345,IF(Übersicht!$C$14="Annuitätendarlehen",MAX(0,Übersicht!$C$28-$Q346),IF(Übersicht!$C$14="Ratendarlehen",Übersicht!$C$29,IF($A346&gt;=Übersicht!$C$30,$S345,0)))))</f>
        <v>0</v>
      </c>
      <c r="S346" s="38">
        <f>IF($S345&lt;=0,0,ROUND($S345-$R346-IF($S345-$R346&lt;=0,0,IF(MOD($A346,Übersicht!$C$25)=0,MIN(Szenarien!$C$8,$S345-$R346),0)),2))</f>
        <v>0</v>
      </c>
      <c r="T346" s="38">
        <f>IF($V345&lt;=0,0,ROUND($V345*Übersicht!$C$26,2))</f>
        <v>0</v>
      </c>
      <c r="U346" s="38">
        <f>IF($V345&lt;=0,0,MIN($V345,IF(Übersicht!$C$14="Annuitätendarlehen",MAX(0,Übersicht!$C$28-$T346),IF(Übersicht!$C$14="Ratendarlehen",Übersicht!$C$29,IF($A346&gt;=Übersicht!$C$30,$V345,0)))))</f>
        <v>0</v>
      </c>
      <c r="V346" s="38">
        <f>IF($V345&lt;=0,0,ROUND($V345-$U346-IF($V345-$U346&lt;=0,0,IF(MOD($A346,Übersicht!$C$25)=0,MIN(Szenarien!$C$9,$V345-$U346),0)),2))</f>
        <v>0</v>
      </c>
      <c r="W346" s="38">
        <f>IF($Y345&lt;=0,0,ROUND($Y345*Übersicht!$C$26,2))</f>
        <v>0</v>
      </c>
      <c r="X346" s="38">
        <f>IF($Y345&lt;=0,0,MIN($Y345,IF(Übersicht!$C$14="Annuitätendarlehen",MAX(0,Übersicht!$C$28-$W346),IF(Übersicht!$C$14="Ratendarlehen",Übersicht!$C$29,IF($A346&gt;=Übersicht!$C$30,$Y345,0)))))</f>
        <v>0</v>
      </c>
      <c r="Y346" s="38">
        <f>IF($Y345&lt;=0,0,ROUND($Y345-$X346-IF($Y345-$X346&lt;=0,0,IF(MOD($A346,Übersicht!$C$25)=0,MIN(Szenarien!$C$10,$Y345-$X346),0)),2))</f>
        <v>0</v>
      </c>
      <c r="Z346" s="38">
        <f>IF($AB345&lt;=0,0,ROUND($AB345*Übersicht!$C$26,2))</f>
        <v>0</v>
      </c>
      <c r="AA346" s="38">
        <f>IF($AB345&lt;=0,0,MIN($AB345,IF(Übersicht!$C$14="Annuitätendarlehen",MAX(0,Übersicht!$C$28-$Z346),IF(Übersicht!$C$14="Ratendarlehen",Übersicht!$C$29,IF($A346&gt;=Übersicht!$C$30,$AB345,0)))))</f>
        <v>0</v>
      </c>
      <c r="AB346" s="38">
        <f>IF($AB345&lt;=0,0,ROUND($AB345-$AA346-IF($AB345-$AA346&lt;=0,0,IF(MOD($A346,Übersicht!$C$25)=0,MIN(Szenarien!$C$11,$AB345-$AA346),0)),2))</f>
        <v>0</v>
      </c>
      <c r="AC346" s="38">
        <f>IF($AE345&lt;=0,0,ROUND($AE345*Übersicht!$C$26,2))</f>
        <v>0</v>
      </c>
      <c r="AD346" s="38">
        <f>IF($AE345&lt;=0,0,MIN($AE345,IF(Übersicht!$C$14="Annuitätendarlehen",MAX(0,Übersicht!$C$28-$AC346),IF(Übersicht!$C$14="Ratendarlehen",Übersicht!$C$29,IF($A346&gt;=Übersicht!$C$30,$AE345,0)))))</f>
        <v>0</v>
      </c>
      <c r="AE346" s="38">
        <f>IF($AE345&lt;=0,0,ROUND($AE345-$AD346-IF($AE345-$AD346&lt;=0,0,IF(MOD($A346,Übersicht!$C$25)=0,MIN(Szenarien!$C$12,$AE345-$AD346),0)),2))</f>
        <v>0</v>
      </c>
    </row>
    <row r="347" spans="1:31" ht="15" customHeight="1" x14ac:dyDescent="0.25">
      <c r="A347" s="26">
        <v>340</v>
      </c>
      <c r="B347" s="39" t="str">
        <f>IF($D347&lt;=0,"",EDATE(Übersicht!$C$18,($A347-1)*12/Übersicht!$C$25))</f>
        <v/>
      </c>
      <c r="C347" s="26" t="str">
        <f t="shared" si="35"/>
        <v/>
      </c>
      <c r="D347" s="40">
        <f t="shared" si="39"/>
        <v>0</v>
      </c>
      <c r="E347" s="28">
        <f t="shared" si="36"/>
        <v>0</v>
      </c>
      <c r="F347" s="28">
        <f>IF($D347&lt;=0,0,ROUND($D347*Übersicht!$C$26,2))</f>
        <v>0</v>
      </c>
      <c r="G347" s="28">
        <f>IF($D347&lt;=0,0,MIN($D347,IF(Übersicht!$C$14="Annuitätendarlehen",MAX(0,Übersicht!$C$28-$F347),IF(Übersicht!$C$14="Ratendarlehen",Übersicht!$C$29,IF($A347&gt;=Übersicht!$C$30,$D347,0)))))</f>
        <v>0</v>
      </c>
      <c r="H347" s="28">
        <f>IF($D347-$G347&lt;=0,0,IF(MOD($A347,Übersicht!$C$25)=0,MIN(Übersicht!$C$31,$D347-$G347),0))</f>
        <v>0</v>
      </c>
      <c r="I347" s="28">
        <f t="shared" si="37"/>
        <v>0</v>
      </c>
      <c r="J347" s="28">
        <f t="shared" si="38"/>
        <v>0</v>
      </c>
      <c r="K347" s="28">
        <f t="shared" si="40"/>
        <v>80072.129999999961</v>
      </c>
      <c r="L347" s="28">
        <f t="shared" si="41"/>
        <v>250000</v>
      </c>
      <c r="M347" s="29" t="str">
        <f>IF($D347&lt;=0,"",IF(Übersicht!$C$11=0,0,$L347/Übersicht!$C$11))</f>
        <v/>
      </c>
      <c r="N347" s="30" t="str">
        <f>IF($D347&lt;=0,"",IF($J347&lt;=0.005,"Volltilgung erreicht",IF($A347=Übersicht!$C$19*Übersicht!$C$25,"Ende der Zinsbindung",IF($H347&gt;0,"Sondertilgung verrechnet",""))))</f>
        <v/>
      </c>
      <c r="Q347" s="38">
        <f>IF($S346&lt;=0,0,ROUND($S346*Übersicht!$C$26,2))</f>
        <v>0</v>
      </c>
      <c r="R347" s="38">
        <f>IF($S346&lt;=0,0,MIN($S346,IF(Übersicht!$C$14="Annuitätendarlehen",MAX(0,Übersicht!$C$28-$Q347),IF(Übersicht!$C$14="Ratendarlehen",Übersicht!$C$29,IF($A347&gt;=Übersicht!$C$30,$S346,0)))))</f>
        <v>0</v>
      </c>
      <c r="S347" s="38">
        <f>IF($S346&lt;=0,0,ROUND($S346-$R347-IF($S346-$R347&lt;=0,0,IF(MOD($A347,Übersicht!$C$25)=0,MIN(Szenarien!$C$8,$S346-$R347),0)),2))</f>
        <v>0</v>
      </c>
      <c r="T347" s="38">
        <f>IF($V346&lt;=0,0,ROUND($V346*Übersicht!$C$26,2))</f>
        <v>0</v>
      </c>
      <c r="U347" s="38">
        <f>IF($V346&lt;=0,0,MIN($V346,IF(Übersicht!$C$14="Annuitätendarlehen",MAX(0,Übersicht!$C$28-$T347),IF(Übersicht!$C$14="Ratendarlehen",Übersicht!$C$29,IF($A347&gt;=Übersicht!$C$30,$V346,0)))))</f>
        <v>0</v>
      </c>
      <c r="V347" s="38">
        <f>IF($V346&lt;=0,0,ROUND($V346-$U347-IF($V346-$U347&lt;=0,0,IF(MOD($A347,Übersicht!$C$25)=0,MIN(Szenarien!$C$9,$V346-$U347),0)),2))</f>
        <v>0</v>
      </c>
      <c r="W347" s="38">
        <f>IF($Y346&lt;=0,0,ROUND($Y346*Übersicht!$C$26,2))</f>
        <v>0</v>
      </c>
      <c r="X347" s="38">
        <f>IF($Y346&lt;=0,0,MIN($Y346,IF(Übersicht!$C$14="Annuitätendarlehen",MAX(0,Übersicht!$C$28-$W347),IF(Übersicht!$C$14="Ratendarlehen",Übersicht!$C$29,IF($A347&gt;=Übersicht!$C$30,$Y346,0)))))</f>
        <v>0</v>
      </c>
      <c r="Y347" s="38">
        <f>IF($Y346&lt;=0,0,ROUND($Y346-$X347-IF($Y346-$X347&lt;=0,0,IF(MOD($A347,Übersicht!$C$25)=0,MIN(Szenarien!$C$10,$Y346-$X347),0)),2))</f>
        <v>0</v>
      </c>
      <c r="Z347" s="38">
        <f>IF($AB346&lt;=0,0,ROUND($AB346*Übersicht!$C$26,2))</f>
        <v>0</v>
      </c>
      <c r="AA347" s="38">
        <f>IF($AB346&lt;=0,0,MIN($AB346,IF(Übersicht!$C$14="Annuitätendarlehen",MAX(0,Übersicht!$C$28-$Z347),IF(Übersicht!$C$14="Ratendarlehen",Übersicht!$C$29,IF($A347&gt;=Übersicht!$C$30,$AB346,0)))))</f>
        <v>0</v>
      </c>
      <c r="AB347" s="38">
        <f>IF($AB346&lt;=0,0,ROUND($AB346-$AA347-IF($AB346-$AA347&lt;=0,0,IF(MOD($A347,Übersicht!$C$25)=0,MIN(Szenarien!$C$11,$AB346-$AA347),0)),2))</f>
        <v>0</v>
      </c>
      <c r="AC347" s="38">
        <f>IF($AE346&lt;=0,0,ROUND($AE346*Übersicht!$C$26,2))</f>
        <v>0</v>
      </c>
      <c r="AD347" s="38">
        <f>IF($AE346&lt;=0,0,MIN($AE346,IF(Übersicht!$C$14="Annuitätendarlehen",MAX(0,Übersicht!$C$28-$AC347),IF(Übersicht!$C$14="Ratendarlehen",Übersicht!$C$29,IF($A347&gt;=Übersicht!$C$30,$AE346,0)))))</f>
        <v>0</v>
      </c>
      <c r="AE347" s="38">
        <f>IF($AE346&lt;=0,0,ROUND($AE346-$AD347-IF($AE346-$AD347&lt;=0,0,IF(MOD($A347,Übersicht!$C$25)=0,MIN(Szenarien!$C$12,$AE346-$AD347),0)),2))</f>
        <v>0</v>
      </c>
    </row>
    <row r="348" spans="1:31" ht="15" customHeight="1" x14ac:dyDescent="0.25">
      <c r="A348" s="21">
        <v>341</v>
      </c>
      <c r="B348" s="36" t="str">
        <f>IF($D348&lt;=0,"",EDATE(Übersicht!$C$18,($A348-1)*12/Übersicht!$C$25))</f>
        <v/>
      </c>
      <c r="C348" s="21" t="str">
        <f t="shared" si="35"/>
        <v/>
      </c>
      <c r="D348" s="37">
        <f t="shared" si="39"/>
        <v>0</v>
      </c>
      <c r="E348" s="23">
        <f t="shared" si="36"/>
        <v>0</v>
      </c>
      <c r="F348" s="23">
        <f>IF($D348&lt;=0,0,ROUND($D348*Übersicht!$C$26,2))</f>
        <v>0</v>
      </c>
      <c r="G348" s="23">
        <f>IF($D348&lt;=0,0,MIN($D348,IF(Übersicht!$C$14="Annuitätendarlehen",MAX(0,Übersicht!$C$28-$F348),IF(Übersicht!$C$14="Ratendarlehen",Übersicht!$C$29,IF($A348&gt;=Übersicht!$C$30,$D348,0)))))</f>
        <v>0</v>
      </c>
      <c r="H348" s="23">
        <f>IF($D348-$G348&lt;=0,0,IF(MOD($A348,Übersicht!$C$25)=0,MIN(Übersicht!$C$31,$D348-$G348),0))</f>
        <v>0</v>
      </c>
      <c r="I348" s="23">
        <f t="shared" si="37"/>
        <v>0</v>
      </c>
      <c r="J348" s="23">
        <f t="shared" si="38"/>
        <v>0</v>
      </c>
      <c r="K348" s="23">
        <f t="shared" si="40"/>
        <v>80072.129999999961</v>
      </c>
      <c r="L348" s="23">
        <f t="shared" si="41"/>
        <v>250000</v>
      </c>
      <c r="M348" s="24" t="str">
        <f>IF($D348&lt;=0,"",IF(Übersicht!$C$11=0,0,$L348/Übersicht!$C$11))</f>
        <v/>
      </c>
      <c r="N348" s="25" t="str">
        <f>IF($D348&lt;=0,"",IF($J348&lt;=0.005,"Volltilgung erreicht",IF($A348=Übersicht!$C$19*Übersicht!$C$25,"Ende der Zinsbindung",IF($H348&gt;0,"Sondertilgung verrechnet",""))))</f>
        <v/>
      </c>
      <c r="Q348" s="38">
        <f>IF($S347&lt;=0,0,ROUND($S347*Übersicht!$C$26,2))</f>
        <v>0</v>
      </c>
      <c r="R348" s="38">
        <f>IF($S347&lt;=0,0,MIN($S347,IF(Übersicht!$C$14="Annuitätendarlehen",MAX(0,Übersicht!$C$28-$Q348),IF(Übersicht!$C$14="Ratendarlehen",Übersicht!$C$29,IF($A348&gt;=Übersicht!$C$30,$S347,0)))))</f>
        <v>0</v>
      </c>
      <c r="S348" s="38">
        <f>IF($S347&lt;=0,0,ROUND($S347-$R348-IF($S347-$R348&lt;=0,0,IF(MOD($A348,Übersicht!$C$25)=0,MIN(Szenarien!$C$8,$S347-$R348),0)),2))</f>
        <v>0</v>
      </c>
      <c r="T348" s="38">
        <f>IF($V347&lt;=0,0,ROUND($V347*Übersicht!$C$26,2))</f>
        <v>0</v>
      </c>
      <c r="U348" s="38">
        <f>IF($V347&lt;=0,0,MIN($V347,IF(Übersicht!$C$14="Annuitätendarlehen",MAX(0,Übersicht!$C$28-$T348),IF(Übersicht!$C$14="Ratendarlehen",Übersicht!$C$29,IF($A348&gt;=Übersicht!$C$30,$V347,0)))))</f>
        <v>0</v>
      </c>
      <c r="V348" s="38">
        <f>IF($V347&lt;=0,0,ROUND($V347-$U348-IF($V347-$U348&lt;=0,0,IF(MOD($A348,Übersicht!$C$25)=0,MIN(Szenarien!$C$9,$V347-$U348),0)),2))</f>
        <v>0</v>
      </c>
      <c r="W348" s="38">
        <f>IF($Y347&lt;=0,0,ROUND($Y347*Übersicht!$C$26,2))</f>
        <v>0</v>
      </c>
      <c r="X348" s="38">
        <f>IF($Y347&lt;=0,0,MIN($Y347,IF(Übersicht!$C$14="Annuitätendarlehen",MAX(0,Übersicht!$C$28-$W348),IF(Übersicht!$C$14="Ratendarlehen",Übersicht!$C$29,IF($A348&gt;=Übersicht!$C$30,$Y347,0)))))</f>
        <v>0</v>
      </c>
      <c r="Y348" s="38">
        <f>IF($Y347&lt;=0,0,ROUND($Y347-$X348-IF($Y347-$X348&lt;=0,0,IF(MOD($A348,Übersicht!$C$25)=0,MIN(Szenarien!$C$10,$Y347-$X348),0)),2))</f>
        <v>0</v>
      </c>
      <c r="Z348" s="38">
        <f>IF($AB347&lt;=0,0,ROUND($AB347*Übersicht!$C$26,2))</f>
        <v>0</v>
      </c>
      <c r="AA348" s="38">
        <f>IF($AB347&lt;=0,0,MIN($AB347,IF(Übersicht!$C$14="Annuitätendarlehen",MAX(0,Übersicht!$C$28-$Z348),IF(Übersicht!$C$14="Ratendarlehen",Übersicht!$C$29,IF($A348&gt;=Übersicht!$C$30,$AB347,0)))))</f>
        <v>0</v>
      </c>
      <c r="AB348" s="38">
        <f>IF($AB347&lt;=0,0,ROUND($AB347-$AA348-IF($AB347-$AA348&lt;=0,0,IF(MOD($A348,Übersicht!$C$25)=0,MIN(Szenarien!$C$11,$AB347-$AA348),0)),2))</f>
        <v>0</v>
      </c>
      <c r="AC348" s="38">
        <f>IF($AE347&lt;=0,0,ROUND($AE347*Übersicht!$C$26,2))</f>
        <v>0</v>
      </c>
      <c r="AD348" s="38">
        <f>IF($AE347&lt;=0,0,MIN($AE347,IF(Übersicht!$C$14="Annuitätendarlehen",MAX(0,Übersicht!$C$28-$AC348),IF(Übersicht!$C$14="Ratendarlehen",Übersicht!$C$29,IF($A348&gt;=Übersicht!$C$30,$AE347,0)))))</f>
        <v>0</v>
      </c>
      <c r="AE348" s="38">
        <f>IF($AE347&lt;=0,0,ROUND($AE347-$AD348-IF($AE347-$AD348&lt;=0,0,IF(MOD($A348,Übersicht!$C$25)=0,MIN(Szenarien!$C$12,$AE347-$AD348),0)),2))</f>
        <v>0</v>
      </c>
    </row>
    <row r="349" spans="1:31" ht="15" customHeight="1" x14ac:dyDescent="0.25">
      <c r="A349" s="26">
        <v>342</v>
      </c>
      <c r="B349" s="39" t="str">
        <f>IF($D349&lt;=0,"",EDATE(Übersicht!$C$18,($A349-1)*12/Übersicht!$C$25))</f>
        <v/>
      </c>
      <c r="C349" s="26" t="str">
        <f t="shared" si="35"/>
        <v/>
      </c>
      <c r="D349" s="40">
        <f t="shared" si="39"/>
        <v>0</v>
      </c>
      <c r="E349" s="28">
        <f t="shared" si="36"/>
        <v>0</v>
      </c>
      <c r="F349" s="28">
        <f>IF($D349&lt;=0,0,ROUND($D349*Übersicht!$C$26,2))</f>
        <v>0</v>
      </c>
      <c r="G349" s="28">
        <f>IF($D349&lt;=0,0,MIN($D349,IF(Übersicht!$C$14="Annuitätendarlehen",MAX(0,Übersicht!$C$28-$F349),IF(Übersicht!$C$14="Ratendarlehen",Übersicht!$C$29,IF($A349&gt;=Übersicht!$C$30,$D349,0)))))</f>
        <v>0</v>
      </c>
      <c r="H349" s="28">
        <f>IF($D349-$G349&lt;=0,0,IF(MOD($A349,Übersicht!$C$25)=0,MIN(Übersicht!$C$31,$D349-$G349),0))</f>
        <v>0</v>
      </c>
      <c r="I349" s="28">
        <f t="shared" si="37"/>
        <v>0</v>
      </c>
      <c r="J349" s="28">
        <f t="shared" si="38"/>
        <v>0</v>
      </c>
      <c r="K349" s="28">
        <f t="shared" si="40"/>
        <v>80072.129999999961</v>
      </c>
      <c r="L349" s="28">
        <f t="shared" si="41"/>
        <v>250000</v>
      </c>
      <c r="M349" s="29" t="str">
        <f>IF($D349&lt;=0,"",IF(Übersicht!$C$11=0,0,$L349/Übersicht!$C$11))</f>
        <v/>
      </c>
      <c r="N349" s="30" t="str">
        <f>IF($D349&lt;=0,"",IF($J349&lt;=0.005,"Volltilgung erreicht",IF($A349=Übersicht!$C$19*Übersicht!$C$25,"Ende der Zinsbindung",IF($H349&gt;0,"Sondertilgung verrechnet",""))))</f>
        <v/>
      </c>
      <c r="Q349" s="38">
        <f>IF($S348&lt;=0,0,ROUND($S348*Übersicht!$C$26,2))</f>
        <v>0</v>
      </c>
      <c r="R349" s="38">
        <f>IF($S348&lt;=0,0,MIN($S348,IF(Übersicht!$C$14="Annuitätendarlehen",MAX(0,Übersicht!$C$28-$Q349),IF(Übersicht!$C$14="Ratendarlehen",Übersicht!$C$29,IF($A349&gt;=Übersicht!$C$30,$S348,0)))))</f>
        <v>0</v>
      </c>
      <c r="S349" s="38">
        <f>IF($S348&lt;=0,0,ROUND($S348-$R349-IF($S348-$R349&lt;=0,0,IF(MOD($A349,Übersicht!$C$25)=0,MIN(Szenarien!$C$8,$S348-$R349),0)),2))</f>
        <v>0</v>
      </c>
      <c r="T349" s="38">
        <f>IF($V348&lt;=0,0,ROUND($V348*Übersicht!$C$26,2))</f>
        <v>0</v>
      </c>
      <c r="U349" s="38">
        <f>IF($V348&lt;=0,0,MIN($V348,IF(Übersicht!$C$14="Annuitätendarlehen",MAX(0,Übersicht!$C$28-$T349),IF(Übersicht!$C$14="Ratendarlehen",Übersicht!$C$29,IF($A349&gt;=Übersicht!$C$30,$V348,0)))))</f>
        <v>0</v>
      </c>
      <c r="V349" s="38">
        <f>IF($V348&lt;=0,0,ROUND($V348-$U349-IF($V348-$U349&lt;=0,0,IF(MOD($A349,Übersicht!$C$25)=0,MIN(Szenarien!$C$9,$V348-$U349),0)),2))</f>
        <v>0</v>
      </c>
      <c r="W349" s="38">
        <f>IF($Y348&lt;=0,0,ROUND($Y348*Übersicht!$C$26,2))</f>
        <v>0</v>
      </c>
      <c r="X349" s="38">
        <f>IF($Y348&lt;=0,0,MIN($Y348,IF(Übersicht!$C$14="Annuitätendarlehen",MAX(0,Übersicht!$C$28-$W349),IF(Übersicht!$C$14="Ratendarlehen",Übersicht!$C$29,IF($A349&gt;=Übersicht!$C$30,$Y348,0)))))</f>
        <v>0</v>
      </c>
      <c r="Y349" s="38">
        <f>IF($Y348&lt;=0,0,ROUND($Y348-$X349-IF($Y348-$X349&lt;=0,0,IF(MOD($A349,Übersicht!$C$25)=0,MIN(Szenarien!$C$10,$Y348-$X349),0)),2))</f>
        <v>0</v>
      </c>
      <c r="Z349" s="38">
        <f>IF($AB348&lt;=0,0,ROUND($AB348*Übersicht!$C$26,2))</f>
        <v>0</v>
      </c>
      <c r="AA349" s="38">
        <f>IF($AB348&lt;=0,0,MIN($AB348,IF(Übersicht!$C$14="Annuitätendarlehen",MAX(0,Übersicht!$C$28-$Z349),IF(Übersicht!$C$14="Ratendarlehen",Übersicht!$C$29,IF($A349&gt;=Übersicht!$C$30,$AB348,0)))))</f>
        <v>0</v>
      </c>
      <c r="AB349" s="38">
        <f>IF($AB348&lt;=0,0,ROUND($AB348-$AA349-IF($AB348-$AA349&lt;=0,0,IF(MOD($A349,Übersicht!$C$25)=0,MIN(Szenarien!$C$11,$AB348-$AA349),0)),2))</f>
        <v>0</v>
      </c>
      <c r="AC349" s="38">
        <f>IF($AE348&lt;=0,0,ROUND($AE348*Übersicht!$C$26,2))</f>
        <v>0</v>
      </c>
      <c r="AD349" s="38">
        <f>IF($AE348&lt;=0,0,MIN($AE348,IF(Übersicht!$C$14="Annuitätendarlehen",MAX(0,Übersicht!$C$28-$AC349),IF(Übersicht!$C$14="Ratendarlehen",Übersicht!$C$29,IF($A349&gt;=Übersicht!$C$30,$AE348,0)))))</f>
        <v>0</v>
      </c>
      <c r="AE349" s="38">
        <f>IF($AE348&lt;=0,0,ROUND($AE348-$AD349-IF($AE348-$AD349&lt;=0,0,IF(MOD($A349,Übersicht!$C$25)=0,MIN(Szenarien!$C$12,$AE348-$AD349),0)),2))</f>
        <v>0</v>
      </c>
    </row>
    <row r="350" spans="1:31" ht="15" customHeight="1" x14ac:dyDescent="0.25">
      <c r="A350" s="21">
        <v>343</v>
      </c>
      <c r="B350" s="36" t="str">
        <f>IF($D350&lt;=0,"",EDATE(Übersicht!$C$18,($A350-1)*12/Übersicht!$C$25))</f>
        <v/>
      </c>
      <c r="C350" s="21" t="str">
        <f t="shared" si="35"/>
        <v/>
      </c>
      <c r="D350" s="37">
        <f t="shared" si="39"/>
        <v>0</v>
      </c>
      <c r="E350" s="23">
        <f t="shared" si="36"/>
        <v>0</v>
      </c>
      <c r="F350" s="23">
        <f>IF($D350&lt;=0,0,ROUND($D350*Übersicht!$C$26,2))</f>
        <v>0</v>
      </c>
      <c r="G350" s="23">
        <f>IF($D350&lt;=0,0,MIN($D350,IF(Übersicht!$C$14="Annuitätendarlehen",MAX(0,Übersicht!$C$28-$F350),IF(Übersicht!$C$14="Ratendarlehen",Übersicht!$C$29,IF($A350&gt;=Übersicht!$C$30,$D350,0)))))</f>
        <v>0</v>
      </c>
      <c r="H350" s="23">
        <f>IF($D350-$G350&lt;=0,0,IF(MOD($A350,Übersicht!$C$25)=0,MIN(Übersicht!$C$31,$D350-$G350),0))</f>
        <v>0</v>
      </c>
      <c r="I350" s="23">
        <f t="shared" si="37"/>
        <v>0</v>
      </c>
      <c r="J350" s="23">
        <f t="shared" si="38"/>
        <v>0</v>
      </c>
      <c r="K350" s="23">
        <f t="shared" si="40"/>
        <v>80072.129999999961</v>
      </c>
      <c r="L350" s="23">
        <f t="shared" si="41"/>
        <v>250000</v>
      </c>
      <c r="M350" s="24" t="str">
        <f>IF($D350&lt;=0,"",IF(Übersicht!$C$11=0,0,$L350/Übersicht!$C$11))</f>
        <v/>
      </c>
      <c r="N350" s="25" t="str">
        <f>IF($D350&lt;=0,"",IF($J350&lt;=0.005,"Volltilgung erreicht",IF($A350=Übersicht!$C$19*Übersicht!$C$25,"Ende der Zinsbindung",IF($H350&gt;0,"Sondertilgung verrechnet",""))))</f>
        <v/>
      </c>
      <c r="Q350" s="38">
        <f>IF($S349&lt;=0,0,ROUND($S349*Übersicht!$C$26,2))</f>
        <v>0</v>
      </c>
      <c r="R350" s="38">
        <f>IF($S349&lt;=0,0,MIN($S349,IF(Übersicht!$C$14="Annuitätendarlehen",MAX(0,Übersicht!$C$28-$Q350),IF(Übersicht!$C$14="Ratendarlehen",Übersicht!$C$29,IF($A350&gt;=Übersicht!$C$30,$S349,0)))))</f>
        <v>0</v>
      </c>
      <c r="S350" s="38">
        <f>IF($S349&lt;=0,0,ROUND($S349-$R350-IF($S349-$R350&lt;=0,0,IF(MOD($A350,Übersicht!$C$25)=0,MIN(Szenarien!$C$8,$S349-$R350),0)),2))</f>
        <v>0</v>
      </c>
      <c r="T350" s="38">
        <f>IF($V349&lt;=0,0,ROUND($V349*Übersicht!$C$26,2))</f>
        <v>0</v>
      </c>
      <c r="U350" s="38">
        <f>IF($V349&lt;=0,0,MIN($V349,IF(Übersicht!$C$14="Annuitätendarlehen",MAX(0,Übersicht!$C$28-$T350),IF(Übersicht!$C$14="Ratendarlehen",Übersicht!$C$29,IF($A350&gt;=Übersicht!$C$30,$V349,0)))))</f>
        <v>0</v>
      </c>
      <c r="V350" s="38">
        <f>IF($V349&lt;=0,0,ROUND($V349-$U350-IF($V349-$U350&lt;=0,0,IF(MOD($A350,Übersicht!$C$25)=0,MIN(Szenarien!$C$9,$V349-$U350),0)),2))</f>
        <v>0</v>
      </c>
      <c r="W350" s="38">
        <f>IF($Y349&lt;=0,0,ROUND($Y349*Übersicht!$C$26,2))</f>
        <v>0</v>
      </c>
      <c r="X350" s="38">
        <f>IF($Y349&lt;=0,0,MIN($Y349,IF(Übersicht!$C$14="Annuitätendarlehen",MAX(0,Übersicht!$C$28-$W350),IF(Übersicht!$C$14="Ratendarlehen",Übersicht!$C$29,IF($A350&gt;=Übersicht!$C$30,$Y349,0)))))</f>
        <v>0</v>
      </c>
      <c r="Y350" s="38">
        <f>IF($Y349&lt;=0,0,ROUND($Y349-$X350-IF($Y349-$X350&lt;=0,0,IF(MOD($A350,Übersicht!$C$25)=0,MIN(Szenarien!$C$10,$Y349-$X350),0)),2))</f>
        <v>0</v>
      </c>
      <c r="Z350" s="38">
        <f>IF($AB349&lt;=0,0,ROUND($AB349*Übersicht!$C$26,2))</f>
        <v>0</v>
      </c>
      <c r="AA350" s="38">
        <f>IF($AB349&lt;=0,0,MIN($AB349,IF(Übersicht!$C$14="Annuitätendarlehen",MAX(0,Übersicht!$C$28-$Z350),IF(Übersicht!$C$14="Ratendarlehen",Übersicht!$C$29,IF($A350&gt;=Übersicht!$C$30,$AB349,0)))))</f>
        <v>0</v>
      </c>
      <c r="AB350" s="38">
        <f>IF($AB349&lt;=0,0,ROUND($AB349-$AA350-IF($AB349-$AA350&lt;=0,0,IF(MOD($A350,Übersicht!$C$25)=0,MIN(Szenarien!$C$11,$AB349-$AA350),0)),2))</f>
        <v>0</v>
      </c>
      <c r="AC350" s="38">
        <f>IF($AE349&lt;=0,0,ROUND($AE349*Übersicht!$C$26,2))</f>
        <v>0</v>
      </c>
      <c r="AD350" s="38">
        <f>IF($AE349&lt;=0,0,MIN($AE349,IF(Übersicht!$C$14="Annuitätendarlehen",MAX(0,Übersicht!$C$28-$AC350),IF(Übersicht!$C$14="Ratendarlehen",Übersicht!$C$29,IF($A350&gt;=Übersicht!$C$30,$AE349,0)))))</f>
        <v>0</v>
      </c>
      <c r="AE350" s="38">
        <f>IF($AE349&lt;=0,0,ROUND($AE349-$AD350-IF($AE349-$AD350&lt;=0,0,IF(MOD($A350,Übersicht!$C$25)=0,MIN(Szenarien!$C$12,$AE349-$AD350),0)),2))</f>
        <v>0</v>
      </c>
    </row>
    <row r="351" spans="1:31" ht="15" customHeight="1" x14ac:dyDescent="0.25">
      <c r="A351" s="26">
        <v>344</v>
      </c>
      <c r="B351" s="39" t="str">
        <f>IF($D351&lt;=0,"",EDATE(Übersicht!$C$18,($A351-1)*12/Übersicht!$C$25))</f>
        <v/>
      </c>
      <c r="C351" s="26" t="str">
        <f t="shared" si="35"/>
        <v/>
      </c>
      <c r="D351" s="40">
        <f t="shared" si="39"/>
        <v>0</v>
      </c>
      <c r="E351" s="28">
        <f t="shared" si="36"/>
        <v>0</v>
      </c>
      <c r="F351" s="28">
        <f>IF($D351&lt;=0,0,ROUND($D351*Übersicht!$C$26,2))</f>
        <v>0</v>
      </c>
      <c r="G351" s="28">
        <f>IF($D351&lt;=0,0,MIN($D351,IF(Übersicht!$C$14="Annuitätendarlehen",MAX(0,Übersicht!$C$28-$F351),IF(Übersicht!$C$14="Ratendarlehen",Übersicht!$C$29,IF($A351&gt;=Übersicht!$C$30,$D351,0)))))</f>
        <v>0</v>
      </c>
      <c r="H351" s="28">
        <f>IF($D351-$G351&lt;=0,0,IF(MOD($A351,Übersicht!$C$25)=0,MIN(Übersicht!$C$31,$D351-$G351),0))</f>
        <v>0</v>
      </c>
      <c r="I351" s="28">
        <f t="shared" si="37"/>
        <v>0</v>
      </c>
      <c r="J351" s="28">
        <f t="shared" si="38"/>
        <v>0</v>
      </c>
      <c r="K351" s="28">
        <f t="shared" si="40"/>
        <v>80072.129999999961</v>
      </c>
      <c r="L351" s="28">
        <f t="shared" si="41"/>
        <v>250000</v>
      </c>
      <c r="M351" s="29" t="str">
        <f>IF($D351&lt;=0,"",IF(Übersicht!$C$11=0,0,$L351/Übersicht!$C$11))</f>
        <v/>
      </c>
      <c r="N351" s="30" t="str">
        <f>IF($D351&lt;=0,"",IF($J351&lt;=0.005,"Volltilgung erreicht",IF($A351=Übersicht!$C$19*Übersicht!$C$25,"Ende der Zinsbindung",IF($H351&gt;0,"Sondertilgung verrechnet",""))))</f>
        <v/>
      </c>
      <c r="Q351" s="38">
        <f>IF($S350&lt;=0,0,ROUND($S350*Übersicht!$C$26,2))</f>
        <v>0</v>
      </c>
      <c r="R351" s="38">
        <f>IF($S350&lt;=0,0,MIN($S350,IF(Übersicht!$C$14="Annuitätendarlehen",MAX(0,Übersicht!$C$28-$Q351),IF(Übersicht!$C$14="Ratendarlehen",Übersicht!$C$29,IF($A351&gt;=Übersicht!$C$30,$S350,0)))))</f>
        <v>0</v>
      </c>
      <c r="S351" s="38">
        <f>IF($S350&lt;=0,0,ROUND($S350-$R351-IF($S350-$R351&lt;=0,0,IF(MOD($A351,Übersicht!$C$25)=0,MIN(Szenarien!$C$8,$S350-$R351),0)),2))</f>
        <v>0</v>
      </c>
      <c r="T351" s="38">
        <f>IF($V350&lt;=0,0,ROUND($V350*Übersicht!$C$26,2))</f>
        <v>0</v>
      </c>
      <c r="U351" s="38">
        <f>IF($V350&lt;=0,0,MIN($V350,IF(Übersicht!$C$14="Annuitätendarlehen",MAX(0,Übersicht!$C$28-$T351),IF(Übersicht!$C$14="Ratendarlehen",Übersicht!$C$29,IF($A351&gt;=Übersicht!$C$30,$V350,0)))))</f>
        <v>0</v>
      </c>
      <c r="V351" s="38">
        <f>IF($V350&lt;=0,0,ROUND($V350-$U351-IF($V350-$U351&lt;=0,0,IF(MOD($A351,Übersicht!$C$25)=0,MIN(Szenarien!$C$9,$V350-$U351),0)),2))</f>
        <v>0</v>
      </c>
      <c r="W351" s="38">
        <f>IF($Y350&lt;=0,0,ROUND($Y350*Übersicht!$C$26,2))</f>
        <v>0</v>
      </c>
      <c r="X351" s="38">
        <f>IF($Y350&lt;=0,0,MIN($Y350,IF(Übersicht!$C$14="Annuitätendarlehen",MAX(0,Übersicht!$C$28-$W351),IF(Übersicht!$C$14="Ratendarlehen",Übersicht!$C$29,IF($A351&gt;=Übersicht!$C$30,$Y350,0)))))</f>
        <v>0</v>
      </c>
      <c r="Y351" s="38">
        <f>IF($Y350&lt;=0,0,ROUND($Y350-$X351-IF($Y350-$X351&lt;=0,0,IF(MOD($A351,Übersicht!$C$25)=0,MIN(Szenarien!$C$10,$Y350-$X351),0)),2))</f>
        <v>0</v>
      </c>
      <c r="Z351" s="38">
        <f>IF($AB350&lt;=0,0,ROUND($AB350*Übersicht!$C$26,2))</f>
        <v>0</v>
      </c>
      <c r="AA351" s="38">
        <f>IF($AB350&lt;=0,0,MIN($AB350,IF(Übersicht!$C$14="Annuitätendarlehen",MAX(0,Übersicht!$C$28-$Z351),IF(Übersicht!$C$14="Ratendarlehen",Übersicht!$C$29,IF($A351&gt;=Übersicht!$C$30,$AB350,0)))))</f>
        <v>0</v>
      </c>
      <c r="AB351" s="38">
        <f>IF($AB350&lt;=0,0,ROUND($AB350-$AA351-IF($AB350-$AA351&lt;=0,0,IF(MOD($A351,Übersicht!$C$25)=0,MIN(Szenarien!$C$11,$AB350-$AA351),0)),2))</f>
        <v>0</v>
      </c>
      <c r="AC351" s="38">
        <f>IF($AE350&lt;=0,0,ROUND($AE350*Übersicht!$C$26,2))</f>
        <v>0</v>
      </c>
      <c r="AD351" s="38">
        <f>IF($AE350&lt;=0,0,MIN($AE350,IF(Übersicht!$C$14="Annuitätendarlehen",MAX(0,Übersicht!$C$28-$AC351),IF(Übersicht!$C$14="Ratendarlehen",Übersicht!$C$29,IF($A351&gt;=Übersicht!$C$30,$AE350,0)))))</f>
        <v>0</v>
      </c>
      <c r="AE351" s="38">
        <f>IF($AE350&lt;=0,0,ROUND($AE350-$AD351-IF($AE350-$AD351&lt;=0,0,IF(MOD($A351,Übersicht!$C$25)=0,MIN(Szenarien!$C$12,$AE350-$AD351),0)),2))</f>
        <v>0</v>
      </c>
    </row>
    <row r="352" spans="1:31" ht="15" customHeight="1" x14ac:dyDescent="0.25">
      <c r="A352" s="21">
        <v>345</v>
      </c>
      <c r="B352" s="36" t="str">
        <f>IF($D352&lt;=0,"",EDATE(Übersicht!$C$18,($A352-1)*12/Übersicht!$C$25))</f>
        <v/>
      </c>
      <c r="C352" s="21" t="str">
        <f t="shared" si="35"/>
        <v/>
      </c>
      <c r="D352" s="37">
        <f t="shared" si="39"/>
        <v>0</v>
      </c>
      <c r="E352" s="23">
        <f t="shared" si="36"/>
        <v>0</v>
      </c>
      <c r="F352" s="23">
        <f>IF($D352&lt;=0,0,ROUND($D352*Übersicht!$C$26,2))</f>
        <v>0</v>
      </c>
      <c r="G352" s="23">
        <f>IF($D352&lt;=0,0,MIN($D352,IF(Übersicht!$C$14="Annuitätendarlehen",MAX(0,Übersicht!$C$28-$F352),IF(Übersicht!$C$14="Ratendarlehen",Übersicht!$C$29,IF($A352&gt;=Übersicht!$C$30,$D352,0)))))</f>
        <v>0</v>
      </c>
      <c r="H352" s="23">
        <f>IF($D352-$G352&lt;=0,0,IF(MOD($A352,Übersicht!$C$25)=0,MIN(Übersicht!$C$31,$D352-$G352),0))</f>
        <v>0</v>
      </c>
      <c r="I352" s="23">
        <f t="shared" si="37"/>
        <v>0</v>
      </c>
      <c r="J352" s="23">
        <f t="shared" si="38"/>
        <v>0</v>
      </c>
      <c r="K352" s="23">
        <f t="shared" si="40"/>
        <v>80072.129999999961</v>
      </c>
      <c r="L352" s="23">
        <f t="shared" si="41"/>
        <v>250000</v>
      </c>
      <c r="M352" s="24" t="str">
        <f>IF($D352&lt;=0,"",IF(Übersicht!$C$11=0,0,$L352/Übersicht!$C$11))</f>
        <v/>
      </c>
      <c r="N352" s="25" t="str">
        <f>IF($D352&lt;=0,"",IF($J352&lt;=0.005,"Volltilgung erreicht",IF($A352=Übersicht!$C$19*Übersicht!$C$25,"Ende der Zinsbindung",IF($H352&gt;0,"Sondertilgung verrechnet",""))))</f>
        <v/>
      </c>
      <c r="Q352" s="38">
        <f>IF($S351&lt;=0,0,ROUND($S351*Übersicht!$C$26,2))</f>
        <v>0</v>
      </c>
      <c r="R352" s="38">
        <f>IF($S351&lt;=0,0,MIN($S351,IF(Übersicht!$C$14="Annuitätendarlehen",MAX(0,Übersicht!$C$28-$Q352),IF(Übersicht!$C$14="Ratendarlehen",Übersicht!$C$29,IF($A352&gt;=Übersicht!$C$30,$S351,0)))))</f>
        <v>0</v>
      </c>
      <c r="S352" s="38">
        <f>IF($S351&lt;=0,0,ROUND($S351-$R352-IF($S351-$R352&lt;=0,0,IF(MOD($A352,Übersicht!$C$25)=0,MIN(Szenarien!$C$8,$S351-$R352),0)),2))</f>
        <v>0</v>
      </c>
      <c r="T352" s="38">
        <f>IF($V351&lt;=0,0,ROUND($V351*Übersicht!$C$26,2))</f>
        <v>0</v>
      </c>
      <c r="U352" s="38">
        <f>IF($V351&lt;=0,0,MIN($V351,IF(Übersicht!$C$14="Annuitätendarlehen",MAX(0,Übersicht!$C$28-$T352),IF(Übersicht!$C$14="Ratendarlehen",Übersicht!$C$29,IF($A352&gt;=Übersicht!$C$30,$V351,0)))))</f>
        <v>0</v>
      </c>
      <c r="V352" s="38">
        <f>IF($V351&lt;=0,0,ROUND($V351-$U352-IF($V351-$U352&lt;=0,0,IF(MOD($A352,Übersicht!$C$25)=0,MIN(Szenarien!$C$9,$V351-$U352),0)),2))</f>
        <v>0</v>
      </c>
      <c r="W352" s="38">
        <f>IF($Y351&lt;=0,0,ROUND($Y351*Übersicht!$C$26,2))</f>
        <v>0</v>
      </c>
      <c r="X352" s="38">
        <f>IF($Y351&lt;=0,0,MIN($Y351,IF(Übersicht!$C$14="Annuitätendarlehen",MAX(0,Übersicht!$C$28-$W352),IF(Übersicht!$C$14="Ratendarlehen",Übersicht!$C$29,IF($A352&gt;=Übersicht!$C$30,$Y351,0)))))</f>
        <v>0</v>
      </c>
      <c r="Y352" s="38">
        <f>IF($Y351&lt;=0,0,ROUND($Y351-$X352-IF($Y351-$X352&lt;=0,0,IF(MOD($A352,Übersicht!$C$25)=0,MIN(Szenarien!$C$10,$Y351-$X352),0)),2))</f>
        <v>0</v>
      </c>
      <c r="Z352" s="38">
        <f>IF($AB351&lt;=0,0,ROUND($AB351*Übersicht!$C$26,2))</f>
        <v>0</v>
      </c>
      <c r="AA352" s="38">
        <f>IF($AB351&lt;=0,0,MIN($AB351,IF(Übersicht!$C$14="Annuitätendarlehen",MAX(0,Übersicht!$C$28-$Z352),IF(Übersicht!$C$14="Ratendarlehen",Übersicht!$C$29,IF($A352&gt;=Übersicht!$C$30,$AB351,0)))))</f>
        <v>0</v>
      </c>
      <c r="AB352" s="38">
        <f>IF($AB351&lt;=0,0,ROUND($AB351-$AA352-IF($AB351-$AA352&lt;=0,0,IF(MOD($A352,Übersicht!$C$25)=0,MIN(Szenarien!$C$11,$AB351-$AA352),0)),2))</f>
        <v>0</v>
      </c>
      <c r="AC352" s="38">
        <f>IF($AE351&lt;=0,0,ROUND($AE351*Übersicht!$C$26,2))</f>
        <v>0</v>
      </c>
      <c r="AD352" s="38">
        <f>IF($AE351&lt;=0,0,MIN($AE351,IF(Übersicht!$C$14="Annuitätendarlehen",MAX(0,Übersicht!$C$28-$AC352),IF(Übersicht!$C$14="Ratendarlehen",Übersicht!$C$29,IF($A352&gt;=Übersicht!$C$30,$AE351,0)))))</f>
        <v>0</v>
      </c>
      <c r="AE352" s="38">
        <f>IF($AE351&lt;=0,0,ROUND($AE351-$AD352-IF($AE351-$AD352&lt;=0,0,IF(MOD($A352,Übersicht!$C$25)=0,MIN(Szenarien!$C$12,$AE351-$AD352),0)),2))</f>
        <v>0</v>
      </c>
    </row>
    <row r="353" spans="1:31" ht="15" customHeight="1" x14ac:dyDescent="0.25">
      <c r="A353" s="26">
        <v>346</v>
      </c>
      <c r="B353" s="39" t="str">
        <f>IF($D353&lt;=0,"",EDATE(Übersicht!$C$18,($A353-1)*12/Übersicht!$C$25))</f>
        <v/>
      </c>
      <c r="C353" s="26" t="str">
        <f t="shared" si="35"/>
        <v/>
      </c>
      <c r="D353" s="40">
        <f t="shared" si="39"/>
        <v>0</v>
      </c>
      <c r="E353" s="28">
        <f t="shared" si="36"/>
        <v>0</v>
      </c>
      <c r="F353" s="28">
        <f>IF($D353&lt;=0,0,ROUND($D353*Übersicht!$C$26,2))</f>
        <v>0</v>
      </c>
      <c r="G353" s="28">
        <f>IF($D353&lt;=0,0,MIN($D353,IF(Übersicht!$C$14="Annuitätendarlehen",MAX(0,Übersicht!$C$28-$F353),IF(Übersicht!$C$14="Ratendarlehen",Übersicht!$C$29,IF($A353&gt;=Übersicht!$C$30,$D353,0)))))</f>
        <v>0</v>
      </c>
      <c r="H353" s="28">
        <f>IF($D353-$G353&lt;=0,0,IF(MOD($A353,Übersicht!$C$25)=0,MIN(Übersicht!$C$31,$D353-$G353),0))</f>
        <v>0</v>
      </c>
      <c r="I353" s="28">
        <f t="shared" si="37"/>
        <v>0</v>
      </c>
      <c r="J353" s="28">
        <f t="shared" si="38"/>
        <v>0</v>
      </c>
      <c r="K353" s="28">
        <f t="shared" si="40"/>
        <v>80072.129999999961</v>
      </c>
      <c r="L353" s="28">
        <f t="shared" si="41"/>
        <v>250000</v>
      </c>
      <c r="M353" s="29" t="str">
        <f>IF($D353&lt;=0,"",IF(Übersicht!$C$11=0,0,$L353/Übersicht!$C$11))</f>
        <v/>
      </c>
      <c r="N353" s="30" t="str">
        <f>IF($D353&lt;=0,"",IF($J353&lt;=0.005,"Volltilgung erreicht",IF($A353=Übersicht!$C$19*Übersicht!$C$25,"Ende der Zinsbindung",IF($H353&gt;0,"Sondertilgung verrechnet",""))))</f>
        <v/>
      </c>
      <c r="Q353" s="38">
        <f>IF($S352&lt;=0,0,ROUND($S352*Übersicht!$C$26,2))</f>
        <v>0</v>
      </c>
      <c r="R353" s="38">
        <f>IF($S352&lt;=0,0,MIN($S352,IF(Übersicht!$C$14="Annuitätendarlehen",MAX(0,Übersicht!$C$28-$Q353),IF(Übersicht!$C$14="Ratendarlehen",Übersicht!$C$29,IF($A353&gt;=Übersicht!$C$30,$S352,0)))))</f>
        <v>0</v>
      </c>
      <c r="S353" s="38">
        <f>IF($S352&lt;=0,0,ROUND($S352-$R353-IF($S352-$R353&lt;=0,0,IF(MOD($A353,Übersicht!$C$25)=0,MIN(Szenarien!$C$8,$S352-$R353),0)),2))</f>
        <v>0</v>
      </c>
      <c r="T353" s="38">
        <f>IF($V352&lt;=0,0,ROUND($V352*Übersicht!$C$26,2))</f>
        <v>0</v>
      </c>
      <c r="U353" s="38">
        <f>IF($V352&lt;=0,0,MIN($V352,IF(Übersicht!$C$14="Annuitätendarlehen",MAX(0,Übersicht!$C$28-$T353),IF(Übersicht!$C$14="Ratendarlehen",Übersicht!$C$29,IF($A353&gt;=Übersicht!$C$30,$V352,0)))))</f>
        <v>0</v>
      </c>
      <c r="V353" s="38">
        <f>IF($V352&lt;=0,0,ROUND($V352-$U353-IF($V352-$U353&lt;=0,0,IF(MOD($A353,Übersicht!$C$25)=0,MIN(Szenarien!$C$9,$V352-$U353),0)),2))</f>
        <v>0</v>
      </c>
      <c r="W353" s="38">
        <f>IF($Y352&lt;=0,0,ROUND($Y352*Übersicht!$C$26,2))</f>
        <v>0</v>
      </c>
      <c r="X353" s="38">
        <f>IF($Y352&lt;=0,0,MIN($Y352,IF(Übersicht!$C$14="Annuitätendarlehen",MAX(0,Übersicht!$C$28-$W353),IF(Übersicht!$C$14="Ratendarlehen",Übersicht!$C$29,IF($A353&gt;=Übersicht!$C$30,$Y352,0)))))</f>
        <v>0</v>
      </c>
      <c r="Y353" s="38">
        <f>IF($Y352&lt;=0,0,ROUND($Y352-$X353-IF($Y352-$X353&lt;=0,0,IF(MOD($A353,Übersicht!$C$25)=0,MIN(Szenarien!$C$10,$Y352-$X353),0)),2))</f>
        <v>0</v>
      </c>
      <c r="Z353" s="38">
        <f>IF($AB352&lt;=0,0,ROUND($AB352*Übersicht!$C$26,2))</f>
        <v>0</v>
      </c>
      <c r="AA353" s="38">
        <f>IF($AB352&lt;=0,0,MIN($AB352,IF(Übersicht!$C$14="Annuitätendarlehen",MAX(0,Übersicht!$C$28-$Z353),IF(Übersicht!$C$14="Ratendarlehen",Übersicht!$C$29,IF($A353&gt;=Übersicht!$C$30,$AB352,0)))))</f>
        <v>0</v>
      </c>
      <c r="AB353" s="38">
        <f>IF($AB352&lt;=0,0,ROUND($AB352-$AA353-IF($AB352-$AA353&lt;=0,0,IF(MOD($A353,Übersicht!$C$25)=0,MIN(Szenarien!$C$11,$AB352-$AA353),0)),2))</f>
        <v>0</v>
      </c>
      <c r="AC353" s="38">
        <f>IF($AE352&lt;=0,0,ROUND($AE352*Übersicht!$C$26,2))</f>
        <v>0</v>
      </c>
      <c r="AD353" s="38">
        <f>IF($AE352&lt;=0,0,MIN($AE352,IF(Übersicht!$C$14="Annuitätendarlehen",MAX(0,Übersicht!$C$28-$AC353),IF(Übersicht!$C$14="Ratendarlehen",Übersicht!$C$29,IF($A353&gt;=Übersicht!$C$30,$AE352,0)))))</f>
        <v>0</v>
      </c>
      <c r="AE353" s="38">
        <f>IF($AE352&lt;=0,0,ROUND($AE352-$AD353-IF($AE352-$AD353&lt;=0,0,IF(MOD($A353,Übersicht!$C$25)=0,MIN(Szenarien!$C$12,$AE352-$AD353),0)),2))</f>
        <v>0</v>
      </c>
    </row>
    <row r="354" spans="1:31" ht="15" customHeight="1" x14ac:dyDescent="0.25">
      <c r="A354" s="21">
        <v>347</v>
      </c>
      <c r="B354" s="36" t="str">
        <f>IF($D354&lt;=0,"",EDATE(Übersicht!$C$18,($A354-1)*12/Übersicht!$C$25))</f>
        <v/>
      </c>
      <c r="C354" s="21" t="str">
        <f t="shared" si="35"/>
        <v/>
      </c>
      <c r="D354" s="37">
        <f t="shared" si="39"/>
        <v>0</v>
      </c>
      <c r="E354" s="23">
        <f t="shared" si="36"/>
        <v>0</v>
      </c>
      <c r="F354" s="23">
        <f>IF($D354&lt;=0,0,ROUND($D354*Übersicht!$C$26,2))</f>
        <v>0</v>
      </c>
      <c r="G354" s="23">
        <f>IF($D354&lt;=0,0,MIN($D354,IF(Übersicht!$C$14="Annuitätendarlehen",MAX(0,Übersicht!$C$28-$F354),IF(Übersicht!$C$14="Ratendarlehen",Übersicht!$C$29,IF($A354&gt;=Übersicht!$C$30,$D354,0)))))</f>
        <v>0</v>
      </c>
      <c r="H354" s="23">
        <f>IF($D354-$G354&lt;=0,0,IF(MOD($A354,Übersicht!$C$25)=0,MIN(Übersicht!$C$31,$D354-$G354),0))</f>
        <v>0</v>
      </c>
      <c r="I354" s="23">
        <f t="shared" si="37"/>
        <v>0</v>
      </c>
      <c r="J354" s="23">
        <f t="shared" si="38"/>
        <v>0</v>
      </c>
      <c r="K354" s="23">
        <f t="shared" si="40"/>
        <v>80072.129999999961</v>
      </c>
      <c r="L354" s="23">
        <f t="shared" si="41"/>
        <v>250000</v>
      </c>
      <c r="M354" s="24" t="str">
        <f>IF($D354&lt;=0,"",IF(Übersicht!$C$11=0,0,$L354/Übersicht!$C$11))</f>
        <v/>
      </c>
      <c r="N354" s="25" t="str">
        <f>IF($D354&lt;=0,"",IF($J354&lt;=0.005,"Volltilgung erreicht",IF($A354=Übersicht!$C$19*Übersicht!$C$25,"Ende der Zinsbindung",IF($H354&gt;0,"Sondertilgung verrechnet",""))))</f>
        <v/>
      </c>
      <c r="Q354" s="38">
        <f>IF($S353&lt;=0,0,ROUND($S353*Übersicht!$C$26,2))</f>
        <v>0</v>
      </c>
      <c r="R354" s="38">
        <f>IF($S353&lt;=0,0,MIN($S353,IF(Übersicht!$C$14="Annuitätendarlehen",MAX(0,Übersicht!$C$28-$Q354),IF(Übersicht!$C$14="Ratendarlehen",Übersicht!$C$29,IF($A354&gt;=Übersicht!$C$30,$S353,0)))))</f>
        <v>0</v>
      </c>
      <c r="S354" s="38">
        <f>IF($S353&lt;=0,0,ROUND($S353-$R354-IF($S353-$R354&lt;=0,0,IF(MOD($A354,Übersicht!$C$25)=0,MIN(Szenarien!$C$8,$S353-$R354),0)),2))</f>
        <v>0</v>
      </c>
      <c r="T354" s="38">
        <f>IF($V353&lt;=0,0,ROUND($V353*Übersicht!$C$26,2))</f>
        <v>0</v>
      </c>
      <c r="U354" s="38">
        <f>IF($V353&lt;=0,0,MIN($V353,IF(Übersicht!$C$14="Annuitätendarlehen",MAX(0,Übersicht!$C$28-$T354),IF(Übersicht!$C$14="Ratendarlehen",Übersicht!$C$29,IF($A354&gt;=Übersicht!$C$30,$V353,0)))))</f>
        <v>0</v>
      </c>
      <c r="V354" s="38">
        <f>IF($V353&lt;=0,0,ROUND($V353-$U354-IF($V353-$U354&lt;=0,0,IF(MOD($A354,Übersicht!$C$25)=0,MIN(Szenarien!$C$9,$V353-$U354),0)),2))</f>
        <v>0</v>
      </c>
      <c r="W354" s="38">
        <f>IF($Y353&lt;=0,0,ROUND($Y353*Übersicht!$C$26,2))</f>
        <v>0</v>
      </c>
      <c r="X354" s="38">
        <f>IF($Y353&lt;=0,0,MIN($Y353,IF(Übersicht!$C$14="Annuitätendarlehen",MAX(0,Übersicht!$C$28-$W354),IF(Übersicht!$C$14="Ratendarlehen",Übersicht!$C$29,IF($A354&gt;=Übersicht!$C$30,$Y353,0)))))</f>
        <v>0</v>
      </c>
      <c r="Y354" s="38">
        <f>IF($Y353&lt;=0,0,ROUND($Y353-$X354-IF($Y353-$X354&lt;=0,0,IF(MOD($A354,Übersicht!$C$25)=0,MIN(Szenarien!$C$10,$Y353-$X354),0)),2))</f>
        <v>0</v>
      </c>
      <c r="Z354" s="38">
        <f>IF($AB353&lt;=0,0,ROUND($AB353*Übersicht!$C$26,2))</f>
        <v>0</v>
      </c>
      <c r="AA354" s="38">
        <f>IF($AB353&lt;=0,0,MIN($AB353,IF(Übersicht!$C$14="Annuitätendarlehen",MAX(0,Übersicht!$C$28-$Z354),IF(Übersicht!$C$14="Ratendarlehen",Übersicht!$C$29,IF($A354&gt;=Übersicht!$C$30,$AB353,0)))))</f>
        <v>0</v>
      </c>
      <c r="AB354" s="38">
        <f>IF($AB353&lt;=0,0,ROUND($AB353-$AA354-IF($AB353-$AA354&lt;=0,0,IF(MOD($A354,Übersicht!$C$25)=0,MIN(Szenarien!$C$11,$AB353-$AA354),0)),2))</f>
        <v>0</v>
      </c>
      <c r="AC354" s="38">
        <f>IF($AE353&lt;=0,0,ROUND($AE353*Übersicht!$C$26,2))</f>
        <v>0</v>
      </c>
      <c r="AD354" s="38">
        <f>IF($AE353&lt;=0,0,MIN($AE353,IF(Übersicht!$C$14="Annuitätendarlehen",MAX(0,Übersicht!$C$28-$AC354),IF(Übersicht!$C$14="Ratendarlehen",Übersicht!$C$29,IF($A354&gt;=Übersicht!$C$30,$AE353,0)))))</f>
        <v>0</v>
      </c>
      <c r="AE354" s="38">
        <f>IF($AE353&lt;=0,0,ROUND($AE353-$AD354-IF($AE353-$AD354&lt;=0,0,IF(MOD($A354,Übersicht!$C$25)=0,MIN(Szenarien!$C$12,$AE353-$AD354),0)),2))</f>
        <v>0</v>
      </c>
    </row>
    <row r="355" spans="1:31" ht="15" customHeight="1" x14ac:dyDescent="0.25">
      <c r="A355" s="26">
        <v>348</v>
      </c>
      <c r="B355" s="39" t="str">
        <f>IF($D355&lt;=0,"",EDATE(Übersicht!$C$18,($A355-1)*12/Übersicht!$C$25))</f>
        <v/>
      </c>
      <c r="C355" s="26" t="str">
        <f t="shared" si="35"/>
        <v/>
      </c>
      <c r="D355" s="40">
        <f t="shared" si="39"/>
        <v>0</v>
      </c>
      <c r="E355" s="28">
        <f t="shared" si="36"/>
        <v>0</v>
      </c>
      <c r="F355" s="28">
        <f>IF($D355&lt;=0,0,ROUND($D355*Übersicht!$C$26,2))</f>
        <v>0</v>
      </c>
      <c r="G355" s="28">
        <f>IF($D355&lt;=0,0,MIN($D355,IF(Übersicht!$C$14="Annuitätendarlehen",MAX(0,Übersicht!$C$28-$F355),IF(Übersicht!$C$14="Ratendarlehen",Übersicht!$C$29,IF($A355&gt;=Übersicht!$C$30,$D355,0)))))</f>
        <v>0</v>
      </c>
      <c r="H355" s="28">
        <f>IF($D355-$G355&lt;=0,0,IF(MOD($A355,Übersicht!$C$25)=0,MIN(Übersicht!$C$31,$D355-$G355),0))</f>
        <v>0</v>
      </c>
      <c r="I355" s="28">
        <f t="shared" si="37"/>
        <v>0</v>
      </c>
      <c r="J355" s="28">
        <f t="shared" si="38"/>
        <v>0</v>
      </c>
      <c r="K355" s="28">
        <f t="shared" si="40"/>
        <v>80072.129999999961</v>
      </c>
      <c r="L355" s="28">
        <f t="shared" si="41"/>
        <v>250000</v>
      </c>
      <c r="M355" s="29" t="str">
        <f>IF($D355&lt;=0,"",IF(Übersicht!$C$11=0,0,$L355/Übersicht!$C$11))</f>
        <v/>
      </c>
      <c r="N355" s="30" t="str">
        <f>IF($D355&lt;=0,"",IF($J355&lt;=0.005,"Volltilgung erreicht",IF($A355=Übersicht!$C$19*Übersicht!$C$25,"Ende der Zinsbindung",IF($H355&gt;0,"Sondertilgung verrechnet",""))))</f>
        <v/>
      </c>
      <c r="Q355" s="38">
        <f>IF($S354&lt;=0,0,ROUND($S354*Übersicht!$C$26,2))</f>
        <v>0</v>
      </c>
      <c r="R355" s="38">
        <f>IF($S354&lt;=0,0,MIN($S354,IF(Übersicht!$C$14="Annuitätendarlehen",MAX(0,Übersicht!$C$28-$Q355),IF(Übersicht!$C$14="Ratendarlehen",Übersicht!$C$29,IF($A355&gt;=Übersicht!$C$30,$S354,0)))))</f>
        <v>0</v>
      </c>
      <c r="S355" s="38">
        <f>IF($S354&lt;=0,0,ROUND($S354-$R355-IF($S354-$R355&lt;=0,0,IF(MOD($A355,Übersicht!$C$25)=0,MIN(Szenarien!$C$8,$S354-$R355),0)),2))</f>
        <v>0</v>
      </c>
      <c r="T355" s="38">
        <f>IF($V354&lt;=0,0,ROUND($V354*Übersicht!$C$26,2))</f>
        <v>0</v>
      </c>
      <c r="U355" s="38">
        <f>IF($V354&lt;=0,0,MIN($V354,IF(Übersicht!$C$14="Annuitätendarlehen",MAX(0,Übersicht!$C$28-$T355),IF(Übersicht!$C$14="Ratendarlehen",Übersicht!$C$29,IF($A355&gt;=Übersicht!$C$30,$V354,0)))))</f>
        <v>0</v>
      </c>
      <c r="V355" s="38">
        <f>IF($V354&lt;=0,0,ROUND($V354-$U355-IF($V354-$U355&lt;=0,0,IF(MOD($A355,Übersicht!$C$25)=0,MIN(Szenarien!$C$9,$V354-$U355),0)),2))</f>
        <v>0</v>
      </c>
      <c r="W355" s="38">
        <f>IF($Y354&lt;=0,0,ROUND($Y354*Übersicht!$C$26,2))</f>
        <v>0</v>
      </c>
      <c r="X355" s="38">
        <f>IF($Y354&lt;=0,0,MIN($Y354,IF(Übersicht!$C$14="Annuitätendarlehen",MAX(0,Übersicht!$C$28-$W355),IF(Übersicht!$C$14="Ratendarlehen",Übersicht!$C$29,IF($A355&gt;=Übersicht!$C$30,$Y354,0)))))</f>
        <v>0</v>
      </c>
      <c r="Y355" s="38">
        <f>IF($Y354&lt;=0,0,ROUND($Y354-$X355-IF($Y354-$X355&lt;=0,0,IF(MOD($A355,Übersicht!$C$25)=0,MIN(Szenarien!$C$10,$Y354-$X355),0)),2))</f>
        <v>0</v>
      </c>
      <c r="Z355" s="38">
        <f>IF($AB354&lt;=0,0,ROUND($AB354*Übersicht!$C$26,2))</f>
        <v>0</v>
      </c>
      <c r="AA355" s="38">
        <f>IF($AB354&lt;=0,0,MIN($AB354,IF(Übersicht!$C$14="Annuitätendarlehen",MAX(0,Übersicht!$C$28-$Z355),IF(Übersicht!$C$14="Ratendarlehen",Übersicht!$C$29,IF($A355&gt;=Übersicht!$C$30,$AB354,0)))))</f>
        <v>0</v>
      </c>
      <c r="AB355" s="38">
        <f>IF($AB354&lt;=0,0,ROUND($AB354-$AA355-IF($AB354-$AA355&lt;=0,0,IF(MOD($A355,Übersicht!$C$25)=0,MIN(Szenarien!$C$11,$AB354-$AA355),0)),2))</f>
        <v>0</v>
      </c>
      <c r="AC355" s="38">
        <f>IF($AE354&lt;=0,0,ROUND($AE354*Übersicht!$C$26,2))</f>
        <v>0</v>
      </c>
      <c r="AD355" s="38">
        <f>IF($AE354&lt;=0,0,MIN($AE354,IF(Übersicht!$C$14="Annuitätendarlehen",MAX(0,Übersicht!$C$28-$AC355),IF(Übersicht!$C$14="Ratendarlehen",Übersicht!$C$29,IF($A355&gt;=Übersicht!$C$30,$AE354,0)))))</f>
        <v>0</v>
      </c>
      <c r="AE355" s="38">
        <f>IF($AE354&lt;=0,0,ROUND($AE354-$AD355-IF($AE354-$AD355&lt;=0,0,IF(MOD($A355,Übersicht!$C$25)=0,MIN(Szenarien!$C$12,$AE354-$AD355),0)),2))</f>
        <v>0</v>
      </c>
    </row>
    <row r="356" spans="1:31" ht="15" customHeight="1" x14ac:dyDescent="0.25">
      <c r="A356" s="21">
        <v>349</v>
      </c>
      <c r="B356" s="36" t="str">
        <f>IF($D356&lt;=0,"",EDATE(Übersicht!$C$18,($A356-1)*12/Übersicht!$C$25))</f>
        <v/>
      </c>
      <c r="C356" s="21" t="str">
        <f t="shared" si="35"/>
        <v/>
      </c>
      <c r="D356" s="37">
        <f t="shared" si="39"/>
        <v>0</v>
      </c>
      <c r="E356" s="23">
        <f t="shared" si="36"/>
        <v>0</v>
      </c>
      <c r="F356" s="23">
        <f>IF($D356&lt;=0,0,ROUND($D356*Übersicht!$C$26,2))</f>
        <v>0</v>
      </c>
      <c r="G356" s="23">
        <f>IF($D356&lt;=0,0,MIN($D356,IF(Übersicht!$C$14="Annuitätendarlehen",MAX(0,Übersicht!$C$28-$F356),IF(Übersicht!$C$14="Ratendarlehen",Übersicht!$C$29,IF($A356&gt;=Übersicht!$C$30,$D356,0)))))</f>
        <v>0</v>
      </c>
      <c r="H356" s="23">
        <f>IF($D356-$G356&lt;=0,0,IF(MOD($A356,Übersicht!$C$25)=0,MIN(Übersicht!$C$31,$D356-$G356),0))</f>
        <v>0</v>
      </c>
      <c r="I356" s="23">
        <f t="shared" si="37"/>
        <v>0</v>
      </c>
      <c r="J356" s="23">
        <f t="shared" si="38"/>
        <v>0</v>
      </c>
      <c r="K356" s="23">
        <f t="shared" si="40"/>
        <v>80072.129999999961</v>
      </c>
      <c r="L356" s="23">
        <f t="shared" si="41"/>
        <v>250000</v>
      </c>
      <c r="M356" s="24" t="str">
        <f>IF($D356&lt;=0,"",IF(Übersicht!$C$11=0,0,$L356/Übersicht!$C$11))</f>
        <v/>
      </c>
      <c r="N356" s="25" t="str">
        <f>IF($D356&lt;=0,"",IF($J356&lt;=0.005,"Volltilgung erreicht",IF($A356=Übersicht!$C$19*Übersicht!$C$25,"Ende der Zinsbindung",IF($H356&gt;0,"Sondertilgung verrechnet",""))))</f>
        <v/>
      </c>
      <c r="Q356" s="38">
        <f>IF($S355&lt;=0,0,ROUND($S355*Übersicht!$C$26,2))</f>
        <v>0</v>
      </c>
      <c r="R356" s="38">
        <f>IF($S355&lt;=0,0,MIN($S355,IF(Übersicht!$C$14="Annuitätendarlehen",MAX(0,Übersicht!$C$28-$Q356),IF(Übersicht!$C$14="Ratendarlehen",Übersicht!$C$29,IF($A356&gt;=Übersicht!$C$30,$S355,0)))))</f>
        <v>0</v>
      </c>
      <c r="S356" s="38">
        <f>IF($S355&lt;=0,0,ROUND($S355-$R356-IF($S355-$R356&lt;=0,0,IF(MOD($A356,Übersicht!$C$25)=0,MIN(Szenarien!$C$8,$S355-$R356),0)),2))</f>
        <v>0</v>
      </c>
      <c r="T356" s="38">
        <f>IF($V355&lt;=0,0,ROUND($V355*Übersicht!$C$26,2))</f>
        <v>0</v>
      </c>
      <c r="U356" s="38">
        <f>IF($V355&lt;=0,0,MIN($V355,IF(Übersicht!$C$14="Annuitätendarlehen",MAX(0,Übersicht!$C$28-$T356),IF(Übersicht!$C$14="Ratendarlehen",Übersicht!$C$29,IF($A356&gt;=Übersicht!$C$30,$V355,0)))))</f>
        <v>0</v>
      </c>
      <c r="V356" s="38">
        <f>IF($V355&lt;=0,0,ROUND($V355-$U356-IF($V355-$U356&lt;=0,0,IF(MOD($A356,Übersicht!$C$25)=0,MIN(Szenarien!$C$9,$V355-$U356),0)),2))</f>
        <v>0</v>
      </c>
      <c r="W356" s="38">
        <f>IF($Y355&lt;=0,0,ROUND($Y355*Übersicht!$C$26,2))</f>
        <v>0</v>
      </c>
      <c r="X356" s="38">
        <f>IF($Y355&lt;=0,0,MIN($Y355,IF(Übersicht!$C$14="Annuitätendarlehen",MAX(0,Übersicht!$C$28-$W356),IF(Übersicht!$C$14="Ratendarlehen",Übersicht!$C$29,IF($A356&gt;=Übersicht!$C$30,$Y355,0)))))</f>
        <v>0</v>
      </c>
      <c r="Y356" s="38">
        <f>IF($Y355&lt;=0,0,ROUND($Y355-$X356-IF($Y355-$X356&lt;=0,0,IF(MOD($A356,Übersicht!$C$25)=0,MIN(Szenarien!$C$10,$Y355-$X356),0)),2))</f>
        <v>0</v>
      </c>
      <c r="Z356" s="38">
        <f>IF($AB355&lt;=0,0,ROUND($AB355*Übersicht!$C$26,2))</f>
        <v>0</v>
      </c>
      <c r="AA356" s="38">
        <f>IF($AB355&lt;=0,0,MIN($AB355,IF(Übersicht!$C$14="Annuitätendarlehen",MAX(0,Übersicht!$C$28-$Z356),IF(Übersicht!$C$14="Ratendarlehen",Übersicht!$C$29,IF($A356&gt;=Übersicht!$C$30,$AB355,0)))))</f>
        <v>0</v>
      </c>
      <c r="AB356" s="38">
        <f>IF($AB355&lt;=0,0,ROUND($AB355-$AA356-IF($AB355-$AA356&lt;=0,0,IF(MOD($A356,Übersicht!$C$25)=0,MIN(Szenarien!$C$11,$AB355-$AA356),0)),2))</f>
        <v>0</v>
      </c>
      <c r="AC356" s="38">
        <f>IF($AE355&lt;=0,0,ROUND($AE355*Übersicht!$C$26,2))</f>
        <v>0</v>
      </c>
      <c r="AD356" s="38">
        <f>IF($AE355&lt;=0,0,MIN($AE355,IF(Übersicht!$C$14="Annuitätendarlehen",MAX(0,Übersicht!$C$28-$AC356),IF(Übersicht!$C$14="Ratendarlehen",Übersicht!$C$29,IF($A356&gt;=Übersicht!$C$30,$AE355,0)))))</f>
        <v>0</v>
      </c>
      <c r="AE356" s="38">
        <f>IF($AE355&lt;=0,0,ROUND($AE355-$AD356-IF($AE355-$AD356&lt;=0,0,IF(MOD($A356,Übersicht!$C$25)=0,MIN(Szenarien!$C$12,$AE355-$AD356),0)),2))</f>
        <v>0</v>
      </c>
    </row>
    <row r="357" spans="1:31" ht="15" customHeight="1" x14ac:dyDescent="0.25">
      <c r="A357" s="26">
        <v>350</v>
      </c>
      <c r="B357" s="39" t="str">
        <f>IF($D357&lt;=0,"",EDATE(Übersicht!$C$18,($A357-1)*12/Übersicht!$C$25))</f>
        <v/>
      </c>
      <c r="C357" s="26" t="str">
        <f t="shared" si="35"/>
        <v/>
      </c>
      <c r="D357" s="40">
        <f t="shared" si="39"/>
        <v>0</v>
      </c>
      <c r="E357" s="28">
        <f t="shared" si="36"/>
        <v>0</v>
      </c>
      <c r="F357" s="28">
        <f>IF($D357&lt;=0,0,ROUND($D357*Übersicht!$C$26,2))</f>
        <v>0</v>
      </c>
      <c r="G357" s="28">
        <f>IF($D357&lt;=0,0,MIN($D357,IF(Übersicht!$C$14="Annuitätendarlehen",MAX(0,Übersicht!$C$28-$F357),IF(Übersicht!$C$14="Ratendarlehen",Übersicht!$C$29,IF($A357&gt;=Übersicht!$C$30,$D357,0)))))</f>
        <v>0</v>
      </c>
      <c r="H357" s="28">
        <f>IF($D357-$G357&lt;=0,0,IF(MOD($A357,Übersicht!$C$25)=0,MIN(Übersicht!$C$31,$D357-$G357),0))</f>
        <v>0</v>
      </c>
      <c r="I357" s="28">
        <f t="shared" si="37"/>
        <v>0</v>
      </c>
      <c r="J357" s="28">
        <f t="shared" si="38"/>
        <v>0</v>
      </c>
      <c r="K357" s="28">
        <f t="shared" si="40"/>
        <v>80072.129999999961</v>
      </c>
      <c r="L357" s="28">
        <f t="shared" si="41"/>
        <v>250000</v>
      </c>
      <c r="M357" s="29" t="str">
        <f>IF($D357&lt;=0,"",IF(Übersicht!$C$11=0,0,$L357/Übersicht!$C$11))</f>
        <v/>
      </c>
      <c r="N357" s="30" t="str">
        <f>IF($D357&lt;=0,"",IF($J357&lt;=0.005,"Volltilgung erreicht",IF($A357=Übersicht!$C$19*Übersicht!$C$25,"Ende der Zinsbindung",IF($H357&gt;0,"Sondertilgung verrechnet",""))))</f>
        <v/>
      </c>
      <c r="Q357" s="38">
        <f>IF($S356&lt;=0,0,ROUND($S356*Übersicht!$C$26,2))</f>
        <v>0</v>
      </c>
      <c r="R357" s="38">
        <f>IF($S356&lt;=0,0,MIN($S356,IF(Übersicht!$C$14="Annuitätendarlehen",MAX(0,Übersicht!$C$28-$Q357),IF(Übersicht!$C$14="Ratendarlehen",Übersicht!$C$29,IF($A357&gt;=Übersicht!$C$30,$S356,0)))))</f>
        <v>0</v>
      </c>
      <c r="S357" s="38">
        <f>IF($S356&lt;=0,0,ROUND($S356-$R357-IF($S356-$R357&lt;=0,0,IF(MOD($A357,Übersicht!$C$25)=0,MIN(Szenarien!$C$8,$S356-$R357),0)),2))</f>
        <v>0</v>
      </c>
      <c r="T357" s="38">
        <f>IF($V356&lt;=0,0,ROUND($V356*Übersicht!$C$26,2))</f>
        <v>0</v>
      </c>
      <c r="U357" s="38">
        <f>IF($V356&lt;=0,0,MIN($V356,IF(Übersicht!$C$14="Annuitätendarlehen",MAX(0,Übersicht!$C$28-$T357),IF(Übersicht!$C$14="Ratendarlehen",Übersicht!$C$29,IF($A357&gt;=Übersicht!$C$30,$V356,0)))))</f>
        <v>0</v>
      </c>
      <c r="V357" s="38">
        <f>IF($V356&lt;=0,0,ROUND($V356-$U357-IF($V356-$U357&lt;=0,0,IF(MOD($A357,Übersicht!$C$25)=0,MIN(Szenarien!$C$9,$V356-$U357),0)),2))</f>
        <v>0</v>
      </c>
      <c r="W357" s="38">
        <f>IF($Y356&lt;=0,0,ROUND($Y356*Übersicht!$C$26,2))</f>
        <v>0</v>
      </c>
      <c r="X357" s="38">
        <f>IF($Y356&lt;=0,0,MIN($Y356,IF(Übersicht!$C$14="Annuitätendarlehen",MAX(0,Übersicht!$C$28-$W357),IF(Übersicht!$C$14="Ratendarlehen",Übersicht!$C$29,IF($A357&gt;=Übersicht!$C$30,$Y356,0)))))</f>
        <v>0</v>
      </c>
      <c r="Y357" s="38">
        <f>IF($Y356&lt;=0,0,ROUND($Y356-$X357-IF($Y356-$X357&lt;=0,0,IF(MOD($A357,Übersicht!$C$25)=0,MIN(Szenarien!$C$10,$Y356-$X357),0)),2))</f>
        <v>0</v>
      </c>
      <c r="Z357" s="38">
        <f>IF($AB356&lt;=0,0,ROUND($AB356*Übersicht!$C$26,2))</f>
        <v>0</v>
      </c>
      <c r="AA357" s="38">
        <f>IF($AB356&lt;=0,0,MIN($AB356,IF(Übersicht!$C$14="Annuitätendarlehen",MAX(0,Übersicht!$C$28-$Z357),IF(Übersicht!$C$14="Ratendarlehen",Übersicht!$C$29,IF($A357&gt;=Übersicht!$C$30,$AB356,0)))))</f>
        <v>0</v>
      </c>
      <c r="AB357" s="38">
        <f>IF($AB356&lt;=0,0,ROUND($AB356-$AA357-IF($AB356-$AA357&lt;=0,0,IF(MOD($A357,Übersicht!$C$25)=0,MIN(Szenarien!$C$11,$AB356-$AA357),0)),2))</f>
        <v>0</v>
      </c>
      <c r="AC357" s="38">
        <f>IF($AE356&lt;=0,0,ROUND($AE356*Übersicht!$C$26,2))</f>
        <v>0</v>
      </c>
      <c r="AD357" s="38">
        <f>IF($AE356&lt;=0,0,MIN($AE356,IF(Übersicht!$C$14="Annuitätendarlehen",MAX(0,Übersicht!$C$28-$AC357),IF(Übersicht!$C$14="Ratendarlehen",Übersicht!$C$29,IF($A357&gt;=Übersicht!$C$30,$AE356,0)))))</f>
        <v>0</v>
      </c>
      <c r="AE357" s="38">
        <f>IF($AE356&lt;=0,0,ROUND($AE356-$AD357-IF($AE356-$AD357&lt;=0,0,IF(MOD($A357,Übersicht!$C$25)=0,MIN(Szenarien!$C$12,$AE356-$AD357),0)),2))</f>
        <v>0</v>
      </c>
    </row>
    <row r="358" spans="1:31" ht="15" customHeight="1" x14ac:dyDescent="0.25">
      <c r="A358" s="21">
        <v>351</v>
      </c>
      <c r="B358" s="36" t="str">
        <f>IF($D358&lt;=0,"",EDATE(Übersicht!$C$18,($A358-1)*12/Übersicht!$C$25))</f>
        <v/>
      </c>
      <c r="C358" s="21" t="str">
        <f t="shared" si="35"/>
        <v/>
      </c>
      <c r="D358" s="37">
        <f t="shared" si="39"/>
        <v>0</v>
      </c>
      <c r="E358" s="23">
        <f t="shared" si="36"/>
        <v>0</v>
      </c>
      <c r="F358" s="23">
        <f>IF($D358&lt;=0,0,ROUND($D358*Übersicht!$C$26,2))</f>
        <v>0</v>
      </c>
      <c r="G358" s="23">
        <f>IF($D358&lt;=0,0,MIN($D358,IF(Übersicht!$C$14="Annuitätendarlehen",MAX(0,Übersicht!$C$28-$F358),IF(Übersicht!$C$14="Ratendarlehen",Übersicht!$C$29,IF($A358&gt;=Übersicht!$C$30,$D358,0)))))</f>
        <v>0</v>
      </c>
      <c r="H358" s="23">
        <f>IF($D358-$G358&lt;=0,0,IF(MOD($A358,Übersicht!$C$25)=0,MIN(Übersicht!$C$31,$D358-$G358),0))</f>
        <v>0</v>
      </c>
      <c r="I358" s="23">
        <f t="shared" si="37"/>
        <v>0</v>
      </c>
      <c r="J358" s="23">
        <f t="shared" si="38"/>
        <v>0</v>
      </c>
      <c r="K358" s="23">
        <f t="shared" si="40"/>
        <v>80072.129999999961</v>
      </c>
      <c r="L358" s="23">
        <f t="shared" si="41"/>
        <v>250000</v>
      </c>
      <c r="M358" s="24" t="str">
        <f>IF($D358&lt;=0,"",IF(Übersicht!$C$11=0,0,$L358/Übersicht!$C$11))</f>
        <v/>
      </c>
      <c r="N358" s="25" t="str">
        <f>IF($D358&lt;=0,"",IF($J358&lt;=0.005,"Volltilgung erreicht",IF($A358=Übersicht!$C$19*Übersicht!$C$25,"Ende der Zinsbindung",IF($H358&gt;0,"Sondertilgung verrechnet",""))))</f>
        <v/>
      </c>
      <c r="Q358" s="38">
        <f>IF($S357&lt;=0,0,ROUND($S357*Übersicht!$C$26,2))</f>
        <v>0</v>
      </c>
      <c r="R358" s="38">
        <f>IF($S357&lt;=0,0,MIN($S357,IF(Übersicht!$C$14="Annuitätendarlehen",MAX(0,Übersicht!$C$28-$Q358),IF(Übersicht!$C$14="Ratendarlehen",Übersicht!$C$29,IF($A358&gt;=Übersicht!$C$30,$S357,0)))))</f>
        <v>0</v>
      </c>
      <c r="S358" s="38">
        <f>IF($S357&lt;=0,0,ROUND($S357-$R358-IF($S357-$R358&lt;=0,0,IF(MOD($A358,Übersicht!$C$25)=0,MIN(Szenarien!$C$8,$S357-$R358),0)),2))</f>
        <v>0</v>
      </c>
      <c r="T358" s="38">
        <f>IF($V357&lt;=0,0,ROUND($V357*Übersicht!$C$26,2))</f>
        <v>0</v>
      </c>
      <c r="U358" s="38">
        <f>IF($V357&lt;=0,0,MIN($V357,IF(Übersicht!$C$14="Annuitätendarlehen",MAX(0,Übersicht!$C$28-$T358),IF(Übersicht!$C$14="Ratendarlehen",Übersicht!$C$29,IF($A358&gt;=Übersicht!$C$30,$V357,0)))))</f>
        <v>0</v>
      </c>
      <c r="V358" s="38">
        <f>IF($V357&lt;=0,0,ROUND($V357-$U358-IF($V357-$U358&lt;=0,0,IF(MOD($A358,Übersicht!$C$25)=0,MIN(Szenarien!$C$9,$V357-$U358),0)),2))</f>
        <v>0</v>
      </c>
      <c r="W358" s="38">
        <f>IF($Y357&lt;=0,0,ROUND($Y357*Übersicht!$C$26,2))</f>
        <v>0</v>
      </c>
      <c r="X358" s="38">
        <f>IF($Y357&lt;=0,0,MIN($Y357,IF(Übersicht!$C$14="Annuitätendarlehen",MAX(0,Übersicht!$C$28-$W358),IF(Übersicht!$C$14="Ratendarlehen",Übersicht!$C$29,IF($A358&gt;=Übersicht!$C$30,$Y357,0)))))</f>
        <v>0</v>
      </c>
      <c r="Y358" s="38">
        <f>IF($Y357&lt;=0,0,ROUND($Y357-$X358-IF($Y357-$X358&lt;=0,0,IF(MOD($A358,Übersicht!$C$25)=0,MIN(Szenarien!$C$10,$Y357-$X358),0)),2))</f>
        <v>0</v>
      </c>
      <c r="Z358" s="38">
        <f>IF($AB357&lt;=0,0,ROUND($AB357*Übersicht!$C$26,2))</f>
        <v>0</v>
      </c>
      <c r="AA358" s="38">
        <f>IF($AB357&lt;=0,0,MIN($AB357,IF(Übersicht!$C$14="Annuitätendarlehen",MAX(0,Übersicht!$C$28-$Z358),IF(Übersicht!$C$14="Ratendarlehen",Übersicht!$C$29,IF($A358&gt;=Übersicht!$C$30,$AB357,0)))))</f>
        <v>0</v>
      </c>
      <c r="AB358" s="38">
        <f>IF($AB357&lt;=0,0,ROUND($AB357-$AA358-IF($AB357-$AA358&lt;=0,0,IF(MOD($A358,Übersicht!$C$25)=0,MIN(Szenarien!$C$11,$AB357-$AA358),0)),2))</f>
        <v>0</v>
      </c>
      <c r="AC358" s="38">
        <f>IF($AE357&lt;=0,0,ROUND($AE357*Übersicht!$C$26,2))</f>
        <v>0</v>
      </c>
      <c r="AD358" s="38">
        <f>IF($AE357&lt;=0,0,MIN($AE357,IF(Übersicht!$C$14="Annuitätendarlehen",MAX(0,Übersicht!$C$28-$AC358),IF(Übersicht!$C$14="Ratendarlehen",Übersicht!$C$29,IF($A358&gt;=Übersicht!$C$30,$AE357,0)))))</f>
        <v>0</v>
      </c>
      <c r="AE358" s="38">
        <f>IF($AE357&lt;=0,0,ROUND($AE357-$AD358-IF($AE357-$AD358&lt;=0,0,IF(MOD($A358,Übersicht!$C$25)=0,MIN(Szenarien!$C$12,$AE357-$AD358),0)),2))</f>
        <v>0</v>
      </c>
    </row>
    <row r="359" spans="1:31" ht="15" customHeight="1" x14ac:dyDescent="0.25">
      <c r="A359" s="26">
        <v>352</v>
      </c>
      <c r="B359" s="39" t="str">
        <f>IF($D359&lt;=0,"",EDATE(Übersicht!$C$18,($A359-1)*12/Übersicht!$C$25))</f>
        <v/>
      </c>
      <c r="C359" s="26" t="str">
        <f t="shared" si="35"/>
        <v/>
      </c>
      <c r="D359" s="40">
        <f t="shared" si="39"/>
        <v>0</v>
      </c>
      <c r="E359" s="28">
        <f t="shared" si="36"/>
        <v>0</v>
      </c>
      <c r="F359" s="28">
        <f>IF($D359&lt;=0,0,ROUND($D359*Übersicht!$C$26,2))</f>
        <v>0</v>
      </c>
      <c r="G359" s="28">
        <f>IF($D359&lt;=0,0,MIN($D359,IF(Übersicht!$C$14="Annuitätendarlehen",MAX(0,Übersicht!$C$28-$F359),IF(Übersicht!$C$14="Ratendarlehen",Übersicht!$C$29,IF($A359&gt;=Übersicht!$C$30,$D359,0)))))</f>
        <v>0</v>
      </c>
      <c r="H359" s="28">
        <f>IF($D359-$G359&lt;=0,0,IF(MOD($A359,Übersicht!$C$25)=0,MIN(Übersicht!$C$31,$D359-$G359),0))</f>
        <v>0</v>
      </c>
      <c r="I359" s="28">
        <f t="shared" si="37"/>
        <v>0</v>
      </c>
      <c r="J359" s="28">
        <f t="shared" si="38"/>
        <v>0</v>
      </c>
      <c r="K359" s="28">
        <f t="shared" si="40"/>
        <v>80072.129999999961</v>
      </c>
      <c r="L359" s="28">
        <f t="shared" si="41"/>
        <v>250000</v>
      </c>
      <c r="M359" s="29" t="str">
        <f>IF($D359&lt;=0,"",IF(Übersicht!$C$11=0,0,$L359/Übersicht!$C$11))</f>
        <v/>
      </c>
      <c r="N359" s="30" t="str">
        <f>IF($D359&lt;=0,"",IF($J359&lt;=0.005,"Volltilgung erreicht",IF($A359=Übersicht!$C$19*Übersicht!$C$25,"Ende der Zinsbindung",IF($H359&gt;0,"Sondertilgung verrechnet",""))))</f>
        <v/>
      </c>
      <c r="Q359" s="38">
        <f>IF($S358&lt;=0,0,ROUND($S358*Übersicht!$C$26,2))</f>
        <v>0</v>
      </c>
      <c r="R359" s="38">
        <f>IF($S358&lt;=0,0,MIN($S358,IF(Übersicht!$C$14="Annuitätendarlehen",MAX(0,Übersicht!$C$28-$Q359),IF(Übersicht!$C$14="Ratendarlehen",Übersicht!$C$29,IF($A359&gt;=Übersicht!$C$30,$S358,0)))))</f>
        <v>0</v>
      </c>
      <c r="S359" s="38">
        <f>IF($S358&lt;=0,0,ROUND($S358-$R359-IF($S358-$R359&lt;=0,0,IF(MOD($A359,Übersicht!$C$25)=0,MIN(Szenarien!$C$8,$S358-$R359),0)),2))</f>
        <v>0</v>
      </c>
      <c r="T359" s="38">
        <f>IF($V358&lt;=0,0,ROUND($V358*Übersicht!$C$26,2))</f>
        <v>0</v>
      </c>
      <c r="U359" s="38">
        <f>IF($V358&lt;=0,0,MIN($V358,IF(Übersicht!$C$14="Annuitätendarlehen",MAX(0,Übersicht!$C$28-$T359),IF(Übersicht!$C$14="Ratendarlehen",Übersicht!$C$29,IF($A359&gt;=Übersicht!$C$30,$V358,0)))))</f>
        <v>0</v>
      </c>
      <c r="V359" s="38">
        <f>IF($V358&lt;=0,0,ROUND($V358-$U359-IF($V358-$U359&lt;=0,0,IF(MOD($A359,Übersicht!$C$25)=0,MIN(Szenarien!$C$9,$V358-$U359),0)),2))</f>
        <v>0</v>
      </c>
      <c r="W359" s="38">
        <f>IF($Y358&lt;=0,0,ROUND($Y358*Übersicht!$C$26,2))</f>
        <v>0</v>
      </c>
      <c r="X359" s="38">
        <f>IF($Y358&lt;=0,0,MIN($Y358,IF(Übersicht!$C$14="Annuitätendarlehen",MAX(0,Übersicht!$C$28-$W359),IF(Übersicht!$C$14="Ratendarlehen",Übersicht!$C$29,IF($A359&gt;=Übersicht!$C$30,$Y358,0)))))</f>
        <v>0</v>
      </c>
      <c r="Y359" s="38">
        <f>IF($Y358&lt;=0,0,ROUND($Y358-$X359-IF($Y358-$X359&lt;=0,0,IF(MOD($A359,Übersicht!$C$25)=0,MIN(Szenarien!$C$10,$Y358-$X359),0)),2))</f>
        <v>0</v>
      </c>
      <c r="Z359" s="38">
        <f>IF($AB358&lt;=0,0,ROUND($AB358*Übersicht!$C$26,2))</f>
        <v>0</v>
      </c>
      <c r="AA359" s="38">
        <f>IF($AB358&lt;=0,0,MIN($AB358,IF(Übersicht!$C$14="Annuitätendarlehen",MAX(0,Übersicht!$C$28-$Z359),IF(Übersicht!$C$14="Ratendarlehen",Übersicht!$C$29,IF($A359&gt;=Übersicht!$C$30,$AB358,0)))))</f>
        <v>0</v>
      </c>
      <c r="AB359" s="38">
        <f>IF($AB358&lt;=0,0,ROUND($AB358-$AA359-IF($AB358-$AA359&lt;=0,0,IF(MOD($A359,Übersicht!$C$25)=0,MIN(Szenarien!$C$11,$AB358-$AA359),0)),2))</f>
        <v>0</v>
      </c>
      <c r="AC359" s="38">
        <f>IF($AE358&lt;=0,0,ROUND($AE358*Übersicht!$C$26,2))</f>
        <v>0</v>
      </c>
      <c r="AD359" s="38">
        <f>IF($AE358&lt;=0,0,MIN($AE358,IF(Übersicht!$C$14="Annuitätendarlehen",MAX(0,Übersicht!$C$28-$AC359),IF(Übersicht!$C$14="Ratendarlehen",Übersicht!$C$29,IF($A359&gt;=Übersicht!$C$30,$AE358,0)))))</f>
        <v>0</v>
      </c>
      <c r="AE359" s="38">
        <f>IF($AE358&lt;=0,0,ROUND($AE358-$AD359-IF($AE358-$AD359&lt;=0,0,IF(MOD($A359,Übersicht!$C$25)=0,MIN(Szenarien!$C$12,$AE358-$AD359),0)),2))</f>
        <v>0</v>
      </c>
    </row>
    <row r="360" spans="1:31" ht="15" customHeight="1" x14ac:dyDescent="0.25">
      <c r="A360" s="21">
        <v>353</v>
      </c>
      <c r="B360" s="36" t="str">
        <f>IF($D360&lt;=0,"",EDATE(Übersicht!$C$18,($A360-1)*12/Übersicht!$C$25))</f>
        <v/>
      </c>
      <c r="C360" s="21" t="str">
        <f t="shared" si="35"/>
        <v/>
      </c>
      <c r="D360" s="37">
        <f t="shared" si="39"/>
        <v>0</v>
      </c>
      <c r="E360" s="23">
        <f t="shared" si="36"/>
        <v>0</v>
      </c>
      <c r="F360" s="23">
        <f>IF($D360&lt;=0,0,ROUND($D360*Übersicht!$C$26,2))</f>
        <v>0</v>
      </c>
      <c r="G360" s="23">
        <f>IF($D360&lt;=0,0,MIN($D360,IF(Übersicht!$C$14="Annuitätendarlehen",MAX(0,Übersicht!$C$28-$F360),IF(Übersicht!$C$14="Ratendarlehen",Übersicht!$C$29,IF($A360&gt;=Übersicht!$C$30,$D360,0)))))</f>
        <v>0</v>
      </c>
      <c r="H360" s="23">
        <f>IF($D360-$G360&lt;=0,0,IF(MOD($A360,Übersicht!$C$25)=0,MIN(Übersicht!$C$31,$D360-$G360),0))</f>
        <v>0</v>
      </c>
      <c r="I360" s="23">
        <f t="shared" si="37"/>
        <v>0</v>
      </c>
      <c r="J360" s="23">
        <f t="shared" si="38"/>
        <v>0</v>
      </c>
      <c r="K360" s="23">
        <f t="shared" si="40"/>
        <v>80072.129999999961</v>
      </c>
      <c r="L360" s="23">
        <f t="shared" si="41"/>
        <v>250000</v>
      </c>
      <c r="M360" s="24" t="str">
        <f>IF($D360&lt;=0,"",IF(Übersicht!$C$11=0,0,$L360/Übersicht!$C$11))</f>
        <v/>
      </c>
      <c r="N360" s="25" t="str">
        <f>IF($D360&lt;=0,"",IF($J360&lt;=0.005,"Volltilgung erreicht",IF($A360=Übersicht!$C$19*Übersicht!$C$25,"Ende der Zinsbindung",IF($H360&gt;0,"Sondertilgung verrechnet",""))))</f>
        <v/>
      </c>
      <c r="Q360" s="38">
        <f>IF($S359&lt;=0,0,ROUND($S359*Übersicht!$C$26,2))</f>
        <v>0</v>
      </c>
      <c r="R360" s="38">
        <f>IF($S359&lt;=0,0,MIN($S359,IF(Übersicht!$C$14="Annuitätendarlehen",MAX(0,Übersicht!$C$28-$Q360),IF(Übersicht!$C$14="Ratendarlehen",Übersicht!$C$29,IF($A360&gt;=Übersicht!$C$30,$S359,0)))))</f>
        <v>0</v>
      </c>
      <c r="S360" s="38">
        <f>IF($S359&lt;=0,0,ROUND($S359-$R360-IF($S359-$R360&lt;=0,0,IF(MOD($A360,Übersicht!$C$25)=0,MIN(Szenarien!$C$8,$S359-$R360),0)),2))</f>
        <v>0</v>
      </c>
      <c r="T360" s="38">
        <f>IF($V359&lt;=0,0,ROUND($V359*Übersicht!$C$26,2))</f>
        <v>0</v>
      </c>
      <c r="U360" s="38">
        <f>IF($V359&lt;=0,0,MIN($V359,IF(Übersicht!$C$14="Annuitätendarlehen",MAX(0,Übersicht!$C$28-$T360),IF(Übersicht!$C$14="Ratendarlehen",Übersicht!$C$29,IF($A360&gt;=Übersicht!$C$30,$V359,0)))))</f>
        <v>0</v>
      </c>
      <c r="V360" s="38">
        <f>IF($V359&lt;=0,0,ROUND($V359-$U360-IF($V359-$U360&lt;=0,0,IF(MOD($A360,Übersicht!$C$25)=0,MIN(Szenarien!$C$9,$V359-$U360),0)),2))</f>
        <v>0</v>
      </c>
      <c r="W360" s="38">
        <f>IF($Y359&lt;=0,0,ROUND($Y359*Übersicht!$C$26,2))</f>
        <v>0</v>
      </c>
      <c r="X360" s="38">
        <f>IF($Y359&lt;=0,0,MIN($Y359,IF(Übersicht!$C$14="Annuitätendarlehen",MAX(0,Übersicht!$C$28-$W360),IF(Übersicht!$C$14="Ratendarlehen",Übersicht!$C$29,IF($A360&gt;=Übersicht!$C$30,$Y359,0)))))</f>
        <v>0</v>
      </c>
      <c r="Y360" s="38">
        <f>IF($Y359&lt;=0,0,ROUND($Y359-$X360-IF($Y359-$X360&lt;=0,0,IF(MOD($A360,Übersicht!$C$25)=0,MIN(Szenarien!$C$10,$Y359-$X360),0)),2))</f>
        <v>0</v>
      </c>
      <c r="Z360" s="38">
        <f>IF($AB359&lt;=0,0,ROUND($AB359*Übersicht!$C$26,2))</f>
        <v>0</v>
      </c>
      <c r="AA360" s="38">
        <f>IF($AB359&lt;=0,0,MIN($AB359,IF(Übersicht!$C$14="Annuitätendarlehen",MAX(0,Übersicht!$C$28-$Z360),IF(Übersicht!$C$14="Ratendarlehen",Übersicht!$C$29,IF($A360&gt;=Übersicht!$C$30,$AB359,0)))))</f>
        <v>0</v>
      </c>
      <c r="AB360" s="38">
        <f>IF($AB359&lt;=0,0,ROUND($AB359-$AA360-IF($AB359-$AA360&lt;=0,0,IF(MOD($A360,Übersicht!$C$25)=0,MIN(Szenarien!$C$11,$AB359-$AA360),0)),2))</f>
        <v>0</v>
      </c>
      <c r="AC360" s="38">
        <f>IF($AE359&lt;=0,0,ROUND($AE359*Übersicht!$C$26,2))</f>
        <v>0</v>
      </c>
      <c r="AD360" s="38">
        <f>IF($AE359&lt;=0,0,MIN($AE359,IF(Übersicht!$C$14="Annuitätendarlehen",MAX(0,Übersicht!$C$28-$AC360),IF(Übersicht!$C$14="Ratendarlehen",Übersicht!$C$29,IF($A360&gt;=Übersicht!$C$30,$AE359,0)))))</f>
        <v>0</v>
      </c>
      <c r="AE360" s="38">
        <f>IF($AE359&lt;=0,0,ROUND($AE359-$AD360-IF($AE359-$AD360&lt;=0,0,IF(MOD($A360,Übersicht!$C$25)=0,MIN(Szenarien!$C$12,$AE359-$AD360),0)),2))</f>
        <v>0</v>
      </c>
    </row>
    <row r="361" spans="1:31" ht="15" customHeight="1" x14ac:dyDescent="0.25">
      <c r="A361" s="26">
        <v>354</v>
      </c>
      <c r="B361" s="39" t="str">
        <f>IF($D361&lt;=0,"",EDATE(Übersicht!$C$18,($A361-1)*12/Übersicht!$C$25))</f>
        <v/>
      </c>
      <c r="C361" s="26" t="str">
        <f t="shared" si="35"/>
        <v/>
      </c>
      <c r="D361" s="40">
        <f t="shared" si="39"/>
        <v>0</v>
      </c>
      <c r="E361" s="28">
        <f t="shared" si="36"/>
        <v>0</v>
      </c>
      <c r="F361" s="28">
        <f>IF($D361&lt;=0,0,ROUND($D361*Übersicht!$C$26,2))</f>
        <v>0</v>
      </c>
      <c r="G361" s="28">
        <f>IF($D361&lt;=0,0,MIN($D361,IF(Übersicht!$C$14="Annuitätendarlehen",MAX(0,Übersicht!$C$28-$F361),IF(Übersicht!$C$14="Ratendarlehen",Übersicht!$C$29,IF($A361&gt;=Übersicht!$C$30,$D361,0)))))</f>
        <v>0</v>
      </c>
      <c r="H361" s="28">
        <f>IF($D361-$G361&lt;=0,0,IF(MOD($A361,Übersicht!$C$25)=0,MIN(Übersicht!$C$31,$D361-$G361),0))</f>
        <v>0</v>
      </c>
      <c r="I361" s="28">
        <f t="shared" si="37"/>
        <v>0</v>
      </c>
      <c r="J361" s="28">
        <f t="shared" si="38"/>
        <v>0</v>
      </c>
      <c r="K361" s="28">
        <f t="shared" si="40"/>
        <v>80072.129999999961</v>
      </c>
      <c r="L361" s="28">
        <f t="shared" si="41"/>
        <v>250000</v>
      </c>
      <c r="M361" s="29" t="str">
        <f>IF($D361&lt;=0,"",IF(Übersicht!$C$11=0,0,$L361/Übersicht!$C$11))</f>
        <v/>
      </c>
      <c r="N361" s="30" t="str">
        <f>IF($D361&lt;=0,"",IF($J361&lt;=0.005,"Volltilgung erreicht",IF($A361=Übersicht!$C$19*Übersicht!$C$25,"Ende der Zinsbindung",IF($H361&gt;0,"Sondertilgung verrechnet",""))))</f>
        <v/>
      </c>
      <c r="Q361" s="38">
        <f>IF($S360&lt;=0,0,ROUND($S360*Übersicht!$C$26,2))</f>
        <v>0</v>
      </c>
      <c r="R361" s="38">
        <f>IF($S360&lt;=0,0,MIN($S360,IF(Übersicht!$C$14="Annuitätendarlehen",MAX(0,Übersicht!$C$28-$Q361),IF(Übersicht!$C$14="Ratendarlehen",Übersicht!$C$29,IF($A361&gt;=Übersicht!$C$30,$S360,0)))))</f>
        <v>0</v>
      </c>
      <c r="S361" s="38">
        <f>IF($S360&lt;=0,0,ROUND($S360-$R361-IF($S360-$R361&lt;=0,0,IF(MOD($A361,Übersicht!$C$25)=0,MIN(Szenarien!$C$8,$S360-$R361),0)),2))</f>
        <v>0</v>
      </c>
      <c r="T361" s="38">
        <f>IF($V360&lt;=0,0,ROUND($V360*Übersicht!$C$26,2))</f>
        <v>0</v>
      </c>
      <c r="U361" s="38">
        <f>IF($V360&lt;=0,0,MIN($V360,IF(Übersicht!$C$14="Annuitätendarlehen",MAX(0,Übersicht!$C$28-$T361),IF(Übersicht!$C$14="Ratendarlehen",Übersicht!$C$29,IF($A361&gt;=Übersicht!$C$30,$V360,0)))))</f>
        <v>0</v>
      </c>
      <c r="V361" s="38">
        <f>IF($V360&lt;=0,0,ROUND($V360-$U361-IF($V360-$U361&lt;=0,0,IF(MOD($A361,Übersicht!$C$25)=0,MIN(Szenarien!$C$9,$V360-$U361),0)),2))</f>
        <v>0</v>
      </c>
      <c r="W361" s="38">
        <f>IF($Y360&lt;=0,0,ROUND($Y360*Übersicht!$C$26,2))</f>
        <v>0</v>
      </c>
      <c r="X361" s="38">
        <f>IF($Y360&lt;=0,0,MIN($Y360,IF(Übersicht!$C$14="Annuitätendarlehen",MAX(0,Übersicht!$C$28-$W361),IF(Übersicht!$C$14="Ratendarlehen",Übersicht!$C$29,IF($A361&gt;=Übersicht!$C$30,$Y360,0)))))</f>
        <v>0</v>
      </c>
      <c r="Y361" s="38">
        <f>IF($Y360&lt;=0,0,ROUND($Y360-$X361-IF($Y360-$X361&lt;=0,0,IF(MOD($A361,Übersicht!$C$25)=0,MIN(Szenarien!$C$10,$Y360-$X361),0)),2))</f>
        <v>0</v>
      </c>
      <c r="Z361" s="38">
        <f>IF($AB360&lt;=0,0,ROUND($AB360*Übersicht!$C$26,2))</f>
        <v>0</v>
      </c>
      <c r="AA361" s="38">
        <f>IF($AB360&lt;=0,0,MIN($AB360,IF(Übersicht!$C$14="Annuitätendarlehen",MAX(0,Übersicht!$C$28-$Z361),IF(Übersicht!$C$14="Ratendarlehen",Übersicht!$C$29,IF($A361&gt;=Übersicht!$C$30,$AB360,0)))))</f>
        <v>0</v>
      </c>
      <c r="AB361" s="38">
        <f>IF($AB360&lt;=0,0,ROUND($AB360-$AA361-IF($AB360-$AA361&lt;=0,0,IF(MOD($A361,Übersicht!$C$25)=0,MIN(Szenarien!$C$11,$AB360-$AA361),0)),2))</f>
        <v>0</v>
      </c>
      <c r="AC361" s="38">
        <f>IF($AE360&lt;=0,0,ROUND($AE360*Übersicht!$C$26,2))</f>
        <v>0</v>
      </c>
      <c r="AD361" s="38">
        <f>IF($AE360&lt;=0,0,MIN($AE360,IF(Übersicht!$C$14="Annuitätendarlehen",MAX(0,Übersicht!$C$28-$AC361),IF(Übersicht!$C$14="Ratendarlehen",Übersicht!$C$29,IF($A361&gt;=Übersicht!$C$30,$AE360,0)))))</f>
        <v>0</v>
      </c>
      <c r="AE361" s="38">
        <f>IF($AE360&lt;=0,0,ROUND($AE360-$AD361-IF($AE360-$AD361&lt;=0,0,IF(MOD($A361,Übersicht!$C$25)=0,MIN(Szenarien!$C$12,$AE360-$AD361),0)),2))</f>
        <v>0</v>
      </c>
    </row>
    <row r="362" spans="1:31" ht="15" customHeight="1" x14ac:dyDescent="0.25">
      <c r="A362" s="21">
        <v>355</v>
      </c>
      <c r="B362" s="36" t="str">
        <f>IF($D362&lt;=0,"",EDATE(Übersicht!$C$18,($A362-1)*12/Übersicht!$C$25))</f>
        <v/>
      </c>
      <c r="C362" s="21" t="str">
        <f t="shared" si="35"/>
        <v/>
      </c>
      <c r="D362" s="37">
        <f t="shared" si="39"/>
        <v>0</v>
      </c>
      <c r="E362" s="23">
        <f t="shared" si="36"/>
        <v>0</v>
      </c>
      <c r="F362" s="23">
        <f>IF($D362&lt;=0,0,ROUND($D362*Übersicht!$C$26,2))</f>
        <v>0</v>
      </c>
      <c r="G362" s="23">
        <f>IF($D362&lt;=0,0,MIN($D362,IF(Übersicht!$C$14="Annuitätendarlehen",MAX(0,Übersicht!$C$28-$F362),IF(Übersicht!$C$14="Ratendarlehen",Übersicht!$C$29,IF($A362&gt;=Übersicht!$C$30,$D362,0)))))</f>
        <v>0</v>
      </c>
      <c r="H362" s="23">
        <f>IF($D362-$G362&lt;=0,0,IF(MOD($A362,Übersicht!$C$25)=0,MIN(Übersicht!$C$31,$D362-$G362),0))</f>
        <v>0</v>
      </c>
      <c r="I362" s="23">
        <f t="shared" si="37"/>
        <v>0</v>
      </c>
      <c r="J362" s="23">
        <f t="shared" si="38"/>
        <v>0</v>
      </c>
      <c r="K362" s="23">
        <f t="shared" si="40"/>
        <v>80072.129999999961</v>
      </c>
      <c r="L362" s="23">
        <f t="shared" si="41"/>
        <v>250000</v>
      </c>
      <c r="M362" s="24" t="str">
        <f>IF($D362&lt;=0,"",IF(Übersicht!$C$11=0,0,$L362/Übersicht!$C$11))</f>
        <v/>
      </c>
      <c r="N362" s="25" t="str">
        <f>IF($D362&lt;=0,"",IF($J362&lt;=0.005,"Volltilgung erreicht",IF($A362=Übersicht!$C$19*Übersicht!$C$25,"Ende der Zinsbindung",IF($H362&gt;0,"Sondertilgung verrechnet",""))))</f>
        <v/>
      </c>
      <c r="Q362" s="38">
        <f>IF($S361&lt;=0,0,ROUND($S361*Übersicht!$C$26,2))</f>
        <v>0</v>
      </c>
      <c r="R362" s="38">
        <f>IF($S361&lt;=0,0,MIN($S361,IF(Übersicht!$C$14="Annuitätendarlehen",MAX(0,Übersicht!$C$28-$Q362),IF(Übersicht!$C$14="Ratendarlehen",Übersicht!$C$29,IF($A362&gt;=Übersicht!$C$30,$S361,0)))))</f>
        <v>0</v>
      </c>
      <c r="S362" s="38">
        <f>IF($S361&lt;=0,0,ROUND($S361-$R362-IF($S361-$R362&lt;=0,0,IF(MOD($A362,Übersicht!$C$25)=0,MIN(Szenarien!$C$8,$S361-$R362),0)),2))</f>
        <v>0</v>
      </c>
      <c r="T362" s="38">
        <f>IF($V361&lt;=0,0,ROUND($V361*Übersicht!$C$26,2))</f>
        <v>0</v>
      </c>
      <c r="U362" s="38">
        <f>IF($V361&lt;=0,0,MIN($V361,IF(Übersicht!$C$14="Annuitätendarlehen",MAX(0,Übersicht!$C$28-$T362),IF(Übersicht!$C$14="Ratendarlehen",Übersicht!$C$29,IF($A362&gt;=Übersicht!$C$30,$V361,0)))))</f>
        <v>0</v>
      </c>
      <c r="V362" s="38">
        <f>IF($V361&lt;=0,0,ROUND($V361-$U362-IF($V361-$U362&lt;=0,0,IF(MOD($A362,Übersicht!$C$25)=0,MIN(Szenarien!$C$9,$V361-$U362),0)),2))</f>
        <v>0</v>
      </c>
      <c r="W362" s="38">
        <f>IF($Y361&lt;=0,0,ROUND($Y361*Übersicht!$C$26,2))</f>
        <v>0</v>
      </c>
      <c r="X362" s="38">
        <f>IF($Y361&lt;=0,0,MIN($Y361,IF(Übersicht!$C$14="Annuitätendarlehen",MAX(0,Übersicht!$C$28-$W362),IF(Übersicht!$C$14="Ratendarlehen",Übersicht!$C$29,IF($A362&gt;=Übersicht!$C$30,$Y361,0)))))</f>
        <v>0</v>
      </c>
      <c r="Y362" s="38">
        <f>IF($Y361&lt;=0,0,ROUND($Y361-$X362-IF($Y361-$X362&lt;=0,0,IF(MOD($A362,Übersicht!$C$25)=0,MIN(Szenarien!$C$10,$Y361-$X362),0)),2))</f>
        <v>0</v>
      </c>
      <c r="Z362" s="38">
        <f>IF($AB361&lt;=0,0,ROUND($AB361*Übersicht!$C$26,2))</f>
        <v>0</v>
      </c>
      <c r="AA362" s="38">
        <f>IF($AB361&lt;=0,0,MIN($AB361,IF(Übersicht!$C$14="Annuitätendarlehen",MAX(0,Übersicht!$C$28-$Z362),IF(Übersicht!$C$14="Ratendarlehen",Übersicht!$C$29,IF($A362&gt;=Übersicht!$C$30,$AB361,0)))))</f>
        <v>0</v>
      </c>
      <c r="AB362" s="38">
        <f>IF($AB361&lt;=0,0,ROUND($AB361-$AA362-IF($AB361-$AA362&lt;=0,0,IF(MOD($A362,Übersicht!$C$25)=0,MIN(Szenarien!$C$11,$AB361-$AA362),0)),2))</f>
        <v>0</v>
      </c>
      <c r="AC362" s="38">
        <f>IF($AE361&lt;=0,0,ROUND($AE361*Übersicht!$C$26,2))</f>
        <v>0</v>
      </c>
      <c r="AD362" s="38">
        <f>IF($AE361&lt;=0,0,MIN($AE361,IF(Übersicht!$C$14="Annuitätendarlehen",MAX(0,Übersicht!$C$28-$AC362),IF(Übersicht!$C$14="Ratendarlehen",Übersicht!$C$29,IF($A362&gt;=Übersicht!$C$30,$AE361,0)))))</f>
        <v>0</v>
      </c>
      <c r="AE362" s="38">
        <f>IF($AE361&lt;=0,0,ROUND($AE361-$AD362-IF($AE361-$AD362&lt;=0,0,IF(MOD($A362,Übersicht!$C$25)=0,MIN(Szenarien!$C$12,$AE361-$AD362),0)),2))</f>
        <v>0</v>
      </c>
    </row>
    <row r="363" spans="1:31" ht="15" customHeight="1" x14ac:dyDescent="0.25">
      <c r="A363" s="26">
        <v>356</v>
      </c>
      <c r="B363" s="39" t="str">
        <f>IF($D363&lt;=0,"",EDATE(Übersicht!$C$18,($A363-1)*12/Übersicht!$C$25))</f>
        <v/>
      </c>
      <c r="C363" s="26" t="str">
        <f t="shared" si="35"/>
        <v/>
      </c>
      <c r="D363" s="40">
        <f t="shared" si="39"/>
        <v>0</v>
      </c>
      <c r="E363" s="28">
        <f t="shared" si="36"/>
        <v>0</v>
      </c>
      <c r="F363" s="28">
        <f>IF($D363&lt;=0,0,ROUND($D363*Übersicht!$C$26,2))</f>
        <v>0</v>
      </c>
      <c r="G363" s="28">
        <f>IF($D363&lt;=0,0,MIN($D363,IF(Übersicht!$C$14="Annuitätendarlehen",MAX(0,Übersicht!$C$28-$F363),IF(Übersicht!$C$14="Ratendarlehen",Übersicht!$C$29,IF($A363&gt;=Übersicht!$C$30,$D363,0)))))</f>
        <v>0</v>
      </c>
      <c r="H363" s="28">
        <f>IF($D363-$G363&lt;=0,0,IF(MOD($A363,Übersicht!$C$25)=0,MIN(Übersicht!$C$31,$D363-$G363),0))</f>
        <v>0</v>
      </c>
      <c r="I363" s="28">
        <f t="shared" si="37"/>
        <v>0</v>
      </c>
      <c r="J363" s="28">
        <f t="shared" si="38"/>
        <v>0</v>
      </c>
      <c r="K363" s="28">
        <f t="shared" si="40"/>
        <v>80072.129999999961</v>
      </c>
      <c r="L363" s="28">
        <f t="shared" si="41"/>
        <v>250000</v>
      </c>
      <c r="M363" s="29" t="str">
        <f>IF($D363&lt;=0,"",IF(Übersicht!$C$11=0,0,$L363/Übersicht!$C$11))</f>
        <v/>
      </c>
      <c r="N363" s="30" t="str">
        <f>IF($D363&lt;=0,"",IF($J363&lt;=0.005,"Volltilgung erreicht",IF($A363=Übersicht!$C$19*Übersicht!$C$25,"Ende der Zinsbindung",IF($H363&gt;0,"Sondertilgung verrechnet",""))))</f>
        <v/>
      </c>
      <c r="Q363" s="38">
        <f>IF($S362&lt;=0,0,ROUND($S362*Übersicht!$C$26,2))</f>
        <v>0</v>
      </c>
      <c r="R363" s="38">
        <f>IF($S362&lt;=0,0,MIN($S362,IF(Übersicht!$C$14="Annuitätendarlehen",MAX(0,Übersicht!$C$28-$Q363),IF(Übersicht!$C$14="Ratendarlehen",Übersicht!$C$29,IF($A363&gt;=Übersicht!$C$30,$S362,0)))))</f>
        <v>0</v>
      </c>
      <c r="S363" s="38">
        <f>IF($S362&lt;=0,0,ROUND($S362-$R363-IF($S362-$R363&lt;=0,0,IF(MOD($A363,Übersicht!$C$25)=0,MIN(Szenarien!$C$8,$S362-$R363),0)),2))</f>
        <v>0</v>
      </c>
      <c r="T363" s="38">
        <f>IF($V362&lt;=0,0,ROUND($V362*Übersicht!$C$26,2))</f>
        <v>0</v>
      </c>
      <c r="U363" s="38">
        <f>IF($V362&lt;=0,0,MIN($V362,IF(Übersicht!$C$14="Annuitätendarlehen",MAX(0,Übersicht!$C$28-$T363),IF(Übersicht!$C$14="Ratendarlehen",Übersicht!$C$29,IF($A363&gt;=Übersicht!$C$30,$V362,0)))))</f>
        <v>0</v>
      </c>
      <c r="V363" s="38">
        <f>IF($V362&lt;=0,0,ROUND($V362-$U363-IF($V362-$U363&lt;=0,0,IF(MOD($A363,Übersicht!$C$25)=0,MIN(Szenarien!$C$9,$V362-$U363),0)),2))</f>
        <v>0</v>
      </c>
      <c r="W363" s="38">
        <f>IF($Y362&lt;=0,0,ROUND($Y362*Übersicht!$C$26,2))</f>
        <v>0</v>
      </c>
      <c r="X363" s="38">
        <f>IF($Y362&lt;=0,0,MIN($Y362,IF(Übersicht!$C$14="Annuitätendarlehen",MAX(0,Übersicht!$C$28-$W363),IF(Übersicht!$C$14="Ratendarlehen",Übersicht!$C$29,IF($A363&gt;=Übersicht!$C$30,$Y362,0)))))</f>
        <v>0</v>
      </c>
      <c r="Y363" s="38">
        <f>IF($Y362&lt;=0,0,ROUND($Y362-$X363-IF($Y362-$X363&lt;=0,0,IF(MOD($A363,Übersicht!$C$25)=0,MIN(Szenarien!$C$10,$Y362-$X363),0)),2))</f>
        <v>0</v>
      </c>
      <c r="Z363" s="38">
        <f>IF($AB362&lt;=0,0,ROUND($AB362*Übersicht!$C$26,2))</f>
        <v>0</v>
      </c>
      <c r="AA363" s="38">
        <f>IF($AB362&lt;=0,0,MIN($AB362,IF(Übersicht!$C$14="Annuitätendarlehen",MAX(0,Übersicht!$C$28-$Z363),IF(Übersicht!$C$14="Ratendarlehen",Übersicht!$C$29,IF($A363&gt;=Übersicht!$C$30,$AB362,0)))))</f>
        <v>0</v>
      </c>
      <c r="AB363" s="38">
        <f>IF($AB362&lt;=0,0,ROUND($AB362-$AA363-IF($AB362-$AA363&lt;=0,0,IF(MOD($A363,Übersicht!$C$25)=0,MIN(Szenarien!$C$11,$AB362-$AA363),0)),2))</f>
        <v>0</v>
      </c>
      <c r="AC363" s="38">
        <f>IF($AE362&lt;=0,0,ROUND($AE362*Übersicht!$C$26,2))</f>
        <v>0</v>
      </c>
      <c r="AD363" s="38">
        <f>IF($AE362&lt;=0,0,MIN($AE362,IF(Übersicht!$C$14="Annuitätendarlehen",MAX(0,Übersicht!$C$28-$AC363),IF(Übersicht!$C$14="Ratendarlehen",Übersicht!$C$29,IF($A363&gt;=Übersicht!$C$30,$AE362,0)))))</f>
        <v>0</v>
      </c>
      <c r="AE363" s="38">
        <f>IF($AE362&lt;=0,0,ROUND($AE362-$AD363-IF($AE362-$AD363&lt;=0,0,IF(MOD($A363,Übersicht!$C$25)=0,MIN(Szenarien!$C$12,$AE362-$AD363),0)),2))</f>
        <v>0</v>
      </c>
    </row>
    <row r="364" spans="1:31" ht="15" customHeight="1" x14ac:dyDescent="0.25">
      <c r="A364" s="21">
        <v>357</v>
      </c>
      <c r="B364" s="36" t="str">
        <f>IF($D364&lt;=0,"",EDATE(Übersicht!$C$18,($A364-1)*12/Übersicht!$C$25))</f>
        <v/>
      </c>
      <c r="C364" s="21" t="str">
        <f t="shared" si="35"/>
        <v/>
      </c>
      <c r="D364" s="37">
        <f t="shared" si="39"/>
        <v>0</v>
      </c>
      <c r="E364" s="23">
        <f t="shared" si="36"/>
        <v>0</v>
      </c>
      <c r="F364" s="23">
        <f>IF($D364&lt;=0,0,ROUND($D364*Übersicht!$C$26,2))</f>
        <v>0</v>
      </c>
      <c r="G364" s="23">
        <f>IF($D364&lt;=0,0,MIN($D364,IF(Übersicht!$C$14="Annuitätendarlehen",MAX(0,Übersicht!$C$28-$F364),IF(Übersicht!$C$14="Ratendarlehen",Übersicht!$C$29,IF($A364&gt;=Übersicht!$C$30,$D364,0)))))</f>
        <v>0</v>
      </c>
      <c r="H364" s="23">
        <f>IF($D364-$G364&lt;=0,0,IF(MOD($A364,Übersicht!$C$25)=0,MIN(Übersicht!$C$31,$D364-$G364),0))</f>
        <v>0</v>
      </c>
      <c r="I364" s="23">
        <f t="shared" si="37"/>
        <v>0</v>
      </c>
      <c r="J364" s="23">
        <f t="shared" si="38"/>
        <v>0</v>
      </c>
      <c r="K364" s="23">
        <f t="shared" si="40"/>
        <v>80072.129999999961</v>
      </c>
      <c r="L364" s="23">
        <f t="shared" si="41"/>
        <v>250000</v>
      </c>
      <c r="M364" s="24" t="str">
        <f>IF($D364&lt;=0,"",IF(Übersicht!$C$11=0,0,$L364/Übersicht!$C$11))</f>
        <v/>
      </c>
      <c r="N364" s="25" t="str">
        <f>IF($D364&lt;=0,"",IF($J364&lt;=0.005,"Volltilgung erreicht",IF($A364=Übersicht!$C$19*Übersicht!$C$25,"Ende der Zinsbindung",IF($H364&gt;0,"Sondertilgung verrechnet",""))))</f>
        <v/>
      </c>
      <c r="Q364" s="38">
        <f>IF($S363&lt;=0,0,ROUND($S363*Übersicht!$C$26,2))</f>
        <v>0</v>
      </c>
      <c r="R364" s="38">
        <f>IF($S363&lt;=0,0,MIN($S363,IF(Übersicht!$C$14="Annuitätendarlehen",MAX(0,Übersicht!$C$28-$Q364),IF(Übersicht!$C$14="Ratendarlehen",Übersicht!$C$29,IF($A364&gt;=Übersicht!$C$30,$S363,0)))))</f>
        <v>0</v>
      </c>
      <c r="S364" s="38">
        <f>IF($S363&lt;=0,0,ROUND($S363-$R364-IF($S363-$R364&lt;=0,0,IF(MOD($A364,Übersicht!$C$25)=0,MIN(Szenarien!$C$8,$S363-$R364),0)),2))</f>
        <v>0</v>
      </c>
      <c r="T364" s="38">
        <f>IF($V363&lt;=0,0,ROUND($V363*Übersicht!$C$26,2))</f>
        <v>0</v>
      </c>
      <c r="U364" s="38">
        <f>IF($V363&lt;=0,0,MIN($V363,IF(Übersicht!$C$14="Annuitätendarlehen",MAX(0,Übersicht!$C$28-$T364),IF(Übersicht!$C$14="Ratendarlehen",Übersicht!$C$29,IF($A364&gt;=Übersicht!$C$30,$V363,0)))))</f>
        <v>0</v>
      </c>
      <c r="V364" s="38">
        <f>IF($V363&lt;=0,0,ROUND($V363-$U364-IF($V363-$U364&lt;=0,0,IF(MOD($A364,Übersicht!$C$25)=0,MIN(Szenarien!$C$9,$V363-$U364),0)),2))</f>
        <v>0</v>
      </c>
      <c r="W364" s="38">
        <f>IF($Y363&lt;=0,0,ROUND($Y363*Übersicht!$C$26,2))</f>
        <v>0</v>
      </c>
      <c r="X364" s="38">
        <f>IF($Y363&lt;=0,0,MIN($Y363,IF(Übersicht!$C$14="Annuitätendarlehen",MAX(0,Übersicht!$C$28-$W364),IF(Übersicht!$C$14="Ratendarlehen",Übersicht!$C$29,IF($A364&gt;=Übersicht!$C$30,$Y363,0)))))</f>
        <v>0</v>
      </c>
      <c r="Y364" s="38">
        <f>IF($Y363&lt;=0,0,ROUND($Y363-$X364-IF($Y363-$X364&lt;=0,0,IF(MOD($A364,Übersicht!$C$25)=0,MIN(Szenarien!$C$10,$Y363-$X364),0)),2))</f>
        <v>0</v>
      </c>
      <c r="Z364" s="38">
        <f>IF($AB363&lt;=0,0,ROUND($AB363*Übersicht!$C$26,2))</f>
        <v>0</v>
      </c>
      <c r="AA364" s="38">
        <f>IF($AB363&lt;=0,0,MIN($AB363,IF(Übersicht!$C$14="Annuitätendarlehen",MAX(0,Übersicht!$C$28-$Z364),IF(Übersicht!$C$14="Ratendarlehen",Übersicht!$C$29,IF($A364&gt;=Übersicht!$C$30,$AB363,0)))))</f>
        <v>0</v>
      </c>
      <c r="AB364" s="38">
        <f>IF($AB363&lt;=0,0,ROUND($AB363-$AA364-IF($AB363-$AA364&lt;=0,0,IF(MOD($A364,Übersicht!$C$25)=0,MIN(Szenarien!$C$11,$AB363-$AA364),0)),2))</f>
        <v>0</v>
      </c>
      <c r="AC364" s="38">
        <f>IF($AE363&lt;=0,0,ROUND($AE363*Übersicht!$C$26,2))</f>
        <v>0</v>
      </c>
      <c r="AD364" s="38">
        <f>IF($AE363&lt;=0,0,MIN($AE363,IF(Übersicht!$C$14="Annuitätendarlehen",MAX(0,Übersicht!$C$28-$AC364),IF(Übersicht!$C$14="Ratendarlehen",Übersicht!$C$29,IF($A364&gt;=Übersicht!$C$30,$AE363,0)))))</f>
        <v>0</v>
      </c>
      <c r="AE364" s="38">
        <f>IF($AE363&lt;=0,0,ROUND($AE363-$AD364-IF($AE363-$AD364&lt;=0,0,IF(MOD($A364,Übersicht!$C$25)=0,MIN(Szenarien!$C$12,$AE363-$AD364),0)),2))</f>
        <v>0</v>
      </c>
    </row>
    <row r="365" spans="1:31" ht="15" customHeight="1" x14ac:dyDescent="0.25">
      <c r="A365" s="26">
        <v>358</v>
      </c>
      <c r="B365" s="39" t="str">
        <f>IF($D365&lt;=0,"",EDATE(Übersicht!$C$18,($A365-1)*12/Übersicht!$C$25))</f>
        <v/>
      </c>
      <c r="C365" s="26" t="str">
        <f t="shared" si="35"/>
        <v/>
      </c>
      <c r="D365" s="40">
        <f t="shared" si="39"/>
        <v>0</v>
      </c>
      <c r="E365" s="28">
        <f t="shared" si="36"/>
        <v>0</v>
      </c>
      <c r="F365" s="28">
        <f>IF($D365&lt;=0,0,ROUND($D365*Übersicht!$C$26,2))</f>
        <v>0</v>
      </c>
      <c r="G365" s="28">
        <f>IF($D365&lt;=0,0,MIN($D365,IF(Übersicht!$C$14="Annuitätendarlehen",MAX(0,Übersicht!$C$28-$F365),IF(Übersicht!$C$14="Ratendarlehen",Übersicht!$C$29,IF($A365&gt;=Übersicht!$C$30,$D365,0)))))</f>
        <v>0</v>
      </c>
      <c r="H365" s="28">
        <f>IF($D365-$G365&lt;=0,0,IF(MOD($A365,Übersicht!$C$25)=0,MIN(Übersicht!$C$31,$D365-$G365),0))</f>
        <v>0</v>
      </c>
      <c r="I365" s="28">
        <f t="shared" si="37"/>
        <v>0</v>
      </c>
      <c r="J365" s="28">
        <f t="shared" si="38"/>
        <v>0</v>
      </c>
      <c r="K365" s="28">
        <f t="shared" si="40"/>
        <v>80072.129999999961</v>
      </c>
      <c r="L365" s="28">
        <f t="shared" si="41"/>
        <v>250000</v>
      </c>
      <c r="M365" s="29" t="str">
        <f>IF($D365&lt;=0,"",IF(Übersicht!$C$11=0,0,$L365/Übersicht!$C$11))</f>
        <v/>
      </c>
      <c r="N365" s="30" t="str">
        <f>IF($D365&lt;=0,"",IF($J365&lt;=0.005,"Volltilgung erreicht",IF($A365=Übersicht!$C$19*Übersicht!$C$25,"Ende der Zinsbindung",IF($H365&gt;0,"Sondertilgung verrechnet",""))))</f>
        <v/>
      </c>
      <c r="Q365" s="38">
        <f>IF($S364&lt;=0,0,ROUND($S364*Übersicht!$C$26,2))</f>
        <v>0</v>
      </c>
      <c r="R365" s="38">
        <f>IF($S364&lt;=0,0,MIN($S364,IF(Übersicht!$C$14="Annuitätendarlehen",MAX(0,Übersicht!$C$28-$Q365),IF(Übersicht!$C$14="Ratendarlehen",Übersicht!$C$29,IF($A365&gt;=Übersicht!$C$30,$S364,0)))))</f>
        <v>0</v>
      </c>
      <c r="S365" s="38">
        <f>IF($S364&lt;=0,0,ROUND($S364-$R365-IF($S364-$R365&lt;=0,0,IF(MOD($A365,Übersicht!$C$25)=0,MIN(Szenarien!$C$8,$S364-$R365),0)),2))</f>
        <v>0</v>
      </c>
      <c r="T365" s="38">
        <f>IF($V364&lt;=0,0,ROUND($V364*Übersicht!$C$26,2))</f>
        <v>0</v>
      </c>
      <c r="U365" s="38">
        <f>IF($V364&lt;=0,0,MIN($V364,IF(Übersicht!$C$14="Annuitätendarlehen",MAX(0,Übersicht!$C$28-$T365),IF(Übersicht!$C$14="Ratendarlehen",Übersicht!$C$29,IF($A365&gt;=Übersicht!$C$30,$V364,0)))))</f>
        <v>0</v>
      </c>
      <c r="V365" s="38">
        <f>IF($V364&lt;=0,0,ROUND($V364-$U365-IF($V364-$U365&lt;=0,0,IF(MOD($A365,Übersicht!$C$25)=0,MIN(Szenarien!$C$9,$V364-$U365),0)),2))</f>
        <v>0</v>
      </c>
      <c r="W365" s="38">
        <f>IF($Y364&lt;=0,0,ROUND($Y364*Übersicht!$C$26,2))</f>
        <v>0</v>
      </c>
      <c r="X365" s="38">
        <f>IF($Y364&lt;=0,0,MIN($Y364,IF(Übersicht!$C$14="Annuitätendarlehen",MAX(0,Übersicht!$C$28-$W365),IF(Übersicht!$C$14="Ratendarlehen",Übersicht!$C$29,IF($A365&gt;=Übersicht!$C$30,$Y364,0)))))</f>
        <v>0</v>
      </c>
      <c r="Y365" s="38">
        <f>IF($Y364&lt;=0,0,ROUND($Y364-$X365-IF($Y364-$X365&lt;=0,0,IF(MOD($A365,Übersicht!$C$25)=0,MIN(Szenarien!$C$10,$Y364-$X365),0)),2))</f>
        <v>0</v>
      </c>
      <c r="Z365" s="38">
        <f>IF($AB364&lt;=0,0,ROUND($AB364*Übersicht!$C$26,2))</f>
        <v>0</v>
      </c>
      <c r="AA365" s="38">
        <f>IF($AB364&lt;=0,0,MIN($AB364,IF(Übersicht!$C$14="Annuitätendarlehen",MAX(0,Übersicht!$C$28-$Z365),IF(Übersicht!$C$14="Ratendarlehen",Übersicht!$C$29,IF($A365&gt;=Übersicht!$C$30,$AB364,0)))))</f>
        <v>0</v>
      </c>
      <c r="AB365" s="38">
        <f>IF($AB364&lt;=0,0,ROUND($AB364-$AA365-IF($AB364-$AA365&lt;=0,0,IF(MOD($A365,Übersicht!$C$25)=0,MIN(Szenarien!$C$11,$AB364-$AA365),0)),2))</f>
        <v>0</v>
      </c>
      <c r="AC365" s="38">
        <f>IF($AE364&lt;=0,0,ROUND($AE364*Übersicht!$C$26,2))</f>
        <v>0</v>
      </c>
      <c r="AD365" s="38">
        <f>IF($AE364&lt;=0,0,MIN($AE364,IF(Übersicht!$C$14="Annuitätendarlehen",MAX(0,Übersicht!$C$28-$AC365),IF(Übersicht!$C$14="Ratendarlehen",Übersicht!$C$29,IF($A365&gt;=Übersicht!$C$30,$AE364,0)))))</f>
        <v>0</v>
      </c>
      <c r="AE365" s="38">
        <f>IF($AE364&lt;=0,0,ROUND($AE364-$AD365-IF($AE364-$AD365&lt;=0,0,IF(MOD($A365,Übersicht!$C$25)=0,MIN(Szenarien!$C$12,$AE364-$AD365),0)),2))</f>
        <v>0</v>
      </c>
    </row>
    <row r="366" spans="1:31" ht="15" customHeight="1" x14ac:dyDescent="0.25">
      <c r="A366" s="21">
        <v>359</v>
      </c>
      <c r="B366" s="36" t="str">
        <f>IF($D366&lt;=0,"",EDATE(Übersicht!$C$18,($A366-1)*12/Übersicht!$C$25))</f>
        <v/>
      </c>
      <c r="C366" s="21" t="str">
        <f t="shared" si="35"/>
        <v/>
      </c>
      <c r="D366" s="37">
        <f t="shared" si="39"/>
        <v>0</v>
      </c>
      <c r="E366" s="23">
        <f t="shared" si="36"/>
        <v>0</v>
      </c>
      <c r="F366" s="23">
        <f>IF($D366&lt;=0,0,ROUND($D366*Übersicht!$C$26,2))</f>
        <v>0</v>
      </c>
      <c r="G366" s="23">
        <f>IF($D366&lt;=0,0,MIN($D366,IF(Übersicht!$C$14="Annuitätendarlehen",MAX(0,Übersicht!$C$28-$F366),IF(Übersicht!$C$14="Ratendarlehen",Übersicht!$C$29,IF($A366&gt;=Übersicht!$C$30,$D366,0)))))</f>
        <v>0</v>
      </c>
      <c r="H366" s="23">
        <f>IF($D366-$G366&lt;=0,0,IF(MOD($A366,Übersicht!$C$25)=0,MIN(Übersicht!$C$31,$D366-$G366),0))</f>
        <v>0</v>
      </c>
      <c r="I366" s="23">
        <f t="shared" si="37"/>
        <v>0</v>
      </c>
      <c r="J366" s="23">
        <f t="shared" si="38"/>
        <v>0</v>
      </c>
      <c r="K366" s="23">
        <f t="shared" si="40"/>
        <v>80072.129999999961</v>
      </c>
      <c r="L366" s="23">
        <f t="shared" si="41"/>
        <v>250000</v>
      </c>
      <c r="M366" s="24" t="str">
        <f>IF($D366&lt;=0,"",IF(Übersicht!$C$11=0,0,$L366/Übersicht!$C$11))</f>
        <v/>
      </c>
      <c r="N366" s="25" t="str">
        <f>IF($D366&lt;=0,"",IF($J366&lt;=0.005,"Volltilgung erreicht",IF($A366=Übersicht!$C$19*Übersicht!$C$25,"Ende der Zinsbindung",IF($H366&gt;0,"Sondertilgung verrechnet",""))))</f>
        <v/>
      </c>
      <c r="Q366" s="38">
        <f>IF($S365&lt;=0,0,ROUND($S365*Übersicht!$C$26,2))</f>
        <v>0</v>
      </c>
      <c r="R366" s="38">
        <f>IF($S365&lt;=0,0,MIN($S365,IF(Übersicht!$C$14="Annuitätendarlehen",MAX(0,Übersicht!$C$28-$Q366),IF(Übersicht!$C$14="Ratendarlehen",Übersicht!$C$29,IF($A366&gt;=Übersicht!$C$30,$S365,0)))))</f>
        <v>0</v>
      </c>
      <c r="S366" s="38">
        <f>IF($S365&lt;=0,0,ROUND($S365-$R366-IF($S365-$R366&lt;=0,0,IF(MOD($A366,Übersicht!$C$25)=0,MIN(Szenarien!$C$8,$S365-$R366),0)),2))</f>
        <v>0</v>
      </c>
      <c r="T366" s="38">
        <f>IF($V365&lt;=0,0,ROUND($V365*Übersicht!$C$26,2))</f>
        <v>0</v>
      </c>
      <c r="U366" s="38">
        <f>IF($V365&lt;=0,0,MIN($V365,IF(Übersicht!$C$14="Annuitätendarlehen",MAX(0,Übersicht!$C$28-$T366),IF(Übersicht!$C$14="Ratendarlehen",Übersicht!$C$29,IF($A366&gt;=Übersicht!$C$30,$V365,0)))))</f>
        <v>0</v>
      </c>
      <c r="V366" s="38">
        <f>IF($V365&lt;=0,0,ROUND($V365-$U366-IF($V365-$U366&lt;=0,0,IF(MOD($A366,Übersicht!$C$25)=0,MIN(Szenarien!$C$9,$V365-$U366),0)),2))</f>
        <v>0</v>
      </c>
      <c r="W366" s="38">
        <f>IF($Y365&lt;=0,0,ROUND($Y365*Übersicht!$C$26,2))</f>
        <v>0</v>
      </c>
      <c r="X366" s="38">
        <f>IF($Y365&lt;=0,0,MIN($Y365,IF(Übersicht!$C$14="Annuitätendarlehen",MAX(0,Übersicht!$C$28-$W366),IF(Übersicht!$C$14="Ratendarlehen",Übersicht!$C$29,IF($A366&gt;=Übersicht!$C$30,$Y365,0)))))</f>
        <v>0</v>
      </c>
      <c r="Y366" s="38">
        <f>IF($Y365&lt;=0,0,ROUND($Y365-$X366-IF($Y365-$X366&lt;=0,0,IF(MOD($A366,Übersicht!$C$25)=0,MIN(Szenarien!$C$10,$Y365-$X366),0)),2))</f>
        <v>0</v>
      </c>
      <c r="Z366" s="38">
        <f>IF($AB365&lt;=0,0,ROUND($AB365*Übersicht!$C$26,2))</f>
        <v>0</v>
      </c>
      <c r="AA366" s="38">
        <f>IF($AB365&lt;=0,0,MIN($AB365,IF(Übersicht!$C$14="Annuitätendarlehen",MAX(0,Übersicht!$C$28-$Z366),IF(Übersicht!$C$14="Ratendarlehen",Übersicht!$C$29,IF($A366&gt;=Übersicht!$C$30,$AB365,0)))))</f>
        <v>0</v>
      </c>
      <c r="AB366" s="38">
        <f>IF($AB365&lt;=0,0,ROUND($AB365-$AA366-IF($AB365-$AA366&lt;=0,0,IF(MOD($A366,Übersicht!$C$25)=0,MIN(Szenarien!$C$11,$AB365-$AA366),0)),2))</f>
        <v>0</v>
      </c>
      <c r="AC366" s="38">
        <f>IF($AE365&lt;=0,0,ROUND($AE365*Übersicht!$C$26,2))</f>
        <v>0</v>
      </c>
      <c r="AD366" s="38">
        <f>IF($AE365&lt;=0,0,MIN($AE365,IF(Übersicht!$C$14="Annuitätendarlehen",MAX(0,Übersicht!$C$28-$AC366),IF(Übersicht!$C$14="Ratendarlehen",Übersicht!$C$29,IF($A366&gt;=Übersicht!$C$30,$AE365,0)))))</f>
        <v>0</v>
      </c>
      <c r="AE366" s="38">
        <f>IF($AE365&lt;=0,0,ROUND($AE365-$AD366-IF($AE365-$AD366&lt;=0,0,IF(MOD($A366,Übersicht!$C$25)=0,MIN(Szenarien!$C$12,$AE365-$AD366),0)),2))</f>
        <v>0</v>
      </c>
    </row>
    <row r="367" spans="1:31" ht="15" customHeight="1" x14ac:dyDescent="0.25">
      <c r="A367" s="26">
        <v>360</v>
      </c>
      <c r="B367" s="39" t="str">
        <f>IF($D367&lt;=0,"",EDATE(Übersicht!$C$18,($A367-1)*12/Übersicht!$C$25))</f>
        <v/>
      </c>
      <c r="C367" s="26" t="str">
        <f t="shared" si="35"/>
        <v/>
      </c>
      <c r="D367" s="40">
        <f t="shared" si="39"/>
        <v>0</v>
      </c>
      <c r="E367" s="28">
        <f t="shared" si="36"/>
        <v>0</v>
      </c>
      <c r="F367" s="28">
        <f>IF($D367&lt;=0,0,ROUND($D367*Übersicht!$C$26,2))</f>
        <v>0</v>
      </c>
      <c r="G367" s="28">
        <f>IF($D367&lt;=0,0,MIN($D367,IF(Übersicht!$C$14="Annuitätendarlehen",MAX(0,Übersicht!$C$28-$F367),IF(Übersicht!$C$14="Ratendarlehen",Übersicht!$C$29,IF($A367&gt;=Übersicht!$C$30,$D367,0)))))</f>
        <v>0</v>
      </c>
      <c r="H367" s="28">
        <f>IF($D367-$G367&lt;=0,0,IF(MOD($A367,Übersicht!$C$25)=0,MIN(Übersicht!$C$31,$D367-$G367),0))</f>
        <v>0</v>
      </c>
      <c r="I367" s="28">
        <f t="shared" si="37"/>
        <v>0</v>
      </c>
      <c r="J367" s="28">
        <f t="shared" si="38"/>
        <v>0</v>
      </c>
      <c r="K367" s="28">
        <f t="shared" si="40"/>
        <v>80072.129999999961</v>
      </c>
      <c r="L367" s="28">
        <f t="shared" si="41"/>
        <v>250000</v>
      </c>
      <c r="M367" s="29" t="str">
        <f>IF($D367&lt;=0,"",IF(Übersicht!$C$11=0,0,$L367/Übersicht!$C$11))</f>
        <v/>
      </c>
      <c r="N367" s="30" t="str">
        <f>IF($D367&lt;=0,"",IF($J367&lt;=0.005,"Volltilgung erreicht",IF($A367=Übersicht!$C$19*Übersicht!$C$25,"Ende der Zinsbindung",IF($H367&gt;0,"Sondertilgung verrechnet",""))))</f>
        <v/>
      </c>
      <c r="Q367" s="38">
        <f>IF($S366&lt;=0,0,ROUND($S366*Übersicht!$C$26,2))</f>
        <v>0</v>
      </c>
      <c r="R367" s="38">
        <f>IF($S366&lt;=0,0,MIN($S366,IF(Übersicht!$C$14="Annuitätendarlehen",MAX(0,Übersicht!$C$28-$Q367),IF(Übersicht!$C$14="Ratendarlehen",Übersicht!$C$29,IF($A367&gt;=Übersicht!$C$30,$S366,0)))))</f>
        <v>0</v>
      </c>
      <c r="S367" s="38">
        <f>IF($S366&lt;=0,0,ROUND($S366-$R367-IF($S366-$R367&lt;=0,0,IF(MOD($A367,Übersicht!$C$25)=0,MIN(Szenarien!$C$8,$S366-$R367),0)),2))</f>
        <v>0</v>
      </c>
      <c r="T367" s="38">
        <f>IF($V366&lt;=0,0,ROUND($V366*Übersicht!$C$26,2))</f>
        <v>0</v>
      </c>
      <c r="U367" s="38">
        <f>IF($V366&lt;=0,0,MIN($V366,IF(Übersicht!$C$14="Annuitätendarlehen",MAX(0,Übersicht!$C$28-$T367),IF(Übersicht!$C$14="Ratendarlehen",Übersicht!$C$29,IF($A367&gt;=Übersicht!$C$30,$V366,0)))))</f>
        <v>0</v>
      </c>
      <c r="V367" s="38">
        <f>IF($V366&lt;=0,0,ROUND($V366-$U367-IF($V366-$U367&lt;=0,0,IF(MOD($A367,Übersicht!$C$25)=0,MIN(Szenarien!$C$9,$V366-$U367),0)),2))</f>
        <v>0</v>
      </c>
      <c r="W367" s="38">
        <f>IF($Y366&lt;=0,0,ROUND($Y366*Übersicht!$C$26,2))</f>
        <v>0</v>
      </c>
      <c r="X367" s="38">
        <f>IF($Y366&lt;=0,0,MIN($Y366,IF(Übersicht!$C$14="Annuitätendarlehen",MAX(0,Übersicht!$C$28-$W367),IF(Übersicht!$C$14="Ratendarlehen",Übersicht!$C$29,IF($A367&gt;=Übersicht!$C$30,$Y366,0)))))</f>
        <v>0</v>
      </c>
      <c r="Y367" s="38">
        <f>IF($Y366&lt;=0,0,ROUND($Y366-$X367-IF($Y366-$X367&lt;=0,0,IF(MOD($A367,Übersicht!$C$25)=0,MIN(Szenarien!$C$10,$Y366-$X367),0)),2))</f>
        <v>0</v>
      </c>
      <c r="Z367" s="38">
        <f>IF($AB366&lt;=0,0,ROUND($AB366*Übersicht!$C$26,2))</f>
        <v>0</v>
      </c>
      <c r="AA367" s="38">
        <f>IF($AB366&lt;=0,0,MIN($AB366,IF(Übersicht!$C$14="Annuitätendarlehen",MAX(0,Übersicht!$C$28-$Z367),IF(Übersicht!$C$14="Ratendarlehen",Übersicht!$C$29,IF($A367&gt;=Übersicht!$C$30,$AB366,0)))))</f>
        <v>0</v>
      </c>
      <c r="AB367" s="38">
        <f>IF($AB366&lt;=0,0,ROUND($AB366-$AA367-IF($AB366-$AA367&lt;=0,0,IF(MOD($A367,Übersicht!$C$25)=0,MIN(Szenarien!$C$11,$AB366-$AA367),0)),2))</f>
        <v>0</v>
      </c>
      <c r="AC367" s="38">
        <f>IF($AE366&lt;=0,0,ROUND($AE366*Übersicht!$C$26,2))</f>
        <v>0</v>
      </c>
      <c r="AD367" s="38">
        <f>IF($AE366&lt;=0,0,MIN($AE366,IF(Übersicht!$C$14="Annuitätendarlehen",MAX(0,Übersicht!$C$28-$AC367),IF(Übersicht!$C$14="Ratendarlehen",Übersicht!$C$29,IF($A367&gt;=Übersicht!$C$30,$AE366,0)))))</f>
        <v>0</v>
      </c>
      <c r="AE367" s="38">
        <f>IF($AE366&lt;=0,0,ROUND($AE366-$AD367-IF($AE366-$AD367&lt;=0,0,IF(MOD($A367,Übersicht!$C$25)=0,MIN(Szenarien!$C$12,$AE366-$AD367),0)),2))</f>
        <v>0</v>
      </c>
    </row>
    <row r="368" spans="1:31" ht="15" customHeight="1" x14ac:dyDescent="0.25">
      <c r="A368" s="21">
        <v>361</v>
      </c>
      <c r="B368" s="36" t="str">
        <f>IF($D368&lt;=0,"",EDATE(Übersicht!$C$18,($A368-1)*12/Übersicht!$C$25))</f>
        <v/>
      </c>
      <c r="C368" s="21" t="str">
        <f t="shared" si="35"/>
        <v/>
      </c>
      <c r="D368" s="37">
        <f t="shared" si="39"/>
        <v>0</v>
      </c>
      <c r="E368" s="23">
        <f t="shared" si="36"/>
        <v>0</v>
      </c>
      <c r="F368" s="23">
        <f>IF($D368&lt;=0,0,ROUND($D368*Übersicht!$C$26,2))</f>
        <v>0</v>
      </c>
      <c r="G368" s="23">
        <f>IF($D368&lt;=0,0,MIN($D368,IF(Übersicht!$C$14="Annuitätendarlehen",MAX(0,Übersicht!$C$28-$F368),IF(Übersicht!$C$14="Ratendarlehen",Übersicht!$C$29,IF($A368&gt;=Übersicht!$C$30,$D368,0)))))</f>
        <v>0</v>
      </c>
      <c r="H368" s="23">
        <f>IF($D368-$G368&lt;=0,0,IF(MOD($A368,Übersicht!$C$25)=0,MIN(Übersicht!$C$31,$D368-$G368),0))</f>
        <v>0</v>
      </c>
      <c r="I368" s="23">
        <f t="shared" si="37"/>
        <v>0</v>
      </c>
      <c r="J368" s="23">
        <f t="shared" si="38"/>
        <v>0</v>
      </c>
      <c r="K368" s="23">
        <f t="shared" si="40"/>
        <v>80072.129999999961</v>
      </c>
      <c r="L368" s="23">
        <f t="shared" si="41"/>
        <v>250000</v>
      </c>
      <c r="M368" s="24" t="str">
        <f>IF($D368&lt;=0,"",IF(Übersicht!$C$11=0,0,$L368/Übersicht!$C$11))</f>
        <v/>
      </c>
      <c r="N368" s="25" t="str">
        <f>IF($D368&lt;=0,"",IF($J368&lt;=0.005,"Volltilgung erreicht",IF($A368=Übersicht!$C$19*Übersicht!$C$25,"Ende der Zinsbindung",IF($H368&gt;0,"Sondertilgung verrechnet",""))))</f>
        <v/>
      </c>
      <c r="Q368" s="38">
        <f>IF($S367&lt;=0,0,ROUND($S367*Übersicht!$C$26,2))</f>
        <v>0</v>
      </c>
      <c r="R368" s="38">
        <f>IF($S367&lt;=0,0,MIN($S367,IF(Übersicht!$C$14="Annuitätendarlehen",MAX(0,Übersicht!$C$28-$Q368),IF(Übersicht!$C$14="Ratendarlehen",Übersicht!$C$29,IF($A368&gt;=Übersicht!$C$30,$S367,0)))))</f>
        <v>0</v>
      </c>
      <c r="S368" s="38">
        <f>IF($S367&lt;=0,0,ROUND($S367-$R368-IF($S367-$R368&lt;=0,0,IF(MOD($A368,Übersicht!$C$25)=0,MIN(Szenarien!$C$8,$S367-$R368),0)),2))</f>
        <v>0</v>
      </c>
      <c r="T368" s="38">
        <f>IF($V367&lt;=0,0,ROUND($V367*Übersicht!$C$26,2))</f>
        <v>0</v>
      </c>
      <c r="U368" s="38">
        <f>IF($V367&lt;=0,0,MIN($V367,IF(Übersicht!$C$14="Annuitätendarlehen",MAX(0,Übersicht!$C$28-$T368),IF(Übersicht!$C$14="Ratendarlehen",Übersicht!$C$29,IF($A368&gt;=Übersicht!$C$30,$V367,0)))))</f>
        <v>0</v>
      </c>
      <c r="V368" s="38">
        <f>IF($V367&lt;=0,0,ROUND($V367-$U368-IF($V367-$U368&lt;=0,0,IF(MOD($A368,Übersicht!$C$25)=0,MIN(Szenarien!$C$9,$V367-$U368),0)),2))</f>
        <v>0</v>
      </c>
      <c r="W368" s="38">
        <f>IF($Y367&lt;=0,0,ROUND($Y367*Übersicht!$C$26,2))</f>
        <v>0</v>
      </c>
      <c r="X368" s="38">
        <f>IF($Y367&lt;=0,0,MIN($Y367,IF(Übersicht!$C$14="Annuitätendarlehen",MAX(0,Übersicht!$C$28-$W368),IF(Übersicht!$C$14="Ratendarlehen",Übersicht!$C$29,IF($A368&gt;=Übersicht!$C$30,$Y367,0)))))</f>
        <v>0</v>
      </c>
      <c r="Y368" s="38">
        <f>IF($Y367&lt;=0,0,ROUND($Y367-$X368-IF($Y367-$X368&lt;=0,0,IF(MOD($A368,Übersicht!$C$25)=0,MIN(Szenarien!$C$10,$Y367-$X368),0)),2))</f>
        <v>0</v>
      </c>
      <c r="Z368" s="38">
        <f>IF($AB367&lt;=0,0,ROUND($AB367*Übersicht!$C$26,2))</f>
        <v>0</v>
      </c>
      <c r="AA368" s="38">
        <f>IF($AB367&lt;=0,0,MIN($AB367,IF(Übersicht!$C$14="Annuitätendarlehen",MAX(0,Übersicht!$C$28-$Z368),IF(Übersicht!$C$14="Ratendarlehen",Übersicht!$C$29,IF($A368&gt;=Übersicht!$C$30,$AB367,0)))))</f>
        <v>0</v>
      </c>
      <c r="AB368" s="38">
        <f>IF($AB367&lt;=0,0,ROUND($AB367-$AA368-IF($AB367-$AA368&lt;=0,0,IF(MOD($A368,Übersicht!$C$25)=0,MIN(Szenarien!$C$11,$AB367-$AA368),0)),2))</f>
        <v>0</v>
      </c>
      <c r="AC368" s="38">
        <f>IF($AE367&lt;=0,0,ROUND($AE367*Übersicht!$C$26,2))</f>
        <v>0</v>
      </c>
      <c r="AD368" s="38">
        <f>IF($AE367&lt;=0,0,MIN($AE367,IF(Übersicht!$C$14="Annuitätendarlehen",MAX(0,Übersicht!$C$28-$AC368),IF(Übersicht!$C$14="Ratendarlehen",Übersicht!$C$29,IF($A368&gt;=Übersicht!$C$30,$AE367,0)))))</f>
        <v>0</v>
      </c>
      <c r="AE368" s="38">
        <f>IF($AE367&lt;=0,0,ROUND($AE367-$AD368-IF($AE367-$AD368&lt;=0,0,IF(MOD($A368,Übersicht!$C$25)=0,MIN(Szenarien!$C$12,$AE367-$AD368),0)),2))</f>
        <v>0</v>
      </c>
    </row>
    <row r="369" spans="1:31" ht="15" customHeight="1" x14ac:dyDescent="0.25">
      <c r="A369" s="26">
        <v>362</v>
      </c>
      <c r="B369" s="39" t="str">
        <f>IF($D369&lt;=0,"",EDATE(Übersicht!$C$18,($A369-1)*12/Übersicht!$C$25))</f>
        <v/>
      </c>
      <c r="C369" s="26" t="str">
        <f t="shared" si="35"/>
        <v/>
      </c>
      <c r="D369" s="40">
        <f t="shared" si="39"/>
        <v>0</v>
      </c>
      <c r="E369" s="28">
        <f t="shared" si="36"/>
        <v>0</v>
      </c>
      <c r="F369" s="28">
        <f>IF($D369&lt;=0,0,ROUND($D369*Übersicht!$C$26,2))</f>
        <v>0</v>
      </c>
      <c r="G369" s="28">
        <f>IF($D369&lt;=0,0,MIN($D369,IF(Übersicht!$C$14="Annuitätendarlehen",MAX(0,Übersicht!$C$28-$F369),IF(Übersicht!$C$14="Ratendarlehen",Übersicht!$C$29,IF($A369&gt;=Übersicht!$C$30,$D369,0)))))</f>
        <v>0</v>
      </c>
      <c r="H369" s="28">
        <f>IF($D369-$G369&lt;=0,0,IF(MOD($A369,Übersicht!$C$25)=0,MIN(Übersicht!$C$31,$D369-$G369),0))</f>
        <v>0</v>
      </c>
      <c r="I369" s="28">
        <f t="shared" si="37"/>
        <v>0</v>
      </c>
      <c r="J369" s="28">
        <f t="shared" si="38"/>
        <v>0</v>
      </c>
      <c r="K369" s="28">
        <f t="shared" si="40"/>
        <v>80072.129999999961</v>
      </c>
      <c r="L369" s="28">
        <f t="shared" si="41"/>
        <v>250000</v>
      </c>
      <c r="M369" s="29" t="str">
        <f>IF($D369&lt;=0,"",IF(Übersicht!$C$11=0,0,$L369/Übersicht!$C$11))</f>
        <v/>
      </c>
      <c r="N369" s="30" t="str">
        <f>IF($D369&lt;=0,"",IF($J369&lt;=0.005,"Volltilgung erreicht",IF($A369=Übersicht!$C$19*Übersicht!$C$25,"Ende der Zinsbindung",IF($H369&gt;0,"Sondertilgung verrechnet",""))))</f>
        <v/>
      </c>
      <c r="Q369" s="38">
        <f>IF($S368&lt;=0,0,ROUND($S368*Übersicht!$C$26,2))</f>
        <v>0</v>
      </c>
      <c r="R369" s="38">
        <f>IF($S368&lt;=0,0,MIN($S368,IF(Übersicht!$C$14="Annuitätendarlehen",MAX(0,Übersicht!$C$28-$Q369),IF(Übersicht!$C$14="Ratendarlehen",Übersicht!$C$29,IF($A369&gt;=Übersicht!$C$30,$S368,0)))))</f>
        <v>0</v>
      </c>
      <c r="S369" s="38">
        <f>IF($S368&lt;=0,0,ROUND($S368-$R369-IF($S368-$R369&lt;=0,0,IF(MOD($A369,Übersicht!$C$25)=0,MIN(Szenarien!$C$8,$S368-$R369),0)),2))</f>
        <v>0</v>
      </c>
      <c r="T369" s="38">
        <f>IF($V368&lt;=0,0,ROUND($V368*Übersicht!$C$26,2))</f>
        <v>0</v>
      </c>
      <c r="U369" s="38">
        <f>IF($V368&lt;=0,0,MIN($V368,IF(Übersicht!$C$14="Annuitätendarlehen",MAX(0,Übersicht!$C$28-$T369),IF(Übersicht!$C$14="Ratendarlehen",Übersicht!$C$29,IF($A369&gt;=Übersicht!$C$30,$V368,0)))))</f>
        <v>0</v>
      </c>
      <c r="V369" s="38">
        <f>IF($V368&lt;=0,0,ROUND($V368-$U369-IF($V368-$U369&lt;=0,0,IF(MOD($A369,Übersicht!$C$25)=0,MIN(Szenarien!$C$9,$V368-$U369),0)),2))</f>
        <v>0</v>
      </c>
      <c r="W369" s="38">
        <f>IF($Y368&lt;=0,0,ROUND($Y368*Übersicht!$C$26,2))</f>
        <v>0</v>
      </c>
      <c r="X369" s="38">
        <f>IF($Y368&lt;=0,0,MIN($Y368,IF(Übersicht!$C$14="Annuitätendarlehen",MAX(0,Übersicht!$C$28-$W369),IF(Übersicht!$C$14="Ratendarlehen",Übersicht!$C$29,IF($A369&gt;=Übersicht!$C$30,$Y368,0)))))</f>
        <v>0</v>
      </c>
      <c r="Y369" s="38">
        <f>IF($Y368&lt;=0,0,ROUND($Y368-$X369-IF($Y368-$X369&lt;=0,0,IF(MOD($A369,Übersicht!$C$25)=0,MIN(Szenarien!$C$10,$Y368-$X369),0)),2))</f>
        <v>0</v>
      </c>
      <c r="Z369" s="38">
        <f>IF($AB368&lt;=0,0,ROUND($AB368*Übersicht!$C$26,2))</f>
        <v>0</v>
      </c>
      <c r="AA369" s="38">
        <f>IF($AB368&lt;=0,0,MIN($AB368,IF(Übersicht!$C$14="Annuitätendarlehen",MAX(0,Übersicht!$C$28-$Z369),IF(Übersicht!$C$14="Ratendarlehen",Übersicht!$C$29,IF($A369&gt;=Übersicht!$C$30,$AB368,0)))))</f>
        <v>0</v>
      </c>
      <c r="AB369" s="38">
        <f>IF($AB368&lt;=0,0,ROUND($AB368-$AA369-IF($AB368-$AA369&lt;=0,0,IF(MOD($A369,Übersicht!$C$25)=0,MIN(Szenarien!$C$11,$AB368-$AA369),0)),2))</f>
        <v>0</v>
      </c>
      <c r="AC369" s="38">
        <f>IF($AE368&lt;=0,0,ROUND($AE368*Übersicht!$C$26,2))</f>
        <v>0</v>
      </c>
      <c r="AD369" s="38">
        <f>IF($AE368&lt;=0,0,MIN($AE368,IF(Übersicht!$C$14="Annuitätendarlehen",MAX(0,Übersicht!$C$28-$AC369),IF(Übersicht!$C$14="Ratendarlehen",Übersicht!$C$29,IF($A369&gt;=Übersicht!$C$30,$AE368,0)))))</f>
        <v>0</v>
      </c>
      <c r="AE369" s="38">
        <f>IF($AE368&lt;=0,0,ROUND($AE368-$AD369-IF($AE368-$AD369&lt;=0,0,IF(MOD($A369,Übersicht!$C$25)=0,MIN(Szenarien!$C$12,$AE368-$AD369),0)),2))</f>
        <v>0</v>
      </c>
    </row>
    <row r="370" spans="1:31" ht="15" customHeight="1" x14ac:dyDescent="0.25">
      <c r="A370" s="21">
        <v>363</v>
      </c>
      <c r="B370" s="36" t="str">
        <f>IF($D370&lt;=0,"",EDATE(Übersicht!$C$18,($A370-1)*12/Übersicht!$C$25))</f>
        <v/>
      </c>
      <c r="C370" s="21" t="str">
        <f t="shared" si="35"/>
        <v/>
      </c>
      <c r="D370" s="37">
        <f t="shared" si="39"/>
        <v>0</v>
      </c>
      <c r="E370" s="23">
        <f t="shared" si="36"/>
        <v>0</v>
      </c>
      <c r="F370" s="23">
        <f>IF($D370&lt;=0,0,ROUND($D370*Übersicht!$C$26,2))</f>
        <v>0</v>
      </c>
      <c r="G370" s="23">
        <f>IF($D370&lt;=0,0,MIN($D370,IF(Übersicht!$C$14="Annuitätendarlehen",MAX(0,Übersicht!$C$28-$F370),IF(Übersicht!$C$14="Ratendarlehen",Übersicht!$C$29,IF($A370&gt;=Übersicht!$C$30,$D370,0)))))</f>
        <v>0</v>
      </c>
      <c r="H370" s="23">
        <f>IF($D370-$G370&lt;=0,0,IF(MOD($A370,Übersicht!$C$25)=0,MIN(Übersicht!$C$31,$D370-$G370),0))</f>
        <v>0</v>
      </c>
      <c r="I370" s="23">
        <f t="shared" si="37"/>
        <v>0</v>
      </c>
      <c r="J370" s="23">
        <f t="shared" si="38"/>
        <v>0</v>
      </c>
      <c r="K370" s="23">
        <f t="shared" si="40"/>
        <v>80072.129999999961</v>
      </c>
      <c r="L370" s="23">
        <f t="shared" si="41"/>
        <v>250000</v>
      </c>
      <c r="M370" s="24" t="str">
        <f>IF($D370&lt;=0,"",IF(Übersicht!$C$11=0,0,$L370/Übersicht!$C$11))</f>
        <v/>
      </c>
      <c r="N370" s="25" t="str">
        <f>IF($D370&lt;=0,"",IF($J370&lt;=0.005,"Volltilgung erreicht",IF($A370=Übersicht!$C$19*Übersicht!$C$25,"Ende der Zinsbindung",IF($H370&gt;0,"Sondertilgung verrechnet",""))))</f>
        <v/>
      </c>
      <c r="Q370" s="38">
        <f>IF($S369&lt;=0,0,ROUND($S369*Übersicht!$C$26,2))</f>
        <v>0</v>
      </c>
      <c r="R370" s="38">
        <f>IF($S369&lt;=0,0,MIN($S369,IF(Übersicht!$C$14="Annuitätendarlehen",MAX(0,Übersicht!$C$28-$Q370),IF(Übersicht!$C$14="Ratendarlehen",Übersicht!$C$29,IF($A370&gt;=Übersicht!$C$30,$S369,0)))))</f>
        <v>0</v>
      </c>
      <c r="S370" s="38">
        <f>IF($S369&lt;=0,0,ROUND($S369-$R370-IF($S369-$R370&lt;=0,0,IF(MOD($A370,Übersicht!$C$25)=0,MIN(Szenarien!$C$8,$S369-$R370),0)),2))</f>
        <v>0</v>
      </c>
      <c r="T370" s="38">
        <f>IF($V369&lt;=0,0,ROUND($V369*Übersicht!$C$26,2))</f>
        <v>0</v>
      </c>
      <c r="U370" s="38">
        <f>IF($V369&lt;=0,0,MIN($V369,IF(Übersicht!$C$14="Annuitätendarlehen",MAX(0,Übersicht!$C$28-$T370),IF(Übersicht!$C$14="Ratendarlehen",Übersicht!$C$29,IF($A370&gt;=Übersicht!$C$30,$V369,0)))))</f>
        <v>0</v>
      </c>
      <c r="V370" s="38">
        <f>IF($V369&lt;=0,0,ROUND($V369-$U370-IF($V369-$U370&lt;=0,0,IF(MOD($A370,Übersicht!$C$25)=0,MIN(Szenarien!$C$9,$V369-$U370),0)),2))</f>
        <v>0</v>
      </c>
      <c r="W370" s="38">
        <f>IF($Y369&lt;=0,0,ROUND($Y369*Übersicht!$C$26,2))</f>
        <v>0</v>
      </c>
      <c r="X370" s="38">
        <f>IF($Y369&lt;=0,0,MIN($Y369,IF(Übersicht!$C$14="Annuitätendarlehen",MAX(0,Übersicht!$C$28-$W370),IF(Übersicht!$C$14="Ratendarlehen",Übersicht!$C$29,IF($A370&gt;=Übersicht!$C$30,$Y369,0)))))</f>
        <v>0</v>
      </c>
      <c r="Y370" s="38">
        <f>IF($Y369&lt;=0,0,ROUND($Y369-$X370-IF($Y369-$X370&lt;=0,0,IF(MOD($A370,Übersicht!$C$25)=0,MIN(Szenarien!$C$10,$Y369-$X370),0)),2))</f>
        <v>0</v>
      </c>
      <c r="Z370" s="38">
        <f>IF($AB369&lt;=0,0,ROUND($AB369*Übersicht!$C$26,2))</f>
        <v>0</v>
      </c>
      <c r="AA370" s="38">
        <f>IF($AB369&lt;=0,0,MIN($AB369,IF(Übersicht!$C$14="Annuitätendarlehen",MAX(0,Übersicht!$C$28-$Z370),IF(Übersicht!$C$14="Ratendarlehen",Übersicht!$C$29,IF($A370&gt;=Übersicht!$C$30,$AB369,0)))))</f>
        <v>0</v>
      </c>
      <c r="AB370" s="38">
        <f>IF($AB369&lt;=0,0,ROUND($AB369-$AA370-IF($AB369-$AA370&lt;=0,0,IF(MOD($A370,Übersicht!$C$25)=0,MIN(Szenarien!$C$11,$AB369-$AA370),0)),2))</f>
        <v>0</v>
      </c>
      <c r="AC370" s="38">
        <f>IF($AE369&lt;=0,0,ROUND($AE369*Übersicht!$C$26,2))</f>
        <v>0</v>
      </c>
      <c r="AD370" s="38">
        <f>IF($AE369&lt;=0,0,MIN($AE369,IF(Übersicht!$C$14="Annuitätendarlehen",MAX(0,Übersicht!$C$28-$AC370),IF(Übersicht!$C$14="Ratendarlehen",Übersicht!$C$29,IF($A370&gt;=Übersicht!$C$30,$AE369,0)))))</f>
        <v>0</v>
      </c>
      <c r="AE370" s="38">
        <f>IF($AE369&lt;=0,0,ROUND($AE369-$AD370-IF($AE369-$AD370&lt;=0,0,IF(MOD($A370,Übersicht!$C$25)=0,MIN(Szenarien!$C$12,$AE369-$AD370),0)),2))</f>
        <v>0</v>
      </c>
    </row>
    <row r="371" spans="1:31" ht="15" customHeight="1" x14ac:dyDescent="0.25">
      <c r="A371" s="26">
        <v>364</v>
      </c>
      <c r="B371" s="39" t="str">
        <f>IF($D371&lt;=0,"",EDATE(Übersicht!$C$18,($A371-1)*12/Übersicht!$C$25))</f>
        <v/>
      </c>
      <c r="C371" s="26" t="str">
        <f t="shared" si="35"/>
        <v/>
      </c>
      <c r="D371" s="40">
        <f t="shared" si="39"/>
        <v>0</v>
      </c>
      <c r="E371" s="28">
        <f t="shared" si="36"/>
        <v>0</v>
      </c>
      <c r="F371" s="28">
        <f>IF($D371&lt;=0,0,ROUND($D371*Übersicht!$C$26,2))</f>
        <v>0</v>
      </c>
      <c r="G371" s="28">
        <f>IF($D371&lt;=0,0,MIN($D371,IF(Übersicht!$C$14="Annuitätendarlehen",MAX(0,Übersicht!$C$28-$F371),IF(Übersicht!$C$14="Ratendarlehen",Übersicht!$C$29,IF($A371&gt;=Übersicht!$C$30,$D371,0)))))</f>
        <v>0</v>
      </c>
      <c r="H371" s="28">
        <f>IF($D371-$G371&lt;=0,0,IF(MOD($A371,Übersicht!$C$25)=0,MIN(Übersicht!$C$31,$D371-$G371),0))</f>
        <v>0</v>
      </c>
      <c r="I371" s="28">
        <f t="shared" si="37"/>
        <v>0</v>
      </c>
      <c r="J371" s="28">
        <f t="shared" si="38"/>
        <v>0</v>
      </c>
      <c r="K371" s="28">
        <f t="shared" si="40"/>
        <v>80072.129999999961</v>
      </c>
      <c r="L371" s="28">
        <f t="shared" si="41"/>
        <v>250000</v>
      </c>
      <c r="M371" s="29" t="str">
        <f>IF($D371&lt;=0,"",IF(Übersicht!$C$11=0,0,$L371/Übersicht!$C$11))</f>
        <v/>
      </c>
      <c r="N371" s="30" t="str">
        <f>IF($D371&lt;=0,"",IF($J371&lt;=0.005,"Volltilgung erreicht",IF($A371=Übersicht!$C$19*Übersicht!$C$25,"Ende der Zinsbindung",IF($H371&gt;0,"Sondertilgung verrechnet",""))))</f>
        <v/>
      </c>
      <c r="Q371" s="38">
        <f>IF($S370&lt;=0,0,ROUND($S370*Übersicht!$C$26,2))</f>
        <v>0</v>
      </c>
      <c r="R371" s="38">
        <f>IF($S370&lt;=0,0,MIN($S370,IF(Übersicht!$C$14="Annuitätendarlehen",MAX(0,Übersicht!$C$28-$Q371),IF(Übersicht!$C$14="Ratendarlehen",Übersicht!$C$29,IF($A371&gt;=Übersicht!$C$30,$S370,0)))))</f>
        <v>0</v>
      </c>
      <c r="S371" s="38">
        <f>IF($S370&lt;=0,0,ROUND($S370-$R371-IF($S370-$R371&lt;=0,0,IF(MOD($A371,Übersicht!$C$25)=0,MIN(Szenarien!$C$8,$S370-$R371),0)),2))</f>
        <v>0</v>
      </c>
      <c r="T371" s="38">
        <f>IF($V370&lt;=0,0,ROUND($V370*Übersicht!$C$26,2))</f>
        <v>0</v>
      </c>
      <c r="U371" s="38">
        <f>IF($V370&lt;=0,0,MIN($V370,IF(Übersicht!$C$14="Annuitätendarlehen",MAX(0,Übersicht!$C$28-$T371),IF(Übersicht!$C$14="Ratendarlehen",Übersicht!$C$29,IF($A371&gt;=Übersicht!$C$30,$V370,0)))))</f>
        <v>0</v>
      </c>
      <c r="V371" s="38">
        <f>IF($V370&lt;=0,0,ROUND($V370-$U371-IF($V370-$U371&lt;=0,0,IF(MOD($A371,Übersicht!$C$25)=0,MIN(Szenarien!$C$9,$V370-$U371),0)),2))</f>
        <v>0</v>
      </c>
      <c r="W371" s="38">
        <f>IF($Y370&lt;=0,0,ROUND($Y370*Übersicht!$C$26,2))</f>
        <v>0</v>
      </c>
      <c r="X371" s="38">
        <f>IF($Y370&lt;=0,0,MIN($Y370,IF(Übersicht!$C$14="Annuitätendarlehen",MAX(0,Übersicht!$C$28-$W371),IF(Übersicht!$C$14="Ratendarlehen",Übersicht!$C$29,IF($A371&gt;=Übersicht!$C$30,$Y370,0)))))</f>
        <v>0</v>
      </c>
      <c r="Y371" s="38">
        <f>IF($Y370&lt;=0,0,ROUND($Y370-$X371-IF($Y370-$X371&lt;=0,0,IF(MOD($A371,Übersicht!$C$25)=0,MIN(Szenarien!$C$10,$Y370-$X371),0)),2))</f>
        <v>0</v>
      </c>
      <c r="Z371" s="38">
        <f>IF($AB370&lt;=0,0,ROUND($AB370*Übersicht!$C$26,2))</f>
        <v>0</v>
      </c>
      <c r="AA371" s="38">
        <f>IF($AB370&lt;=0,0,MIN($AB370,IF(Übersicht!$C$14="Annuitätendarlehen",MAX(0,Übersicht!$C$28-$Z371),IF(Übersicht!$C$14="Ratendarlehen",Übersicht!$C$29,IF($A371&gt;=Übersicht!$C$30,$AB370,0)))))</f>
        <v>0</v>
      </c>
      <c r="AB371" s="38">
        <f>IF($AB370&lt;=0,0,ROUND($AB370-$AA371-IF($AB370-$AA371&lt;=0,0,IF(MOD($A371,Übersicht!$C$25)=0,MIN(Szenarien!$C$11,$AB370-$AA371),0)),2))</f>
        <v>0</v>
      </c>
      <c r="AC371" s="38">
        <f>IF($AE370&lt;=0,0,ROUND($AE370*Übersicht!$C$26,2))</f>
        <v>0</v>
      </c>
      <c r="AD371" s="38">
        <f>IF($AE370&lt;=0,0,MIN($AE370,IF(Übersicht!$C$14="Annuitätendarlehen",MAX(0,Übersicht!$C$28-$AC371),IF(Übersicht!$C$14="Ratendarlehen",Übersicht!$C$29,IF($A371&gt;=Übersicht!$C$30,$AE370,0)))))</f>
        <v>0</v>
      </c>
      <c r="AE371" s="38">
        <f>IF($AE370&lt;=0,0,ROUND($AE370-$AD371-IF($AE370-$AD371&lt;=0,0,IF(MOD($A371,Übersicht!$C$25)=0,MIN(Szenarien!$C$12,$AE370-$AD371),0)),2))</f>
        <v>0</v>
      </c>
    </row>
    <row r="372" spans="1:31" ht="15" customHeight="1" x14ac:dyDescent="0.25">
      <c r="A372" s="21">
        <v>365</v>
      </c>
      <c r="B372" s="36" t="str">
        <f>IF($D372&lt;=0,"",EDATE(Übersicht!$C$18,($A372-1)*12/Übersicht!$C$25))</f>
        <v/>
      </c>
      <c r="C372" s="21" t="str">
        <f t="shared" si="35"/>
        <v/>
      </c>
      <c r="D372" s="37">
        <f t="shared" si="39"/>
        <v>0</v>
      </c>
      <c r="E372" s="23">
        <f t="shared" si="36"/>
        <v>0</v>
      </c>
      <c r="F372" s="23">
        <f>IF($D372&lt;=0,0,ROUND($D372*Übersicht!$C$26,2))</f>
        <v>0</v>
      </c>
      <c r="G372" s="23">
        <f>IF($D372&lt;=0,0,MIN($D372,IF(Übersicht!$C$14="Annuitätendarlehen",MAX(0,Übersicht!$C$28-$F372),IF(Übersicht!$C$14="Ratendarlehen",Übersicht!$C$29,IF($A372&gt;=Übersicht!$C$30,$D372,0)))))</f>
        <v>0</v>
      </c>
      <c r="H372" s="23">
        <f>IF($D372-$G372&lt;=0,0,IF(MOD($A372,Übersicht!$C$25)=0,MIN(Übersicht!$C$31,$D372-$G372),0))</f>
        <v>0</v>
      </c>
      <c r="I372" s="23">
        <f t="shared" si="37"/>
        <v>0</v>
      </c>
      <c r="J372" s="23">
        <f t="shared" si="38"/>
        <v>0</v>
      </c>
      <c r="K372" s="23">
        <f t="shared" si="40"/>
        <v>80072.129999999961</v>
      </c>
      <c r="L372" s="23">
        <f t="shared" si="41"/>
        <v>250000</v>
      </c>
      <c r="M372" s="24" t="str">
        <f>IF($D372&lt;=0,"",IF(Übersicht!$C$11=0,0,$L372/Übersicht!$C$11))</f>
        <v/>
      </c>
      <c r="N372" s="25" t="str">
        <f>IF($D372&lt;=0,"",IF($J372&lt;=0.005,"Volltilgung erreicht",IF($A372=Übersicht!$C$19*Übersicht!$C$25,"Ende der Zinsbindung",IF($H372&gt;0,"Sondertilgung verrechnet",""))))</f>
        <v/>
      </c>
      <c r="Q372" s="38">
        <f>IF($S371&lt;=0,0,ROUND($S371*Übersicht!$C$26,2))</f>
        <v>0</v>
      </c>
      <c r="R372" s="38">
        <f>IF($S371&lt;=0,0,MIN($S371,IF(Übersicht!$C$14="Annuitätendarlehen",MAX(0,Übersicht!$C$28-$Q372),IF(Übersicht!$C$14="Ratendarlehen",Übersicht!$C$29,IF($A372&gt;=Übersicht!$C$30,$S371,0)))))</f>
        <v>0</v>
      </c>
      <c r="S372" s="38">
        <f>IF($S371&lt;=0,0,ROUND($S371-$R372-IF($S371-$R372&lt;=0,0,IF(MOD($A372,Übersicht!$C$25)=0,MIN(Szenarien!$C$8,$S371-$R372),0)),2))</f>
        <v>0</v>
      </c>
      <c r="T372" s="38">
        <f>IF($V371&lt;=0,0,ROUND($V371*Übersicht!$C$26,2))</f>
        <v>0</v>
      </c>
      <c r="U372" s="38">
        <f>IF($V371&lt;=0,0,MIN($V371,IF(Übersicht!$C$14="Annuitätendarlehen",MAX(0,Übersicht!$C$28-$T372),IF(Übersicht!$C$14="Ratendarlehen",Übersicht!$C$29,IF($A372&gt;=Übersicht!$C$30,$V371,0)))))</f>
        <v>0</v>
      </c>
      <c r="V372" s="38">
        <f>IF($V371&lt;=0,0,ROUND($V371-$U372-IF($V371-$U372&lt;=0,0,IF(MOD($A372,Übersicht!$C$25)=0,MIN(Szenarien!$C$9,$V371-$U372),0)),2))</f>
        <v>0</v>
      </c>
      <c r="W372" s="38">
        <f>IF($Y371&lt;=0,0,ROUND($Y371*Übersicht!$C$26,2))</f>
        <v>0</v>
      </c>
      <c r="X372" s="38">
        <f>IF($Y371&lt;=0,0,MIN($Y371,IF(Übersicht!$C$14="Annuitätendarlehen",MAX(0,Übersicht!$C$28-$W372),IF(Übersicht!$C$14="Ratendarlehen",Übersicht!$C$29,IF($A372&gt;=Übersicht!$C$30,$Y371,0)))))</f>
        <v>0</v>
      </c>
      <c r="Y372" s="38">
        <f>IF($Y371&lt;=0,0,ROUND($Y371-$X372-IF($Y371-$X372&lt;=0,0,IF(MOD($A372,Übersicht!$C$25)=0,MIN(Szenarien!$C$10,$Y371-$X372),0)),2))</f>
        <v>0</v>
      </c>
      <c r="Z372" s="38">
        <f>IF($AB371&lt;=0,0,ROUND($AB371*Übersicht!$C$26,2))</f>
        <v>0</v>
      </c>
      <c r="AA372" s="38">
        <f>IF($AB371&lt;=0,0,MIN($AB371,IF(Übersicht!$C$14="Annuitätendarlehen",MAX(0,Übersicht!$C$28-$Z372),IF(Übersicht!$C$14="Ratendarlehen",Übersicht!$C$29,IF($A372&gt;=Übersicht!$C$30,$AB371,0)))))</f>
        <v>0</v>
      </c>
      <c r="AB372" s="38">
        <f>IF($AB371&lt;=0,0,ROUND($AB371-$AA372-IF($AB371-$AA372&lt;=0,0,IF(MOD($A372,Übersicht!$C$25)=0,MIN(Szenarien!$C$11,$AB371-$AA372),0)),2))</f>
        <v>0</v>
      </c>
      <c r="AC372" s="38">
        <f>IF($AE371&lt;=0,0,ROUND($AE371*Übersicht!$C$26,2))</f>
        <v>0</v>
      </c>
      <c r="AD372" s="38">
        <f>IF($AE371&lt;=0,0,MIN($AE371,IF(Übersicht!$C$14="Annuitätendarlehen",MAX(0,Übersicht!$C$28-$AC372),IF(Übersicht!$C$14="Ratendarlehen",Übersicht!$C$29,IF($A372&gt;=Übersicht!$C$30,$AE371,0)))))</f>
        <v>0</v>
      </c>
      <c r="AE372" s="38">
        <f>IF($AE371&lt;=0,0,ROUND($AE371-$AD372-IF($AE371-$AD372&lt;=0,0,IF(MOD($A372,Übersicht!$C$25)=0,MIN(Szenarien!$C$12,$AE371-$AD372),0)),2))</f>
        <v>0</v>
      </c>
    </row>
    <row r="373" spans="1:31" ht="15" customHeight="1" x14ac:dyDescent="0.25">
      <c r="A373" s="26">
        <v>366</v>
      </c>
      <c r="B373" s="39" t="str">
        <f>IF($D373&lt;=0,"",EDATE(Übersicht!$C$18,($A373-1)*12/Übersicht!$C$25))</f>
        <v/>
      </c>
      <c r="C373" s="26" t="str">
        <f t="shared" si="35"/>
        <v/>
      </c>
      <c r="D373" s="40">
        <f t="shared" si="39"/>
        <v>0</v>
      </c>
      <c r="E373" s="28">
        <f t="shared" si="36"/>
        <v>0</v>
      </c>
      <c r="F373" s="28">
        <f>IF($D373&lt;=0,0,ROUND($D373*Übersicht!$C$26,2))</f>
        <v>0</v>
      </c>
      <c r="G373" s="28">
        <f>IF($D373&lt;=0,0,MIN($D373,IF(Übersicht!$C$14="Annuitätendarlehen",MAX(0,Übersicht!$C$28-$F373),IF(Übersicht!$C$14="Ratendarlehen",Übersicht!$C$29,IF($A373&gt;=Übersicht!$C$30,$D373,0)))))</f>
        <v>0</v>
      </c>
      <c r="H373" s="28">
        <f>IF($D373-$G373&lt;=0,0,IF(MOD($A373,Übersicht!$C$25)=0,MIN(Übersicht!$C$31,$D373-$G373),0))</f>
        <v>0</v>
      </c>
      <c r="I373" s="28">
        <f t="shared" si="37"/>
        <v>0</v>
      </c>
      <c r="J373" s="28">
        <f t="shared" si="38"/>
        <v>0</v>
      </c>
      <c r="K373" s="28">
        <f t="shared" si="40"/>
        <v>80072.129999999961</v>
      </c>
      <c r="L373" s="28">
        <f t="shared" si="41"/>
        <v>250000</v>
      </c>
      <c r="M373" s="29" t="str">
        <f>IF($D373&lt;=0,"",IF(Übersicht!$C$11=0,0,$L373/Übersicht!$C$11))</f>
        <v/>
      </c>
      <c r="N373" s="30" t="str">
        <f>IF($D373&lt;=0,"",IF($J373&lt;=0.005,"Volltilgung erreicht",IF($A373=Übersicht!$C$19*Übersicht!$C$25,"Ende der Zinsbindung",IF($H373&gt;0,"Sondertilgung verrechnet",""))))</f>
        <v/>
      </c>
      <c r="Q373" s="38">
        <f>IF($S372&lt;=0,0,ROUND($S372*Übersicht!$C$26,2))</f>
        <v>0</v>
      </c>
      <c r="R373" s="38">
        <f>IF($S372&lt;=0,0,MIN($S372,IF(Übersicht!$C$14="Annuitätendarlehen",MAX(0,Übersicht!$C$28-$Q373),IF(Übersicht!$C$14="Ratendarlehen",Übersicht!$C$29,IF($A373&gt;=Übersicht!$C$30,$S372,0)))))</f>
        <v>0</v>
      </c>
      <c r="S373" s="38">
        <f>IF($S372&lt;=0,0,ROUND($S372-$R373-IF($S372-$R373&lt;=0,0,IF(MOD($A373,Übersicht!$C$25)=0,MIN(Szenarien!$C$8,$S372-$R373),0)),2))</f>
        <v>0</v>
      </c>
      <c r="T373" s="38">
        <f>IF($V372&lt;=0,0,ROUND($V372*Übersicht!$C$26,2))</f>
        <v>0</v>
      </c>
      <c r="U373" s="38">
        <f>IF($V372&lt;=0,0,MIN($V372,IF(Übersicht!$C$14="Annuitätendarlehen",MAX(0,Übersicht!$C$28-$T373),IF(Übersicht!$C$14="Ratendarlehen",Übersicht!$C$29,IF($A373&gt;=Übersicht!$C$30,$V372,0)))))</f>
        <v>0</v>
      </c>
      <c r="V373" s="38">
        <f>IF($V372&lt;=0,0,ROUND($V372-$U373-IF($V372-$U373&lt;=0,0,IF(MOD($A373,Übersicht!$C$25)=0,MIN(Szenarien!$C$9,$V372-$U373),0)),2))</f>
        <v>0</v>
      </c>
      <c r="W373" s="38">
        <f>IF($Y372&lt;=0,0,ROUND($Y372*Übersicht!$C$26,2))</f>
        <v>0</v>
      </c>
      <c r="X373" s="38">
        <f>IF($Y372&lt;=0,0,MIN($Y372,IF(Übersicht!$C$14="Annuitätendarlehen",MAX(0,Übersicht!$C$28-$W373),IF(Übersicht!$C$14="Ratendarlehen",Übersicht!$C$29,IF($A373&gt;=Übersicht!$C$30,$Y372,0)))))</f>
        <v>0</v>
      </c>
      <c r="Y373" s="38">
        <f>IF($Y372&lt;=0,0,ROUND($Y372-$X373-IF($Y372-$X373&lt;=0,0,IF(MOD($A373,Übersicht!$C$25)=0,MIN(Szenarien!$C$10,$Y372-$X373),0)),2))</f>
        <v>0</v>
      </c>
      <c r="Z373" s="38">
        <f>IF($AB372&lt;=0,0,ROUND($AB372*Übersicht!$C$26,2))</f>
        <v>0</v>
      </c>
      <c r="AA373" s="38">
        <f>IF($AB372&lt;=0,0,MIN($AB372,IF(Übersicht!$C$14="Annuitätendarlehen",MAX(0,Übersicht!$C$28-$Z373),IF(Übersicht!$C$14="Ratendarlehen",Übersicht!$C$29,IF($A373&gt;=Übersicht!$C$30,$AB372,0)))))</f>
        <v>0</v>
      </c>
      <c r="AB373" s="38">
        <f>IF($AB372&lt;=0,0,ROUND($AB372-$AA373-IF($AB372-$AA373&lt;=0,0,IF(MOD($A373,Übersicht!$C$25)=0,MIN(Szenarien!$C$11,$AB372-$AA373),0)),2))</f>
        <v>0</v>
      </c>
      <c r="AC373" s="38">
        <f>IF($AE372&lt;=0,0,ROUND($AE372*Übersicht!$C$26,2))</f>
        <v>0</v>
      </c>
      <c r="AD373" s="38">
        <f>IF($AE372&lt;=0,0,MIN($AE372,IF(Übersicht!$C$14="Annuitätendarlehen",MAX(0,Übersicht!$C$28-$AC373),IF(Übersicht!$C$14="Ratendarlehen",Übersicht!$C$29,IF($A373&gt;=Übersicht!$C$30,$AE372,0)))))</f>
        <v>0</v>
      </c>
      <c r="AE373" s="38">
        <f>IF($AE372&lt;=0,0,ROUND($AE372-$AD373-IF($AE372-$AD373&lt;=0,0,IF(MOD($A373,Übersicht!$C$25)=0,MIN(Szenarien!$C$12,$AE372-$AD373),0)),2))</f>
        <v>0</v>
      </c>
    </row>
    <row r="374" spans="1:31" ht="15" customHeight="1" x14ac:dyDescent="0.25">
      <c r="A374" s="21">
        <v>367</v>
      </c>
      <c r="B374" s="36" t="str">
        <f>IF($D374&lt;=0,"",EDATE(Übersicht!$C$18,($A374-1)*12/Übersicht!$C$25))</f>
        <v/>
      </c>
      <c r="C374" s="21" t="str">
        <f t="shared" si="35"/>
        <v/>
      </c>
      <c r="D374" s="37">
        <f t="shared" si="39"/>
        <v>0</v>
      </c>
      <c r="E374" s="23">
        <f t="shared" si="36"/>
        <v>0</v>
      </c>
      <c r="F374" s="23">
        <f>IF($D374&lt;=0,0,ROUND($D374*Übersicht!$C$26,2))</f>
        <v>0</v>
      </c>
      <c r="G374" s="23">
        <f>IF($D374&lt;=0,0,MIN($D374,IF(Übersicht!$C$14="Annuitätendarlehen",MAX(0,Übersicht!$C$28-$F374),IF(Übersicht!$C$14="Ratendarlehen",Übersicht!$C$29,IF($A374&gt;=Übersicht!$C$30,$D374,0)))))</f>
        <v>0</v>
      </c>
      <c r="H374" s="23">
        <f>IF($D374-$G374&lt;=0,0,IF(MOD($A374,Übersicht!$C$25)=0,MIN(Übersicht!$C$31,$D374-$G374),0))</f>
        <v>0</v>
      </c>
      <c r="I374" s="23">
        <f t="shared" si="37"/>
        <v>0</v>
      </c>
      <c r="J374" s="23">
        <f t="shared" si="38"/>
        <v>0</v>
      </c>
      <c r="K374" s="23">
        <f t="shared" si="40"/>
        <v>80072.129999999961</v>
      </c>
      <c r="L374" s="23">
        <f t="shared" si="41"/>
        <v>250000</v>
      </c>
      <c r="M374" s="24" t="str">
        <f>IF($D374&lt;=0,"",IF(Übersicht!$C$11=0,0,$L374/Übersicht!$C$11))</f>
        <v/>
      </c>
      <c r="N374" s="25" t="str">
        <f>IF($D374&lt;=0,"",IF($J374&lt;=0.005,"Volltilgung erreicht",IF($A374=Übersicht!$C$19*Übersicht!$C$25,"Ende der Zinsbindung",IF($H374&gt;0,"Sondertilgung verrechnet",""))))</f>
        <v/>
      </c>
      <c r="Q374" s="38">
        <f>IF($S373&lt;=0,0,ROUND($S373*Übersicht!$C$26,2))</f>
        <v>0</v>
      </c>
      <c r="R374" s="38">
        <f>IF($S373&lt;=0,0,MIN($S373,IF(Übersicht!$C$14="Annuitätendarlehen",MAX(0,Übersicht!$C$28-$Q374),IF(Übersicht!$C$14="Ratendarlehen",Übersicht!$C$29,IF($A374&gt;=Übersicht!$C$30,$S373,0)))))</f>
        <v>0</v>
      </c>
      <c r="S374" s="38">
        <f>IF($S373&lt;=0,0,ROUND($S373-$R374-IF($S373-$R374&lt;=0,0,IF(MOD($A374,Übersicht!$C$25)=0,MIN(Szenarien!$C$8,$S373-$R374),0)),2))</f>
        <v>0</v>
      </c>
      <c r="T374" s="38">
        <f>IF($V373&lt;=0,0,ROUND($V373*Übersicht!$C$26,2))</f>
        <v>0</v>
      </c>
      <c r="U374" s="38">
        <f>IF($V373&lt;=0,0,MIN($V373,IF(Übersicht!$C$14="Annuitätendarlehen",MAX(0,Übersicht!$C$28-$T374),IF(Übersicht!$C$14="Ratendarlehen",Übersicht!$C$29,IF($A374&gt;=Übersicht!$C$30,$V373,0)))))</f>
        <v>0</v>
      </c>
      <c r="V374" s="38">
        <f>IF($V373&lt;=0,0,ROUND($V373-$U374-IF($V373-$U374&lt;=0,0,IF(MOD($A374,Übersicht!$C$25)=0,MIN(Szenarien!$C$9,$V373-$U374),0)),2))</f>
        <v>0</v>
      </c>
      <c r="W374" s="38">
        <f>IF($Y373&lt;=0,0,ROUND($Y373*Übersicht!$C$26,2))</f>
        <v>0</v>
      </c>
      <c r="X374" s="38">
        <f>IF($Y373&lt;=0,0,MIN($Y373,IF(Übersicht!$C$14="Annuitätendarlehen",MAX(0,Übersicht!$C$28-$W374),IF(Übersicht!$C$14="Ratendarlehen",Übersicht!$C$29,IF($A374&gt;=Übersicht!$C$30,$Y373,0)))))</f>
        <v>0</v>
      </c>
      <c r="Y374" s="38">
        <f>IF($Y373&lt;=0,0,ROUND($Y373-$X374-IF($Y373-$X374&lt;=0,0,IF(MOD($A374,Übersicht!$C$25)=0,MIN(Szenarien!$C$10,$Y373-$X374),0)),2))</f>
        <v>0</v>
      </c>
      <c r="Z374" s="38">
        <f>IF($AB373&lt;=0,0,ROUND($AB373*Übersicht!$C$26,2))</f>
        <v>0</v>
      </c>
      <c r="AA374" s="38">
        <f>IF($AB373&lt;=0,0,MIN($AB373,IF(Übersicht!$C$14="Annuitätendarlehen",MAX(0,Übersicht!$C$28-$Z374),IF(Übersicht!$C$14="Ratendarlehen",Übersicht!$C$29,IF($A374&gt;=Übersicht!$C$30,$AB373,0)))))</f>
        <v>0</v>
      </c>
      <c r="AB374" s="38">
        <f>IF($AB373&lt;=0,0,ROUND($AB373-$AA374-IF($AB373-$AA374&lt;=0,0,IF(MOD($A374,Übersicht!$C$25)=0,MIN(Szenarien!$C$11,$AB373-$AA374),0)),2))</f>
        <v>0</v>
      </c>
      <c r="AC374" s="38">
        <f>IF($AE373&lt;=0,0,ROUND($AE373*Übersicht!$C$26,2))</f>
        <v>0</v>
      </c>
      <c r="AD374" s="38">
        <f>IF($AE373&lt;=0,0,MIN($AE373,IF(Übersicht!$C$14="Annuitätendarlehen",MAX(0,Übersicht!$C$28-$AC374),IF(Übersicht!$C$14="Ratendarlehen",Übersicht!$C$29,IF($A374&gt;=Übersicht!$C$30,$AE373,0)))))</f>
        <v>0</v>
      </c>
      <c r="AE374" s="38">
        <f>IF($AE373&lt;=0,0,ROUND($AE373-$AD374-IF($AE373-$AD374&lt;=0,0,IF(MOD($A374,Übersicht!$C$25)=0,MIN(Szenarien!$C$12,$AE373-$AD374),0)),2))</f>
        <v>0</v>
      </c>
    </row>
    <row r="375" spans="1:31" ht="15" customHeight="1" x14ac:dyDescent="0.25">
      <c r="A375" s="26">
        <v>368</v>
      </c>
      <c r="B375" s="39" t="str">
        <f>IF($D375&lt;=0,"",EDATE(Übersicht!$C$18,($A375-1)*12/Übersicht!$C$25))</f>
        <v/>
      </c>
      <c r="C375" s="26" t="str">
        <f t="shared" si="35"/>
        <v/>
      </c>
      <c r="D375" s="40">
        <f t="shared" si="39"/>
        <v>0</v>
      </c>
      <c r="E375" s="28">
        <f t="shared" si="36"/>
        <v>0</v>
      </c>
      <c r="F375" s="28">
        <f>IF($D375&lt;=0,0,ROUND($D375*Übersicht!$C$26,2))</f>
        <v>0</v>
      </c>
      <c r="G375" s="28">
        <f>IF($D375&lt;=0,0,MIN($D375,IF(Übersicht!$C$14="Annuitätendarlehen",MAX(0,Übersicht!$C$28-$F375),IF(Übersicht!$C$14="Ratendarlehen",Übersicht!$C$29,IF($A375&gt;=Übersicht!$C$30,$D375,0)))))</f>
        <v>0</v>
      </c>
      <c r="H375" s="28">
        <f>IF($D375-$G375&lt;=0,0,IF(MOD($A375,Übersicht!$C$25)=0,MIN(Übersicht!$C$31,$D375-$G375),0))</f>
        <v>0</v>
      </c>
      <c r="I375" s="28">
        <f t="shared" si="37"/>
        <v>0</v>
      </c>
      <c r="J375" s="28">
        <f t="shared" si="38"/>
        <v>0</v>
      </c>
      <c r="K375" s="28">
        <f t="shared" si="40"/>
        <v>80072.129999999961</v>
      </c>
      <c r="L375" s="28">
        <f t="shared" si="41"/>
        <v>250000</v>
      </c>
      <c r="M375" s="29" t="str">
        <f>IF($D375&lt;=0,"",IF(Übersicht!$C$11=0,0,$L375/Übersicht!$C$11))</f>
        <v/>
      </c>
      <c r="N375" s="30" t="str">
        <f>IF($D375&lt;=0,"",IF($J375&lt;=0.005,"Volltilgung erreicht",IF($A375=Übersicht!$C$19*Übersicht!$C$25,"Ende der Zinsbindung",IF($H375&gt;0,"Sondertilgung verrechnet",""))))</f>
        <v/>
      </c>
      <c r="Q375" s="38">
        <f>IF($S374&lt;=0,0,ROUND($S374*Übersicht!$C$26,2))</f>
        <v>0</v>
      </c>
      <c r="R375" s="38">
        <f>IF($S374&lt;=0,0,MIN($S374,IF(Übersicht!$C$14="Annuitätendarlehen",MAX(0,Übersicht!$C$28-$Q375),IF(Übersicht!$C$14="Ratendarlehen",Übersicht!$C$29,IF($A375&gt;=Übersicht!$C$30,$S374,0)))))</f>
        <v>0</v>
      </c>
      <c r="S375" s="38">
        <f>IF($S374&lt;=0,0,ROUND($S374-$R375-IF($S374-$R375&lt;=0,0,IF(MOD($A375,Übersicht!$C$25)=0,MIN(Szenarien!$C$8,$S374-$R375),0)),2))</f>
        <v>0</v>
      </c>
      <c r="T375" s="38">
        <f>IF($V374&lt;=0,0,ROUND($V374*Übersicht!$C$26,2))</f>
        <v>0</v>
      </c>
      <c r="U375" s="38">
        <f>IF($V374&lt;=0,0,MIN($V374,IF(Übersicht!$C$14="Annuitätendarlehen",MAX(0,Übersicht!$C$28-$T375),IF(Übersicht!$C$14="Ratendarlehen",Übersicht!$C$29,IF($A375&gt;=Übersicht!$C$30,$V374,0)))))</f>
        <v>0</v>
      </c>
      <c r="V375" s="38">
        <f>IF($V374&lt;=0,0,ROUND($V374-$U375-IF($V374-$U375&lt;=0,0,IF(MOD($A375,Übersicht!$C$25)=0,MIN(Szenarien!$C$9,$V374-$U375),0)),2))</f>
        <v>0</v>
      </c>
      <c r="W375" s="38">
        <f>IF($Y374&lt;=0,0,ROUND($Y374*Übersicht!$C$26,2))</f>
        <v>0</v>
      </c>
      <c r="X375" s="38">
        <f>IF($Y374&lt;=0,0,MIN($Y374,IF(Übersicht!$C$14="Annuitätendarlehen",MAX(0,Übersicht!$C$28-$W375),IF(Übersicht!$C$14="Ratendarlehen",Übersicht!$C$29,IF($A375&gt;=Übersicht!$C$30,$Y374,0)))))</f>
        <v>0</v>
      </c>
      <c r="Y375" s="38">
        <f>IF($Y374&lt;=0,0,ROUND($Y374-$X375-IF($Y374-$X375&lt;=0,0,IF(MOD($A375,Übersicht!$C$25)=0,MIN(Szenarien!$C$10,$Y374-$X375),0)),2))</f>
        <v>0</v>
      </c>
      <c r="Z375" s="38">
        <f>IF($AB374&lt;=0,0,ROUND($AB374*Übersicht!$C$26,2))</f>
        <v>0</v>
      </c>
      <c r="AA375" s="38">
        <f>IF($AB374&lt;=0,0,MIN($AB374,IF(Übersicht!$C$14="Annuitätendarlehen",MAX(0,Übersicht!$C$28-$Z375),IF(Übersicht!$C$14="Ratendarlehen",Übersicht!$C$29,IF($A375&gt;=Übersicht!$C$30,$AB374,0)))))</f>
        <v>0</v>
      </c>
      <c r="AB375" s="38">
        <f>IF($AB374&lt;=0,0,ROUND($AB374-$AA375-IF($AB374-$AA375&lt;=0,0,IF(MOD($A375,Übersicht!$C$25)=0,MIN(Szenarien!$C$11,$AB374-$AA375),0)),2))</f>
        <v>0</v>
      </c>
      <c r="AC375" s="38">
        <f>IF($AE374&lt;=0,0,ROUND($AE374*Übersicht!$C$26,2))</f>
        <v>0</v>
      </c>
      <c r="AD375" s="38">
        <f>IF($AE374&lt;=0,0,MIN($AE374,IF(Übersicht!$C$14="Annuitätendarlehen",MAX(0,Übersicht!$C$28-$AC375),IF(Übersicht!$C$14="Ratendarlehen",Übersicht!$C$29,IF($A375&gt;=Übersicht!$C$30,$AE374,0)))))</f>
        <v>0</v>
      </c>
      <c r="AE375" s="38">
        <f>IF($AE374&lt;=0,0,ROUND($AE374-$AD375-IF($AE374-$AD375&lt;=0,0,IF(MOD($A375,Übersicht!$C$25)=0,MIN(Szenarien!$C$12,$AE374-$AD375),0)),2))</f>
        <v>0</v>
      </c>
    </row>
    <row r="376" spans="1:31" ht="15" customHeight="1" x14ac:dyDescent="0.25">
      <c r="A376" s="21">
        <v>369</v>
      </c>
      <c r="B376" s="36" t="str">
        <f>IF($D376&lt;=0,"",EDATE(Übersicht!$C$18,($A376-1)*12/Übersicht!$C$25))</f>
        <v/>
      </c>
      <c r="C376" s="21" t="str">
        <f t="shared" si="35"/>
        <v/>
      </c>
      <c r="D376" s="37">
        <f t="shared" si="39"/>
        <v>0</v>
      </c>
      <c r="E376" s="23">
        <f t="shared" si="36"/>
        <v>0</v>
      </c>
      <c r="F376" s="23">
        <f>IF($D376&lt;=0,0,ROUND($D376*Übersicht!$C$26,2))</f>
        <v>0</v>
      </c>
      <c r="G376" s="23">
        <f>IF($D376&lt;=0,0,MIN($D376,IF(Übersicht!$C$14="Annuitätendarlehen",MAX(0,Übersicht!$C$28-$F376),IF(Übersicht!$C$14="Ratendarlehen",Übersicht!$C$29,IF($A376&gt;=Übersicht!$C$30,$D376,0)))))</f>
        <v>0</v>
      </c>
      <c r="H376" s="23">
        <f>IF($D376-$G376&lt;=0,0,IF(MOD($A376,Übersicht!$C$25)=0,MIN(Übersicht!$C$31,$D376-$G376),0))</f>
        <v>0</v>
      </c>
      <c r="I376" s="23">
        <f t="shared" si="37"/>
        <v>0</v>
      </c>
      <c r="J376" s="23">
        <f t="shared" si="38"/>
        <v>0</v>
      </c>
      <c r="K376" s="23">
        <f t="shared" si="40"/>
        <v>80072.129999999961</v>
      </c>
      <c r="L376" s="23">
        <f t="shared" si="41"/>
        <v>250000</v>
      </c>
      <c r="M376" s="24" t="str">
        <f>IF($D376&lt;=0,"",IF(Übersicht!$C$11=0,0,$L376/Übersicht!$C$11))</f>
        <v/>
      </c>
      <c r="N376" s="25" t="str">
        <f>IF($D376&lt;=0,"",IF($J376&lt;=0.005,"Volltilgung erreicht",IF($A376=Übersicht!$C$19*Übersicht!$C$25,"Ende der Zinsbindung",IF($H376&gt;0,"Sondertilgung verrechnet",""))))</f>
        <v/>
      </c>
      <c r="Q376" s="38">
        <f>IF($S375&lt;=0,0,ROUND($S375*Übersicht!$C$26,2))</f>
        <v>0</v>
      </c>
      <c r="R376" s="38">
        <f>IF($S375&lt;=0,0,MIN($S375,IF(Übersicht!$C$14="Annuitätendarlehen",MAX(0,Übersicht!$C$28-$Q376),IF(Übersicht!$C$14="Ratendarlehen",Übersicht!$C$29,IF($A376&gt;=Übersicht!$C$30,$S375,0)))))</f>
        <v>0</v>
      </c>
      <c r="S376" s="38">
        <f>IF($S375&lt;=0,0,ROUND($S375-$R376-IF($S375-$R376&lt;=0,0,IF(MOD($A376,Übersicht!$C$25)=0,MIN(Szenarien!$C$8,$S375-$R376),0)),2))</f>
        <v>0</v>
      </c>
      <c r="T376" s="38">
        <f>IF($V375&lt;=0,0,ROUND($V375*Übersicht!$C$26,2))</f>
        <v>0</v>
      </c>
      <c r="U376" s="38">
        <f>IF($V375&lt;=0,0,MIN($V375,IF(Übersicht!$C$14="Annuitätendarlehen",MAX(0,Übersicht!$C$28-$T376),IF(Übersicht!$C$14="Ratendarlehen",Übersicht!$C$29,IF($A376&gt;=Übersicht!$C$30,$V375,0)))))</f>
        <v>0</v>
      </c>
      <c r="V376" s="38">
        <f>IF($V375&lt;=0,0,ROUND($V375-$U376-IF($V375-$U376&lt;=0,0,IF(MOD($A376,Übersicht!$C$25)=0,MIN(Szenarien!$C$9,$V375-$U376),0)),2))</f>
        <v>0</v>
      </c>
      <c r="W376" s="38">
        <f>IF($Y375&lt;=0,0,ROUND($Y375*Übersicht!$C$26,2))</f>
        <v>0</v>
      </c>
      <c r="X376" s="38">
        <f>IF($Y375&lt;=0,0,MIN($Y375,IF(Übersicht!$C$14="Annuitätendarlehen",MAX(0,Übersicht!$C$28-$W376),IF(Übersicht!$C$14="Ratendarlehen",Übersicht!$C$29,IF($A376&gt;=Übersicht!$C$30,$Y375,0)))))</f>
        <v>0</v>
      </c>
      <c r="Y376" s="38">
        <f>IF($Y375&lt;=0,0,ROUND($Y375-$X376-IF($Y375-$X376&lt;=0,0,IF(MOD($A376,Übersicht!$C$25)=0,MIN(Szenarien!$C$10,$Y375-$X376),0)),2))</f>
        <v>0</v>
      </c>
      <c r="Z376" s="38">
        <f>IF($AB375&lt;=0,0,ROUND($AB375*Übersicht!$C$26,2))</f>
        <v>0</v>
      </c>
      <c r="AA376" s="38">
        <f>IF($AB375&lt;=0,0,MIN($AB375,IF(Übersicht!$C$14="Annuitätendarlehen",MAX(0,Übersicht!$C$28-$Z376),IF(Übersicht!$C$14="Ratendarlehen",Übersicht!$C$29,IF($A376&gt;=Übersicht!$C$30,$AB375,0)))))</f>
        <v>0</v>
      </c>
      <c r="AB376" s="38">
        <f>IF($AB375&lt;=0,0,ROUND($AB375-$AA376-IF($AB375-$AA376&lt;=0,0,IF(MOD($A376,Übersicht!$C$25)=0,MIN(Szenarien!$C$11,$AB375-$AA376),0)),2))</f>
        <v>0</v>
      </c>
      <c r="AC376" s="38">
        <f>IF($AE375&lt;=0,0,ROUND($AE375*Übersicht!$C$26,2))</f>
        <v>0</v>
      </c>
      <c r="AD376" s="38">
        <f>IF($AE375&lt;=0,0,MIN($AE375,IF(Übersicht!$C$14="Annuitätendarlehen",MAX(0,Übersicht!$C$28-$AC376),IF(Übersicht!$C$14="Ratendarlehen",Übersicht!$C$29,IF($A376&gt;=Übersicht!$C$30,$AE375,0)))))</f>
        <v>0</v>
      </c>
      <c r="AE376" s="38">
        <f>IF($AE375&lt;=0,0,ROUND($AE375-$AD376-IF($AE375-$AD376&lt;=0,0,IF(MOD($A376,Übersicht!$C$25)=0,MIN(Szenarien!$C$12,$AE375-$AD376),0)),2))</f>
        <v>0</v>
      </c>
    </row>
    <row r="377" spans="1:31" ht="15" customHeight="1" x14ac:dyDescent="0.25">
      <c r="A377" s="26">
        <v>370</v>
      </c>
      <c r="B377" s="39" t="str">
        <f>IF($D377&lt;=0,"",EDATE(Übersicht!$C$18,($A377-1)*12/Übersicht!$C$25))</f>
        <v/>
      </c>
      <c r="C377" s="26" t="str">
        <f t="shared" si="35"/>
        <v/>
      </c>
      <c r="D377" s="40">
        <f t="shared" si="39"/>
        <v>0</v>
      </c>
      <c r="E377" s="28">
        <f t="shared" si="36"/>
        <v>0</v>
      </c>
      <c r="F377" s="28">
        <f>IF($D377&lt;=0,0,ROUND($D377*Übersicht!$C$26,2))</f>
        <v>0</v>
      </c>
      <c r="G377" s="28">
        <f>IF($D377&lt;=0,0,MIN($D377,IF(Übersicht!$C$14="Annuitätendarlehen",MAX(0,Übersicht!$C$28-$F377),IF(Übersicht!$C$14="Ratendarlehen",Übersicht!$C$29,IF($A377&gt;=Übersicht!$C$30,$D377,0)))))</f>
        <v>0</v>
      </c>
      <c r="H377" s="28">
        <f>IF($D377-$G377&lt;=0,0,IF(MOD($A377,Übersicht!$C$25)=0,MIN(Übersicht!$C$31,$D377-$G377),0))</f>
        <v>0</v>
      </c>
      <c r="I377" s="28">
        <f t="shared" si="37"/>
        <v>0</v>
      </c>
      <c r="J377" s="28">
        <f t="shared" si="38"/>
        <v>0</v>
      </c>
      <c r="K377" s="28">
        <f t="shared" si="40"/>
        <v>80072.129999999961</v>
      </c>
      <c r="L377" s="28">
        <f t="shared" si="41"/>
        <v>250000</v>
      </c>
      <c r="M377" s="29" t="str">
        <f>IF($D377&lt;=0,"",IF(Übersicht!$C$11=0,0,$L377/Übersicht!$C$11))</f>
        <v/>
      </c>
      <c r="N377" s="30" t="str">
        <f>IF($D377&lt;=0,"",IF($J377&lt;=0.005,"Volltilgung erreicht",IF($A377=Übersicht!$C$19*Übersicht!$C$25,"Ende der Zinsbindung",IF($H377&gt;0,"Sondertilgung verrechnet",""))))</f>
        <v/>
      </c>
      <c r="Q377" s="38">
        <f>IF($S376&lt;=0,0,ROUND($S376*Übersicht!$C$26,2))</f>
        <v>0</v>
      </c>
      <c r="R377" s="38">
        <f>IF($S376&lt;=0,0,MIN($S376,IF(Übersicht!$C$14="Annuitätendarlehen",MAX(0,Übersicht!$C$28-$Q377),IF(Übersicht!$C$14="Ratendarlehen",Übersicht!$C$29,IF($A377&gt;=Übersicht!$C$30,$S376,0)))))</f>
        <v>0</v>
      </c>
      <c r="S377" s="38">
        <f>IF($S376&lt;=0,0,ROUND($S376-$R377-IF($S376-$R377&lt;=0,0,IF(MOD($A377,Übersicht!$C$25)=0,MIN(Szenarien!$C$8,$S376-$R377),0)),2))</f>
        <v>0</v>
      </c>
      <c r="T377" s="38">
        <f>IF($V376&lt;=0,0,ROUND($V376*Übersicht!$C$26,2))</f>
        <v>0</v>
      </c>
      <c r="U377" s="38">
        <f>IF($V376&lt;=0,0,MIN($V376,IF(Übersicht!$C$14="Annuitätendarlehen",MAX(0,Übersicht!$C$28-$T377),IF(Übersicht!$C$14="Ratendarlehen",Übersicht!$C$29,IF($A377&gt;=Übersicht!$C$30,$V376,0)))))</f>
        <v>0</v>
      </c>
      <c r="V377" s="38">
        <f>IF($V376&lt;=0,0,ROUND($V376-$U377-IF($V376-$U377&lt;=0,0,IF(MOD($A377,Übersicht!$C$25)=0,MIN(Szenarien!$C$9,$V376-$U377),0)),2))</f>
        <v>0</v>
      </c>
      <c r="W377" s="38">
        <f>IF($Y376&lt;=0,0,ROUND($Y376*Übersicht!$C$26,2))</f>
        <v>0</v>
      </c>
      <c r="X377" s="38">
        <f>IF($Y376&lt;=0,0,MIN($Y376,IF(Übersicht!$C$14="Annuitätendarlehen",MAX(0,Übersicht!$C$28-$W377),IF(Übersicht!$C$14="Ratendarlehen",Übersicht!$C$29,IF($A377&gt;=Übersicht!$C$30,$Y376,0)))))</f>
        <v>0</v>
      </c>
      <c r="Y377" s="38">
        <f>IF($Y376&lt;=0,0,ROUND($Y376-$X377-IF($Y376-$X377&lt;=0,0,IF(MOD($A377,Übersicht!$C$25)=0,MIN(Szenarien!$C$10,$Y376-$X377),0)),2))</f>
        <v>0</v>
      </c>
      <c r="Z377" s="38">
        <f>IF($AB376&lt;=0,0,ROUND($AB376*Übersicht!$C$26,2))</f>
        <v>0</v>
      </c>
      <c r="AA377" s="38">
        <f>IF($AB376&lt;=0,0,MIN($AB376,IF(Übersicht!$C$14="Annuitätendarlehen",MAX(0,Übersicht!$C$28-$Z377),IF(Übersicht!$C$14="Ratendarlehen",Übersicht!$C$29,IF($A377&gt;=Übersicht!$C$30,$AB376,0)))))</f>
        <v>0</v>
      </c>
      <c r="AB377" s="38">
        <f>IF($AB376&lt;=0,0,ROUND($AB376-$AA377-IF($AB376-$AA377&lt;=0,0,IF(MOD($A377,Übersicht!$C$25)=0,MIN(Szenarien!$C$11,$AB376-$AA377),0)),2))</f>
        <v>0</v>
      </c>
      <c r="AC377" s="38">
        <f>IF($AE376&lt;=0,0,ROUND($AE376*Übersicht!$C$26,2))</f>
        <v>0</v>
      </c>
      <c r="AD377" s="38">
        <f>IF($AE376&lt;=0,0,MIN($AE376,IF(Übersicht!$C$14="Annuitätendarlehen",MAX(0,Übersicht!$C$28-$AC377),IF(Übersicht!$C$14="Ratendarlehen",Übersicht!$C$29,IF($A377&gt;=Übersicht!$C$30,$AE376,0)))))</f>
        <v>0</v>
      </c>
      <c r="AE377" s="38">
        <f>IF($AE376&lt;=0,0,ROUND($AE376-$AD377-IF($AE376-$AD377&lt;=0,0,IF(MOD($A377,Übersicht!$C$25)=0,MIN(Szenarien!$C$12,$AE376-$AD377),0)),2))</f>
        <v>0</v>
      </c>
    </row>
    <row r="378" spans="1:31" ht="15" customHeight="1" x14ac:dyDescent="0.25">
      <c r="A378" s="21">
        <v>371</v>
      </c>
      <c r="B378" s="36" t="str">
        <f>IF($D378&lt;=0,"",EDATE(Übersicht!$C$18,($A378-1)*12/Übersicht!$C$25))</f>
        <v/>
      </c>
      <c r="C378" s="21" t="str">
        <f t="shared" si="35"/>
        <v/>
      </c>
      <c r="D378" s="37">
        <f t="shared" si="39"/>
        <v>0</v>
      </c>
      <c r="E378" s="23">
        <f t="shared" si="36"/>
        <v>0</v>
      </c>
      <c r="F378" s="23">
        <f>IF($D378&lt;=0,0,ROUND($D378*Übersicht!$C$26,2))</f>
        <v>0</v>
      </c>
      <c r="G378" s="23">
        <f>IF($D378&lt;=0,0,MIN($D378,IF(Übersicht!$C$14="Annuitätendarlehen",MAX(0,Übersicht!$C$28-$F378),IF(Übersicht!$C$14="Ratendarlehen",Übersicht!$C$29,IF($A378&gt;=Übersicht!$C$30,$D378,0)))))</f>
        <v>0</v>
      </c>
      <c r="H378" s="23">
        <f>IF($D378-$G378&lt;=0,0,IF(MOD($A378,Übersicht!$C$25)=0,MIN(Übersicht!$C$31,$D378-$G378),0))</f>
        <v>0</v>
      </c>
      <c r="I378" s="23">
        <f t="shared" si="37"/>
        <v>0</v>
      </c>
      <c r="J378" s="23">
        <f t="shared" si="38"/>
        <v>0</v>
      </c>
      <c r="K378" s="23">
        <f t="shared" si="40"/>
        <v>80072.129999999961</v>
      </c>
      <c r="L378" s="23">
        <f t="shared" si="41"/>
        <v>250000</v>
      </c>
      <c r="M378" s="24" t="str">
        <f>IF($D378&lt;=0,"",IF(Übersicht!$C$11=0,0,$L378/Übersicht!$C$11))</f>
        <v/>
      </c>
      <c r="N378" s="25" t="str">
        <f>IF($D378&lt;=0,"",IF($J378&lt;=0.005,"Volltilgung erreicht",IF($A378=Übersicht!$C$19*Übersicht!$C$25,"Ende der Zinsbindung",IF($H378&gt;0,"Sondertilgung verrechnet",""))))</f>
        <v/>
      </c>
      <c r="Q378" s="38">
        <f>IF($S377&lt;=0,0,ROUND($S377*Übersicht!$C$26,2))</f>
        <v>0</v>
      </c>
      <c r="R378" s="38">
        <f>IF($S377&lt;=0,0,MIN($S377,IF(Übersicht!$C$14="Annuitätendarlehen",MAX(0,Übersicht!$C$28-$Q378),IF(Übersicht!$C$14="Ratendarlehen",Übersicht!$C$29,IF($A378&gt;=Übersicht!$C$30,$S377,0)))))</f>
        <v>0</v>
      </c>
      <c r="S378" s="38">
        <f>IF($S377&lt;=0,0,ROUND($S377-$R378-IF($S377-$R378&lt;=0,0,IF(MOD($A378,Übersicht!$C$25)=0,MIN(Szenarien!$C$8,$S377-$R378),0)),2))</f>
        <v>0</v>
      </c>
      <c r="T378" s="38">
        <f>IF($V377&lt;=0,0,ROUND($V377*Übersicht!$C$26,2))</f>
        <v>0</v>
      </c>
      <c r="U378" s="38">
        <f>IF($V377&lt;=0,0,MIN($V377,IF(Übersicht!$C$14="Annuitätendarlehen",MAX(0,Übersicht!$C$28-$T378),IF(Übersicht!$C$14="Ratendarlehen",Übersicht!$C$29,IF($A378&gt;=Übersicht!$C$30,$V377,0)))))</f>
        <v>0</v>
      </c>
      <c r="V378" s="38">
        <f>IF($V377&lt;=0,0,ROUND($V377-$U378-IF($V377-$U378&lt;=0,0,IF(MOD($A378,Übersicht!$C$25)=0,MIN(Szenarien!$C$9,$V377-$U378),0)),2))</f>
        <v>0</v>
      </c>
      <c r="W378" s="38">
        <f>IF($Y377&lt;=0,0,ROUND($Y377*Übersicht!$C$26,2))</f>
        <v>0</v>
      </c>
      <c r="X378" s="38">
        <f>IF($Y377&lt;=0,0,MIN($Y377,IF(Übersicht!$C$14="Annuitätendarlehen",MAX(0,Übersicht!$C$28-$W378),IF(Übersicht!$C$14="Ratendarlehen",Übersicht!$C$29,IF($A378&gt;=Übersicht!$C$30,$Y377,0)))))</f>
        <v>0</v>
      </c>
      <c r="Y378" s="38">
        <f>IF($Y377&lt;=0,0,ROUND($Y377-$X378-IF($Y377-$X378&lt;=0,0,IF(MOD($A378,Übersicht!$C$25)=0,MIN(Szenarien!$C$10,$Y377-$X378),0)),2))</f>
        <v>0</v>
      </c>
      <c r="Z378" s="38">
        <f>IF($AB377&lt;=0,0,ROUND($AB377*Übersicht!$C$26,2))</f>
        <v>0</v>
      </c>
      <c r="AA378" s="38">
        <f>IF($AB377&lt;=0,0,MIN($AB377,IF(Übersicht!$C$14="Annuitätendarlehen",MAX(0,Übersicht!$C$28-$Z378),IF(Übersicht!$C$14="Ratendarlehen",Übersicht!$C$29,IF($A378&gt;=Übersicht!$C$30,$AB377,0)))))</f>
        <v>0</v>
      </c>
      <c r="AB378" s="38">
        <f>IF($AB377&lt;=0,0,ROUND($AB377-$AA378-IF($AB377-$AA378&lt;=0,0,IF(MOD($A378,Übersicht!$C$25)=0,MIN(Szenarien!$C$11,$AB377-$AA378),0)),2))</f>
        <v>0</v>
      </c>
      <c r="AC378" s="38">
        <f>IF($AE377&lt;=0,0,ROUND($AE377*Übersicht!$C$26,2))</f>
        <v>0</v>
      </c>
      <c r="AD378" s="38">
        <f>IF($AE377&lt;=0,0,MIN($AE377,IF(Übersicht!$C$14="Annuitätendarlehen",MAX(0,Übersicht!$C$28-$AC378),IF(Übersicht!$C$14="Ratendarlehen",Übersicht!$C$29,IF($A378&gt;=Übersicht!$C$30,$AE377,0)))))</f>
        <v>0</v>
      </c>
      <c r="AE378" s="38">
        <f>IF($AE377&lt;=0,0,ROUND($AE377-$AD378-IF($AE377-$AD378&lt;=0,0,IF(MOD($A378,Übersicht!$C$25)=0,MIN(Szenarien!$C$12,$AE377-$AD378),0)),2))</f>
        <v>0</v>
      </c>
    </row>
    <row r="379" spans="1:31" ht="15" customHeight="1" x14ac:dyDescent="0.25">
      <c r="A379" s="26">
        <v>372</v>
      </c>
      <c r="B379" s="39" t="str">
        <f>IF($D379&lt;=0,"",EDATE(Übersicht!$C$18,($A379-1)*12/Übersicht!$C$25))</f>
        <v/>
      </c>
      <c r="C379" s="26" t="str">
        <f t="shared" si="35"/>
        <v/>
      </c>
      <c r="D379" s="40">
        <f t="shared" si="39"/>
        <v>0</v>
      </c>
      <c r="E379" s="28">
        <f t="shared" si="36"/>
        <v>0</v>
      </c>
      <c r="F379" s="28">
        <f>IF($D379&lt;=0,0,ROUND($D379*Übersicht!$C$26,2))</f>
        <v>0</v>
      </c>
      <c r="G379" s="28">
        <f>IF($D379&lt;=0,0,MIN($D379,IF(Übersicht!$C$14="Annuitätendarlehen",MAX(0,Übersicht!$C$28-$F379),IF(Übersicht!$C$14="Ratendarlehen",Übersicht!$C$29,IF($A379&gt;=Übersicht!$C$30,$D379,0)))))</f>
        <v>0</v>
      </c>
      <c r="H379" s="28">
        <f>IF($D379-$G379&lt;=0,0,IF(MOD($A379,Übersicht!$C$25)=0,MIN(Übersicht!$C$31,$D379-$G379),0))</f>
        <v>0</v>
      </c>
      <c r="I379" s="28">
        <f t="shared" si="37"/>
        <v>0</v>
      </c>
      <c r="J379" s="28">
        <f t="shared" si="38"/>
        <v>0</v>
      </c>
      <c r="K379" s="28">
        <f t="shared" si="40"/>
        <v>80072.129999999961</v>
      </c>
      <c r="L379" s="28">
        <f t="shared" si="41"/>
        <v>250000</v>
      </c>
      <c r="M379" s="29" t="str">
        <f>IF($D379&lt;=0,"",IF(Übersicht!$C$11=0,0,$L379/Übersicht!$C$11))</f>
        <v/>
      </c>
      <c r="N379" s="30" t="str">
        <f>IF($D379&lt;=0,"",IF($J379&lt;=0.005,"Volltilgung erreicht",IF($A379=Übersicht!$C$19*Übersicht!$C$25,"Ende der Zinsbindung",IF($H379&gt;0,"Sondertilgung verrechnet",""))))</f>
        <v/>
      </c>
      <c r="Q379" s="38">
        <f>IF($S378&lt;=0,0,ROUND($S378*Übersicht!$C$26,2))</f>
        <v>0</v>
      </c>
      <c r="R379" s="38">
        <f>IF($S378&lt;=0,0,MIN($S378,IF(Übersicht!$C$14="Annuitätendarlehen",MAX(0,Übersicht!$C$28-$Q379),IF(Übersicht!$C$14="Ratendarlehen",Übersicht!$C$29,IF($A379&gt;=Übersicht!$C$30,$S378,0)))))</f>
        <v>0</v>
      </c>
      <c r="S379" s="38">
        <f>IF($S378&lt;=0,0,ROUND($S378-$R379-IF($S378-$R379&lt;=0,0,IF(MOD($A379,Übersicht!$C$25)=0,MIN(Szenarien!$C$8,$S378-$R379),0)),2))</f>
        <v>0</v>
      </c>
      <c r="T379" s="38">
        <f>IF($V378&lt;=0,0,ROUND($V378*Übersicht!$C$26,2))</f>
        <v>0</v>
      </c>
      <c r="U379" s="38">
        <f>IF($V378&lt;=0,0,MIN($V378,IF(Übersicht!$C$14="Annuitätendarlehen",MAX(0,Übersicht!$C$28-$T379),IF(Übersicht!$C$14="Ratendarlehen",Übersicht!$C$29,IF($A379&gt;=Übersicht!$C$30,$V378,0)))))</f>
        <v>0</v>
      </c>
      <c r="V379" s="38">
        <f>IF($V378&lt;=0,0,ROUND($V378-$U379-IF($V378-$U379&lt;=0,0,IF(MOD($A379,Übersicht!$C$25)=0,MIN(Szenarien!$C$9,$V378-$U379),0)),2))</f>
        <v>0</v>
      </c>
      <c r="W379" s="38">
        <f>IF($Y378&lt;=0,0,ROUND($Y378*Übersicht!$C$26,2))</f>
        <v>0</v>
      </c>
      <c r="X379" s="38">
        <f>IF($Y378&lt;=0,0,MIN($Y378,IF(Übersicht!$C$14="Annuitätendarlehen",MAX(0,Übersicht!$C$28-$W379),IF(Übersicht!$C$14="Ratendarlehen",Übersicht!$C$29,IF($A379&gt;=Übersicht!$C$30,$Y378,0)))))</f>
        <v>0</v>
      </c>
      <c r="Y379" s="38">
        <f>IF($Y378&lt;=0,0,ROUND($Y378-$X379-IF($Y378-$X379&lt;=0,0,IF(MOD($A379,Übersicht!$C$25)=0,MIN(Szenarien!$C$10,$Y378-$X379),0)),2))</f>
        <v>0</v>
      </c>
      <c r="Z379" s="38">
        <f>IF($AB378&lt;=0,0,ROUND($AB378*Übersicht!$C$26,2))</f>
        <v>0</v>
      </c>
      <c r="AA379" s="38">
        <f>IF($AB378&lt;=0,0,MIN($AB378,IF(Übersicht!$C$14="Annuitätendarlehen",MAX(0,Übersicht!$C$28-$Z379),IF(Übersicht!$C$14="Ratendarlehen",Übersicht!$C$29,IF($A379&gt;=Übersicht!$C$30,$AB378,0)))))</f>
        <v>0</v>
      </c>
      <c r="AB379" s="38">
        <f>IF($AB378&lt;=0,0,ROUND($AB378-$AA379-IF($AB378-$AA379&lt;=0,0,IF(MOD($A379,Übersicht!$C$25)=0,MIN(Szenarien!$C$11,$AB378-$AA379),0)),2))</f>
        <v>0</v>
      </c>
      <c r="AC379" s="38">
        <f>IF($AE378&lt;=0,0,ROUND($AE378*Übersicht!$C$26,2))</f>
        <v>0</v>
      </c>
      <c r="AD379" s="38">
        <f>IF($AE378&lt;=0,0,MIN($AE378,IF(Übersicht!$C$14="Annuitätendarlehen",MAX(0,Übersicht!$C$28-$AC379),IF(Übersicht!$C$14="Ratendarlehen",Übersicht!$C$29,IF($A379&gt;=Übersicht!$C$30,$AE378,0)))))</f>
        <v>0</v>
      </c>
      <c r="AE379" s="38">
        <f>IF($AE378&lt;=0,0,ROUND($AE378-$AD379-IF($AE378-$AD379&lt;=0,0,IF(MOD($A379,Übersicht!$C$25)=0,MIN(Szenarien!$C$12,$AE378-$AD379),0)),2))</f>
        <v>0</v>
      </c>
    </row>
    <row r="380" spans="1:31" ht="15" customHeight="1" x14ac:dyDescent="0.25">
      <c r="A380" s="21">
        <v>373</v>
      </c>
      <c r="B380" s="36" t="str">
        <f>IF($D380&lt;=0,"",EDATE(Übersicht!$C$18,($A380-1)*12/Übersicht!$C$25))</f>
        <v/>
      </c>
      <c r="C380" s="21" t="str">
        <f t="shared" si="35"/>
        <v/>
      </c>
      <c r="D380" s="37">
        <f t="shared" si="39"/>
        <v>0</v>
      </c>
      <c r="E380" s="23">
        <f t="shared" si="36"/>
        <v>0</v>
      </c>
      <c r="F380" s="23">
        <f>IF($D380&lt;=0,0,ROUND($D380*Übersicht!$C$26,2))</f>
        <v>0</v>
      </c>
      <c r="G380" s="23">
        <f>IF($D380&lt;=0,0,MIN($D380,IF(Übersicht!$C$14="Annuitätendarlehen",MAX(0,Übersicht!$C$28-$F380),IF(Übersicht!$C$14="Ratendarlehen",Übersicht!$C$29,IF($A380&gt;=Übersicht!$C$30,$D380,0)))))</f>
        <v>0</v>
      </c>
      <c r="H380" s="23">
        <f>IF($D380-$G380&lt;=0,0,IF(MOD($A380,Übersicht!$C$25)=0,MIN(Übersicht!$C$31,$D380-$G380),0))</f>
        <v>0</v>
      </c>
      <c r="I380" s="23">
        <f t="shared" si="37"/>
        <v>0</v>
      </c>
      <c r="J380" s="23">
        <f t="shared" si="38"/>
        <v>0</v>
      </c>
      <c r="K380" s="23">
        <f t="shared" si="40"/>
        <v>80072.129999999961</v>
      </c>
      <c r="L380" s="23">
        <f t="shared" si="41"/>
        <v>250000</v>
      </c>
      <c r="M380" s="24" t="str">
        <f>IF($D380&lt;=0,"",IF(Übersicht!$C$11=0,0,$L380/Übersicht!$C$11))</f>
        <v/>
      </c>
      <c r="N380" s="25" t="str">
        <f>IF($D380&lt;=0,"",IF($J380&lt;=0.005,"Volltilgung erreicht",IF($A380=Übersicht!$C$19*Übersicht!$C$25,"Ende der Zinsbindung",IF($H380&gt;0,"Sondertilgung verrechnet",""))))</f>
        <v/>
      </c>
      <c r="Q380" s="38">
        <f>IF($S379&lt;=0,0,ROUND($S379*Übersicht!$C$26,2))</f>
        <v>0</v>
      </c>
      <c r="R380" s="38">
        <f>IF($S379&lt;=0,0,MIN($S379,IF(Übersicht!$C$14="Annuitätendarlehen",MAX(0,Übersicht!$C$28-$Q380),IF(Übersicht!$C$14="Ratendarlehen",Übersicht!$C$29,IF($A380&gt;=Übersicht!$C$30,$S379,0)))))</f>
        <v>0</v>
      </c>
      <c r="S380" s="38">
        <f>IF($S379&lt;=0,0,ROUND($S379-$R380-IF($S379-$R380&lt;=0,0,IF(MOD($A380,Übersicht!$C$25)=0,MIN(Szenarien!$C$8,$S379-$R380),0)),2))</f>
        <v>0</v>
      </c>
      <c r="T380" s="38">
        <f>IF($V379&lt;=0,0,ROUND($V379*Übersicht!$C$26,2))</f>
        <v>0</v>
      </c>
      <c r="U380" s="38">
        <f>IF($V379&lt;=0,0,MIN($V379,IF(Übersicht!$C$14="Annuitätendarlehen",MAX(0,Übersicht!$C$28-$T380),IF(Übersicht!$C$14="Ratendarlehen",Übersicht!$C$29,IF($A380&gt;=Übersicht!$C$30,$V379,0)))))</f>
        <v>0</v>
      </c>
      <c r="V380" s="38">
        <f>IF($V379&lt;=0,0,ROUND($V379-$U380-IF($V379-$U380&lt;=0,0,IF(MOD($A380,Übersicht!$C$25)=0,MIN(Szenarien!$C$9,$V379-$U380),0)),2))</f>
        <v>0</v>
      </c>
      <c r="W380" s="38">
        <f>IF($Y379&lt;=0,0,ROUND($Y379*Übersicht!$C$26,2))</f>
        <v>0</v>
      </c>
      <c r="X380" s="38">
        <f>IF($Y379&lt;=0,0,MIN($Y379,IF(Übersicht!$C$14="Annuitätendarlehen",MAX(0,Übersicht!$C$28-$W380),IF(Übersicht!$C$14="Ratendarlehen",Übersicht!$C$29,IF($A380&gt;=Übersicht!$C$30,$Y379,0)))))</f>
        <v>0</v>
      </c>
      <c r="Y380" s="38">
        <f>IF($Y379&lt;=0,0,ROUND($Y379-$X380-IF($Y379-$X380&lt;=0,0,IF(MOD($A380,Übersicht!$C$25)=0,MIN(Szenarien!$C$10,$Y379-$X380),0)),2))</f>
        <v>0</v>
      </c>
      <c r="Z380" s="38">
        <f>IF($AB379&lt;=0,0,ROUND($AB379*Übersicht!$C$26,2))</f>
        <v>0</v>
      </c>
      <c r="AA380" s="38">
        <f>IF($AB379&lt;=0,0,MIN($AB379,IF(Übersicht!$C$14="Annuitätendarlehen",MAX(0,Übersicht!$C$28-$Z380),IF(Übersicht!$C$14="Ratendarlehen",Übersicht!$C$29,IF($A380&gt;=Übersicht!$C$30,$AB379,0)))))</f>
        <v>0</v>
      </c>
      <c r="AB380" s="38">
        <f>IF($AB379&lt;=0,0,ROUND($AB379-$AA380-IF($AB379-$AA380&lt;=0,0,IF(MOD($A380,Übersicht!$C$25)=0,MIN(Szenarien!$C$11,$AB379-$AA380),0)),2))</f>
        <v>0</v>
      </c>
      <c r="AC380" s="38">
        <f>IF($AE379&lt;=0,0,ROUND($AE379*Übersicht!$C$26,2))</f>
        <v>0</v>
      </c>
      <c r="AD380" s="38">
        <f>IF($AE379&lt;=0,0,MIN($AE379,IF(Übersicht!$C$14="Annuitätendarlehen",MAX(0,Übersicht!$C$28-$AC380),IF(Übersicht!$C$14="Ratendarlehen",Übersicht!$C$29,IF($A380&gt;=Übersicht!$C$30,$AE379,0)))))</f>
        <v>0</v>
      </c>
      <c r="AE380" s="38">
        <f>IF($AE379&lt;=0,0,ROUND($AE379-$AD380-IF($AE379-$AD380&lt;=0,0,IF(MOD($A380,Übersicht!$C$25)=0,MIN(Szenarien!$C$12,$AE379-$AD380),0)),2))</f>
        <v>0</v>
      </c>
    </row>
    <row r="381" spans="1:31" ht="15" customHeight="1" x14ac:dyDescent="0.25">
      <c r="A381" s="26">
        <v>374</v>
      </c>
      <c r="B381" s="39" t="str">
        <f>IF($D381&lt;=0,"",EDATE(Übersicht!$C$18,($A381-1)*12/Übersicht!$C$25))</f>
        <v/>
      </c>
      <c r="C381" s="26" t="str">
        <f t="shared" si="35"/>
        <v/>
      </c>
      <c r="D381" s="40">
        <f t="shared" si="39"/>
        <v>0</v>
      </c>
      <c r="E381" s="28">
        <f t="shared" si="36"/>
        <v>0</v>
      </c>
      <c r="F381" s="28">
        <f>IF($D381&lt;=0,0,ROUND($D381*Übersicht!$C$26,2))</f>
        <v>0</v>
      </c>
      <c r="G381" s="28">
        <f>IF($D381&lt;=0,0,MIN($D381,IF(Übersicht!$C$14="Annuitätendarlehen",MAX(0,Übersicht!$C$28-$F381),IF(Übersicht!$C$14="Ratendarlehen",Übersicht!$C$29,IF($A381&gt;=Übersicht!$C$30,$D381,0)))))</f>
        <v>0</v>
      </c>
      <c r="H381" s="28">
        <f>IF($D381-$G381&lt;=0,0,IF(MOD($A381,Übersicht!$C$25)=0,MIN(Übersicht!$C$31,$D381-$G381),0))</f>
        <v>0</v>
      </c>
      <c r="I381" s="28">
        <f t="shared" si="37"/>
        <v>0</v>
      </c>
      <c r="J381" s="28">
        <f t="shared" si="38"/>
        <v>0</v>
      </c>
      <c r="K381" s="28">
        <f t="shared" si="40"/>
        <v>80072.129999999961</v>
      </c>
      <c r="L381" s="28">
        <f t="shared" si="41"/>
        <v>250000</v>
      </c>
      <c r="M381" s="29" t="str">
        <f>IF($D381&lt;=0,"",IF(Übersicht!$C$11=0,0,$L381/Übersicht!$C$11))</f>
        <v/>
      </c>
      <c r="N381" s="30" t="str">
        <f>IF($D381&lt;=0,"",IF($J381&lt;=0.005,"Volltilgung erreicht",IF($A381=Übersicht!$C$19*Übersicht!$C$25,"Ende der Zinsbindung",IF($H381&gt;0,"Sondertilgung verrechnet",""))))</f>
        <v/>
      </c>
      <c r="Q381" s="38">
        <f>IF($S380&lt;=0,0,ROUND($S380*Übersicht!$C$26,2))</f>
        <v>0</v>
      </c>
      <c r="R381" s="38">
        <f>IF($S380&lt;=0,0,MIN($S380,IF(Übersicht!$C$14="Annuitätendarlehen",MAX(0,Übersicht!$C$28-$Q381),IF(Übersicht!$C$14="Ratendarlehen",Übersicht!$C$29,IF($A381&gt;=Übersicht!$C$30,$S380,0)))))</f>
        <v>0</v>
      </c>
      <c r="S381" s="38">
        <f>IF($S380&lt;=0,0,ROUND($S380-$R381-IF($S380-$R381&lt;=0,0,IF(MOD($A381,Übersicht!$C$25)=0,MIN(Szenarien!$C$8,$S380-$R381),0)),2))</f>
        <v>0</v>
      </c>
      <c r="T381" s="38">
        <f>IF($V380&lt;=0,0,ROUND($V380*Übersicht!$C$26,2))</f>
        <v>0</v>
      </c>
      <c r="U381" s="38">
        <f>IF($V380&lt;=0,0,MIN($V380,IF(Übersicht!$C$14="Annuitätendarlehen",MAX(0,Übersicht!$C$28-$T381),IF(Übersicht!$C$14="Ratendarlehen",Übersicht!$C$29,IF($A381&gt;=Übersicht!$C$30,$V380,0)))))</f>
        <v>0</v>
      </c>
      <c r="V381" s="38">
        <f>IF($V380&lt;=0,0,ROUND($V380-$U381-IF($V380-$U381&lt;=0,0,IF(MOD($A381,Übersicht!$C$25)=0,MIN(Szenarien!$C$9,$V380-$U381),0)),2))</f>
        <v>0</v>
      </c>
      <c r="W381" s="38">
        <f>IF($Y380&lt;=0,0,ROUND($Y380*Übersicht!$C$26,2))</f>
        <v>0</v>
      </c>
      <c r="X381" s="38">
        <f>IF($Y380&lt;=0,0,MIN($Y380,IF(Übersicht!$C$14="Annuitätendarlehen",MAX(0,Übersicht!$C$28-$W381),IF(Übersicht!$C$14="Ratendarlehen",Übersicht!$C$29,IF($A381&gt;=Übersicht!$C$30,$Y380,0)))))</f>
        <v>0</v>
      </c>
      <c r="Y381" s="38">
        <f>IF($Y380&lt;=0,0,ROUND($Y380-$X381-IF($Y380-$X381&lt;=0,0,IF(MOD($A381,Übersicht!$C$25)=0,MIN(Szenarien!$C$10,$Y380-$X381),0)),2))</f>
        <v>0</v>
      </c>
      <c r="Z381" s="38">
        <f>IF($AB380&lt;=0,0,ROUND($AB380*Übersicht!$C$26,2))</f>
        <v>0</v>
      </c>
      <c r="AA381" s="38">
        <f>IF($AB380&lt;=0,0,MIN($AB380,IF(Übersicht!$C$14="Annuitätendarlehen",MAX(0,Übersicht!$C$28-$Z381),IF(Übersicht!$C$14="Ratendarlehen",Übersicht!$C$29,IF($A381&gt;=Übersicht!$C$30,$AB380,0)))))</f>
        <v>0</v>
      </c>
      <c r="AB381" s="38">
        <f>IF($AB380&lt;=0,0,ROUND($AB380-$AA381-IF($AB380-$AA381&lt;=0,0,IF(MOD($A381,Übersicht!$C$25)=0,MIN(Szenarien!$C$11,$AB380-$AA381),0)),2))</f>
        <v>0</v>
      </c>
      <c r="AC381" s="38">
        <f>IF($AE380&lt;=0,0,ROUND($AE380*Übersicht!$C$26,2))</f>
        <v>0</v>
      </c>
      <c r="AD381" s="38">
        <f>IF($AE380&lt;=0,0,MIN($AE380,IF(Übersicht!$C$14="Annuitätendarlehen",MAX(0,Übersicht!$C$28-$AC381),IF(Übersicht!$C$14="Ratendarlehen",Übersicht!$C$29,IF($A381&gt;=Übersicht!$C$30,$AE380,0)))))</f>
        <v>0</v>
      </c>
      <c r="AE381" s="38">
        <f>IF($AE380&lt;=0,0,ROUND($AE380-$AD381-IF($AE380-$AD381&lt;=0,0,IF(MOD($A381,Übersicht!$C$25)=0,MIN(Szenarien!$C$12,$AE380-$AD381),0)),2))</f>
        <v>0</v>
      </c>
    </row>
    <row r="382" spans="1:31" ht="15" customHeight="1" x14ac:dyDescent="0.25">
      <c r="A382" s="21">
        <v>375</v>
      </c>
      <c r="B382" s="36" t="str">
        <f>IF($D382&lt;=0,"",EDATE(Übersicht!$C$18,($A382-1)*12/Übersicht!$C$25))</f>
        <v/>
      </c>
      <c r="C382" s="21" t="str">
        <f t="shared" si="35"/>
        <v/>
      </c>
      <c r="D382" s="37">
        <f t="shared" si="39"/>
        <v>0</v>
      </c>
      <c r="E382" s="23">
        <f t="shared" si="36"/>
        <v>0</v>
      </c>
      <c r="F382" s="23">
        <f>IF($D382&lt;=0,0,ROUND($D382*Übersicht!$C$26,2))</f>
        <v>0</v>
      </c>
      <c r="G382" s="23">
        <f>IF($D382&lt;=0,0,MIN($D382,IF(Übersicht!$C$14="Annuitätendarlehen",MAX(0,Übersicht!$C$28-$F382),IF(Übersicht!$C$14="Ratendarlehen",Übersicht!$C$29,IF($A382&gt;=Übersicht!$C$30,$D382,0)))))</f>
        <v>0</v>
      </c>
      <c r="H382" s="23">
        <f>IF($D382-$G382&lt;=0,0,IF(MOD($A382,Übersicht!$C$25)=0,MIN(Übersicht!$C$31,$D382-$G382),0))</f>
        <v>0</v>
      </c>
      <c r="I382" s="23">
        <f t="shared" si="37"/>
        <v>0</v>
      </c>
      <c r="J382" s="23">
        <f t="shared" si="38"/>
        <v>0</v>
      </c>
      <c r="K382" s="23">
        <f t="shared" si="40"/>
        <v>80072.129999999961</v>
      </c>
      <c r="L382" s="23">
        <f t="shared" si="41"/>
        <v>250000</v>
      </c>
      <c r="M382" s="24" t="str">
        <f>IF($D382&lt;=0,"",IF(Übersicht!$C$11=0,0,$L382/Übersicht!$C$11))</f>
        <v/>
      </c>
      <c r="N382" s="25" t="str">
        <f>IF($D382&lt;=0,"",IF($J382&lt;=0.005,"Volltilgung erreicht",IF($A382=Übersicht!$C$19*Übersicht!$C$25,"Ende der Zinsbindung",IF($H382&gt;0,"Sondertilgung verrechnet",""))))</f>
        <v/>
      </c>
      <c r="Q382" s="38">
        <f>IF($S381&lt;=0,0,ROUND($S381*Übersicht!$C$26,2))</f>
        <v>0</v>
      </c>
      <c r="R382" s="38">
        <f>IF($S381&lt;=0,0,MIN($S381,IF(Übersicht!$C$14="Annuitätendarlehen",MAX(0,Übersicht!$C$28-$Q382),IF(Übersicht!$C$14="Ratendarlehen",Übersicht!$C$29,IF($A382&gt;=Übersicht!$C$30,$S381,0)))))</f>
        <v>0</v>
      </c>
      <c r="S382" s="38">
        <f>IF($S381&lt;=0,0,ROUND($S381-$R382-IF($S381-$R382&lt;=0,0,IF(MOD($A382,Übersicht!$C$25)=0,MIN(Szenarien!$C$8,$S381-$R382),0)),2))</f>
        <v>0</v>
      </c>
      <c r="T382" s="38">
        <f>IF($V381&lt;=0,0,ROUND($V381*Übersicht!$C$26,2))</f>
        <v>0</v>
      </c>
      <c r="U382" s="38">
        <f>IF($V381&lt;=0,0,MIN($V381,IF(Übersicht!$C$14="Annuitätendarlehen",MAX(0,Übersicht!$C$28-$T382),IF(Übersicht!$C$14="Ratendarlehen",Übersicht!$C$29,IF($A382&gt;=Übersicht!$C$30,$V381,0)))))</f>
        <v>0</v>
      </c>
      <c r="V382" s="38">
        <f>IF($V381&lt;=0,0,ROUND($V381-$U382-IF($V381-$U382&lt;=0,0,IF(MOD($A382,Übersicht!$C$25)=0,MIN(Szenarien!$C$9,$V381-$U382),0)),2))</f>
        <v>0</v>
      </c>
      <c r="W382" s="38">
        <f>IF($Y381&lt;=0,0,ROUND($Y381*Übersicht!$C$26,2))</f>
        <v>0</v>
      </c>
      <c r="X382" s="38">
        <f>IF($Y381&lt;=0,0,MIN($Y381,IF(Übersicht!$C$14="Annuitätendarlehen",MAX(0,Übersicht!$C$28-$W382),IF(Übersicht!$C$14="Ratendarlehen",Übersicht!$C$29,IF($A382&gt;=Übersicht!$C$30,$Y381,0)))))</f>
        <v>0</v>
      </c>
      <c r="Y382" s="38">
        <f>IF($Y381&lt;=0,0,ROUND($Y381-$X382-IF($Y381-$X382&lt;=0,0,IF(MOD($A382,Übersicht!$C$25)=0,MIN(Szenarien!$C$10,$Y381-$X382),0)),2))</f>
        <v>0</v>
      </c>
      <c r="Z382" s="38">
        <f>IF($AB381&lt;=0,0,ROUND($AB381*Übersicht!$C$26,2))</f>
        <v>0</v>
      </c>
      <c r="AA382" s="38">
        <f>IF($AB381&lt;=0,0,MIN($AB381,IF(Übersicht!$C$14="Annuitätendarlehen",MAX(0,Übersicht!$C$28-$Z382),IF(Übersicht!$C$14="Ratendarlehen",Übersicht!$C$29,IF($A382&gt;=Übersicht!$C$30,$AB381,0)))))</f>
        <v>0</v>
      </c>
      <c r="AB382" s="38">
        <f>IF($AB381&lt;=0,0,ROUND($AB381-$AA382-IF($AB381-$AA382&lt;=0,0,IF(MOD($A382,Übersicht!$C$25)=0,MIN(Szenarien!$C$11,$AB381-$AA382),0)),2))</f>
        <v>0</v>
      </c>
      <c r="AC382" s="38">
        <f>IF($AE381&lt;=0,0,ROUND($AE381*Übersicht!$C$26,2))</f>
        <v>0</v>
      </c>
      <c r="AD382" s="38">
        <f>IF($AE381&lt;=0,0,MIN($AE381,IF(Übersicht!$C$14="Annuitätendarlehen",MAX(0,Übersicht!$C$28-$AC382),IF(Übersicht!$C$14="Ratendarlehen",Übersicht!$C$29,IF($A382&gt;=Übersicht!$C$30,$AE381,0)))))</f>
        <v>0</v>
      </c>
      <c r="AE382" s="38">
        <f>IF($AE381&lt;=0,0,ROUND($AE381-$AD382-IF($AE381-$AD382&lt;=0,0,IF(MOD($A382,Übersicht!$C$25)=0,MIN(Szenarien!$C$12,$AE381-$AD382),0)),2))</f>
        <v>0</v>
      </c>
    </row>
    <row r="383" spans="1:31" ht="15" customHeight="1" x14ac:dyDescent="0.25">
      <c r="A383" s="26">
        <v>376</v>
      </c>
      <c r="B383" s="39" t="str">
        <f>IF($D383&lt;=0,"",EDATE(Übersicht!$C$18,($A383-1)*12/Übersicht!$C$25))</f>
        <v/>
      </c>
      <c r="C383" s="26" t="str">
        <f t="shared" si="35"/>
        <v/>
      </c>
      <c r="D383" s="40">
        <f t="shared" si="39"/>
        <v>0</v>
      </c>
      <c r="E383" s="28">
        <f t="shared" si="36"/>
        <v>0</v>
      </c>
      <c r="F383" s="28">
        <f>IF($D383&lt;=0,0,ROUND($D383*Übersicht!$C$26,2))</f>
        <v>0</v>
      </c>
      <c r="G383" s="28">
        <f>IF($D383&lt;=0,0,MIN($D383,IF(Übersicht!$C$14="Annuitätendarlehen",MAX(0,Übersicht!$C$28-$F383),IF(Übersicht!$C$14="Ratendarlehen",Übersicht!$C$29,IF($A383&gt;=Übersicht!$C$30,$D383,0)))))</f>
        <v>0</v>
      </c>
      <c r="H383" s="28">
        <f>IF($D383-$G383&lt;=0,0,IF(MOD($A383,Übersicht!$C$25)=0,MIN(Übersicht!$C$31,$D383-$G383),0))</f>
        <v>0</v>
      </c>
      <c r="I383" s="28">
        <f t="shared" si="37"/>
        <v>0</v>
      </c>
      <c r="J383" s="28">
        <f t="shared" si="38"/>
        <v>0</v>
      </c>
      <c r="K383" s="28">
        <f t="shared" si="40"/>
        <v>80072.129999999961</v>
      </c>
      <c r="L383" s="28">
        <f t="shared" si="41"/>
        <v>250000</v>
      </c>
      <c r="M383" s="29" t="str">
        <f>IF($D383&lt;=0,"",IF(Übersicht!$C$11=0,0,$L383/Übersicht!$C$11))</f>
        <v/>
      </c>
      <c r="N383" s="30" t="str">
        <f>IF($D383&lt;=0,"",IF($J383&lt;=0.005,"Volltilgung erreicht",IF($A383=Übersicht!$C$19*Übersicht!$C$25,"Ende der Zinsbindung",IF($H383&gt;0,"Sondertilgung verrechnet",""))))</f>
        <v/>
      </c>
      <c r="Q383" s="38">
        <f>IF($S382&lt;=0,0,ROUND($S382*Übersicht!$C$26,2))</f>
        <v>0</v>
      </c>
      <c r="R383" s="38">
        <f>IF($S382&lt;=0,0,MIN($S382,IF(Übersicht!$C$14="Annuitätendarlehen",MAX(0,Übersicht!$C$28-$Q383),IF(Übersicht!$C$14="Ratendarlehen",Übersicht!$C$29,IF($A383&gt;=Übersicht!$C$30,$S382,0)))))</f>
        <v>0</v>
      </c>
      <c r="S383" s="38">
        <f>IF($S382&lt;=0,0,ROUND($S382-$R383-IF($S382-$R383&lt;=0,0,IF(MOD($A383,Übersicht!$C$25)=0,MIN(Szenarien!$C$8,$S382-$R383),0)),2))</f>
        <v>0</v>
      </c>
      <c r="T383" s="38">
        <f>IF($V382&lt;=0,0,ROUND($V382*Übersicht!$C$26,2))</f>
        <v>0</v>
      </c>
      <c r="U383" s="38">
        <f>IF($V382&lt;=0,0,MIN($V382,IF(Übersicht!$C$14="Annuitätendarlehen",MAX(0,Übersicht!$C$28-$T383),IF(Übersicht!$C$14="Ratendarlehen",Übersicht!$C$29,IF($A383&gt;=Übersicht!$C$30,$V382,0)))))</f>
        <v>0</v>
      </c>
      <c r="V383" s="38">
        <f>IF($V382&lt;=0,0,ROUND($V382-$U383-IF($V382-$U383&lt;=0,0,IF(MOD($A383,Übersicht!$C$25)=0,MIN(Szenarien!$C$9,$V382-$U383),0)),2))</f>
        <v>0</v>
      </c>
      <c r="W383" s="38">
        <f>IF($Y382&lt;=0,0,ROUND($Y382*Übersicht!$C$26,2))</f>
        <v>0</v>
      </c>
      <c r="X383" s="38">
        <f>IF($Y382&lt;=0,0,MIN($Y382,IF(Übersicht!$C$14="Annuitätendarlehen",MAX(0,Übersicht!$C$28-$W383),IF(Übersicht!$C$14="Ratendarlehen",Übersicht!$C$29,IF($A383&gt;=Übersicht!$C$30,$Y382,0)))))</f>
        <v>0</v>
      </c>
      <c r="Y383" s="38">
        <f>IF($Y382&lt;=0,0,ROUND($Y382-$X383-IF($Y382-$X383&lt;=0,0,IF(MOD($A383,Übersicht!$C$25)=0,MIN(Szenarien!$C$10,$Y382-$X383),0)),2))</f>
        <v>0</v>
      </c>
      <c r="Z383" s="38">
        <f>IF($AB382&lt;=0,0,ROUND($AB382*Übersicht!$C$26,2))</f>
        <v>0</v>
      </c>
      <c r="AA383" s="38">
        <f>IF($AB382&lt;=0,0,MIN($AB382,IF(Übersicht!$C$14="Annuitätendarlehen",MAX(0,Übersicht!$C$28-$Z383),IF(Übersicht!$C$14="Ratendarlehen",Übersicht!$C$29,IF($A383&gt;=Übersicht!$C$30,$AB382,0)))))</f>
        <v>0</v>
      </c>
      <c r="AB383" s="38">
        <f>IF($AB382&lt;=0,0,ROUND($AB382-$AA383-IF($AB382-$AA383&lt;=0,0,IF(MOD($A383,Übersicht!$C$25)=0,MIN(Szenarien!$C$11,$AB382-$AA383),0)),2))</f>
        <v>0</v>
      </c>
      <c r="AC383" s="38">
        <f>IF($AE382&lt;=0,0,ROUND($AE382*Übersicht!$C$26,2))</f>
        <v>0</v>
      </c>
      <c r="AD383" s="38">
        <f>IF($AE382&lt;=0,0,MIN($AE382,IF(Übersicht!$C$14="Annuitätendarlehen",MAX(0,Übersicht!$C$28-$AC383),IF(Übersicht!$C$14="Ratendarlehen",Übersicht!$C$29,IF($A383&gt;=Übersicht!$C$30,$AE382,0)))))</f>
        <v>0</v>
      </c>
      <c r="AE383" s="38">
        <f>IF($AE382&lt;=0,0,ROUND($AE382-$AD383-IF($AE382-$AD383&lt;=0,0,IF(MOD($A383,Übersicht!$C$25)=0,MIN(Szenarien!$C$12,$AE382-$AD383),0)),2))</f>
        <v>0</v>
      </c>
    </row>
    <row r="384" spans="1:31" ht="15" customHeight="1" x14ac:dyDescent="0.25">
      <c r="A384" s="21">
        <v>377</v>
      </c>
      <c r="B384" s="36" t="str">
        <f>IF($D384&lt;=0,"",EDATE(Übersicht!$C$18,($A384-1)*12/Übersicht!$C$25))</f>
        <v/>
      </c>
      <c r="C384" s="21" t="str">
        <f t="shared" si="35"/>
        <v/>
      </c>
      <c r="D384" s="37">
        <f t="shared" si="39"/>
        <v>0</v>
      </c>
      <c r="E384" s="23">
        <f t="shared" si="36"/>
        <v>0</v>
      </c>
      <c r="F384" s="23">
        <f>IF($D384&lt;=0,0,ROUND($D384*Übersicht!$C$26,2))</f>
        <v>0</v>
      </c>
      <c r="G384" s="23">
        <f>IF($D384&lt;=0,0,MIN($D384,IF(Übersicht!$C$14="Annuitätendarlehen",MAX(0,Übersicht!$C$28-$F384),IF(Übersicht!$C$14="Ratendarlehen",Übersicht!$C$29,IF($A384&gt;=Übersicht!$C$30,$D384,0)))))</f>
        <v>0</v>
      </c>
      <c r="H384" s="23">
        <f>IF($D384-$G384&lt;=0,0,IF(MOD($A384,Übersicht!$C$25)=0,MIN(Übersicht!$C$31,$D384-$G384),0))</f>
        <v>0</v>
      </c>
      <c r="I384" s="23">
        <f t="shared" si="37"/>
        <v>0</v>
      </c>
      <c r="J384" s="23">
        <f t="shared" si="38"/>
        <v>0</v>
      </c>
      <c r="K384" s="23">
        <f t="shared" si="40"/>
        <v>80072.129999999961</v>
      </c>
      <c r="L384" s="23">
        <f t="shared" si="41"/>
        <v>250000</v>
      </c>
      <c r="M384" s="24" t="str">
        <f>IF($D384&lt;=0,"",IF(Übersicht!$C$11=0,0,$L384/Übersicht!$C$11))</f>
        <v/>
      </c>
      <c r="N384" s="25" t="str">
        <f>IF($D384&lt;=0,"",IF($J384&lt;=0.005,"Volltilgung erreicht",IF($A384=Übersicht!$C$19*Übersicht!$C$25,"Ende der Zinsbindung",IF($H384&gt;0,"Sondertilgung verrechnet",""))))</f>
        <v/>
      </c>
      <c r="Q384" s="38">
        <f>IF($S383&lt;=0,0,ROUND($S383*Übersicht!$C$26,2))</f>
        <v>0</v>
      </c>
      <c r="R384" s="38">
        <f>IF($S383&lt;=0,0,MIN($S383,IF(Übersicht!$C$14="Annuitätendarlehen",MAX(0,Übersicht!$C$28-$Q384),IF(Übersicht!$C$14="Ratendarlehen",Übersicht!$C$29,IF($A384&gt;=Übersicht!$C$30,$S383,0)))))</f>
        <v>0</v>
      </c>
      <c r="S384" s="38">
        <f>IF($S383&lt;=0,0,ROUND($S383-$R384-IF($S383-$R384&lt;=0,0,IF(MOD($A384,Übersicht!$C$25)=0,MIN(Szenarien!$C$8,$S383-$R384),0)),2))</f>
        <v>0</v>
      </c>
      <c r="T384" s="38">
        <f>IF($V383&lt;=0,0,ROUND($V383*Übersicht!$C$26,2))</f>
        <v>0</v>
      </c>
      <c r="U384" s="38">
        <f>IF($V383&lt;=0,0,MIN($V383,IF(Übersicht!$C$14="Annuitätendarlehen",MAX(0,Übersicht!$C$28-$T384),IF(Übersicht!$C$14="Ratendarlehen",Übersicht!$C$29,IF($A384&gt;=Übersicht!$C$30,$V383,0)))))</f>
        <v>0</v>
      </c>
      <c r="V384" s="38">
        <f>IF($V383&lt;=0,0,ROUND($V383-$U384-IF($V383-$U384&lt;=0,0,IF(MOD($A384,Übersicht!$C$25)=0,MIN(Szenarien!$C$9,$V383-$U384),0)),2))</f>
        <v>0</v>
      </c>
      <c r="W384" s="38">
        <f>IF($Y383&lt;=0,0,ROUND($Y383*Übersicht!$C$26,2))</f>
        <v>0</v>
      </c>
      <c r="X384" s="38">
        <f>IF($Y383&lt;=0,0,MIN($Y383,IF(Übersicht!$C$14="Annuitätendarlehen",MAX(0,Übersicht!$C$28-$W384),IF(Übersicht!$C$14="Ratendarlehen",Übersicht!$C$29,IF($A384&gt;=Übersicht!$C$30,$Y383,0)))))</f>
        <v>0</v>
      </c>
      <c r="Y384" s="38">
        <f>IF($Y383&lt;=0,0,ROUND($Y383-$X384-IF($Y383-$X384&lt;=0,0,IF(MOD($A384,Übersicht!$C$25)=0,MIN(Szenarien!$C$10,$Y383-$X384),0)),2))</f>
        <v>0</v>
      </c>
      <c r="Z384" s="38">
        <f>IF($AB383&lt;=0,0,ROUND($AB383*Übersicht!$C$26,2))</f>
        <v>0</v>
      </c>
      <c r="AA384" s="38">
        <f>IF($AB383&lt;=0,0,MIN($AB383,IF(Übersicht!$C$14="Annuitätendarlehen",MAX(0,Übersicht!$C$28-$Z384),IF(Übersicht!$C$14="Ratendarlehen",Übersicht!$C$29,IF($A384&gt;=Übersicht!$C$30,$AB383,0)))))</f>
        <v>0</v>
      </c>
      <c r="AB384" s="38">
        <f>IF($AB383&lt;=0,0,ROUND($AB383-$AA384-IF($AB383-$AA384&lt;=0,0,IF(MOD($A384,Übersicht!$C$25)=0,MIN(Szenarien!$C$11,$AB383-$AA384),0)),2))</f>
        <v>0</v>
      </c>
      <c r="AC384" s="38">
        <f>IF($AE383&lt;=0,0,ROUND($AE383*Übersicht!$C$26,2))</f>
        <v>0</v>
      </c>
      <c r="AD384" s="38">
        <f>IF($AE383&lt;=0,0,MIN($AE383,IF(Übersicht!$C$14="Annuitätendarlehen",MAX(0,Übersicht!$C$28-$AC384),IF(Übersicht!$C$14="Ratendarlehen",Übersicht!$C$29,IF($A384&gt;=Übersicht!$C$30,$AE383,0)))))</f>
        <v>0</v>
      </c>
      <c r="AE384" s="38">
        <f>IF($AE383&lt;=0,0,ROUND($AE383-$AD384-IF($AE383-$AD384&lt;=0,0,IF(MOD($A384,Übersicht!$C$25)=0,MIN(Szenarien!$C$12,$AE383-$AD384),0)),2))</f>
        <v>0</v>
      </c>
    </row>
    <row r="385" spans="1:31" ht="15" customHeight="1" x14ac:dyDescent="0.25">
      <c r="A385" s="26">
        <v>378</v>
      </c>
      <c r="B385" s="39" t="str">
        <f>IF($D385&lt;=0,"",EDATE(Übersicht!$C$18,($A385-1)*12/Übersicht!$C$25))</f>
        <v/>
      </c>
      <c r="C385" s="26" t="str">
        <f t="shared" si="35"/>
        <v/>
      </c>
      <c r="D385" s="40">
        <f t="shared" si="39"/>
        <v>0</v>
      </c>
      <c r="E385" s="28">
        <f t="shared" si="36"/>
        <v>0</v>
      </c>
      <c r="F385" s="28">
        <f>IF($D385&lt;=0,0,ROUND($D385*Übersicht!$C$26,2))</f>
        <v>0</v>
      </c>
      <c r="G385" s="28">
        <f>IF($D385&lt;=0,0,MIN($D385,IF(Übersicht!$C$14="Annuitätendarlehen",MAX(0,Übersicht!$C$28-$F385),IF(Übersicht!$C$14="Ratendarlehen",Übersicht!$C$29,IF($A385&gt;=Übersicht!$C$30,$D385,0)))))</f>
        <v>0</v>
      </c>
      <c r="H385" s="28">
        <f>IF($D385-$G385&lt;=0,0,IF(MOD($A385,Übersicht!$C$25)=0,MIN(Übersicht!$C$31,$D385-$G385),0))</f>
        <v>0</v>
      </c>
      <c r="I385" s="28">
        <f t="shared" si="37"/>
        <v>0</v>
      </c>
      <c r="J385" s="28">
        <f t="shared" si="38"/>
        <v>0</v>
      </c>
      <c r="K385" s="28">
        <f t="shared" si="40"/>
        <v>80072.129999999961</v>
      </c>
      <c r="L385" s="28">
        <f t="shared" si="41"/>
        <v>250000</v>
      </c>
      <c r="M385" s="29" t="str">
        <f>IF($D385&lt;=0,"",IF(Übersicht!$C$11=0,0,$L385/Übersicht!$C$11))</f>
        <v/>
      </c>
      <c r="N385" s="30" t="str">
        <f>IF($D385&lt;=0,"",IF($J385&lt;=0.005,"Volltilgung erreicht",IF($A385=Übersicht!$C$19*Übersicht!$C$25,"Ende der Zinsbindung",IF($H385&gt;0,"Sondertilgung verrechnet",""))))</f>
        <v/>
      </c>
      <c r="Q385" s="38">
        <f>IF($S384&lt;=0,0,ROUND($S384*Übersicht!$C$26,2))</f>
        <v>0</v>
      </c>
      <c r="R385" s="38">
        <f>IF($S384&lt;=0,0,MIN($S384,IF(Übersicht!$C$14="Annuitätendarlehen",MAX(0,Übersicht!$C$28-$Q385),IF(Übersicht!$C$14="Ratendarlehen",Übersicht!$C$29,IF($A385&gt;=Übersicht!$C$30,$S384,0)))))</f>
        <v>0</v>
      </c>
      <c r="S385" s="38">
        <f>IF($S384&lt;=0,0,ROUND($S384-$R385-IF($S384-$R385&lt;=0,0,IF(MOD($A385,Übersicht!$C$25)=0,MIN(Szenarien!$C$8,$S384-$R385),0)),2))</f>
        <v>0</v>
      </c>
      <c r="T385" s="38">
        <f>IF($V384&lt;=0,0,ROUND($V384*Übersicht!$C$26,2))</f>
        <v>0</v>
      </c>
      <c r="U385" s="38">
        <f>IF($V384&lt;=0,0,MIN($V384,IF(Übersicht!$C$14="Annuitätendarlehen",MAX(0,Übersicht!$C$28-$T385),IF(Übersicht!$C$14="Ratendarlehen",Übersicht!$C$29,IF($A385&gt;=Übersicht!$C$30,$V384,0)))))</f>
        <v>0</v>
      </c>
      <c r="V385" s="38">
        <f>IF($V384&lt;=0,0,ROUND($V384-$U385-IF($V384-$U385&lt;=0,0,IF(MOD($A385,Übersicht!$C$25)=0,MIN(Szenarien!$C$9,$V384-$U385),0)),2))</f>
        <v>0</v>
      </c>
      <c r="W385" s="38">
        <f>IF($Y384&lt;=0,0,ROUND($Y384*Übersicht!$C$26,2))</f>
        <v>0</v>
      </c>
      <c r="X385" s="38">
        <f>IF($Y384&lt;=0,0,MIN($Y384,IF(Übersicht!$C$14="Annuitätendarlehen",MAX(0,Übersicht!$C$28-$W385),IF(Übersicht!$C$14="Ratendarlehen",Übersicht!$C$29,IF($A385&gt;=Übersicht!$C$30,$Y384,0)))))</f>
        <v>0</v>
      </c>
      <c r="Y385" s="38">
        <f>IF($Y384&lt;=0,0,ROUND($Y384-$X385-IF($Y384-$X385&lt;=0,0,IF(MOD($A385,Übersicht!$C$25)=0,MIN(Szenarien!$C$10,$Y384-$X385),0)),2))</f>
        <v>0</v>
      </c>
      <c r="Z385" s="38">
        <f>IF($AB384&lt;=0,0,ROUND($AB384*Übersicht!$C$26,2))</f>
        <v>0</v>
      </c>
      <c r="AA385" s="38">
        <f>IF($AB384&lt;=0,0,MIN($AB384,IF(Übersicht!$C$14="Annuitätendarlehen",MAX(0,Übersicht!$C$28-$Z385),IF(Übersicht!$C$14="Ratendarlehen",Übersicht!$C$29,IF($A385&gt;=Übersicht!$C$30,$AB384,0)))))</f>
        <v>0</v>
      </c>
      <c r="AB385" s="38">
        <f>IF($AB384&lt;=0,0,ROUND($AB384-$AA385-IF($AB384-$AA385&lt;=0,0,IF(MOD($A385,Übersicht!$C$25)=0,MIN(Szenarien!$C$11,$AB384-$AA385),0)),2))</f>
        <v>0</v>
      </c>
      <c r="AC385" s="38">
        <f>IF($AE384&lt;=0,0,ROUND($AE384*Übersicht!$C$26,2))</f>
        <v>0</v>
      </c>
      <c r="AD385" s="38">
        <f>IF($AE384&lt;=0,0,MIN($AE384,IF(Übersicht!$C$14="Annuitätendarlehen",MAX(0,Übersicht!$C$28-$AC385),IF(Übersicht!$C$14="Ratendarlehen",Übersicht!$C$29,IF($A385&gt;=Übersicht!$C$30,$AE384,0)))))</f>
        <v>0</v>
      </c>
      <c r="AE385" s="38">
        <f>IF($AE384&lt;=0,0,ROUND($AE384-$AD385-IF($AE384-$AD385&lt;=0,0,IF(MOD($A385,Übersicht!$C$25)=0,MIN(Szenarien!$C$12,$AE384-$AD385),0)),2))</f>
        <v>0</v>
      </c>
    </row>
    <row r="386" spans="1:31" ht="15" customHeight="1" x14ac:dyDescent="0.25">
      <c r="A386" s="21">
        <v>379</v>
      </c>
      <c r="B386" s="36" t="str">
        <f>IF($D386&lt;=0,"",EDATE(Übersicht!$C$18,($A386-1)*12/Übersicht!$C$25))</f>
        <v/>
      </c>
      <c r="C386" s="21" t="str">
        <f t="shared" si="35"/>
        <v/>
      </c>
      <c r="D386" s="37">
        <f t="shared" si="39"/>
        <v>0</v>
      </c>
      <c r="E386" s="23">
        <f t="shared" si="36"/>
        <v>0</v>
      </c>
      <c r="F386" s="23">
        <f>IF($D386&lt;=0,0,ROUND($D386*Übersicht!$C$26,2))</f>
        <v>0</v>
      </c>
      <c r="G386" s="23">
        <f>IF($D386&lt;=0,0,MIN($D386,IF(Übersicht!$C$14="Annuitätendarlehen",MAX(0,Übersicht!$C$28-$F386),IF(Übersicht!$C$14="Ratendarlehen",Übersicht!$C$29,IF($A386&gt;=Übersicht!$C$30,$D386,0)))))</f>
        <v>0</v>
      </c>
      <c r="H386" s="23">
        <f>IF($D386-$G386&lt;=0,0,IF(MOD($A386,Übersicht!$C$25)=0,MIN(Übersicht!$C$31,$D386-$G386),0))</f>
        <v>0</v>
      </c>
      <c r="I386" s="23">
        <f t="shared" si="37"/>
        <v>0</v>
      </c>
      <c r="J386" s="23">
        <f t="shared" si="38"/>
        <v>0</v>
      </c>
      <c r="K386" s="23">
        <f t="shared" si="40"/>
        <v>80072.129999999961</v>
      </c>
      <c r="L386" s="23">
        <f t="shared" si="41"/>
        <v>250000</v>
      </c>
      <c r="M386" s="24" t="str">
        <f>IF($D386&lt;=0,"",IF(Übersicht!$C$11=0,0,$L386/Übersicht!$C$11))</f>
        <v/>
      </c>
      <c r="N386" s="25" t="str">
        <f>IF($D386&lt;=0,"",IF($J386&lt;=0.005,"Volltilgung erreicht",IF($A386=Übersicht!$C$19*Übersicht!$C$25,"Ende der Zinsbindung",IF($H386&gt;0,"Sondertilgung verrechnet",""))))</f>
        <v/>
      </c>
      <c r="Q386" s="38">
        <f>IF($S385&lt;=0,0,ROUND($S385*Übersicht!$C$26,2))</f>
        <v>0</v>
      </c>
      <c r="R386" s="38">
        <f>IF($S385&lt;=0,0,MIN($S385,IF(Übersicht!$C$14="Annuitätendarlehen",MAX(0,Übersicht!$C$28-$Q386),IF(Übersicht!$C$14="Ratendarlehen",Übersicht!$C$29,IF($A386&gt;=Übersicht!$C$30,$S385,0)))))</f>
        <v>0</v>
      </c>
      <c r="S386" s="38">
        <f>IF($S385&lt;=0,0,ROUND($S385-$R386-IF($S385-$R386&lt;=0,0,IF(MOD($A386,Übersicht!$C$25)=0,MIN(Szenarien!$C$8,$S385-$R386),0)),2))</f>
        <v>0</v>
      </c>
      <c r="T386" s="38">
        <f>IF($V385&lt;=0,0,ROUND($V385*Übersicht!$C$26,2))</f>
        <v>0</v>
      </c>
      <c r="U386" s="38">
        <f>IF($V385&lt;=0,0,MIN($V385,IF(Übersicht!$C$14="Annuitätendarlehen",MAX(0,Übersicht!$C$28-$T386),IF(Übersicht!$C$14="Ratendarlehen",Übersicht!$C$29,IF($A386&gt;=Übersicht!$C$30,$V385,0)))))</f>
        <v>0</v>
      </c>
      <c r="V386" s="38">
        <f>IF($V385&lt;=0,0,ROUND($V385-$U386-IF($V385-$U386&lt;=0,0,IF(MOD($A386,Übersicht!$C$25)=0,MIN(Szenarien!$C$9,$V385-$U386),0)),2))</f>
        <v>0</v>
      </c>
      <c r="W386" s="38">
        <f>IF($Y385&lt;=0,0,ROUND($Y385*Übersicht!$C$26,2))</f>
        <v>0</v>
      </c>
      <c r="X386" s="38">
        <f>IF($Y385&lt;=0,0,MIN($Y385,IF(Übersicht!$C$14="Annuitätendarlehen",MAX(0,Übersicht!$C$28-$W386),IF(Übersicht!$C$14="Ratendarlehen",Übersicht!$C$29,IF($A386&gt;=Übersicht!$C$30,$Y385,0)))))</f>
        <v>0</v>
      </c>
      <c r="Y386" s="38">
        <f>IF($Y385&lt;=0,0,ROUND($Y385-$X386-IF($Y385-$X386&lt;=0,0,IF(MOD($A386,Übersicht!$C$25)=0,MIN(Szenarien!$C$10,$Y385-$X386),0)),2))</f>
        <v>0</v>
      </c>
      <c r="Z386" s="38">
        <f>IF($AB385&lt;=0,0,ROUND($AB385*Übersicht!$C$26,2))</f>
        <v>0</v>
      </c>
      <c r="AA386" s="38">
        <f>IF($AB385&lt;=0,0,MIN($AB385,IF(Übersicht!$C$14="Annuitätendarlehen",MAX(0,Übersicht!$C$28-$Z386),IF(Übersicht!$C$14="Ratendarlehen",Übersicht!$C$29,IF($A386&gt;=Übersicht!$C$30,$AB385,0)))))</f>
        <v>0</v>
      </c>
      <c r="AB386" s="38">
        <f>IF($AB385&lt;=0,0,ROUND($AB385-$AA386-IF($AB385-$AA386&lt;=0,0,IF(MOD($A386,Übersicht!$C$25)=0,MIN(Szenarien!$C$11,$AB385-$AA386),0)),2))</f>
        <v>0</v>
      </c>
      <c r="AC386" s="38">
        <f>IF($AE385&lt;=0,0,ROUND($AE385*Übersicht!$C$26,2))</f>
        <v>0</v>
      </c>
      <c r="AD386" s="38">
        <f>IF($AE385&lt;=0,0,MIN($AE385,IF(Übersicht!$C$14="Annuitätendarlehen",MAX(0,Übersicht!$C$28-$AC386),IF(Übersicht!$C$14="Ratendarlehen",Übersicht!$C$29,IF($A386&gt;=Übersicht!$C$30,$AE385,0)))))</f>
        <v>0</v>
      </c>
      <c r="AE386" s="38">
        <f>IF($AE385&lt;=0,0,ROUND($AE385-$AD386-IF($AE385-$AD386&lt;=0,0,IF(MOD($A386,Übersicht!$C$25)=0,MIN(Szenarien!$C$12,$AE385-$AD386),0)),2))</f>
        <v>0</v>
      </c>
    </row>
    <row r="387" spans="1:31" ht="15" customHeight="1" x14ac:dyDescent="0.25">
      <c r="A387" s="26">
        <v>380</v>
      </c>
      <c r="B387" s="39" t="str">
        <f>IF($D387&lt;=0,"",EDATE(Übersicht!$C$18,($A387-1)*12/Übersicht!$C$25))</f>
        <v/>
      </c>
      <c r="C387" s="26" t="str">
        <f t="shared" si="35"/>
        <v/>
      </c>
      <c r="D387" s="40">
        <f t="shared" si="39"/>
        <v>0</v>
      </c>
      <c r="E387" s="28">
        <f t="shared" si="36"/>
        <v>0</v>
      </c>
      <c r="F387" s="28">
        <f>IF($D387&lt;=0,0,ROUND($D387*Übersicht!$C$26,2))</f>
        <v>0</v>
      </c>
      <c r="G387" s="28">
        <f>IF($D387&lt;=0,0,MIN($D387,IF(Übersicht!$C$14="Annuitätendarlehen",MAX(0,Übersicht!$C$28-$F387),IF(Übersicht!$C$14="Ratendarlehen",Übersicht!$C$29,IF($A387&gt;=Übersicht!$C$30,$D387,0)))))</f>
        <v>0</v>
      </c>
      <c r="H387" s="28">
        <f>IF($D387-$G387&lt;=0,0,IF(MOD($A387,Übersicht!$C$25)=0,MIN(Übersicht!$C$31,$D387-$G387),0))</f>
        <v>0</v>
      </c>
      <c r="I387" s="28">
        <f t="shared" si="37"/>
        <v>0</v>
      </c>
      <c r="J387" s="28">
        <f t="shared" si="38"/>
        <v>0</v>
      </c>
      <c r="K387" s="28">
        <f t="shared" si="40"/>
        <v>80072.129999999961</v>
      </c>
      <c r="L387" s="28">
        <f t="shared" si="41"/>
        <v>250000</v>
      </c>
      <c r="M387" s="29" t="str">
        <f>IF($D387&lt;=0,"",IF(Übersicht!$C$11=0,0,$L387/Übersicht!$C$11))</f>
        <v/>
      </c>
      <c r="N387" s="30" t="str">
        <f>IF($D387&lt;=0,"",IF($J387&lt;=0.005,"Volltilgung erreicht",IF($A387=Übersicht!$C$19*Übersicht!$C$25,"Ende der Zinsbindung",IF($H387&gt;0,"Sondertilgung verrechnet",""))))</f>
        <v/>
      </c>
      <c r="Q387" s="38">
        <f>IF($S386&lt;=0,0,ROUND($S386*Übersicht!$C$26,2))</f>
        <v>0</v>
      </c>
      <c r="R387" s="38">
        <f>IF($S386&lt;=0,0,MIN($S386,IF(Übersicht!$C$14="Annuitätendarlehen",MAX(0,Übersicht!$C$28-$Q387),IF(Übersicht!$C$14="Ratendarlehen",Übersicht!$C$29,IF($A387&gt;=Übersicht!$C$30,$S386,0)))))</f>
        <v>0</v>
      </c>
      <c r="S387" s="38">
        <f>IF($S386&lt;=0,0,ROUND($S386-$R387-IF($S386-$R387&lt;=0,0,IF(MOD($A387,Übersicht!$C$25)=0,MIN(Szenarien!$C$8,$S386-$R387),0)),2))</f>
        <v>0</v>
      </c>
      <c r="T387" s="38">
        <f>IF($V386&lt;=0,0,ROUND($V386*Übersicht!$C$26,2))</f>
        <v>0</v>
      </c>
      <c r="U387" s="38">
        <f>IF($V386&lt;=0,0,MIN($V386,IF(Übersicht!$C$14="Annuitätendarlehen",MAX(0,Übersicht!$C$28-$T387),IF(Übersicht!$C$14="Ratendarlehen",Übersicht!$C$29,IF($A387&gt;=Übersicht!$C$30,$V386,0)))))</f>
        <v>0</v>
      </c>
      <c r="V387" s="38">
        <f>IF($V386&lt;=0,0,ROUND($V386-$U387-IF($V386-$U387&lt;=0,0,IF(MOD($A387,Übersicht!$C$25)=0,MIN(Szenarien!$C$9,$V386-$U387),0)),2))</f>
        <v>0</v>
      </c>
      <c r="W387" s="38">
        <f>IF($Y386&lt;=0,0,ROUND($Y386*Übersicht!$C$26,2))</f>
        <v>0</v>
      </c>
      <c r="X387" s="38">
        <f>IF($Y386&lt;=0,0,MIN($Y386,IF(Übersicht!$C$14="Annuitätendarlehen",MAX(0,Übersicht!$C$28-$W387),IF(Übersicht!$C$14="Ratendarlehen",Übersicht!$C$29,IF($A387&gt;=Übersicht!$C$30,$Y386,0)))))</f>
        <v>0</v>
      </c>
      <c r="Y387" s="38">
        <f>IF($Y386&lt;=0,0,ROUND($Y386-$X387-IF($Y386-$X387&lt;=0,0,IF(MOD($A387,Übersicht!$C$25)=0,MIN(Szenarien!$C$10,$Y386-$X387),0)),2))</f>
        <v>0</v>
      </c>
      <c r="Z387" s="38">
        <f>IF($AB386&lt;=0,0,ROUND($AB386*Übersicht!$C$26,2))</f>
        <v>0</v>
      </c>
      <c r="AA387" s="38">
        <f>IF($AB386&lt;=0,0,MIN($AB386,IF(Übersicht!$C$14="Annuitätendarlehen",MAX(0,Übersicht!$C$28-$Z387),IF(Übersicht!$C$14="Ratendarlehen",Übersicht!$C$29,IF($A387&gt;=Übersicht!$C$30,$AB386,0)))))</f>
        <v>0</v>
      </c>
      <c r="AB387" s="38">
        <f>IF($AB386&lt;=0,0,ROUND($AB386-$AA387-IF($AB386-$AA387&lt;=0,0,IF(MOD($A387,Übersicht!$C$25)=0,MIN(Szenarien!$C$11,$AB386-$AA387),0)),2))</f>
        <v>0</v>
      </c>
      <c r="AC387" s="38">
        <f>IF($AE386&lt;=0,0,ROUND($AE386*Übersicht!$C$26,2))</f>
        <v>0</v>
      </c>
      <c r="AD387" s="38">
        <f>IF($AE386&lt;=0,0,MIN($AE386,IF(Übersicht!$C$14="Annuitätendarlehen",MAX(0,Übersicht!$C$28-$AC387),IF(Übersicht!$C$14="Ratendarlehen",Übersicht!$C$29,IF($A387&gt;=Übersicht!$C$30,$AE386,0)))))</f>
        <v>0</v>
      </c>
      <c r="AE387" s="38">
        <f>IF($AE386&lt;=0,0,ROUND($AE386-$AD387-IF($AE386-$AD387&lt;=0,0,IF(MOD($A387,Übersicht!$C$25)=0,MIN(Szenarien!$C$12,$AE386-$AD387),0)),2))</f>
        <v>0</v>
      </c>
    </row>
    <row r="388" spans="1:31" ht="15" customHeight="1" x14ac:dyDescent="0.25">
      <c r="A388" s="21">
        <v>381</v>
      </c>
      <c r="B388" s="36" t="str">
        <f>IF($D388&lt;=0,"",EDATE(Übersicht!$C$18,($A388-1)*12/Übersicht!$C$25))</f>
        <v/>
      </c>
      <c r="C388" s="21" t="str">
        <f t="shared" si="35"/>
        <v/>
      </c>
      <c r="D388" s="37">
        <f t="shared" si="39"/>
        <v>0</v>
      </c>
      <c r="E388" s="23">
        <f t="shared" si="36"/>
        <v>0</v>
      </c>
      <c r="F388" s="23">
        <f>IF($D388&lt;=0,0,ROUND($D388*Übersicht!$C$26,2))</f>
        <v>0</v>
      </c>
      <c r="G388" s="23">
        <f>IF($D388&lt;=0,0,MIN($D388,IF(Übersicht!$C$14="Annuitätendarlehen",MAX(0,Übersicht!$C$28-$F388),IF(Übersicht!$C$14="Ratendarlehen",Übersicht!$C$29,IF($A388&gt;=Übersicht!$C$30,$D388,0)))))</f>
        <v>0</v>
      </c>
      <c r="H388" s="23">
        <f>IF($D388-$G388&lt;=0,0,IF(MOD($A388,Übersicht!$C$25)=0,MIN(Übersicht!$C$31,$D388-$G388),0))</f>
        <v>0</v>
      </c>
      <c r="I388" s="23">
        <f t="shared" si="37"/>
        <v>0</v>
      </c>
      <c r="J388" s="23">
        <f t="shared" si="38"/>
        <v>0</v>
      </c>
      <c r="K388" s="23">
        <f t="shared" si="40"/>
        <v>80072.129999999961</v>
      </c>
      <c r="L388" s="23">
        <f t="shared" si="41"/>
        <v>250000</v>
      </c>
      <c r="M388" s="24" t="str">
        <f>IF($D388&lt;=0,"",IF(Übersicht!$C$11=0,0,$L388/Übersicht!$C$11))</f>
        <v/>
      </c>
      <c r="N388" s="25" t="str">
        <f>IF($D388&lt;=0,"",IF($J388&lt;=0.005,"Volltilgung erreicht",IF($A388=Übersicht!$C$19*Übersicht!$C$25,"Ende der Zinsbindung",IF($H388&gt;0,"Sondertilgung verrechnet",""))))</f>
        <v/>
      </c>
      <c r="Q388" s="38">
        <f>IF($S387&lt;=0,0,ROUND($S387*Übersicht!$C$26,2))</f>
        <v>0</v>
      </c>
      <c r="R388" s="38">
        <f>IF($S387&lt;=0,0,MIN($S387,IF(Übersicht!$C$14="Annuitätendarlehen",MAX(0,Übersicht!$C$28-$Q388),IF(Übersicht!$C$14="Ratendarlehen",Übersicht!$C$29,IF($A388&gt;=Übersicht!$C$30,$S387,0)))))</f>
        <v>0</v>
      </c>
      <c r="S388" s="38">
        <f>IF($S387&lt;=0,0,ROUND($S387-$R388-IF($S387-$R388&lt;=0,0,IF(MOD($A388,Übersicht!$C$25)=0,MIN(Szenarien!$C$8,$S387-$R388),0)),2))</f>
        <v>0</v>
      </c>
      <c r="T388" s="38">
        <f>IF($V387&lt;=0,0,ROUND($V387*Übersicht!$C$26,2))</f>
        <v>0</v>
      </c>
      <c r="U388" s="38">
        <f>IF($V387&lt;=0,0,MIN($V387,IF(Übersicht!$C$14="Annuitätendarlehen",MAX(0,Übersicht!$C$28-$T388),IF(Übersicht!$C$14="Ratendarlehen",Übersicht!$C$29,IF($A388&gt;=Übersicht!$C$30,$V387,0)))))</f>
        <v>0</v>
      </c>
      <c r="V388" s="38">
        <f>IF($V387&lt;=0,0,ROUND($V387-$U388-IF($V387-$U388&lt;=0,0,IF(MOD($A388,Übersicht!$C$25)=0,MIN(Szenarien!$C$9,$V387-$U388),0)),2))</f>
        <v>0</v>
      </c>
      <c r="W388" s="38">
        <f>IF($Y387&lt;=0,0,ROUND($Y387*Übersicht!$C$26,2))</f>
        <v>0</v>
      </c>
      <c r="X388" s="38">
        <f>IF($Y387&lt;=0,0,MIN($Y387,IF(Übersicht!$C$14="Annuitätendarlehen",MAX(0,Übersicht!$C$28-$W388),IF(Übersicht!$C$14="Ratendarlehen",Übersicht!$C$29,IF($A388&gt;=Übersicht!$C$30,$Y387,0)))))</f>
        <v>0</v>
      </c>
      <c r="Y388" s="38">
        <f>IF($Y387&lt;=0,0,ROUND($Y387-$X388-IF($Y387-$X388&lt;=0,0,IF(MOD($A388,Übersicht!$C$25)=0,MIN(Szenarien!$C$10,$Y387-$X388),0)),2))</f>
        <v>0</v>
      </c>
      <c r="Z388" s="38">
        <f>IF($AB387&lt;=0,0,ROUND($AB387*Übersicht!$C$26,2))</f>
        <v>0</v>
      </c>
      <c r="AA388" s="38">
        <f>IF($AB387&lt;=0,0,MIN($AB387,IF(Übersicht!$C$14="Annuitätendarlehen",MAX(0,Übersicht!$C$28-$Z388),IF(Übersicht!$C$14="Ratendarlehen",Übersicht!$C$29,IF($A388&gt;=Übersicht!$C$30,$AB387,0)))))</f>
        <v>0</v>
      </c>
      <c r="AB388" s="38">
        <f>IF($AB387&lt;=0,0,ROUND($AB387-$AA388-IF($AB387-$AA388&lt;=0,0,IF(MOD($A388,Übersicht!$C$25)=0,MIN(Szenarien!$C$11,$AB387-$AA388),0)),2))</f>
        <v>0</v>
      </c>
      <c r="AC388" s="38">
        <f>IF($AE387&lt;=0,0,ROUND($AE387*Übersicht!$C$26,2))</f>
        <v>0</v>
      </c>
      <c r="AD388" s="38">
        <f>IF($AE387&lt;=0,0,MIN($AE387,IF(Übersicht!$C$14="Annuitätendarlehen",MAX(0,Übersicht!$C$28-$AC388),IF(Übersicht!$C$14="Ratendarlehen",Übersicht!$C$29,IF($A388&gt;=Übersicht!$C$30,$AE387,0)))))</f>
        <v>0</v>
      </c>
      <c r="AE388" s="38">
        <f>IF($AE387&lt;=0,0,ROUND($AE387-$AD388-IF($AE387-$AD388&lt;=0,0,IF(MOD($A388,Übersicht!$C$25)=0,MIN(Szenarien!$C$12,$AE387-$AD388),0)),2))</f>
        <v>0</v>
      </c>
    </row>
    <row r="389" spans="1:31" ht="15" customHeight="1" x14ac:dyDescent="0.25">
      <c r="A389" s="26">
        <v>382</v>
      </c>
      <c r="B389" s="39" t="str">
        <f>IF($D389&lt;=0,"",EDATE(Übersicht!$C$18,($A389-1)*12/Übersicht!$C$25))</f>
        <v/>
      </c>
      <c r="C389" s="26" t="str">
        <f t="shared" si="35"/>
        <v/>
      </c>
      <c r="D389" s="40">
        <f t="shared" si="39"/>
        <v>0</v>
      </c>
      <c r="E389" s="28">
        <f t="shared" si="36"/>
        <v>0</v>
      </c>
      <c r="F389" s="28">
        <f>IF($D389&lt;=0,0,ROUND($D389*Übersicht!$C$26,2))</f>
        <v>0</v>
      </c>
      <c r="G389" s="28">
        <f>IF($D389&lt;=0,0,MIN($D389,IF(Übersicht!$C$14="Annuitätendarlehen",MAX(0,Übersicht!$C$28-$F389),IF(Übersicht!$C$14="Ratendarlehen",Übersicht!$C$29,IF($A389&gt;=Übersicht!$C$30,$D389,0)))))</f>
        <v>0</v>
      </c>
      <c r="H389" s="28">
        <f>IF($D389-$G389&lt;=0,0,IF(MOD($A389,Übersicht!$C$25)=0,MIN(Übersicht!$C$31,$D389-$G389),0))</f>
        <v>0</v>
      </c>
      <c r="I389" s="28">
        <f t="shared" si="37"/>
        <v>0</v>
      </c>
      <c r="J389" s="28">
        <f t="shared" si="38"/>
        <v>0</v>
      </c>
      <c r="K389" s="28">
        <f t="shared" si="40"/>
        <v>80072.129999999961</v>
      </c>
      <c r="L389" s="28">
        <f t="shared" si="41"/>
        <v>250000</v>
      </c>
      <c r="M389" s="29" t="str">
        <f>IF($D389&lt;=0,"",IF(Übersicht!$C$11=0,0,$L389/Übersicht!$C$11))</f>
        <v/>
      </c>
      <c r="N389" s="30" t="str">
        <f>IF($D389&lt;=0,"",IF($J389&lt;=0.005,"Volltilgung erreicht",IF($A389=Übersicht!$C$19*Übersicht!$C$25,"Ende der Zinsbindung",IF($H389&gt;0,"Sondertilgung verrechnet",""))))</f>
        <v/>
      </c>
      <c r="Q389" s="38">
        <f>IF($S388&lt;=0,0,ROUND($S388*Übersicht!$C$26,2))</f>
        <v>0</v>
      </c>
      <c r="R389" s="38">
        <f>IF($S388&lt;=0,0,MIN($S388,IF(Übersicht!$C$14="Annuitätendarlehen",MAX(0,Übersicht!$C$28-$Q389),IF(Übersicht!$C$14="Ratendarlehen",Übersicht!$C$29,IF($A389&gt;=Übersicht!$C$30,$S388,0)))))</f>
        <v>0</v>
      </c>
      <c r="S389" s="38">
        <f>IF($S388&lt;=0,0,ROUND($S388-$R389-IF($S388-$R389&lt;=0,0,IF(MOD($A389,Übersicht!$C$25)=0,MIN(Szenarien!$C$8,$S388-$R389),0)),2))</f>
        <v>0</v>
      </c>
      <c r="T389" s="38">
        <f>IF($V388&lt;=0,0,ROUND($V388*Übersicht!$C$26,2))</f>
        <v>0</v>
      </c>
      <c r="U389" s="38">
        <f>IF($V388&lt;=0,0,MIN($V388,IF(Übersicht!$C$14="Annuitätendarlehen",MAX(0,Übersicht!$C$28-$T389),IF(Übersicht!$C$14="Ratendarlehen",Übersicht!$C$29,IF($A389&gt;=Übersicht!$C$30,$V388,0)))))</f>
        <v>0</v>
      </c>
      <c r="V389" s="38">
        <f>IF($V388&lt;=0,0,ROUND($V388-$U389-IF($V388-$U389&lt;=0,0,IF(MOD($A389,Übersicht!$C$25)=0,MIN(Szenarien!$C$9,$V388-$U389),0)),2))</f>
        <v>0</v>
      </c>
      <c r="W389" s="38">
        <f>IF($Y388&lt;=0,0,ROUND($Y388*Übersicht!$C$26,2))</f>
        <v>0</v>
      </c>
      <c r="X389" s="38">
        <f>IF($Y388&lt;=0,0,MIN($Y388,IF(Übersicht!$C$14="Annuitätendarlehen",MAX(0,Übersicht!$C$28-$W389),IF(Übersicht!$C$14="Ratendarlehen",Übersicht!$C$29,IF($A389&gt;=Übersicht!$C$30,$Y388,0)))))</f>
        <v>0</v>
      </c>
      <c r="Y389" s="38">
        <f>IF($Y388&lt;=0,0,ROUND($Y388-$X389-IF($Y388-$X389&lt;=0,0,IF(MOD($A389,Übersicht!$C$25)=0,MIN(Szenarien!$C$10,$Y388-$X389),0)),2))</f>
        <v>0</v>
      </c>
      <c r="Z389" s="38">
        <f>IF($AB388&lt;=0,0,ROUND($AB388*Übersicht!$C$26,2))</f>
        <v>0</v>
      </c>
      <c r="AA389" s="38">
        <f>IF($AB388&lt;=0,0,MIN($AB388,IF(Übersicht!$C$14="Annuitätendarlehen",MAX(0,Übersicht!$C$28-$Z389),IF(Übersicht!$C$14="Ratendarlehen",Übersicht!$C$29,IF($A389&gt;=Übersicht!$C$30,$AB388,0)))))</f>
        <v>0</v>
      </c>
      <c r="AB389" s="38">
        <f>IF($AB388&lt;=0,0,ROUND($AB388-$AA389-IF($AB388-$AA389&lt;=0,0,IF(MOD($A389,Übersicht!$C$25)=0,MIN(Szenarien!$C$11,$AB388-$AA389),0)),2))</f>
        <v>0</v>
      </c>
      <c r="AC389" s="38">
        <f>IF($AE388&lt;=0,0,ROUND($AE388*Übersicht!$C$26,2))</f>
        <v>0</v>
      </c>
      <c r="AD389" s="38">
        <f>IF($AE388&lt;=0,0,MIN($AE388,IF(Übersicht!$C$14="Annuitätendarlehen",MAX(0,Übersicht!$C$28-$AC389),IF(Übersicht!$C$14="Ratendarlehen",Übersicht!$C$29,IF($A389&gt;=Übersicht!$C$30,$AE388,0)))))</f>
        <v>0</v>
      </c>
      <c r="AE389" s="38">
        <f>IF($AE388&lt;=0,0,ROUND($AE388-$AD389-IF($AE388-$AD389&lt;=0,0,IF(MOD($A389,Übersicht!$C$25)=0,MIN(Szenarien!$C$12,$AE388-$AD389),0)),2))</f>
        <v>0</v>
      </c>
    </row>
    <row r="390" spans="1:31" ht="15" customHeight="1" x14ac:dyDescent="0.25">
      <c r="A390" s="21">
        <v>383</v>
      </c>
      <c r="B390" s="36" t="str">
        <f>IF($D390&lt;=0,"",EDATE(Übersicht!$C$18,($A390-1)*12/Übersicht!$C$25))</f>
        <v/>
      </c>
      <c r="C390" s="21" t="str">
        <f t="shared" si="35"/>
        <v/>
      </c>
      <c r="D390" s="37">
        <f t="shared" si="39"/>
        <v>0</v>
      </c>
      <c r="E390" s="23">
        <f t="shared" si="36"/>
        <v>0</v>
      </c>
      <c r="F390" s="23">
        <f>IF($D390&lt;=0,0,ROUND($D390*Übersicht!$C$26,2))</f>
        <v>0</v>
      </c>
      <c r="G390" s="23">
        <f>IF($D390&lt;=0,0,MIN($D390,IF(Übersicht!$C$14="Annuitätendarlehen",MAX(0,Übersicht!$C$28-$F390),IF(Übersicht!$C$14="Ratendarlehen",Übersicht!$C$29,IF($A390&gt;=Übersicht!$C$30,$D390,0)))))</f>
        <v>0</v>
      </c>
      <c r="H390" s="23">
        <f>IF($D390-$G390&lt;=0,0,IF(MOD($A390,Übersicht!$C$25)=0,MIN(Übersicht!$C$31,$D390-$G390),0))</f>
        <v>0</v>
      </c>
      <c r="I390" s="23">
        <f t="shared" si="37"/>
        <v>0</v>
      </c>
      <c r="J390" s="23">
        <f t="shared" si="38"/>
        <v>0</v>
      </c>
      <c r="K390" s="23">
        <f t="shared" si="40"/>
        <v>80072.129999999961</v>
      </c>
      <c r="L390" s="23">
        <f t="shared" si="41"/>
        <v>250000</v>
      </c>
      <c r="M390" s="24" t="str">
        <f>IF($D390&lt;=0,"",IF(Übersicht!$C$11=0,0,$L390/Übersicht!$C$11))</f>
        <v/>
      </c>
      <c r="N390" s="25" t="str">
        <f>IF($D390&lt;=0,"",IF($J390&lt;=0.005,"Volltilgung erreicht",IF($A390=Übersicht!$C$19*Übersicht!$C$25,"Ende der Zinsbindung",IF($H390&gt;0,"Sondertilgung verrechnet",""))))</f>
        <v/>
      </c>
      <c r="Q390" s="38">
        <f>IF($S389&lt;=0,0,ROUND($S389*Übersicht!$C$26,2))</f>
        <v>0</v>
      </c>
      <c r="R390" s="38">
        <f>IF($S389&lt;=0,0,MIN($S389,IF(Übersicht!$C$14="Annuitätendarlehen",MAX(0,Übersicht!$C$28-$Q390),IF(Übersicht!$C$14="Ratendarlehen",Übersicht!$C$29,IF($A390&gt;=Übersicht!$C$30,$S389,0)))))</f>
        <v>0</v>
      </c>
      <c r="S390" s="38">
        <f>IF($S389&lt;=0,0,ROUND($S389-$R390-IF($S389-$R390&lt;=0,0,IF(MOD($A390,Übersicht!$C$25)=0,MIN(Szenarien!$C$8,$S389-$R390),0)),2))</f>
        <v>0</v>
      </c>
      <c r="T390" s="38">
        <f>IF($V389&lt;=0,0,ROUND($V389*Übersicht!$C$26,2))</f>
        <v>0</v>
      </c>
      <c r="U390" s="38">
        <f>IF($V389&lt;=0,0,MIN($V389,IF(Übersicht!$C$14="Annuitätendarlehen",MAX(0,Übersicht!$C$28-$T390),IF(Übersicht!$C$14="Ratendarlehen",Übersicht!$C$29,IF($A390&gt;=Übersicht!$C$30,$V389,0)))))</f>
        <v>0</v>
      </c>
      <c r="V390" s="38">
        <f>IF($V389&lt;=0,0,ROUND($V389-$U390-IF($V389-$U390&lt;=0,0,IF(MOD($A390,Übersicht!$C$25)=0,MIN(Szenarien!$C$9,$V389-$U390),0)),2))</f>
        <v>0</v>
      </c>
      <c r="W390" s="38">
        <f>IF($Y389&lt;=0,0,ROUND($Y389*Übersicht!$C$26,2))</f>
        <v>0</v>
      </c>
      <c r="X390" s="38">
        <f>IF($Y389&lt;=0,0,MIN($Y389,IF(Übersicht!$C$14="Annuitätendarlehen",MAX(0,Übersicht!$C$28-$W390),IF(Übersicht!$C$14="Ratendarlehen",Übersicht!$C$29,IF($A390&gt;=Übersicht!$C$30,$Y389,0)))))</f>
        <v>0</v>
      </c>
      <c r="Y390" s="38">
        <f>IF($Y389&lt;=0,0,ROUND($Y389-$X390-IF($Y389-$X390&lt;=0,0,IF(MOD($A390,Übersicht!$C$25)=0,MIN(Szenarien!$C$10,$Y389-$X390),0)),2))</f>
        <v>0</v>
      </c>
      <c r="Z390" s="38">
        <f>IF($AB389&lt;=0,0,ROUND($AB389*Übersicht!$C$26,2))</f>
        <v>0</v>
      </c>
      <c r="AA390" s="38">
        <f>IF($AB389&lt;=0,0,MIN($AB389,IF(Übersicht!$C$14="Annuitätendarlehen",MAX(0,Übersicht!$C$28-$Z390),IF(Übersicht!$C$14="Ratendarlehen",Übersicht!$C$29,IF($A390&gt;=Übersicht!$C$30,$AB389,0)))))</f>
        <v>0</v>
      </c>
      <c r="AB390" s="38">
        <f>IF($AB389&lt;=0,0,ROUND($AB389-$AA390-IF($AB389-$AA390&lt;=0,0,IF(MOD($A390,Übersicht!$C$25)=0,MIN(Szenarien!$C$11,$AB389-$AA390),0)),2))</f>
        <v>0</v>
      </c>
      <c r="AC390" s="38">
        <f>IF($AE389&lt;=0,0,ROUND($AE389*Übersicht!$C$26,2))</f>
        <v>0</v>
      </c>
      <c r="AD390" s="38">
        <f>IF($AE389&lt;=0,0,MIN($AE389,IF(Übersicht!$C$14="Annuitätendarlehen",MAX(0,Übersicht!$C$28-$AC390),IF(Übersicht!$C$14="Ratendarlehen",Übersicht!$C$29,IF($A390&gt;=Übersicht!$C$30,$AE389,0)))))</f>
        <v>0</v>
      </c>
      <c r="AE390" s="38">
        <f>IF($AE389&lt;=0,0,ROUND($AE389-$AD390-IF($AE389-$AD390&lt;=0,0,IF(MOD($A390,Übersicht!$C$25)=0,MIN(Szenarien!$C$12,$AE389-$AD390),0)),2))</f>
        <v>0</v>
      </c>
    </row>
    <row r="391" spans="1:31" ht="15" customHeight="1" x14ac:dyDescent="0.25">
      <c r="A391" s="26">
        <v>384</v>
      </c>
      <c r="B391" s="39" t="str">
        <f>IF($D391&lt;=0,"",EDATE(Übersicht!$C$18,($A391-1)*12/Übersicht!$C$25))</f>
        <v/>
      </c>
      <c r="C391" s="26" t="str">
        <f t="shared" si="35"/>
        <v/>
      </c>
      <c r="D391" s="40">
        <f t="shared" si="39"/>
        <v>0</v>
      </c>
      <c r="E391" s="28">
        <f t="shared" si="36"/>
        <v>0</v>
      </c>
      <c r="F391" s="28">
        <f>IF($D391&lt;=0,0,ROUND($D391*Übersicht!$C$26,2))</f>
        <v>0</v>
      </c>
      <c r="G391" s="28">
        <f>IF($D391&lt;=0,0,MIN($D391,IF(Übersicht!$C$14="Annuitätendarlehen",MAX(0,Übersicht!$C$28-$F391),IF(Übersicht!$C$14="Ratendarlehen",Übersicht!$C$29,IF($A391&gt;=Übersicht!$C$30,$D391,0)))))</f>
        <v>0</v>
      </c>
      <c r="H391" s="28">
        <f>IF($D391-$G391&lt;=0,0,IF(MOD($A391,Übersicht!$C$25)=0,MIN(Übersicht!$C$31,$D391-$G391),0))</f>
        <v>0</v>
      </c>
      <c r="I391" s="28">
        <f t="shared" si="37"/>
        <v>0</v>
      </c>
      <c r="J391" s="28">
        <f t="shared" si="38"/>
        <v>0</v>
      </c>
      <c r="K391" s="28">
        <f t="shared" si="40"/>
        <v>80072.129999999961</v>
      </c>
      <c r="L391" s="28">
        <f t="shared" si="41"/>
        <v>250000</v>
      </c>
      <c r="M391" s="29" t="str">
        <f>IF($D391&lt;=0,"",IF(Übersicht!$C$11=0,0,$L391/Übersicht!$C$11))</f>
        <v/>
      </c>
      <c r="N391" s="30" t="str">
        <f>IF($D391&lt;=0,"",IF($J391&lt;=0.005,"Volltilgung erreicht",IF($A391=Übersicht!$C$19*Übersicht!$C$25,"Ende der Zinsbindung",IF($H391&gt;0,"Sondertilgung verrechnet",""))))</f>
        <v/>
      </c>
      <c r="Q391" s="38">
        <f>IF($S390&lt;=0,0,ROUND($S390*Übersicht!$C$26,2))</f>
        <v>0</v>
      </c>
      <c r="R391" s="38">
        <f>IF($S390&lt;=0,0,MIN($S390,IF(Übersicht!$C$14="Annuitätendarlehen",MAX(0,Übersicht!$C$28-$Q391),IF(Übersicht!$C$14="Ratendarlehen",Übersicht!$C$29,IF($A391&gt;=Übersicht!$C$30,$S390,0)))))</f>
        <v>0</v>
      </c>
      <c r="S391" s="38">
        <f>IF($S390&lt;=0,0,ROUND($S390-$R391-IF($S390-$R391&lt;=0,0,IF(MOD($A391,Übersicht!$C$25)=0,MIN(Szenarien!$C$8,$S390-$R391),0)),2))</f>
        <v>0</v>
      </c>
      <c r="T391" s="38">
        <f>IF($V390&lt;=0,0,ROUND($V390*Übersicht!$C$26,2))</f>
        <v>0</v>
      </c>
      <c r="U391" s="38">
        <f>IF($V390&lt;=0,0,MIN($V390,IF(Übersicht!$C$14="Annuitätendarlehen",MAX(0,Übersicht!$C$28-$T391),IF(Übersicht!$C$14="Ratendarlehen",Übersicht!$C$29,IF($A391&gt;=Übersicht!$C$30,$V390,0)))))</f>
        <v>0</v>
      </c>
      <c r="V391" s="38">
        <f>IF($V390&lt;=0,0,ROUND($V390-$U391-IF($V390-$U391&lt;=0,0,IF(MOD($A391,Übersicht!$C$25)=0,MIN(Szenarien!$C$9,$V390-$U391),0)),2))</f>
        <v>0</v>
      </c>
      <c r="W391" s="38">
        <f>IF($Y390&lt;=0,0,ROUND($Y390*Übersicht!$C$26,2))</f>
        <v>0</v>
      </c>
      <c r="X391" s="38">
        <f>IF($Y390&lt;=0,0,MIN($Y390,IF(Übersicht!$C$14="Annuitätendarlehen",MAX(0,Übersicht!$C$28-$W391),IF(Übersicht!$C$14="Ratendarlehen",Übersicht!$C$29,IF($A391&gt;=Übersicht!$C$30,$Y390,0)))))</f>
        <v>0</v>
      </c>
      <c r="Y391" s="38">
        <f>IF($Y390&lt;=0,0,ROUND($Y390-$X391-IF($Y390-$X391&lt;=0,0,IF(MOD($A391,Übersicht!$C$25)=0,MIN(Szenarien!$C$10,$Y390-$X391),0)),2))</f>
        <v>0</v>
      </c>
      <c r="Z391" s="38">
        <f>IF($AB390&lt;=0,0,ROUND($AB390*Übersicht!$C$26,2))</f>
        <v>0</v>
      </c>
      <c r="AA391" s="38">
        <f>IF($AB390&lt;=0,0,MIN($AB390,IF(Übersicht!$C$14="Annuitätendarlehen",MAX(0,Übersicht!$C$28-$Z391),IF(Übersicht!$C$14="Ratendarlehen",Übersicht!$C$29,IF($A391&gt;=Übersicht!$C$30,$AB390,0)))))</f>
        <v>0</v>
      </c>
      <c r="AB391" s="38">
        <f>IF($AB390&lt;=0,0,ROUND($AB390-$AA391-IF($AB390-$AA391&lt;=0,0,IF(MOD($A391,Übersicht!$C$25)=0,MIN(Szenarien!$C$11,$AB390-$AA391),0)),2))</f>
        <v>0</v>
      </c>
      <c r="AC391" s="38">
        <f>IF($AE390&lt;=0,0,ROUND($AE390*Übersicht!$C$26,2))</f>
        <v>0</v>
      </c>
      <c r="AD391" s="38">
        <f>IF($AE390&lt;=0,0,MIN($AE390,IF(Übersicht!$C$14="Annuitätendarlehen",MAX(0,Übersicht!$C$28-$AC391),IF(Übersicht!$C$14="Ratendarlehen",Übersicht!$C$29,IF($A391&gt;=Übersicht!$C$30,$AE390,0)))))</f>
        <v>0</v>
      </c>
      <c r="AE391" s="38">
        <f>IF($AE390&lt;=0,0,ROUND($AE390-$AD391-IF($AE390-$AD391&lt;=0,0,IF(MOD($A391,Übersicht!$C$25)=0,MIN(Szenarien!$C$12,$AE390-$AD391),0)),2))</f>
        <v>0</v>
      </c>
    </row>
    <row r="392" spans="1:31" ht="15" customHeight="1" x14ac:dyDescent="0.25">
      <c r="A392" s="21">
        <v>385</v>
      </c>
      <c r="B392" s="36" t="str">
        <f>IF($D392&lt;=0,"",EDATE(Übersicht!$C$18,($A392-1)*12/Übersicht!$C$25))</f>
        <v/>
      </c>
      <c r="C392" s="21" t="str">
        <f t="shared" ref="C392:C455" si="42">IF($B392="","",YEAR($B392))</f>
        <v/>
      </c>
      <c r="D392" s="37">
        <f t="shared" si="39"/>
        <v>0</v>
      </c>
      <c r="E392" s="23">
        <f t="shared" ref="E392:E455" si="43">IF($D392&lt;=0,0,$F392+$G392)</f>
        <v>0</v>
      </c>
      <c r="F392" s="23">
        <f>IF($D392&lt;=0,0,ROUND($D392*Übersicht!$C$26,2))</f>
        <v>0</v>
      </c>
      <c r="G392" s="23">
        <f>IF($D392&lt;=0,0,MIN($D392,IF(Übersicht!$C$14="Annuitätendarlehen",MAX(0,Übersicht!$C$28-$F392),IF(Übersicht!$C$14="Ratendarlehen",Übersicht!$C$29,IF($A392&gt;=Übersicht!$C$30,$D392,0)))))</f>
        <v>0</v>
      </c>
      <c r="H392" s="23">
        <f>IF($D392-$G392&lt;=0,0,IF(MOD($A392,Übersicht!$C$25)=0,MIN(Übersicht!$C$31,$D392-$G392),0))</f>
        <v>0</v>
      </c>
      <c r="I392" s="23">
        <f t="shared" ref="I392:I455" si="44">IF($D392&lt;=0,0,$E392+$H392)</f>
        <v>0</v>
      </c>
      <c r="J392" s="23">
        <f t="shared" ref="J392:J455" si="45">IF($D392&lt;=0,0,ROUND($D392-$G392-$H392,2))</f>
        <v>0</v>
      </c>
      <c r="K392" s="23">
        <f t="shared" si="40"/>
        <v>80072.129999999961</v>
      </c>
      <c r="L392" s="23">
        <f t="shared" si="41"/>
        <v>250000</v>
      </c>
      <c r="M392" s="24" t="str">
        <f>IF($D392&lt;=0,"",IF(Übersicht!$C$11=0,0,$L392/Übersicht!$C$11))</f>
        <v/>
      </c>
      <c r="N392" s="25" t="str">
        <f>IF($D392&lt;=0,"",IF($J392&lt;=0.005,"Volltilgung erreicht",IF($A392=Übersicht!$C$19*Übersicht!$C$25,"Ende der Zinsbindung",IF($H392&gt;0,"Sondertilgung verrechnet",""))))</f>
        <v/>
      </c>
      <c r="Q392" s="38">
        <f>IF($S391&lt;=0,0,ROUND($S391*Übersicht!$C$26,2))</f>
        <v>0</v>
      </c>
      <c r="R392" s="38">
        <f>IF($S391&lt;=0,0,MIN($S391,IF(Übersicht!$C$14="Annuitätendarlehen",MAX(0,Übersicht!$C$28-$Q392),IF(Übersicht!$C$14="Ratendarlehen",Übersicht!$C$29,IF($A392&gt;=Übersicht!$C$30,$S391,0)))))</f>
        <v>0</v>
      </c>
      <c r="S392" s="38">
        <f>IF($S391&lt;=0,0,ROUND($S391-$R392-IF($S391-$R392&lt;=0,0,IF(MOD($A392,Übersicht!$C$25)=0,MIN(Szenarien!$C$8,$S391-$R392),0)),2))</f>
        <v>0</v>
      </c>
      <c r="T392" s="38">
        <f>IF($V391&lt;=0,0,ROUND($V391*Übersicht!$C$26,2))</f>
        <v>0</v>
      </c>
      <c r="U392" s="38">
        <f>IF($V391&lt;=0,0,MIN($V391,IF(Übersicht!$C$14="Annuitätendarlehen",MAX(0,Übersicht!$C$28-$T392),IF(Übersicht!$C$14="Ratendarlehen",Übersicht!$C$29,IF($A392&gt;=Übersicht!$C$30,$V391,0)))))</f>
        <v>0</v>
      </c>
      <c r="V392" s="38">
        <f>IF($V391&lt;=0,0,ROUND($V391-$U392-IF($V391-$U392&lt;=0,0,IF(MOD($A392,Übersicht!$C$25)=0,MIN(Szenarien!$C$9,$V391-$U392),0)),2))</f>
        <v>0</v>
      </c>
      <c r="W392" s="38">
        <f>IF($Y391&lt;=0,0,ROUND($Y391*Übersicht!$C$26,2))</f>
        <v>0</v>
      </c>
      <c r="X392" s="38">
        <f>IF($Y391&lt;=0,0,MIN($Y391,IF(Übersicht!$C$14="Annuitätendarlehen",MAX(0,Übersicht!$C$28-$W392),IF(Übersicht!$C$14="Ratendarlehen",Übersicht!$C$29,IF($A392&gt;=Übersicht!$C$30,$Y391,0)))))</f>
        <v>0</v>
      </c>
      <c r="Y392" s="38">
        <f>IF($Y391&lt;=0,0,ROUND($Y391-$X392-IF($Y391-$X392&lt;=0,0,IF(MOD($A392,Übersicht!$C$25)=0,MIN(Szenarien!$C$10,$Y391-$X392),0)),2))</f>
        <v>0</v>
      </c>
      <c r="Z392" s="38">
        <f>IF($AB391&lt;=0,0,ROUND($AB391*Übersicht!$C$26,2))</f>
        <v>0</v>
      </c>
      <c r="AA392" s="38">
        <f>IF($AB391&lt;=0,0,MIN($AB391,IF(Übersicht!$C$14="Annuitätendarlehen",MAX(0,Übersicht!$C$28-$Z392),IF(Übersicht!$C$14="Ratendarlehen",Übersicht!$C$29,IF($A392&gt;=Übersicht!$C$30,$AB391,0)))))</f>
        <v>0</v>
      </c>
      <c r="AB392" s="38">
        <f>IF($AB391&lt;=0,0,ROUND($AB391-$AA392-IF($AB391-$AA392&lt;=0,0,IF(MOD($A392,Übersicht!$C$25)=0,MIN(Szenarien!$C$11,$AB391-$AA392),0)),2))</f>
        <v>0</v>
      </c>
      <c r="AC392" s="38">
        <f>IF($AE391&lt;=0,0,ROUND($AE391*Übersicht!$C$26,2))</f>
        <v>0</v>
      </c>
      <c r="AD392" s="38">
        <f>IF($AE391&lt;=0,0,MIN($AE391,IF(Übersicht!$C$14="Annuitätendarlehen",MAX(0,Übersicht!$C$28-$AC392),IF(Übersicht!$C$14="Ratendarlehen",Übersicht!$C$29,IF($A392&gt;=Übersicht!$C$30,$AE391,0)))))</f>
        <v>0</v>
      </c>
      <c r="AE392" s="38">
        <f>IF($AE391&lt;=0,0,ROUND($AE391-$AD392-IF($AE391-$AD392&lt;=0,0,IF(MOD($A392,Übersicht!$C$25)=0,MIN(Szenarien!$C$12,$AE391-$AD392),0)),2))</f>
        <v>0</v>
      </c>
    </row>
    <row r="393" spans="1:31" ht="15" customHeight="1" x14ac:dyDescent="0.25">
      <c r="A393" s="26">
        <v>386</v>
      </c>
      <c r="B393" s="39" t="str">
        <f>IF($D393&lt;=0,"",EDATE(Übersicht!$C$18,($A393-1)*12/Übersicht!$C$25))</f>
        <v/>
      </c>
      <c r="C393" s="26" t="str">
        <f t="shared" si="42"/>
        <v/>
      </c>
      <c r="D393" s="40">
        <f t="shared" ref="D393:D456" si="46">$J392</f>
        <v>0</v>
      </c>
      <c r="E393" s="28">
        <f t="shared" si="43"/>
        <v>0</v>
      </c>
      <c r="F393" s="28">
        <f>IF($D393&lt;=0,0,ROUND($D393*Übersicht!$C$26,2))</f>
        <v>0</v>
      </c>
      <c r="G393" s="28">
        <f>IF($D393&lt;=0,0,MIN($D393,IF(Übersicht!$C$14="Annuitätendarlehen",MAX(0,Übersicht!$C$28-$F393),IF(Übersicht!$C$14="Ratendarlehen",Übersicht!$C$29,IF($A393&gt;=Übersicht!$C$30,$D393,0)))))</f>
        <v>0</v>
      </c>
      <c r="H393" s="28">
        <f>IF($D393-$G393&lt;=0,0,IF(MOD($A393,Übersicht!$C$25)=0,MIN(Übersicht!$C$31,$D393-$G393),0))</f>
        <v>0</v>
      </c>
      <c r="I393" s="28">
        <f t="shared" si="44"/>
        <v>0</v>
      </c>
      <c r="J393" s="28">
        <f t="shared" si="45"/>
        <v>0</v>
      </c>
      <c r="K393" s="28">
        <f t="shared" ref="K393:K456" si="47">$K392+$F393</f>
        <v>80072.129999999961</v>
      </c>
      <c r="L393" s="28">
        <f t="shared" ref="L393:L456" si="48">ROUND($L392+$G393+$H393,2)</f>
        <v>250000</v>
      </c>
      <c r="M393" s="29" t="str">
        <f>IF($D393&lt;=0,"",IF(Übersicht!$C$11=0,0,$L393/Übersicht!$C$11))</f>
        <v/>
      </c>
      <c r="N393" s="30" t="str">
        <f>IF($D393&lt;=0,"",IF($J393&lt;=0.005,"Volltilgung erreicht",IF($A393=Übersicht!$C$19*Übersicht!$C$25,"Ende der Zinsbindung",IF($H393&gt;0,"Sondertilgung verrechnet",""))))</f>
        <v/>
      </c>
      <c r="Q393" s="38">
        <f>IF($S392&lt;=0,0,ROUND($S392*Übersicht!$C$26,2))</f>
        <v>0</v>
      </c>
      <c r="R393" s="38">
        <f>IF($S392&lt;=0,0,MIN($S392,IF(Übersicht!$C$14="Annuitätendarlehen",MAX(0,Übersicht!$C$28-$Q393),IF(Übersicht!$C$14="Ratendarlehen",Übersicht!$C$29,IF($A393&gt;=Übersicht!$C$30,$S392,0)))))</f>
        <v>0</v>
      </c>
      <c r="S393" s="38">
        <f>IF($S392&lt;=0,0,ROUND($S392-$R393-IF($S392-$R393&lt;=0,0,IF(MOD($A393,Übersicht!$C$25)=0,MIN(Szenarien!$C$8,$S392-$R393),0)),2))</f>
        <v>0</v>
      </c>
      <c r="T393" s="38">
        <f>IF($V392&lt;=0,0,ROUND($V392*Übersicht!$C$26,2))</f>
        <v>0</v>
      </c>
      <c r="U393" s="38">
        <f>IF($V392&lt;=0,0,MIN($V392,IF(Übersicht!$C$14="Annuitätendarlehen",MAX(0,Übersicht!$C$28-$T393),IF(Übersicht!$C$14="Ratendarlehen",Übersicht!$C$29,IF($A393&gt;=Übersicht!$C$30,$V392,0)))))</f>
        <v>0</v>
      </c>
      <c r="V393" s="38">
        <f>IF($V392&lt;=0,0,ROUND($V392-$U393-IF($V392-$U393&lt;=0,0,IF(MOD($A393,Übersicht!$C$25)=0,MIN(Szenarien!$C$9,$V392-$U393),0)),2))</f>
        <v>0</v>
      </c>
      <c r="W393" s="38">
        <f>IF($Y392&lt;=0,0,ROUND($Y392*Übersicht!$C$26,2))</f>
        <v>0</v>
      </c>
      <c r="X393" s="38">
        <f>IF($Y392&lt;=0,0,MIN($Y392,IF(Übersicht!$C$14="Annuitätendarlehen",MAX(0,Übersicht!$C$28-$W393),IF(Übersicht!$C$14="Ratendarlehen",Übersicht!$C$29,IF($A393&gt;=Übersicht!$C$30,$Y392,0)))))</f>
        <v>0</v>
      </c>
      <c r="Y393" s="38">
        <f>IF($Y392&lt;=0,0,ROUND($Y392-$X393-IF($Y392-$X393&lt;=0,0,IF(MOD($A393,Übersicht!$C$25)=0,MIN(Szenarien!$C$10,$Y392-$X393),0)),2))</f>
        <v>0</v>
      </c>
      <c r="Z393" s="38">
        <f>IF($AB392&lt;=0,0,ROUND($AB392*Übersicht!$C$26,2))</f>
        <v>0</v>
      </c>
      <c r="AA393" s="38">
        <f>IF($AB392&lt;=0,0,MIN($AB392,IF(Übersicht!$C$14="Annuitätendarlehen",MAX(0,Übersicht!$C$28-$Z393),IF(Übersicht!$C$14="Ratendarlehen",Übersicht!$C$29,IF($A393&gt;=Übersicht!$C$30,$AB392,0)))))</f>
        <v>0</v>
      </c>
      <c r="AB393" s="38">
        <f>IF($AB392&lt;=0,0,ROUND($AB392-$AA393-IF($AB392-$AA393&lt;=0,0,IF(MOD($A393,Übersicht!$C$25)=0,MIN(Szenarien!$C$11,$AB392-$AA393),0)),2))</f>
        <v>0</v>
      </c>
      <c r="AC393" s="38">
        <f>IF($AE392&lt;=0,0,ROUND($AE392*Übersicht!$C$26,2))</f>
        <v>0</v>
      </c>
      <c r="AD393" s="38">
        <f>IF($AE392&lt;=0,0,MIN($AE392,IF(Übersicht!$C$14="Annuitätendarlehen",MAX(0,Übersicht!$C$28-$AC393),IF(Übersicht!$C$14="Ratendarlehen",Übersicht!$C$29,IF($A393&gt;=Übersicht!$C$30,$AE392,0)))))</f>
        <v>0</v>
      </c>
      <c r="AE393" s="38">
        <f>IF($AE392&lt;=0,0,ROUND($AE392-$AD393-IF($AE392-$AD393&lt;=0,0,IF(MOD($A393,Übersicht!$C$25)=0,MIN(Szenarien!$C$12,$AE392-$AD393),0)),2))</f>
        <v>0</v>
      </c>
    </row>
    <row r="394" spans="1:31" ht="15" customHeight="1" x14ac:dyDescent="0.25">
      <c r="A394" s="21">
        <v>387</v>
      </c>
      <c r="B394" s="36" t="str">
        <f>IF($D394&lt;=0,"",EDATE(Übersicht!$C$18,($A394-1)*12/Übersicht!$C$25))</f>
        <v/>
      </c>
      <c r="C394" s="21" t="str">
        <f t="shared" si="42"/>
        <v/>
      </c>
      <c r="D394" s="37">
        <f t="shared" si="46"/>
        <v>0</v>
      </c>
      <c r="E394" s="23">
        <f t="shared" si="43"/>
        <v>0</v>
      </c>
      <c r="F394" s="23">
        <f>IF($D394&lt;=0,0,ROUND($D394*Übersicht!$C$26,2))</f>
        <v>0</v>
      </c>
      <c r="G394" s="23">
        <f>IF($D394&lt;=0,0,MIN($D394,IF(Übersicht!$C$14="Annuitätendarlehen",MAX(0,Übersicht!$C$28-$F394),IF(Übersicht!$C$14="Ratendarlehen",Übersicht!$C$29,IF($A394&gt;=Übersicht!$C$30,$D394,0)))))</f>
        <v>0</v>
      </c>
      <c r="H394" s="23">
        <f>IF($D394-$G394&lt;=0,0,IF(MOD($A394,Übersicht!$C$25)=0,MIN(Übersicht!$C$31,$D394-$G394),0))</f>
        <v>0</v>
      </c>
      <c r="I394" s="23">
        <f t="shared" si="44"/>
        <v>0</v>
      </c>
      <c r="J394" s="23">
        <f t="shared" si="45"/>
        <v>0</v>
      </c>
      <c r="K394" s="23">
        <f t="shared" si="47"/>
        <v>80072.129999999961</v>
      </c>
      <c r="L394" s="23">
        <f t="shared" si="48"/>
        <v>250000</v>
      </c>
      <c r="M394" s="24" t="str">
        <f>IF($D394&lt;=0,"",IF(Übersicht!$C$11=0,0,$L394/Übersicht!$C$11))</f>
        <v/>
      </c>
      <c r="N394" s="25" t="str">
        <f>IF($D394&lt;=0,"",IF($J394&lt;=0.005,"Volltilgung erreicht",IF($A394=Übersicht!$C$19*Übersicht!$C$25,"Ende der Zinsbindung",IF($H394&gt;0,"Sondertilgung verrechnet",""))))</f>
        <v/>
      </c>
      <c r="Q394" s="38">
        <f>IF($S393&lt;=0,0,ROUND($S393*Übersicht!$C$26,2))</f>
        <v>0</v>
      </c>
      <c r="R394" s="38">
        <f>IF($S393&lt;=0,0,MIN($S393,IF(Übersicht!$C$14="Annuitätendarlehen",MAX(0,Übersicht!$C$28-$Q394),IF(Übersicht!$C$14="Ratendarlehen",Übersicht!$C$29,IF($A394&gt;=Übersicht!$C$30,$S393,0)))))</f>
        <v>0</v>
      </c>
      <c r="S394" s="38">
        <f>IF($S393&lt;=0,0,ROUND($S393-$R394-IF($S393-$R394&lt;=0,0,IF(MOD($A394,Übersicht!$C$25)=0,MIN(Szenarien!$C$8,$S393-$R394),0)),2))</f>
        <v>0</v>
      </c>
      <c r="T394" s="38">
        <f>IF($V393&lt;=0,0,ROUND($V393*Übersicht!$C$26,2))</f>
        <v>0</v>
      </c>
      <c r="U394" s="38">
        <f>IF($V393&lt;=0,0,MIN($V393,IF(Übersicht!$C$14="Annuitätendarlehen",MAX(0,Übersicht!$C$28-$T394),IF(Übersicht!$C$14="Ratendarlehen",Übersicht!$C$29,IF($A394&gt;=Übersicht!$C$30,$V393,0)))))</f>
        <v>0</v>
      </c>
      <c r="V394" s="38">
        <f>IF($V393&lt;=0,0,ROUND($V393-$U394-IF($V393-$U394&lt;=0,0,IF(MOD($A394,Übersicht!$C$25)=0,MIN(Szenarien!$C$9,$V393-$U394),0)),2))</f>
        <v>0</v>
      </c>
      <c r="W394" s="38">
        <f>IF($Y393&lt;=0,0,ROUND($Y393*Übersicht!$C$26,2))</f>
        <v>0</v>
      </c>
      <c r="X394" s="38">
        <f>IF($Y393&lt;=0,0,MIN($Y393,IF(Übersicht!$C$14="Annuitätendarlehen",MAX(0,Übersicht!$C$28-$W394),IF(Übersicht!$C$14="Ratendarlehen",Übersicht!$C$29,IF($A394&gt;=Übersicht!$C$30,$Y393,0)))))</f>
        <v>0</v>
      </c>
      <c r="Y394" s="38">
        <f>IF($Y393&lt;=0,0,ROUND($Y393-$X394-IF($Y393-$X394&lt;=0,0,IF(MOD($A394,Übersicht!$C$25)=0,MIN(Szenarien!$C$10,$Y393-$X394),0)),2))</f>
        <v>0</v>
      </c>
      <c r="Z394" s="38">
        <f>IF($AB393&lt;=0,0,ROUND($AB393*Übersicht!$C$26,2))</f>
        <v>0</v>
      </c>
      <c r="AA394" s="38">
        <f>IF($AB393&lt;=0,0,MIN($AB393,IF(Übersicht!$C$14="Annuitätendarlehen",MAX(0,Übersicht!$C$28-$Z394),IF(Übersicht!$C$14="Ratendarlehen",Übersicht!$C$29,IF($A394&gt;=Übersicht!$C$30,$AB393,0)))))</f>
        <v>0</v>
      </c>
      <c r="AB394" s="38">
        <f>IF($AB393&lt;=0,0,ROUND($AB393-$AA394-IF($AB393-$AA394&lt;=0,0,IF(MOD($A394,Übersicht!$C$25)=0,MIN(Szenarien!$C$11,$AB393-$AA394),0)),2))</f>
        <v>0</v>
      </c>
      <c r="AC394" s="38">
        <f>IF($AE393&lt;=0,0,ROUND($AE393*Übersicht!$C$26,2))</f>
        <v>0</v>
      </c>
      <c r="AD394" s="38">
        <f>IF($AE393&lt;=0,0,MIN($AE393,IF(Übersicht!$C$14="Annuitätendarlehen",MAX(0,Übersicht!$C$28-$AC394),IF(Übersicht!$C$14="Ratendarlehen",Übersicht!$C$29,IF($A394&gt;=Übersicht!$C$30,$AE393,0)))))</f>
        <v>0</v>
      </c>
      <c r="AE394" s="38">
        <f>IF($AE393&lt;=0,0,ROUND($AE393-$AD394-IF($AE393-$AD394&lt;=0,0,IF(MOD($A394,Übersicht!$C$25)=0,MIN(Szenarien!$C$12,$AE393-$AD394),0)),2))</f>
        <v>0</v>
      </c>
    </row>
    <row r="395" spans="1:31" ht="15" customHeight="1" x14ac:dyDescent="0.25">
      <c r="A395" s="26">
        <v>388</v>
      </c>
      <c r="B395" s="39" t="str">
        <f>IF($D395&lt;=0,"",EDATE(Übersicht!$C$18,($A395-1)*12/Übersicht!$C$25))</f>
        <v/>
      </c>
      <c r="C395" s="26" t="str">
        <f t="shared" si="42"/>
        <v/>
      </c>
      <c r="D395" s="40">
        <f t="shared" si="46"/>
        <v>0</v>
      </c>
      <c r="E395" s="28">
        <f t="shared" si="43"/>
        <v>0</v>
      </c>
      <c r="F395" s="28">
        <f>IF($D395&lt;=0,0,ROUND($D395*Übersicht!$C$26,2))</f>
        <v>0</v>
      </c>
      <c r="G395" s="28">
        <f>IF($D395&lt;=0,0,MIN($D395,IF(Übersicht!$C$14="Annuitätendarlehen",MAX(0,Übersicht!$C$28-$F395),IF(Übersicht!$C$14="Ratendarlehen",Übersicht!$C$29,IF($A395&gt;=Übersicht!$C$30,$D395,0)))))</f>
        <v>0</v>
      </c>
      <c r="H395" s="28">
        <f>IF($D395-$G395&lt;=0,0,IF(MOD($A395,Übersicht!$C$25)=0,MIN(Übersicht!$C$31,$D395-$G395),0))</f>
        <v>0</v>
      </c>
      <c r="I395" s="28">
        <f t="shared" si="44"/>
        <v>0</v>
      </c>
      <c r="J395" s="28">
        <f t="shared" si="45"/>
        <v>0</v>
      </c>
      <c r="K395" s="28">
        <f t="shared" si="47"/>
        <v>80072.129999999961</v>
      </c>
      <c r="L395" s="28">
        <f t="shared" si="48"/>
        <v>250000</v>
      </c>
      <c r="M395" s="29" t="str">
        <f>IF($D395&lt;=0,"",IF(Übersicht!$C$11=0,0,$L395/Übersicht!$C$11))</f>
        <v/>
      </c>
      <c r="N395" s="30" t="str">
        <f>IF($D395&lt;=0,"",IF($J395&lt;=0.005,"Volltilgung erreicht",IF($A395=Übersicht!$C$19*Übersicht!$C$25,"Ende der Zinsbindung",IF($H395&gt;0,"Sondertilgung verrechnet",""))))</f>
        <v/>
      </c>
      <c r="Q395" s="38">
        <f>IF($S394&lt;=0,0,ROUND($S394*Übersicht!$C$26,2))</f>
        <v>0</v>
      </c>
      <c r="R395" s="38">
        <f>IF($S394&lt;=0,0,MIN($S394,IF(Übersicht!$C$14="Annuitätendarlehen",MAX(0,Übersicht!$C$28-$Q395),IF(Übersicht!$C$14="Ratendarlehen",Übersicht!$C$29,IF($A395&gt;=Übersicht!$C$30,$S394,0)))))</f>
        <v>0</v>
      </c>
      <c r="S395" s="38">
        <f>IF($S394&lt;=0,0,ROUND($S394-$R395-IF($S394-$R395&lt;=0,0,IF(MOD($A395,Übersicht!$C$25)=0,MIN(Szenarien!$C$8,$S394-$R395),0)),2))</f>
        <v>0</v>
      </c>
      <c r="T395" s="38">
        <f>IF($V394&lt;=0,0,ROUND($V394*Übersicht!$C$26,2))</f>
        <v>0</v>
      </c>
      <c r="U395" s="38">
        <f>IF($V394&lt;=0,0,MIN($V394,IF(Übersicht!$C$14="Annuitätendarlehen",MAX(0,Übersicht!$C$28-$T395),IF(Übersicht!$C$14="Ratendarlehen",Übersicht!$C$29,IF($A395&gt;=Übersicht!$C$30,$V394,0)))))</f>
        <v>0</v>
      </c>
      <c r="V395" s="38">
        <f>IF($V394&lt;=0,0,ROUND($V394-$U395-IF($V394-$U395&lt;=0,0,IF(MOD($A395,Übersicht!$C$25)=0,MIN(Szenarien!$C$9,$V394-$U395),0)),2))</f>
        <v>0</v>
      </c>
      <c r="W395" s="38">
        <f>IF($Y394&lt;=0,0,ROUND($Y394*Übersicht!$C$26,2))</f>
        <v>0</v>
      </c>
      <c r="X395" s="38">
        <f>IF($Y394&lt;=0,0,MIN($Y394,IF(Übersicht!$C$14="Annuitätendarlehen",MAX(0,Übersicht!$C$28-$W395),IF(Übersicht!$C$14="Ratendarlehen",Übersicht!$C$29,IF($A395&gt;=Übersicht!$C$30,$Y394,0)))))</f>
        <v>0</v>
      </c>
      <c r="Y395" s="38">
        <f>IF($Y394&lt;=0,0,ROUND($Y394-$X395-IF($Y394-$X395&lt;=0,0,IF(MOD($A395,Übersicht!$C$25)=0,MIN(Szenarien!$C$10,$Y394-$X395),0)),2))</f>
        <v>0</v>
      </c>
      <c r="Z395" s="38">
        <f>IF($AB394&lt;=0,0,ROUND($AB394*Übersicht!$C$26,2))</f>
        <v>0</v>
      </c>
      <c r="AA395" s="38">
        <f>IF($AB394&lt;=0,0,MIN($AB394,IF(Übersicht!$C$14="Annuitätendarlehen",MAX(0,Übersicht!$C$28-$Z395),IF(Übersicht!$C$14="Ratendarlehen",Übersicht!$C$29,IF($A395&gt;=Übersicht!$C$30,$AB394,0)))))</f>
        <v>0</v>
      </c>
      <c r="AB395" s="38">
        <f>IF($AB394&lt;=0,0,ROUND($AB394-$AA395-IF($AB394-$AA395&lt;=0,0,IF(MOD($A395,Übersicht!$C$25)=0,MIN(Szenarien!$C$11,$AB394-$AA395),0)),2))</f>
        <v>0</v>
      </c>
      <c r="AC395" s="38">
        <f>IF($AE394&lt;=0,0,ROUND($AE394*Übersicht!$C$26,2))</f>
        <v>0</v>
      </c>
      <c r="AD395" s="38">
        <f>IF($AE394&lt;=0,0,MIN($AE394,IF(Übersicht!$C$14="Annuitätendarlehen",MAX(0,Übersicht!$C$28-$AC395),IF(Übersicht!$C$14="Ratendarlehen",Übersicht!$C$29,IF($A395&gt;=Übersicht!$C$30,$AE394,0)))))</f>
        <v>0</v>
      </c>
      <c r="AE395" s="38">
        <f>IF($AE394&lt;=0,0,ROUND($AE394-$AD395-IF($AE394-$AD395&lt;=0,0,IF(MOD($A395,Übersicht!$C$25)=0,MIN(Szenarien!$C$12,$AE394-$AD395),0)),2))</f>
        <v>0</v>
      </c>
    </row>
    <row r="396" spans="1:31" ht="15" customHeight="1" x14ac:dyDescent="0.25">
      <c r="A396" s="21">
        <v>389</v>
      </c>
      <c r="B396" s="36" t="str">
        <f>IF($D396&lt;=0,"",EDATE(Übersicht!$C$18,($A396-1)*12/Übersicht!$C$25))</f>
        <v/>
      </c>
      <c r="C396" s="21" t="str">
        <f t="shared" si="42"/>
        <v/>
      </c>
      <c r="D396" s="37">
        <f t="shared" si="46"/>
        <v>0</v>
      </c>
      <c r="E396" s="23">
        <f t="shared" si="43"/>
        <v>0</v>
      </c>
      <c r="F396" s="23">
        <f>IF($D396&lt;=0,0,ROUND($D396*Übersicht!$C$26,2))</f>
        <v>0</v>
      </c>
      <c r="G396" s="23">
        <f>IF($D396&lt;=0,0,MIN($D396,IF(Übersicht!$C$14="Annuitätendarlehen",MAX(0,Übersicht!$C$28-$F396),IF(Übersicht!$C$14="Ratendarlehen",Übersicht!$C$29,IF($A396&gt;=Übersicht!$C$30,$D396,0)))))</f>
        <v>0</v>
      </c>
      <c r="H396" s="23">
        <f>IF($D396-$G396&lt;=0,0,IF(MOD($A396,Übersicht!$C$25)=0,MIN(Übersicht!$C$31,$D396-$G396),0))</f>
        <v>0</v>
      </c>
      <c r="I396" s="23">
        <f t="shared" si="44"/>
        <v>0</v>
      </c>
      <c r="J396" s="23">
        <f t="shared" si="45"/>
        <v>0</v>
      </c>
      <c r="K396" s="23">
        <f t="shared" si="47"/>
        <v>80072.129999999961</v>
      </c>
      <c r="L396" s="23">
        <f t="shared" si="48"/>
        <v>250000</v>
      </c>
      <c r="M396" s="24" t="str">
        <f>IF($D396&lt;=0,"",IF(Übersicht!$C$11=0,0,$L396/Übersicht!$C$11))</f>
        <v/>
      </c>
      <c r="N396" s="25" t="str">
        <f>IF($D396&lt;=0,"",IF($J396&lt;=0.005,"Volltilgung erreicht",IF($A396=Übersicht!$C$19*Übersicht!$C$25,"Ende der Zinsbindung",IF($H396&gt;0,"Sondertilgung verrechnet",""))))</f>
        <v/>
      </c>
      <c r="Q396" s="38">
        <f>IF($S395&lt;=0,0,ROUND($S395*Übersicht!$C$26,2))</f>
        <v>0</v>
      </c>
      <c r="R396" s="38">
        <f>IF($S395&lt;=0,0,MIN($S395,IF(Übersicht!$C$14="Annuitätendarlehen",MAX(0,Übersicht!$C$28-$Q396),IF(Übersicht!$C$14="Ratendarlehen",Übersicht!$C$29,IF($A396&gt;=Übersicht!$C$30,$S395,0)))))</f>
        <v>0</v>
      </c>
      <c r="S396" s="38">
        <f>IF($S395&lt;=0,0,ROUND($S395-$R396-IF($S395-$R396&lt;=0,0,IF(MOD($A396,Übersicht!$C$25)=0,MIN(Szenarien!$C$8,$S395-$R396),0)),2))</f>
        <v>0</v>
      </c>
      <c r="T396" s="38">
        <f>IF($V395&lt;=0,0,ROUND($V395*Übersicht!$C$26,2))</f>
        <v>0</v>
      </c>
      <c r="U396" s="38">
        <f>IF($V395&lt;=0,0,MIN($V395,IF(Übersicht!$C$14="Annuitätendarlehen",MAX(0,Übersicht!$C$28-$T396),IF(Übersicht!$C$14="Ratendarlehen",Übersicht!$C$29,IF($A396&gt;=Übersicht!$C$30,$V395,0)))))</f>
        <v>0</v>
      </c>
      <c r="V396" s="38">
        <f>IF($V395&lt;=0,0,ROUND($V395-$U396-IF($V395-$U396&lt;=0,0,IF(MOD($A396,Übersicht!$C$25)=0,MIN(Szenarien!$C$9,$V395-$U396),0)),2))</f>
        <v>0</v>
      </c>
      <c r="W396" s="38">
        <f>IF($Y395&lt;=0,0,ROUND($Y395*Übersicht!$C$26,2))</f>
        <v>0</v>
      </c>
      <c r="X396" s="38">
        <f>IF($Y395&lt;=0,0,MIN($Y395,IF(Übersicht!$C$14="Annuitätendarlehen",MAX(0,Übersicht!$C$28-$W396),IF(Übersicht!$C$14="Ratendarlehen",Übersicht!$C$29,IF($A396&gt;=Übersicht!$C$30,$Y395,0)))))</f>
        <v>0</v>
      </c>
      <c r="Y396" s="38">
        <f>IF($Y395&lt;=0,0,ROUND($Y395-$X396-IF($Y395-$X396&lt;=0,0,IF(MOD($A396,Übersicht!$C$25)=0,MIN(Szenarien!$C$10,$Y395-$X396),0)),2))</f>
        <v>0</v>
      </c>
      <c r="Z396" s="38">
        <f>IF($AB395&lt;=0,0,ROUND($AB395*Übersicht!$C$26,2))</f>
        <v>0</v>
      </c>
      <c r="AA396" s="38">
        <f>IF($AB395&lt;=0,0,MIN($AB395,IF(Übersicht!$C$14="Annuitätendarlehen",MAX(0,Übersicht!$C$28-$Z396),IF(Übersicht!$C$14="Ratendarlehen",Übersicht!$C$29,IF($A396&gt;=Übersicht!$C$30,$AB395,0)))))</f>
        <v>0</v>
      </c>
      <c r="AB396" s="38">
        <f>IF($AB395&lt;=0,0,ROUND($AB395-$AA396-IF($AB395-$AA396&lt;=0,0,IF(MOD($A396,Übersicht!$C$25)=0,MIN(Szenarien!$C$11,$AB395-$AA396),0)),2))</f>
        <v>0</v>
      </c>
      <c r="AC396" s="38">
        <f>IF($AE395&lt;=0,0,ROUND($AE395*Übersicht!$C$26,2))</f>
        <v>0</v>
      </c>
      <c r="AD396" s="38">
        <f>IF($AE395&lt;=0,0,MIN($AE395,IF(Übersicht!$C$14="Annuitätendarlehen",MAX(0,Übersicht!$C$28-$AC396),IF(Übersicht!$C$14="Ratendarlehen",Übersicht!$C$29,IF($A396&gt;=Übersicht!$C$30,$AE395,0)))))</f>
        <v>0</v>
      </c>
      <c r="AE396" s="38">
        <f>IF($AE395&lt;=0,0,ROUND($AE395-$AD396-IF($AE395-$AD396&lt;=0,0,IF(MOD($A396,Übersicht!$C$25)=0,MIN(Szenarien!$C$12,$AE395-$AD396),0)),2))</f>
        <v>0</v>
      </c>
    </row>
    <row r="397" spans="1:31" ht="15" customHeight="1" x14ac:dyDescent="0.25">
      <c r="A397" s="26">
        <v>390</v>
      </c>
      <c r="B397" s="39" t="str">
        <f>IF($D397&lt;=0,"",EDATE(Übersicht!$C$18,($A397-1)*12/Übersicht!$C$25))</f>
        <v/>
      </c>
      <c r="C397" s="26" t="str">
        <f t="shared" si="42"/>
        <v/>
      </c>
      <c r="D397" s="40">
        <f t="shared" si="46"/>
        <v>0</v>
      </c>
      <c r="E397" s="28">
        <f t="shared" si="43"/>
        <v>0</v>
      </c>
      <c r="F397" s="28">
        <f>IF($D397&lt;=0,0,ROUND($D397*Übersicht!$C$26,2))</f>
        <v>0</v>
      </c>
      <c r="G397" s="28">
        <f>IF($D397&lt;=0,0,MIN($D397,IF(Übersicht!$C$14="Annuitätendarlehen",MAX(0,Übersicht!$C$28-$F397),IF(Übersicht!$C$14="Ratendarlehen",Übersicht!$C$29,IF($A397&gt;=Übersicht!$C$30,$D397,0)))))</f>
        <v>0</v>
      </c>
      <c r="H397" s="28">
        <f>IF($D397-$G397&lt;=0,0,IF(MOD($A397,Übersicht!$C$25)=0,MIN(Übersicht!$C$31,$D397-$G397),0))</f>
        <v>0</v>
      </c>
      <c r="I397" s="28">
        <f t="shared" si="44"/>
        <v>0</v>
      </c>
      <c r="J397" s="28">
        <f t="shared" si="45"/>
        <v>0</v>
      </c>
      <c r="K397" s="28">
        <f t="shared" si="47"/>
        <v>80072.129999999961</v>
      </c>
      <c r="L397" s="28">
        <f t="shared" si="48"/>
        <v>250000</v>
      </c>
      <c r="M397" s="29" t="str">
        <f>IF($D397&lt;=0,"",IF(Übersicht!$C$11=0,0,$L397/Übersicht!$C$11))</f>
        <v/>
      </c>
      <c r="N397" s="30" t="str">
        <f>IF($D397&lt;=0,"",IF($J397&lt;=0.005,"Volltilgung erreicht",IF($A397=Übersicht!$C$19*Übersicht!$C$25,"Ende der Zinsbindung",IF($H397&gt;0,"Sondertilgung verrechnet",""))))</f>
        <v/>
      </c>
      <c r="Q397" s="38">
        <f>IF($S396&lt;=0,0,ROUND($S396*Übersicht!$C$26,2))</f>
        <v>0</v>
      </c>
      <c r="R397" s="38">
        <f>IF($S396&lt;=0,0,MIN($S396,IF(Übersicht!$C$14="Annuitätendarlehen",MAX(0,Übersicht!$C$28-$Q397),IF(Übersicht!$C$14="Ratendarlehen",Übersicht!$C$29,IF($A397&gt;=Übersicht!$C$30,$S396,0)))))</f>
        <v>0</v>
      </c>
      <c r="S397" s="38">
        <f>IF($S396&lt;=0,0,ROUND($S396-$R397-IF($S396-$R397&lt;=0,0,IF(MOD($A397,Übersicht!$C$25)=0,MIN(Szenarien!$C$8,$S396-$R397),0)),2))</f>
        <v>0</v>
      </c>
      <c r="T397" s="38">
        <f>IF($V396&lt;=0,0,ROUND($V396*Übersicht!$C$26,2))</f>
        <v>0</v>
      </c>
      <c r="U397" s="38">
        <f>IF($V396&lt;=0,0,MIN($V396,IF(Übersicht!$C$14="Annuitätendarlehen",MAX(0,Übersicht!$C$28-$T397),IF(Übersicht!$C$14="Ratendarlehen",Übersicht!$C$29,IF($A397&gt;=Übersicht!$C$30,$V396,0)))))</f>
        <v>0</v>
      </c>
      <c r="V397" s="38">
        <f>IF($V396&lt;=0,0,ROUND($V396-$U397-IF($V396-$U397&lt;=0,0,IF(MOD($A397,Übersicht!$C$25)=0,MIN(Szenarien!$C$9,$V396-$U397),0)),2))</f>
        <v>0</v>
      </c>
      <c r="W397" s="38">
        <f>IF($Y396&lt;=0,0,ROUND($Y396*Übersicht!$C$26,2))</f>
        <v>0</v>
      </c>
      <c r="X397" s="38">
        <f>IF($Y396&lt;=0,0,MIN($Y396,IF(Übersicht!$C$14="Annuitätendarlehen",MAX(0,Übersicht!$C$28-$W397),IF(Übersicht!$C$14="Ratendarlehen",Übersicht!$C$29,IF($A397&gt;=Übersicht!$C$30,$Y396,0)))))</f>
        <v>0</v>
      </c>
      <c r="Y397" s="38">
        <f>IF($Y396&lt;=0,0,ROUND($Y396-$X397-IF($Y396-$X397&lt;=0,0,IF(MOD($A397,Übersicht!$C$25)=0,MIN(Szenarien!$C$10,$Y396-$X397),0)),2))</f>
        <v>0</v>
      </c>
      <c r="Z397" s="38">
        <f>IF($AB396&lt;=0,0,ROUND($AB396*Übersicht!$C$26,2))</f>
        <v>0</v>
      </c>
      <c r="AA397" s="38">
        <f>IF($AB396&lt;=0,0,MIN($AB396,IF(Übersicht!$C$14="Annuitätendarlehen",MAX(0,Übersicht!$C$28-$Z397),IF(Übersicht!$C$14="Ratendarlehen",Übersicht!$C$29,IF($A397&gt;=Übersicht!$C$30,$AB396,0)))))</f>
        <v>0</v>
      </c>
      <c r="AB397" s="38">
        <f>IF($AB396&lt;=0,0,ROUND($AB396-$AA397-IF($AB396-$AA397&lt;=0,0,IF(MOD($A397,Übersicht!$C$25)=0,MIN(Szenarien!$C$11,$AB396-$AA397),0)),2))</f>
        <v>0</v>
      </c>
      <c r="AC397" s="38">
        <f>IF($AE396&lt;=0,0,ROUND($AE396*Übersicht!$C$26,2))</f>
        <v>0</v>
      </c>
      <c r="AD397" s="38">
        <f>IF($AE396&lt;=0,0,MIN($AE396,IF(Übersicht!$C$14="Annuitätendarlehen",MAX(0,Übersicht!$C$28-$AC397),IF(Übersicht!$C$14="Ratendarlehen",Übersicht!$C$29,IF($A397&gt;=Übersicht!$C$30,$AE396,0)))))</f>
        <v>0</v>
      </c>
      <c r="AE397" s="38">
        <f>IF($AE396&lt;=0,0,ROUND($AE396-$AD397-IF($AE396-$AD397&lt;=0,0,IF(MOD($A397,Übersicht!$C$25)=0,MIN(Szenarien!$C$12,$AE396-$AD397),0)),2))</f>
        <v>0</v>
      </c>
    </row>
    <row r="398" spans="1:31" ht="15" customHeight="1" x14ac:dyDescent="0.25">
      <c r="A398" s="21">
        <v>391</v>
      </c>
      <c r="B398" s="36" t="str">
        <f>IF($D398&lt;=0,"",EDATE(Übersicht!$C$18,($A398-1)*12/Übersicht!$C$25))</f>
        <v/>
      </c>
      <c r="C398" s="21" t="str">
        <f t="shared" si="42"/>
        <v/>
      </c>
      <c r="D398" s="37">
        <f t="shared" si="46"/>
        <v>0</v>
      </c>
      <c r="E398" s="23">
        <f t="shared" si="43"/>
        <v>0</v>
      </c>
      <c r="F398" s="23">
        <f>IF($D398&lt;=0,0,ROUND($D398*Übersicht!$C$26,2))</f>
        <v>0</v>
      </c>
      <c r="G398" s="23">
        <f>IF($D398&lt;=0,0,MIN($D398,IF(Übersicht!$C$14="Annuitätendarlehen",MAX(0,Übersicht!$C$28-$F398),IF(Übersicht!$C$14="Ratendarlehen",Übersicht!$C$29,IF($A398&gt;=Übersicht!$C$30,$D398,0)))))</f>
        <v>0</v>
      </c>
      <c r="H398" s="23">
        <f>IF($D398-$G398&lt;=0,0,IF(MOD($A398,Übersicht!$C$25)=0,MIN(Übersicht!$C$31,$D398-$G398),0))</f>
        <v>0</v>
      </c>
      <c r="I398" s="23">
        <f t="shared" si="44"/>
        <v>0</v>
      </c>
      <c r="J398" s="23">
        <f t="shared" si="45"/>
        <v>0</v>
      </c>
      <c r="K398" s="23">
        <f t="shared" si="47"/>
        <v>80072.129999999961</v>
      </c>
      <c r="L398" s="23">
        <f t="shared" si="48"/>
        <v>250000</v>
      </c>
      <c r="M398" s="24" t="str">
        <f>IF($D398&lt;=0,"",IF(Übersicht!$C$11=0,0,$L398/Übersicht!$C$11))</f>
        <v/>
      </c>
      <c r="N398" s="25" t="str">
        <f>IF($D398&lt;=0,"",IF($J398&lt;=0.005,"Volltilgung erreicht",IF($A398=Übersicht!$C$19*Übersicht!$C$25,"Ende der Zinsbindung",IF($H398&gt;0,"Sondertilgung verrechnet",""))))</f>
        <v/>
      </c>
      <c r="Q398" s="38">
        <f>IF($S397&lt;=0,0,ROUND($S397*Übersicht!$C$26,2))</f>
        <v>0</v>
      </c>
      <c r="R398" s="38">
        <f>IF($S397&lt;=0,0,MIN($S397,IF(Übersicht!$C$14="Annuitätendarlehen",MAX(0,Übersicht!$C$28-$Q398),IF(Übersicht!$C$14="Ratendarlehen",Übersicht!$C$29,IF($A398&gt;=Übersicht!$C$30,$S397,0)))))</f>
        <v>0</v>
      </c>
      <c r="S398" s="38">
        <f>IF($S397&lt;=0,0,ROUND($S397-$R398-IF($S397-$R398&lt;=0,0,IF(MOD($A398,Übersicht!$C$25)=0,MIN(Szenarien!$C$8,$S397-$R398),0)),2))</f>
        <v>0</v>
      </c>
      <c r="T398" s="38">
        <f>IF($V397&lt;=0,0,ROUND($V397*Übersicht!$C$26,2))</f>
        <v>0</v>
      </c>
      <c r="U398" s="38">
        <f>IF($V397&lt;=0,0,MIN($V397,IF(Übersicht!$C$14="Annuitätendarlehen",MAX(0,Übersicht!$C$28-$T398),IF(Übersicht!$C$14="Ratendarlehen",Übersicht!$C$29,IF($A398&gt;=Übersicht!$C$30,$V397,0)))))</f>
        <v>0</v>
      </c>
      <c r="V398" s="38">
        <f>IF($V397&lt;=0,0,ROUND($V397-$U398-IF($V397-$U398&lt;=0,0,IF(MOD($A398,Übersicht!$C$25)=0,MIN(Szenarien!$C$9,$V397-$U398),0)),2))</f>
        <v>0</v>
      </c>
      <c r="W398" s="38">
        <f>IF($Y397&lt;=0,0,ROUND($Y397*Übersicht!$C$26,2))</f>
        <v>0</v>
      </c>
      <c r="X398" s="38">
        <f>IF($Y397&lt;=0,0,MIN($Y397,IF(Übersicht!$C$14="Annuitätendarlehen",MAX(0,Übersicht!$C$28-$W398),IF(Übersicht!$C$14="Ratendarlehen",Übersicht!$C$29,IF($A398&gt;=Übersicht!$C$30,$Y397,0)))))</f>
        <v>0</v>
      </c>
      <c r="Y398" s="38">
        <f>IF($Y397&lt;=0,0,ROUND($Y397-$X398-IF($Y397-$X398&lt;=0,0,IF(MOD($A398,Übersicht!$C$25)=0,MIN(Szenarien!$C$10,$Y397-$X398),0)),2))</f>
        <v>0</v>
      </c>
      <c r="Z398" s="38">
        <f>IF($AB397&lt;=0,0,ROUND($AB397*Übersicht!$C$26,2))</f>
        <v>0</v>
      </c>
      <c r="AA398" s="38">
        <f>IF($AB397&lt;=0,0,MIN($AB397,IF(Übersicht!$C$14="Annuitätendarlehen",MAX(0,Übersicht!$C$28-$Z398),IF(Übersicht!$C$14="Ratendarlehen",Übersicht!$C$29,IF($A398&gt;=Übersicht!$C$30,$AB397,0)))))</f>
        <v>0</v>
      </c>
      <c r="AB398" s="38">
        <f>IF($AB397&lt;=0,0,ROUND($AB397-$AA398-IF($AB397-$AA398&lt;=0,0,IF(MOD($A398,Übersicht!$C$25)=0,MIN(Szenarien!$C$11,$AB397-$AA398),0)),2))</f>
        <v>0</v>
      </c>
      <c r="AC398" s="38">
        <f>IF($AE397&lt;=0,0,ROUND($AE397*Übersicht!$C$26,2))</f>
        <v>0</v>
      </c>
      <c r="AD398" s="38">
        <f>IF($AE397&lt;=0,0,MIN($AE397,IF(Übersicht!$C$14="Annuitätendarlehen",MAX(0,Übersicht!$C$28-$AC398),IF(Übersicht!$C$14="Ratendarlehen",Übersicht!$C$29,IF($A398&gt;=Übersicht!$C$30,$AE397,0)))))</f>
        <v>0</v>
      </c>
      <c r="AE398" s="38">
        <f>IF($AE397&lt;=0,0,ROUND($AE397-$AD398-IF($AE397-$AD398&lt;=0,0,IF(MOD($A398,Übersicht!$C$25)=0,MIN(Szenarien!$C$12,$AE397-$AD398),0)),2))</f>
        <v>0</v>
      </c>
    </row>
    <row r="399" spans="1:31" ht="15" customHeight="1" x14ac:dyDescent="0.25">
      <c r="A399" s="26">
        <v>392</v>
      </c>
      <c r="B399" s="39" t="str">
        <f>IF($D399&lt;=0,"",EDATE(Übersicht!$C$18,($A399-1)*12/Übersicht!$C$25))</f>
        <v/>
      </c>
      <c r="C399" s="26" t="str">
        <f t="shared" si="42"/>
        <v/>
      </c>
      <c r="D399" s="40">
        <f t="shared" si="46"/>
        <v>0</v>
      </c>
      <c r="E399" s="28">
        <f t="shared" si="43"/>
        <v>0</v>
      </c>
      <c r="F399" s="28">
        <f>IF($D399&lt;=0,0,ROUND($D399*Übersicht!$C$26,2))</f>
        <v>0</v>
      </c>
      <c r="G399" s="28">
        <f>IF($D399&lt;=0,0,MIN($D399,IF(Übersicht!$C$14="Annuitätendarlehen",MAX(0,Übersicht!$C$28-$F399),IF(Übersicht!$C$14="Ratendarlehen",Übersicht!$C$29,IF($A399&gt;=Übersicht!$C$30,$D399,0)))))</f>
        <v>0</v>
      </c>
      <c r="H399" s="28">
        <f>IF($D399-$G399&lt;=0,0,IF(MOD($A399,Übersicht!$C$25)=0,MIN(Übersicht!$C$31,$D399-$G399),0))</f>
        <v>0</v>
      </c>
      <c r="I399" s="28">
        <f t="shared" si="44"/>
        <v>0</v>
      </c>
      <c r="J399" s="28">
        <f t="shared" si="45"/>
        <v>0</v>
      </c>
      <c r="K399" s="28">
        <f t="shared" si="47"/>
        <v>80072.129999999961</v>
      </c>
      <c r="L399" s="28">
        <f t="shared" si="48"/>
        <v>250000</v>
      </c>
      <c r="M399" s="29" t="str">
        <f>IF($D399&lt;=0,"",IF(Übersicht!$C$11=0,0,$L399/Übersicht!$C$11))</f>
        <v/>
      </c>
      <c r="N399" s="30" t="str">
        <f>IF($D399&lt;=0,"",IF($J399&lt;=0.005,"Volltilgung erreicht",IF($A399=Übersicht!$C$19*Übersicht!$C$25,"Ende der Zinsbindung",IF($H399&gt;0,"Sondertilgung verrechnet",""))))</f>
        <v/>
      </c>
      <c r="Q399" s="38">
        <f>IF($S398&lt;=0,0,ROUND($S398*Übersicht!$C$26,2))</f>
        <v>0</v>
      </c>
      <c r="R399" s="38">
        <f>IF($S398&lt;=0,0,MIN($S398,IF(Übersicht!$C$14="Annuitätendarlehen",MAX(0,Übersicht!$C$28-$Q399),IF(Übersicht!$C$14="Ratendarlehen",Übersicht!$C$29,IF($A399&gt;=Übersicht!$C$30,$S398,0)))))</f>
        <v>0</v>
      </c>
      <c r="S399" s="38">
        <f>IF($S398&lt;=0,0,ROUND($S398-$R399-IF($S398-$R399&lt;=0,0,IF(MOD($A399,Übersicht!$C$25)=0,MIN(Szenarien!$C$8,$S398-$R399),0)),2))</f>
        <v>0</v>
      </c>
      <c r="T399" s="38">
        <f>IF($V398&lt;=0,0,ROUND($V398*Übersicht!$C$26,2))</f>
        <v>0</v>
      </c>
      <c r="U399" s="38">
        <f>IF($V398&lt;=0,0,MIN($V398,IF(Übersicht!$C$14="Annuitätendarlehen",MAX(0,Übersicht!$C$28-$T399),IF(Übersicht!$C$14="Ratendarlehen",Übersicht!$C$29,IF($A399&gt;=Übersicht!$C$30,$V398,0)))))</f>
        <v>0</v>
      </c>
      <c r="V399" s="38">
        <f>IF($V398&lt;=0,0,ROUND($V398-$U399-IF($V398-$U399&lt;=0,0,IF(MOD($A399,Übersicht!$C$25)=0,MIN(Szenarien!$C$9,$V398-$U399),0)),2))</f>
        <v>0</v>
      </c>
      <c r="W399" s="38">
        <f>IF($Y398&lt;=0,0,ROUND($Y398*Übersicht!$C$26,2))</f>
        <v>0</v>
      </c>
      <c r="X399" s="38">
        <f>IF($Y398&lt;=0,0,MIN($Y398,IF(Übersicht!$C$14="Annuitätendarlehen",MAX(0,Übersicht!$C$28-$W399),IF(Übersicht!$C$14="Ratendarlehen",Übersicht!$C$29,IF($A399&gt;=Übersicht!$C$30,$Y398,0)))))</f>
        <v>0</v>
      </c>
      <c r="Y399" s="38">
        <f>IF($Y398&lt;=0,0,ROUND($Y398-$X399-IF($Y398-$X399&lt;=0,0,IF(MOD($A399,Übersicht!$C$25)=0,MIN(Szenarien!$C$10,$Y398-$X399),0)),2))</f>
        <v>0</v>
      </c>
      <c r="Z399" s="38">
        <f>IF($AB398&lt;=0,0,ROUND($AB398*Übersicht!$C$26,2))</f>
        <v>0</v>
      </c>
      <c r="AA399" s="38">
        <f>IF($AB398&lt;=0,0,MIN($AB398,IF(Übersicht!$C$14="Annuitätendarlehen",MAX(0,Übersicht!$C$28-$Z399),IF(Übersicht!$C$14="Ratendarlehen",Übersicht!$C$29,IF($A399&gt;=Übersicht!$C$30,$AB398,0)))))</f>
        <v>0</v>
      </c>
      <c r="AB399" s="38">
        <f>IF($AB398&lt;=0,0,ROUND($AB398-$AA399-IF($AB398-$AA399&lt;=0,0,IF(MOD($A399,Übersicht!$C$25)=0,MIN(Szenarien!$C$11,$AB398-$AA399),0)),2))</f>
        <v>0</v>
      </c>
      <c r="AC399" s="38">
        <f>IF($AE398&lt;=0,0,ROUND($AE398*Übersicht!$C$26,2))</f>
        <v>0</v>
      </c>
      <c r="AD399" s="38">
        <f>IF($AE398&lt;=0,0,MIN($AE398,IF(Übersicht!$C$14="Annuitätendarlehen",MAX(0,Übersicht!$C$28-$AC399),IF(Übersicht!$C$14="Ratendarlehen",Übersicht!$C$29,IF($A399&gt;=Übersicht!$C$30,$AE398,0)))))</f>
        <v>0</v>
      </c>
      <c r="AE399" s="38">
        <f>IF($AE398&lt;=0,0,ROUND($AE398-$AD399-IF($AE398-$AD399&lt;=0,0,IF(MOD($A399,Übersicht!$C$25)=0,MIN(Szenarien!$C$12,$AE398-$AD399),0)),2))</f>
        <v>0</v>
      </c>
    </row>
    <row r="400" spans="1:31" ht="15" customHeight="1" x14ac:dyDescent="0.25">
      <c r="A400" s="21">
        <v>393</v>
      </c>
      <c r="B400" s="36" t="str">
        <f>IF($D400&lt;=0,"",EDATE(Übersicht!$C$18,($A400-1)*12/Übersicht!$C$25))</f>
        <v/>
      </c>
      <c r="C400" s="21" t="str">
        <f t="shared" si="42"/>
        <v/>
      </c>
      <c r="D400" s="37">
        <f t="shared" si="46"/>
        <v>0</v>
      </c>
      <c r="E400" s="23">
        <f t="shared" si="43"/>
        <v>0</v>
      </c>
      <c r="F400" s="23">
        <f>IF($D400&lt;=0,0,ROUND($D400*Übersicht!$C$26,2))</f>
        <v>0</v>
      </c>
      <c r="G400" s="23">
        <f>IF($D400&lt;=0,0,MIN($D400,IF(Übersicht!$C$14="Annuitätendarlehen",MAX(0,Übersicht!$C$28-$F400),IF(Übersicht!$C$14="Ratendarlehen",Übersicht!$C$29,IF($A400&gt;=Übersicht!$C$30,$D400,0)))))</f>
        <v>0</v>
      </c>
      <c r="H400" s="23">
        <f>IF($D400-$G400&lt;=0,0,IF(MOD($A400,Übersicht!$C$25)=0,MIN(Übersicht!$C$31,$D400-$G400),0))</f>
        <v>0</v>
      </c>
      <c r="I400" s="23">
        <f t="shared" si="44"/>
        <v>0</v>
      </c>
      <c r="J400" s="23">
        <f t="shared" si="45"/>
        <v>0</v>
      </c>
      <c r="K400" s="23">
        <f t="shared" si="47"/>
        <v>80072.129999999961</v>
      </c>
      <c r="L400" s="23">
        <f t="shared" si="48"/>
        <v>250000</v>
      </c>
      <c r="M400" s="24" t="str">
        <f>IF($D400&lt;=0,"",IF(Übersicht!$C$11=0,0,$L400/Übersicht!$C$11))</f>
        <v/>
      </c>
      <c r="N400" s="25" t="str">
        <f>IF($D400&lt;=0,"",IF($J400&lt;=0.005,"Volltilgung erreicht",IF($A400=Übersicht!$C$19*Übersicht!$C$25,"Ende der Zinsbindung",IF($H400&gt;0,"Sondertilgung verrechnet",""))))</f>
        <v/>
      </c>
      <c r="Q400" s="38">
        <f>IF($S399&lt;=0,0,ROUND($S399*Übersicht!$C$26,2))</f>
        <v>0</v>
      </c>
      <c r="R400" s="38">
        <f>IF($S399&lt;=0,0,MIN($S399,IF(Übersicht!$C$14="Annuitätendarlehen",MAX(0,Übersicht!$C$28-$Q400),IF(Übersicht!$C$14="Ratendarlehen",Übersicht!$C$29,IF($A400&gt;=Übersicht!$C$30,$S399,0)))))</f>
        <v>0</v>
      </c>
      <c r="S400" s="38">
        <f>IF($S399&lt;=0,0,ROUND($S399-$R400-IF($S399-$R400&lt;=0,0,IF(MOD($A400,Übersicht!$C$25)=0,MIN(Szenarien!$C$8,$S399-$R400),0)),2))</f>
        <v>0</v>
      </c>
      <c r="T400" s="38">
        <f>IF($V399&lt;=0,0,ROUND($V399*Übersicht!$C$26,2))</f>
        <v>0</v>
      </c>
      <c r="U400" s="38">
        <f>IF($V399&lt;=0,0,MIN($V399,IF(Übersicht!$C$14="Annuitätendarlehen",MAX(0,Übersicht!$C$28-$T400),IF(Übersicht!$C$14="Ratendarlehen",Übersicht!$C$29,IF($A400&gt;=Übersicht!$C$30,$V399,0)))))</f>
        <v>0</v>
      </c>
      <c r="V400" s="38">
        <f>IF($V399&lt;=0,0,ROUND($V399-$U400-IF($V399-$U400&lt;=0,0,IF(MOD($A400,Übersicht!$C$25)=0,MIN(Szenarien!$C$9,$V399-$U400),0)),2))</f>
        <v>0</v>
      </c>
      <c r="W400" s="38">
        <f>IF($Y399&lt;=0,0,ROUND($Y399*Übersicht!$C$26,2))</f>
        <v>0</v>
      </c>
      <c r="X400" s="38">
        <f>IF($Y399&lt;=0,0,MIN($Y399,IF(Übersicht!$C$14="Annuitätendarlehen",MAX(0,Übersicht!$C$28-$W400),IF(Übersicht!$C$14="Ratendarlehen",Übersicht!$C$29,IF($A400&gt;=Übersicht!$C$30,$Y399,0)))))</f>
        <v>0</v>
      </c>
      <c r="Y400" s="38">
        <f>IF($Y399&lt;=0,0,ROUND($Y399-$X400-IF($Y399-$X400&lt;=0,0,IF(MOD($A400,Übersicht!$C$25)=0,MIN(Szenarien!$C$10,$Y399-$X400),0)),2))</f>
        <v>0</v>
      </c>
      <c r="Z400" s="38">
        <f>IF($AB399&lt;=0,0,ROUND($AB399*Übersicht!$C$26,2))</f>
        <v>0</v>
      </c>
      <c r="AA400" s="38">
        <f>IF($AB399&lt;=0,0,MIN($AB399,IF(Übersicht!$C$14="Annuitätendarlehen",MAX(0,Übersicht!$C$28-$Z400),IF(Übersicht!$C$14="Ratendarlehen",Übersicht!$C$29,IF($A400&gt;=Übersicht!$C$30,$AB399,0)))))</f>
        <v>0</v>
      </c>
      <c r="AB400" s="38">
        <f>IF($AB399&lt;=0,0,ROUND($AB399-$AA400-IF($AB399-$AA400&lt;=0,0,IF(MOD($A400,Übersicht!$C$25)=0,MIN(Szenarien!$C$11,$AB399-$AA400),0)),2))</f>
        <v>0</v>
      </c>
      <c r="AC400" s="38">
        <f>IF($AE399&lt;=0,0,ROUND($AE399*Übersicht!$C$26,2))</f>
        <v>0</v>
      </c>
      <c r="AD400" s="38">
        <f>IF($AE399&lt;=0,0,MIN($AE399,IF(Übersicht!$C$14="Annuitätendarlehen",MAX(0,Übersicht!$C$28-$AC400),IF(Übersicht!$C$14="Ratendarlehen",Übersicht!$C$29,IF($A400&gt;=Übersicht!$C$30,$AE399,0)))))</f>
        <v>0</v>
      </c>
      <c r="AE400" s="38">
        <f>IF($AE399&lt;=0,0,ROUND($AE399-$AD400-IF($AE399-$AD400&lt;=0,0,IF(MOD($A400,Übersicht!$C$25)=0,MIN(Szenarien!$C$12,$AE399-$AD400),0)),2))</f>
        <v>0</v>
      </c>
    </row>
    <row r="401" spans="1:31" ht="15" customHeight="1" x14ac:dyDescent="0.25">
      <c r="A401" s="26">
        <v>394</v>
      </c>
      <c r="B401" s="39" t="str">
        <f>IF($D401&lt;=0,"",EDATE(Übersicht!$C$18,($A401-1)*12/Übersicht!$C$25))</f>
        <v/>
      </c>
      <c r="C401" s="26" t="str">
        <f t="shared" si="42"/>
        <v/>
      </c>
      <c r="D401" s="40">
        <f t="shared" si="46"/>
        <v>0</v>
      </c>
      <c r="E401" s="28">
        <f t="shared" si="43"/>
        <v>0</v>
      </c>
      <c r="F401" s="28">
        <f>IF($D401&lt;=0,0,ROUND($D401*Übersicht!$C$26,2))</f>
        <v>0</v>
      </c>
      <c r="G401" s="28">
        <f>IF($D401&lt;=0,0,MIN($D401,IF(Übersicht!$C$14="Annuitätendarlehen",MAX(0,Übersicht!$C$28-$F401),IF(Übersicht!$C$14="Ratendarlehen",Übersicht!$C$29,IF($A401&gt;=Übersicht!$C$30,$D401,0)))))</f>
        <v>0</v>
      </c>
      <c r="H401" s="28">
        <f>IF($D401-$G401&lt;=0,0,IF(MOD($A401,Übersicht!$C$25)=0,MIN(Übersicht!$C$31,$D401-$G401),0))</f>
        <v>0</v>
      </c>
      <c r="I401" s="28">
        <f t="shared" si="44"/>
        <v>0</v>
      </c>
      <c r="J401" s="28">
        <f t="shared" si="45"/>
        <v>0</v>
      </c>
      <c r="K401" s="28">
        <f t="shared" si="47"/>
        <v>80072.129999999961</v>
      </c>
      <c r="L401" s="28">
        <f t="shared" si="48"/>
        <v>250000</v>
      </c>
      <c r="M401" s="29" t="str">
        <f>IF($D401&lt;=0,"",IF(Übersicht!$C$11=0,0,$L401/Übersicht!$C$11))</f>
        <v/>
      </c>
      <c r="N401" s="30" t="str">
        <f>IF($D401&lt;=0,"",IF($J401&lt;=0.005,"Volltilgung erreicht",IF($A401=Übersicht!$C$19*Übersicht!$C$25,"Ende der Zinsbindung",IF($H401&gt;0,"Sondertilgung verrechnet",""))))</f>
        <v/>
      </c>
      <c r="Q401" s="38">
        <f>IF($S400&lt;=0,0,ROUND($S400*Übersicht!$C$26,2))</f>
        <v>0</v>
      </c>
      <c r="R401" s="38">
        <f>IF($S400&lt;=0,0,MIN($S400,IF(Übersicht!$C$14="Annuitätendarlehen",MAX(0,Übersicht!$C$28-$Q401),IF(Übersicht!$C$14="Ratendarlehen",Übersicht!$C$29,IF($A401&gt;=Übersicht!$C$30,$S400,0)))))</f>
        <v>0</v>
      </c>
      <c r="S401" s="38">
        <f>IF($S400&lt;=0,0,ROUND($S400-$R401-IF($S400-$R401&lt;=0,0,IF(MOD($A401,Übersicht!$C$25)=0,MIN(Szenarien!$C$8,$S400-$R401),0)),2))</f>
        <v>0</v>
      </c>
      <c r="T401" s="38">
        <f>IF($V400&lt;=0,0,ROUND($V400*Übersicht!$C$26,2))</f>
        <v>0</v>
      </c>
      <c r="U401" s="38">
        <f>IF($V400&lt;=0,0,MIN($V400,IF(Übersicht!$C$14="Annuitätendarlehen",MAX(0,Übersicht!$C$28-$T401),IF(Übersicht!$C$14="Ratendarlehen",Übersicht!$C$29,IF($A401&gt;=Übersicht!$C$30,$V400,0)))))</f>
        <v>0</v>
      </c>
      <c r="V401" s="38">
        <f>IF($V400&lt;=0,0,ROUND($V400-$U401-IF($V400-$U401&lt;=0,0,IF(MOD($A401,Übersicht!$C$25)=0,MIN(Szenarien!$C$9,$V400-$U401),0)),2))</f>
        <v>0</v>
      </c>
      <c r="W401" s="38">
        <f>IF($Y400&lt;=0,0,ROUND($Y400*Übersicht!$C$26,2))</f>
        <v>0</v>
      </c>
      <c r="X401" s="38">
        <f>IF($Y400&lt;=0,0,MIN($Y400,IF(Übersicht!$C$14="Annuitätendarlehen",MAX(0,Übersicht!$C$28-$W401),IF(Übersicht!$C$14="Ratendarlehen",Übersicht!$C$29,IF($A401&gt;=Übersicht!$C$30,$Y400,0)))))</f>
        <v>0</v>
      </c>
      <c r="Y401" s="38">
        <f>IF($Y400&lt;=0,0,ROUND($Y400-$X401-IF($Y400-$X401&lt;=0,0,IF(MOD($A401,Übersicht!$C$25)=0,MIN(Szenarien!$C$10,$Y400-$X401),0)),2))</f>
        <v>0</v>
      </c>
      <c r="Z401" s="38">
        <f>IF($AB400&lt;=0,0,ROUND($AB400*Übersicht!$C$26,2))</f>
        <v>0</v>
      </c>
      <c r="AA401" s="38">
        <f>IF($AB400&lt;=0,0,MIN($AB400,IF(Übersicht!$C$14="Annuitätendarlehen",MAX(0,Übersicht!$C$28-$Z401),IF(Übersicht!$C$14="Ratendarlehen",Übersicht!$C$29,IF($A401&gt;=Übersicht!$C$30,$AB400,0)))))</f>
        <v>0</v>
      </c>
      <c r="AB401" s="38">
        <f>IF($AB400&lt;=0,0,ROUND($AB400-$AA401-IF($AB400-$AA401&lt;=0,0,IF(MOD($A401,Übersicht!$C$25)=0,MIN(Szenarien!$C$11,$AB400-$AA401),0)),2))</f>
        <v>0</v>
      </c>
      <c r="AC401" s="38">
        <f>IF($AE400&lt;=0,0,ROUND($AE400*Übersicht!$C$26,2))</f>
        <v>0</v>
      </c>
      <c r="AD401" s="38">
        <f>IF($AE400&lt;=0,0,MIN($AE400,IF(Übersicht!$C$14="Annuitätendarlehen",MAX(0,Übersicht!$C$28-$AC401),IF(Übersicht!$C$14="Ratendarlehen",Übersicht!$C$29,IF($A401&gt;=Übersicht!$C$30,$AE400,0)))))</f>
        <v>0</v>
      </c>
      <c r="AE401" s="38">
        <f>IF($AE400&lt;=0,0,ROUND($AE400-$AD401-IF($AE400-$AD401&lt;=0,0,IF(MOD($A401,Übersicht!$C$25)=0,MIN(Szenarien!$C$12,$AE400-$AD401),0)),2))</f>
        <v>0</v>
      </c>
    </row>
    <row r="402" spans="1:31" ht="15" customHeight="1" x14ac:dyDescent="0.25">
      <c r="A402" s="21">
        <v>395</v>
      </c>
      <c r="B402" s="36" t="str">
        <f>IF($D402&lt;=0,"",EDATE(Übersicht!$C$18,($A402-1)*12/Übersicht!$C$25))</f>
        <v/>
      </c>
      <c r="C402" s="21" t="str">
        <f t="shared" si="42"/>
        <v/>
      </c>
      <c r="D402" s="37">
        <f t="shared" si="46"/>
        <v>0</v>
      </c>
      <c r="E402" s="23">
        <f t="shared" si="43"/>
        <v>0</v>
      </c>
      <c r="F402" s="23">
        <f>IF($D402&lt;=0,0,ROUND($D402*Übersicht!$C$26,2))</f>
        <v>0</v>
      </c>
      <c r="G402" s="23">
        <f>IF($D402&lt;=0,0,MIN($D402,IF(Übersicht!$C$14="Annuitätendarlehen",MAX(0,Übersicht!$C$28-$F402),IF(Übersicht!$C$14="Ratendarlehen",Übersicht!$C$29,IF($A402&gt;=Übersicht!$C$30,$D402,0)))))</f>
        <v>0</v>
      </c>
      <c r="H402" s="23">
        <f>IF($D402-$G402&lt;=0,0,IF(MOD($A402,Übersicht!$C$25)=0,MIN(Übersicht!$C$31,$D402-$G402),0))</f>
        <v>0</v>
      </c>
      <c r="I402" s="23">
        <f t="shared" si="44"/>
        <v>0</v>
      </c>
      <c r="J402" s="23">
        <f t="shared" si="45"/>
        <v>0</v>
      </c>
      <c r="K402" s="23">
        <f t="shared" si="47"/>
        <v>80072.129999999961</v>
      </c>
      <c r="L402" s="23">
        <f t="shared" si="48"/>
        <v>250000</v>
      </c>
      <c r="M402" s="24" t="str">
        <f>IF($D402&lt;=0,"",IF(Übersicht!$C$11=0,0,$L402/Übersicht!$C$11))</f>
        <v/>
      </c>
      <c r="N402" s="25" t="str">
        <f>IF($D402&lt;=0,"",IF($J402&lt;=0.005,"Volltilgung erreicht",IF($A402=Übersicht!$C$19*Übersicht!$C$25,"Ende der Zinsbindung",IF($H402&gt;0,"Sondertilgung verrechnet",""))))</f>
        <v/>
      </c>
      <c r="Q402" s="38">
        <f>IF($S401&lt;=0,0,ROUND($S401*Übersicht!$C$26,2))</f>
        <v>0</v>
      </c>
      <c r="R402" s="38">
        <f>IF($S401&lt;=0,0,MIN($S401,IF(Übersicht!$C$14="Annuitätendarlehen",MAX(0,Übersicht!$C$28-$Q402),IF(Übersicht!$C$14="Ratendarlehen",Übersicht!$C$29,IF($A402&gt;=Übersicht!$C$30,$S401,0)))))</f>
        <v>0</v>
      </c>
      <c r="S402" s="38">
        <f>IF($S401&lt;=0,0,ROUND($S401-$R402-IF($S401-$R402&lt;=0,0,IF(MOD($A402,Übersicht!$C$25)=0,MIN(Szenarien!$C$8,$S401-$R402),0)),2))</f>
        <v>0</v>
      </c>
      <c r="T402" s="38">
        <f>IF($V401&lt;=0,0,ROUND($V401*Übersicht!$C$26,2))</f>
        <v>0</v>
      </c>
      <c r="U402" s="38">
        <f>IF($V401&lt;=0,0,MIN($V401,IF(Übersicht!$C$14="Annuitätendarlehen",MAX(0,Übersicht!$C$28-$T402),IF(Übersicht!$C$14="Ratendarlehen",Übersicht!$C$29,IF($A402&gt;=Übersicht!$C$30,$V401,0)))))</f>
        <v>0</v>
      </c>
      <c r="V402" s="38">
        <f>IF($V401&lt;=0,0,ROUND($V401-$U402-IF($V401-$U402&lt;=0,0,IF(MOD($A402,Übersicht!$C$25)=0,MIN(Szenarien!$C$9,$V401-$U402),0)),2))</f>
        <v>0</v>
      </c>
      <c r="W402" s="38">
        <f>IF($Y401&lt;=0,0,ROUND($Y401*Übersicht!$C$26,2))</f>
        <v>0</v>
      </c>
      <c r="X402" s="38">
        <f>IF($Y401&lt;=0,0,MIN($Y401,IF(Übersicht!$C$14="Annuitätendarlehen",MAX(0,Übersicht!$C$28-$W402),IF(Übersicht!$C$14="Ratendarlehen",Übersicht!$C$29,IF($A402&gt;=Übersicht!$C$30,$Y401,0)))))</f>
        <v>0</v>
      </c>
      <c r="Y402" s="38">
        <f>IF($Y401&lt;=0,0,ROUND($Y401-$X402-IF($Y401-$X402&lt;=0,0,IF(MOD($A402,Übersicht!$C$25)=0,MIN(Szenarien!$C$10,$Y401-$X402),0)),2))</f>
        <v>0</v>
      </c>
      <c r="Z402" s="38">
        <f>IF($AB401&lt;=0,0,ROUND($AB401*Übersicht!$C$26,2))</f>
        <v>0</v>
      </c>
      <c r="AA402" s="38">
        <f>IF($AB401&lt;=0,0,MIN($AB401,IF(Übersicht!$C$14="Annuitätendarlehen",MAX(0,Übersicht!$C$28-$Z402),IF(Übersicht!$C$14="Ratendarlehen",Übersicht!$C$29,IF($A402&gt;=Übersicht!$C$30,$AB401,0)))))</f>
        <v>0</v>
      </c>
      <c r="AB402" s="38">
        <f>IF($AB401&lt;=0,0,ROUND($AB401-$AA402-IF($AB401-$AA402&lt;=0,0,IF(MOD($A402,Übersicht!$C$25)=0,MIN(Szenarien!$C$11,$AB401-$AA402),0)),2))</f>
        <v>0</v>
      </c>
      <c r="AC402" s="38">
        <f>IF($AE401&lt;=0,0,ROUND($AE401*Übersicht!$C$26,2))</f>
        <v>0</v>
      </c>
      <c r="AD402" s="38">
        <f>IF($AE401&lt;=0,0,MIN($AE401,IF(Übersicht!$C$14="Annuitätendarlehen",MAX(0,Übersicht!$C$28-$AC402),IF(Übersicht!$C$14="Ratendarlehen",Übersicht!$C$29,IF($A402&gt;=Übersicht!$C$30,$AE401,0)))))</f>
        <v>0</v>
      </c>
      <c r="AE402" s="38">
        <f>IF($AE401&lt;=0,0,ROUND($AE401-$AD402-IF($AE401-$AD402&lt;=0,0,IF(MOD($A402,Übersicht!$C$25)=0,MIN(Szenarien!$C$12,$AE401-$AD402),0)),2))</f>
        <v>0</v>
      </c>
    </row>
    <row r="403" spans="1:31" ht="15" customHeight="1" x14ac:dyDescent="0.25">
      <c r="A403" s="26">
        <v>396</v>
      </c>
      <c r="B403" s="39" t="str">
        <f>IF($D403&lt;=0,"",EDATE(Übersicht!$C$18,($A403-1)*12/Übersicht!$C$25))</f>
        <v/>
      </c>
      <c r="C403" s="26" t="str">
        <f t="shared" si="42"/>
        <v/>
      </c>
      <c r="D403" s="40">
        <f t="shared" si="46"/>
        <v>0</v>
      </c>
      <c r="E403" s="28">
        <f t="shared" si="43"/>
        <v>0</v>
      </c>
      <c r="F403" s="28">
        <f>IF($D403&lt;=0,0,ROUND($D403*Übersicht!$C$26,2))</f>
        <v>0</v>
      </c>
      <c r="G403" s="28">
        <f>IF($D403&lt;=0,0,MIN($D403,IF(Übersicht!$C$14="Annuitätendarlehen",MAX(0,Übersicht!$C$28-$F403),IF(Übersicht!$C$14="Ratendarlehen",Übersicht!$C$29,IF($A403&gt;=Übersicht!$C$30,$D403,0)))))</f>
        <v>0</v>
      </c>
      <c r="H403" s="28">
        <f>IF($D403-$G403&lt;=0,0,IF(MOD($A403,Übersicht!$C$25)=0,MIN(Übersicht!$C$31,$D403-$G403),0))</f>
        <v>0</v>
      </c>
      <c r="I403" s="28">
        <f t="shared" si="44"/>
        <v>0</v>
      </c>
      <c r="J403" s="28">
        <f t="shared" si="45"/>
        <v>0</v>
      </c>
      <c r="K403" s="28">
        <f t="shared" si="47"/>
        <v>80072.129999999961</v>
      </c>
      <c r="L403" s="28">
        <f t="shared" si="48"/>
        <v>250000</v>
      </c>
      <c r="M403" s="29" t="str">
        <f>IF($D403&lt;=0,"",IF(Übersicht!$C$11=0,0,$L403/Übersicht!$C$11))</f>
        <v/>
      </c>
      <c r="N403" s="30" t="str">
        <f>IF($D403&lt;=0,"",IF($J403&lt;=0.005,"Volltilgung erreicht",IF($A403=Übersicht!$C$19*Übersicht!$C$25,"Ende der Zinsbindung",IF($H403&gt;0,"Sondertilgung verrechnet",""))))</f>
        <v/>
      </c>
      <c r="Q403" s="38">
        <f>IF($S402&lt;=0,0,ROUND($S402*Übersicht!$C$26,2))</f>
        <v>0</v>
      </c>
      <c r="R403" s="38">
        <f>IF($S402&lt;=0,0,MIN($S402,IF(Übersicht!$C$14="Annuitätendarlehen",MAX(0,Übersicht!$C$28-$Q403),IF(Übersicht!$C$14="Ratendarlehen",Übersicht!$C$29,IF($A403&gt;=Übersicht!$C$30,$S402,0)))))</f>
        <v>0</v>
      </c>
      <c r="S403" s="38">
        <f>IF($S402&lt;=0,0,ROUND($S402-$R403-IF($S402-$R403&lt;=0,0,IF(MOD($A403,Übersicht!$C$25)=0,MIN(Szenarien!$C$8,$S402-$R403),0)),2))</f>
        <v>0</v>
      </c>
      <c r="T403" s="38">
        <f>IF($V402&lt;=0,0,ROUND($V402*Übersicht!$C$26,2))</f>
        <v>0</v>
      </c>
      <c r="U403" s="38">
        <f>IF($V402&lt;=0,0,MIN($V402,IF(Übersicht!$C$14="Annuitätendarlehen",MAX(0,Übersicht!$C$28-$T403),IF(Übersicht!$C$14="Ratendarlehen",Übersicht!$C$29,IF($A403&gt;=Übersicht!$C$30,$V402,0)))))</f>
        <v>0</v>
      </c>
      <c r="V403" s="38">
        <f>IF($V402&lt;=0,0,ROUND($V402-$U403-IF($V402-$U403&lt;=0,0,IF(MOD($A403,Übersicht!$C$25)=0,MIN(Szenarien!$C$9,$V402-$U403),0)),2))</f>
        <v>0</v>
      </c>
      <c r="W403" s="38">
        <f>IF($Y402&lt;=0,0,ROUND($Y402*Übersicht!$C$26,2))</f>
        <v>0</v>
      </c>
      <c r="X403" s="38">
        <f>IF($Y402&lt;=0,0,MIN($Y402,IF(Übersicht!$C$14="Annuitätendarlehen",MAX(0,Übersicht!$C$28-$W403),IF(Übersicht!$C$14="Ratendarlehen",Übersicht!$C$29,IF($A403&gt;=Übersicht!$C$30,$Y402,0)))))</f>
        <v>0</v>
      </c>
      <c r="Y403" s="38">
        <f>IF($Y402&lt;=0,0,ROUND($Y402-$X403-IF($Y402-$X403&lt;=0,0,IF(MOD($A403,Übersicht!$C$25)=0,MIN(Szenarien!$C$10,$Y402-$X403),0)),2))</f>
        <v>0</v>
      </c>
      <c r="Z403" s="38">
        <f>IF($AB402&lt;=0,0,ROUND($AB402*Übersicht!$C$26,2))</f>
        <v>0</v>
      </c>
      <c r="AA403" s="38">
        <f>IF($AB402&lt;=0,0,MIN($AB402,IF(Übersicht!$C$14="Annuitätendarlehen",MAX(0,Übersicht!$C$28-$Z403),IF(Übersicht!$C$14="Ratendarlehen",Übersicht!$C$29,IF($A403&gt;=Übersicht!$C$30,$AB402,0)))))</f>
        <v>0</v>
      </c>
      <c r="AB403" s="38">
        <f>IF($AB402&lt;=0,0,ROUND($AB402-$AA403-IF($AB402-$AA403&lt;=0,0,IF(MOD($A403,Übersicht!$C$25)=0,MIN(Szenarien!$C$11,$AB402-$AA403),0)),2))</f>
        <v>0</v>
      </c>
      <c r="AC403" s="38">
        <f>IF($AE402&lt;=0,0,ROUND($AE402*Übersicht!$C$26,2))</f>
        <v>0</v>
      </c>
      <c r="AD403" s="38">
        <f>IF($AE402&lt;=0,0,MIN($AE402,IF(Übersicht!$C$14="Annuitätendarlehen",MAX(0,Übersicht!$C$28-$AC403),IF(Übersicht!$C$14="Ratendarlehen",Übersicht!$C$29,IF($A403&gt;=Übersicht!$C$30,$AE402,0)))))</f>
        <v>0</v>
      </c>
      <c r="AE403" s="38">
        <f>IF($AE402&lt;=0,0,ROUND($AE402-$AD403-IF($AE402-$AD403&lt;=0,0,IF(MOD($A403,Übersicht!$C$25)=0,MIN(Szenarien!$C$12,$AE402-$AD403),0)),2))</f>
        <v>0</v>
      </c>
    </row>
    <row r="404" spans="1:31" ht="15" customHeight="1" x14ac:dyDescent="0.25">
      <c r="A404" s="21">
        <v>397</v>
      </c>
      <c r="B404" s="36" t="str">
        <f>IF($D404&lt;=0,"",EDATE(Übersicht!$C$18,($A404-1)*12/Übersicht!$C$25))</f>
        <v/>
      </c>
      <c r="C404" s="21" t="str">
        <f t="shared" si="42"/>
        <v/>
      </c>
      <c r="D404" s="37">
        <f t="shared" si="46"/>
        <v>0</v>
      </c>
      <c r="E404" s="23">
        <f t="shared" si="43"/>
        <v>0</v>
      </c>
      <c r="F404" s="23">
        <f>IF($D404&lt;=0,0,ROUND($D404*Übersicht!$C$26,2))</f>
        <v>0</v>
      </c>
      <c r="G404" s="23">
        <f>IF($D404&lt;=0,0,MIN($D404,IF(Übersicht!$C$14="Annuitätendarlehen",MAX(0,Übersicht!$C$28-$F404),IF(Übersicht!$C$14="Ratendarlehen",Übersicht!$C$29,IF($A404&gt;=Übersicht!$C$30,$D404,0)))))</f>
        <v>0</v>
      </c>
      <c r="H404" s="23">
        <f>IF($D404-$G404&lt;=0,0,IF(MOD($A404,Übersicht!$C$25)=0,MIN(Übersicht!$C$31,$D404-$G404),0))</f>
        <v>0</v>
      </c>
      <c r="I404" s="23">
        <f t="shared" si="44"/>
        <v>0</v>
      </c>
      <c r="J404" s="23">
        <f t="shared" si="45"/>
        <v>0</v>
      </c>
      <c r="K404" s="23">
        <f t="shared" si="47"/>
        <v>80072.129999999961</v>
      </c>
      <c r="L404" s="23">
        <f t="shared" si="48"/>
        <v>250000</v>
      </c>
      <c r="M404" s="24" t="str">
        <f>IF($D404&lt;=0,"",IF(Übersicht!$C$11=0,0,$L404/Übersicht!$C$11))</f>
        <v/>
      </c>
      <c r="N404" s="25" t="str">
        <f>IF($D404&lt;=0,"",IF($J404&lt;=0.005,"Volltilgung erreicht",IF($A404=Übersicht!$C$19*Übersicht!$C$25,"Ende der Zinsbindung",IF($H404&gt;0,"Sondertilgung verrechnet",""))))</f>
        <v/>
      </c>
      <c r="Q404" s="38">
        <f>IF($S403&lt;=0,0,ROUND($S403*Übersicht!$C$26,2))</f>
        <v>0</v>
      </c>
      <c r="R404" s="38">
        <f>IF($S403&lt;=0,0,MIN($S403,IF(Übersicht!$C$14="Annuitätendarlehen",MAX(0,Übersicht!$C$28-$Q404),IF(Übersicht!$C$14="Ratendarlehen",Übersicht!$C$29,IF($A404&gt;=Übersicht!$C$30,$S403,0)))))</f>
        <v>0</v>
      </c>
      <c r="S404" s="38">
        <f>IF($S403&lt;=0,0,ROUND($S403-$R404-IF($S403-$R404&lt;=0,0,IF(MOD($A404,Übersicht!$C$25)=0,MIN(Szenarien!$C$8,$S403-$R404),0)),2))</f>
        <v>0</v>
      </c>
      <c r="T404" s="38">
        <f>IF($V403&lt;=0,0,ROUND($V403*Übersicht!$C$26,2))</f>
        <v>0</v>
      </c>
      <c r="U404" s="38">
        <f>IF($V403&lt;=0,0,MIN($V403,IF(Übersicht!$C$14="Annuitätendarlehen",MAX(0,Übersicht!$C$28-$T404),IF(Übersicht!$C$14="Ratendarlehen",Übersicht!$C$29,IF($A404&gt;=Übersicht!$C$30,$V403,0)))))</f>
        <v>0</v>
      </c>
      <c r="V404" s="38">
        <f>IF($V403&lt;=0,0,ROUND($V403-$U404-IF($V403-$U404&lt;=0,0,IF(MOD($A404,Übersicht!$C$25)=0,MIN(Szenarien!$C$9,$V403-$U404),0)),2))</f>
        <v>0</v>
      </c>
      <c r="W404" s="38">
        <f>IF($Y403&lt;=0,0,ROUND($Y403*Übersicht!$C$26,2))</f>
        <v>0</v>
      </c>
      <c r="X404" s="38">
        <f>IF($Y403&lt;=0,0,MIN($Y403,IF(Übersicht!$C$14="Annuitätendarlehen",MAX(0,Übersicht!$C$28-$W404),IF(Übersicht!$C$14="Ratendarlehen",Übersicht!$C$29,IF($A404&gt;=Übersicht!$C$30,$Y403,0)))))</f>
        <v>0</v>
      </c>
      <c r="Y404" s="38">
        <f>IF($Y403&lt;=0,0,ROUND($Y403-$X404-IF($Y403-$X404&lt;=0,0,IF(MOD($A404,Übersicht!$C$25)=0,MIN(Szenarien!$C$10,$Y403-$X404),0)),2))</f>
        <v>0</v>
      </c>
      <c r="Z404" s="38">
        <f>IF($AB403&lt;=0,0,ROUND($AB403*Übersicht!$C$26,2))</f>
        <v>0</v>
      </c>
      <c r="AA404" s="38">
        <f>IF($AB403&lt;=0,0,MIN($AB403,IF(Übersicht!$C$14="Annuitätendarlehen",MAX(0,Übersicht!$C$28-$Z404),IF(Übersicht!$C$14="Ratendarlehen",Übersicht!$C$29,IF($A404&gt;=Übersicht!$C$30,$AB403,0)))))</f>
        <v>0</v>
      </c>
      <c r="AB404" s="38">
        <f>IF($AB403&lt;=0,0,ROUND($AB403-$AA404-IF($AB403-$AA404&lt;=0,0,IF(MOD($A404,Übersicht!$C$25)=0,MIN(Szenarien!$C$11,$AB403-$AA404),0)),2))</f>
        <v>0</v>
      </c>
      <c r="AC404" s="38">
        <f>IF($AE403&lt;=0,0,ROUND($AE403*Übersicht!$C$26,2))</f>
        <v>0</v>
      </c>
      <c r="AD404" s="38">
        <f>IF($AE403&lt;=0,0,MIN($AE403,IF(Übersicht!$C$14="Annuitätendarlehen",MAX(0,Übersicht!$C$28-$AC404),IF(Übersicht!$C$14="Ratendarlehen",Übersicht!$C$29,IF($A404&gt;=Übersicht!$C$30,$AE403,0)))))</f>
        <v>0</v>
      </c>
      <c r="AE404" s="38">
        <f>IF($AE403&lt;=0,0,ROUND($AE403-$AD404-IF($AE403-$AD404&lt;=0,0,IF(MOD($A404,Übersicht!$C$25)=0,MIN(Szenarien!$C$12,$AE403-$AD404),0)),2))</f>
        <v>0</v>
      </c>
    </row>
    <row r="405" spans="1:31" ht="15" customHeight="1" x14ac:dyDescent="0.25">
      <c r="A405" s="26">
        <v>398</v>
      </c>
      <c r="B405" s="39" t="str">
        <f>IF($D405&lt;=0,"",EDATE(Übersicht!$C$18,($A405-1)*12/Übersicht!$C$25))</f>
        <v/>
      </c>
      <c r="C405" s="26" t="str">
        <f t="shared" si="42"/>
        <v/>
      </c>
      <c r="D405" s="40">
        <f t="shared" si="46"/>
        <v>0</v>
      </c>
      <c r="E405" s="28">
        <f t="shared" si="43"/>
        <v>0</v>
      </c>
      <c r="F405" s="28">
        <f>IF($D405&lt;=0,0,ROUND($D405*Übersicht!$C$26,2))</f>
        <v>0</v>
      </c>
      <c r="G405" s="28">
        <f>IF($D405&lt;=0,0,MIN($D405,IF(Übersicht!$C$14="Annuitätendarlehen",MAX(0,Übersicht!$C$28-$F405),IF(Übersicht!$C$14="Ratendarlehen",Übersicht!$C$29,IF($A405&gt;=Übersicht!$C$30,$D405,0)))))</f>
        <v>0</v>
      </c>
      <c r="H405" s="28">
        <f>IF($D405-$G405&lt;=0,0,IF(MOD($A405,Übersicht!$C$25)=0,MIN(Übersicht!$C$31,$D405-$G405),0))</f>
        <v>0</v>
      </c>
      <c r="I405" s="28">
        <f t="shared" si="44"/>
        <v>0</v>
      </c>
      <c r="J405" s="28">
        <f t="shared" si="45"/>
        <v>0</v>
      </c>
      <c r="K405" s="28">
        <f t="shared" si="47"/>
        <v>80072.129999999961</v>
      </c>
      <c r="L405" s="28">
        <f t="shared" si="48"/>
        <v>250000</v>
      </c>
      <c r="M405" s="29" t="str">
        <f>IF($D405&lt;=0,"",IF(Übersicht!$C$11=0,0,$L405/Übersicht!$C$11))</f>
        <v/>
      </c>
      <c r="N405" s="30" t="str">
        <f>IF($D405&lt;=0,"",IF($J405&lt;=0.005,"Volltilgung erreicht",IF($A405=Übersicht!$C$19*Übersicht!$C$25,"Ende der Zinsbindung",IF($H405&gt;0,"Sondertilgung verrechnet",""))))</f>
        <v/>
      </c>
      <c r="Q405" s="38">
        <f>IF($S404&lt;=0,0,ROUND($S404*Übersicht!$C$26,2))</f>
        <v>0</v>
      </c>
      <c r="R405" s="38">
        <f>IF($S404&lt;=0,0,MIN($S404,IF(Übersicht!$C$14="Annuitätendarlehen",MAX(0,Übersicht!$C$28-$Q405),IF(Übersicht!$C$14="Ratendarlehen",Übersicht!$C$29,IF($A405&gt;=Übersicht!$C$30,$S404,0)))))</f>
        <v>0</v>
      </c>
      <c r="S405" s="38">
        <f>IF($S404&lt;=0,0,ROUND($S404-$R405-IF($S404-$R405&lt;=0,0,IF(MOD($A405,Übersicht!$C$25)=0,MIN(Szenarien!$C$8,$S404-$R405),0)),2))</f>
        <v>0</v>
      </c>
      <c r="T405" s="38">
        <f>IF($V404&lt;=0,0,ROUND($V404*Übersicht!$C$26,2))</f>
        <v>0</v>
      </c>
      <c r="U405" s="38">
        <f>IF($V404&lt;=0,0,MIN($V404,IF(Übersicht!$C$14="Annuitätendarlehen",MAX(0,Übersicht!$C$28-$T405),IF(Übersicht!$C$14="Ratendarlehen",Übersicht!$C$29,IF($A405&gt;=Übersicht!$C$30,$V404,0)))))</f>
        <v>0</v>
      </c>
      <c r="V405" s="38">
        <f>IF($V404&lt;=0,0,ROUND($V404-$U405-IF($V404-$U405&lt;=0,0,IF(MOD($A405,Übersicht!$C$25)=0,MIN(Szenarien!$C$9,$V404-$U405),0)),2))</f>
        <v>0</v>
      </c>
      <c r="W405" s="38">
        <f>IF($Y404&lt;=0,0,ROUND($Y404*Übersicht!$C$26,2))</f>
        <v>0</v>
      </c>
      <c r="X405" s="38">
        <f>IF($Y404&lt;=0,0,MIN($Y404,IF(Übersicht!$C$14="Annuitätendarlehen",MAX(0,Übersicht!$C$28-$W405),IF(Übersicht!$C$14="Ratendarlehen",Übersicht!$C$29,IF($A405&gt;=Übersicht!$C$30,$Y404,0)))))</f>
        <v>0</v>
      </c>
      <c r="Y405" s="38">
        <f>IF($Y404&lt;=0,0,ROUND($Y404-$X405-IF($Y404-$X405&lt;=0,0,IF(MOD($A405,Übersicht!$C$25)=0,MIN(Szenarien!$C$10,$Y404-$X405),0)),2))</f>
        <v>0</v>
      </c>
      <c r="Z405" s="38">
        <f>IF($AB404&lt;=0,0,ROUND($AB404*Übersicht!$C$26,2))</f>
        <v>0</v>
      </c>
      <c r="AA405" s="38">
        <f>IF($AB404&lt;=0,0,MIN($AB404,IF(Übersicht!$C$14="Annuitätendarlehen",MAX(0,Übersicht!$C$28-$Z405),IF(Übersicht!$C$14="Ratendarlehen",Übersicht!$C$29,IF($A405&gt;=Übersicht!$C$30,$AB404,0)))))</f>
        <v>0</v>
      </c>
      <c r="AB405" s="38">
        <f>IF($AB404&lt;=0,0,ROUND($AB404-$AA405-IF($AB404-$AA405&lt;=0,0,IF(MOD($A405,Übersicht!$C$25)=0,MIN(Szenarien!$C$11,$AB404-$AA405),0)),2))</f>
        <v>0</v>
      </c>
      <c r="AC405" s="38">
        <f>IF($AE404&lt;=0,0,ROUND($AE404*Übersicht!$C$26,2))</f>
        <v>0</v>
      </c>
      <c r="AD405" s="38">
        <f>IF($AE404&lt;=0,0,MIN($AE404,IF(Übersicht!$C$14="Annuitätendarlehen",MAX(0,Übersicht!$C$28-$AC405),IF(Übersicht!$C$14="Ratendarlehen",Übersicht!$C$29,IF($A405&gt;=Übersicht!$C$30,$AE404,0)))))</f>
        <v>0</v>
      </c>
      <c r="AE405" s="38">
        <f>IF($AE404&lt;=0,0,ROUND($AE404-$AD405-IF($AE404-$AD405&lt;=0,0,IF(MOD($A405,Übersicht!$C$25)=0,MIN(Szenarien!$C$12,$AE404-$AD405),0)),2))</f>
        <v>0</v>
      </c>
    </row>
    <row r="406" spans="1:31" ht="15" customHeight="1" x14ac:dyDescent="0.25">
      <c r="A406" s="21">
        <v>399</v>
      </c>
      <c r="B406" s="36" t="str">
        <f>IF($D406&lt;=0,"",EDATE(Übersicht!$C$18,($A406-1)*12/Übersicht!$C$25))</f>
        <v/>
      </c>
      <c r="C406" s="21" t="str">
        <f t="shared" si="42"/>
        <v/>
      </c>
      <c r="D406" s="37">
        <f t="shared" si="46"/>
        <v>0</v>
      </c>
      <c r="E406" s="23">
        <f t="shared" si="43"/>
        <v>0</v>
      </c>
      <c r="F406" s="23">
        <f>IF($D406&lt;=0,0,ROUND($D406*Übersicht!$C$26,2))</f>
        <v>0</v>
      </c>
      <c r="G406" s="23">
        <f>IF($D406&lt;=0,0,MIN($D406,IF(Übersicht!$C$14="Annuitätendarlehen",MAX(0,Übersicht!$C$28-$F406),IF(Übersicht!$C$14="Ratendarlehen",Übersicht!$C$29,IF($A406&gt;=Übersicht!$C$30,$D406,0)))))</f>
        <v>0</v>
      </c>
      <c r="H406" s="23">
        <f>IF($D406-$G406&lt;=0,0,IF(MOD($A406,Übersicht!$C$25)=0,MIN(Übersicht!$C$31,$D406-$G406),0))</f>
        <v>0</v>
      </c>
      <c r="I406" s="23">
        <f t="shared" si="44"/>
        <v>0</v>
      </c>
      <c r="J406" s="23">
        <f t="shared" si="45"/>
        <v>0</v>
      </c>
      <c r="K406" s="23">
        <f t="shared" si="47"/>
        <v>80072.129999999961</v>
      </c>
      <c r="L406" s="23">
        <f t="shared" si="48"/>
        <v>250000</v>
      </c>
      <c r="M406" s="24" t="str">
        <f>IF($D406&lt;=0,"",IF(Übersicht!$C$11=0,0,$L406/Übersicht!$C$11))</f>
        <v/>
      </c>
      <c r="N406" s="25" t="str">
        <f>IF($D406&lt;=0,"",IF($J406&lt;=0.005,"Volltilgung erreicht",IF($A406=Übersicht!$C$19*Übersicht!$C$25,"Ende der Zinsbindung",IF($H406&gt;0,"Sondertilgung verrechnet",""))))</f>
        <v/>
      </c>
      <c r="Q406" s="38">
        <f>IF($S405&lt;=0,0,ROUND($S405*Übersicht!$C$26,2))</f>
        <v>0</v>
      </c>
      <c r="R406" s="38">
        <f>IF($S405&lt;=0,0,MIN($S405,IF(Übersicht!$C$14="Annuitätendarlehen",MAX(0,Übersicht!$C$28-$Q406),IF(Übersicht!$C$14="Ratendarlehen",Übersicht!$C$29,IF($A406&gt;=Übersicht!$C$30,$S405,0)))))</f>
        <v>0</v>
      </c>
      <c r="S406" s="38">
        <f>IF($S405&lt;=0,0,ROUND($S405-$R406-IF($S405-$R406&lt;=0,0,IF(MOD($A406,Übersicht!$C$25)=0,MIN(Szenarien!$C$8,$S405-$R406),0)),2))</f>
        <v>0</v>
      </c>
      <c r="T406" s="38">
        <f>IF($V405&lt;=0,0,ROUND($V405*Übersicht!$C$26,2))</f>
        <v>0</v>
      </c>
      <c r="U406" s="38">
        <f>IF($V405&lt;=0,0,MIN($V405,IF(Übersicht!$C$14="Annuitätendarlehen",MAX(0,Übersicht!$C$28-$T406),IF(Übersicht!$C$14="Ratendarlehen",Übersicht!$C$29,IF($A406&gt;=Übersicht!$C$30,$V405,0)))))</f>
        <v>0</v>
      </c>
      <c r="V406" s="38">
        <f>IF($V405&lt;=0,0,ROUND($V405-$U406-IF($V405-$U406&lt;=0,0,IF(MOD($A406,Übersicht!$C$25)=0,MIN(Szenarien!$C$9,$V405-$U406),0)),2))</f>
        <v>0</v>
      </c>
      <c r="W406" s="38">
        <f>IF($Y405&lt;=0,0,ROUND($Y405*Übersicht!$C$26,2))</f>
        <v>0</v>
      </c>
      <c r="X406" s="38">
        <f>IF($Y405&lt;=0,0,MIN($Y405,IF(Übersicht!$C$14="Annuitätendarlehen",MAX(0,Übersicht!$C$28-$W406),IF(Übersicht!$C$14="Ratendarlehen",Übersicht!$C$29,IF($A406&gt;=Übersicht!$C$30,$Y405,0)))))</f>
        <v>0</v>
      </c>
      <c r="Y406" s="38">
        <f>IF($Y405&lt;=0,0,ROUND($Y405-$X406-IF($Y405-$X406&lt;=0,0,IF(MOD($A406,Übersicht!$C$25)=0,MIN(Szenarien!$C$10,$Y405-$X406),0)),2))</f>
        <v>0</v>
      </c>
      <c r="Z406" s="38">
        <f>IF($AB405&lt;=0,0,ROUND($AB405*Übersicht!$C$26,2))</f>
        <v>0</v>
      </c>
      <c r="AA406" s="38">
        <f>IF($AB405&lt;=0,0,MIN($AB405,IF(Übersicht!$C$14="Annuitätendarlehen",MAX(0,Übersicht!$C$28-$Z406),IF(Übersicht!$C$14="Ratendarlehen",Übersicht!$C$29,IF($A406&gt;=Übersicht!$C$30,$AB405,0)))))</f>
        <v>0</v>
      </c>
      <c r="AB406" s="38">
        <f>IF($AB405&lt;=0,0,ROUND($AB405-$AA406-IF($AB405-$AA406&lt;=0,0,IF(MOD($A406,Übersicht!$C$25)=0,MIN(Szenarien!$C$11,$AB405-$AA406),0)),2))</f>
        <v>0</v>
      </c>
      <c r="AC406" s="38">
        <f>IF($AE405&lt;=0,0,ROUND($AE405*Übersicht!$C$26,2))</f>
        <v>0</v>
      </c>
      <c r="AD406" s="38">
        <f>IF($AE405&lt;=0,0,MIN($AE405,IF(Übersicht!$C$14="Annuitätendarlehen",MAX(0,Übersicht!$C$28-$AC406),IF(Übersicht!$C$14="Ratendarlehen",Übersicht!$C$29,IF($A406&gt;=Übersicht!$C$30,$AE405,0)))))</f>
        <v>0</v>
      </c>
      <c r="AE406" s="38">
        <f>IF($AE405&lt;=0,0,ROUND($AE405-$AD406-IF($AE405-$AD406&lt;=0,0,IF(MOD($A406,Übersicht!$C$25)=0,MIN(Szenarien!$C$12,$AE405-$AD406),0)),2))</f>
        <v>0</v>
      </c>
    </row>
    <row r="407" spans="1:31" ht="15" customHeight="1" x14ac:dyDescent="0.25">
      <c r="A407" s="26">
        <v>400</v>
      </c>
      <c r="B407" s="39" t="str">
        <f>IF($D407&lt;=0,"",EDATE(Übersicht!$C$18,($A407-1)*12/Übersicht!$C$25))</f>
        <v/>
      </c>
      <c r="C407" s="26" t="str">
        <f t="shared" si="42"/>
        <v/>
      </c>
      <c r="D407" s="40">
        <f t="shared" si="46"/>
        <v>0</v>
      </c>
      <c r="E407" s="28">
        <f t="shared" si="43"/>
        <v>0</v>
      </c>
      <c r="F407" s="28">
        <f>IF($D407&lt;=0,0,ROUND($D407*Übersicht!$C$26,2))</f>
        <v>0</v>
      </c>
      <c r="G407" s="28">
        <f>IF($D407&lt;=0,0,MIN($D407,IF(Übersicht!$C$14="Annuitätendarlehen",MAX(0,Übersicht!$C$28-$F407),IF(Übersicht!$C$14="Ratendarlehen",Übersicht!$C$29,IF($A407&gt;=Übersicht!$C$30,$D407,0)))))</f>
        <v>0</v>
      </c>
      <c r="H407" s="28">
        <f>IF($D407-$G407&lt;=0,0,IF(MOD($A407,Übersicht!$C$25)=0,MIN(Übersicht!$C$31,$D407-$G407),0))</f>
        <v>0</v>
      </c>
      <c r="I407" s="28">
        <f t="shared" si="44"/>
        <v>0</v>
      </c>
      <c r="J407" s="28">
        <f t="shared" si="45"/>
        <v>0</v>
      </c>
      <c r="K407" s="28">
        <f t="shared" si="47"/>
        <v>80072.129999999961</v>
      </c>
      <c r="L407" s="28">
        <f t="shared" si="48"/>
        <v>250000</v>
      </c>
      <c r="M407" s="29" t="str">
        <f>IF($D407&lt;=0,"",IF(Übersicht!$C$11=0,0,$L407/Übersicht!$C$11))</f>
        <v/>
      </c>
      <c r="N407" s="30" t="str">
        <f>IF($D407&lt;=0,"",IF($J407&lt;=0.005,"Volltilgung erreicht",IF($A407=Übersicht!$C$19*Übersicht!$C$25,"Ende der Zinsbindung",IF($H407&gt;0,"Sondertilgung verrechnet",""))))</f>
        <v/>
      </c>
      <c r="Q407" s="38">
        <f>IF($S406&lt;=0,0,ROUND($S406*Übersicht!$C$26,2))</f>
        <v>0</v>
      </c>
      <c r="R407" s="38">
        <f>IF($S406&lt;=0,0,MIN($S406,IF(Übersicht!$C$14="Annuitätendarlehen",MAX(0,Übersicht!$C$28-$Q407),IF(Übersicht!$C$14="Ratendarlehen",Übersicht!$C$29,IF($A407&gt;=Übersicht!$C$30,$S406,0)))))</f>
        <v>0</v>
      </c>
      <c r="S407" s="38">
        <f>IF($S406&lt;=0,0,ROUND($S406-$R407-IF($S406-$R407&lt;=0,0,IF(MOD($A407,Übersicht!$C$25)=0,MIN(Szenarien!$C$8,$S406-$R407),0)),2))</f>
        <v>0</v>
      </c>
      <c r="T407" s="38">
        <f>IF($V406&lt;=0,0,ROUND($V406*Übersicht!$C$26,2))</f>
        <v>0</v>
      </c>
      <c r="U407" s="38">
        <f>IF($V406&lt;=0,0,MIN($V406,IF(Übersicht!$C$14="Annuitätendarlehen",MAX(0,Übersicht!$C$28-$T407),IF(Übersicht!$C$14="Ratendarlehen",Übersicht!$C$29,IF($A407&gt;=Übersicht!$C$30,$V406,0)))))</f>
        <v>0</v>
      </c>
      <c r="V407" s="38">
        <f>IF($V406&lt;=0,0,ROUND($V406-$U407-IF($V406-$U407&lt;=0,0,IF(MOD($A407,Übersicht!$C$25)=0,MIN(Szenarien!$C$9,$V406-$U407),0)),2))</f>
        <v>0</v>
      </c>
      <c r="W407" s="38">
        <f>IF($Y406&lt;=0,0,ROUND($Y406*Übersicht!$C$26,2))</f>
        <v>0</v>
      </c>
      <c r="X407" s="38">
        <f>IF($Y406&lt;=0,0,MIN($Y406,IF(Übersicht!$C$14="Annuitätendarlehen",MAX(0,Übersicht!$C$28-$W407),IF(Übersicht!$C$14="Ratendarlehen",Übersicht!$C$29,IF($A407&gt;=Übersicht!$C$30,$Y406,0)))))</f>
        <v>0</v>
      </c>
      <c r="Y407" s="38">
        <f>IF($Y406&lt;=0,0,ROUND($Y406-$X407-IF($Y406-$X407&lt;=0,0,IF(MOD($A407,Übersicht!$C$25)=0,MIN(Szenarien!$C$10,$Y406-$X407),0)),2))</f>
        <v>0</v>
      </c>
      <c r="Z407" s="38">
        <f>IF($AB406&lt;=0,0,ROUND($AB406*Übersicht!$C$26,2))</f>
        <v>0</v>
      </c>
      <c r="AA407" s="38">
        <f>IF($AB406&lt;=0,0,MIN($AB406,IF(Übersicht!$C$14="Annuitätendarlehen",MAX(0,Übersicht!$C$28-$Z407),IF(Übersicht!$C$14="Ratendarlehen",Übersicht!$C$29,IF($A407&gt;=Übersicht!$C$30,$AB406,0)))))</f>
        <v>0</v>
      </c>
      <c r="AB407" s="38">
        <f>IF($AB406&lt;=0,0,ROUND($AB406-$AA407-IF($AB406-$AA407&lt;=0,0,IF(MOD($A407,Übersicht!$C$25)=0,MIN(Szenarien!$C$11,$AB406-$AA407),0)),2))</f>
        <v>0</v>
      </c>
      <c r="AC407" s="38">
        <f>IF($AE406&lt;=0,0,ROUND($AE406*Übersicht!$C$26,2))</f>
        <v>0</v>
      </c>
      <c r="AD407" s="38">
        <f>IF($AE406&lt;=0,0,MIN($AE406,IF(Übersicht!$C$14="Annuitätendarlehen",MAX(0,Übersicht!$C$28-$AC407),IF(Übersicht!$C$14="Ratendarlehen",Übersicht!$C$29,IF($A407&gt;=Übersicht!$C$30,$AE406,0)))))</f>
        <v>0</v>
      </c>
      <c r="AE407" s="38">
        <f>IF($AE406&lt;=0,0,ROUND($AE406-$AD407-IF($AE406-$AD407&lt;=0,0,IF(MOD($A407,Übersicht!$C$25)=0,MIN(Szenarien!$C$12,$AE406-$AD407),0)),2))</f>
        <v>0</v>
      </c>
    </row>
    <row r="408" spans="1:31" ht="15" customHeight="1" x14ac:dyDescent="0.25">
      <c r="A408" s="21">
        <v>401</v>
      </c>
      <c r="B408" s="36" t="str">
        <f>IF($D408&lt;=0,"",EDATE(Übersicht!$C$18,($A408-1)*12/Übersicht!$C$25))</f>
        <v/>
      </c>
      <c r="C408" s="21" t="str">
        <f t="shared" si="42"/>
        <v/>
      </c>
      <c r="D408" s="37">
        <f t="shared" si="46"/>
        <v>0</v>
      </c>
      <c r="E408" s="23">
        <f t="shared" si="43"/>
        <v>0</v>
      </c>
      <c r="F408" s="23">
        <f>IF($D408&lt;=0,0,ROUND($D408*Übersicht!$C$26,2))</f>
        <v>0</v>
      </c>
      <c r="G408" s="23">
        <f>IF($D408&lt;=0,0,MIN($D408,IF(Übersicht!$C$14="Annuitätendarlehen",MAX(0,Übersicht!$C$28-$F408),IF(Übersicht!$C$14="Ratendarlehen",Übersicht!$C$29,IF($A408&gt;=Übersicht!$C$30,$D408,0)))))</f>
        <v>0</v>
      </c>
      <c r="H408" s="23">
        <f>IF($D408-$G408&lt;=0,0,IF(MOD($A408,Übersicht!$C$25)=0,MIN(Übersicht!$C$31,$D408-$G408),0))</f>
        <v>0</v>
      </c>
      <c r="I408" s="23">
        <f t="shared" si="44"/>
        <v>0</v>
      </c>
      <c r="J408" s="23">
        <f t="shared" si="45"/>
        <v>0</v>
      </c>
      <c r="K408" s="23">
        <f t="shared" si="47"/>
        <v>80072.129999999961</v>
      </c>
      <c r="L408" s="23">
        <f t="shared" si="48"/>
        <v>250000</v>
      </c>
      <c r="M408" s="24" t="str">
        <f>IF($D408&lt;=0,"",IF(Übersicht!$C$11=0,0,$L408/Übersicht!$C$11))</f>
        <v/>
      </c>
      <c r="N408" s="25" t="str">
        <f>IF($D408&lt;=0,"",IF($J408&lt;=0.005,"Volltilgung erreicht",IF($A408=Übersicht!$C$19*Übersicht!$C$25,"Ende der Zinsbindung",IF($H408&gt;0,"Sondertilgung verrechnet",""))))</f>
        <v/>
      </c>
      <c r="Q408" s="38">
        <f>IF($S407&lt;=0,0,ROUND($S407*Übersicht!$C$26,2))</f>
        <v>0</v>
      </c>
      <c r="R408" s="38">
        <f>IF($S407&lt;=0,0,MIN($S407,IF(Übersicht!$C$14="Annuitätendarlehen",MAX(0,Übersicht!$C$28-$Q408),IF(Übersicht!$C$14="Ratendarlehen",Übersicht!$C$29,IF($A408&gt;=Übersicht!$C$30,$S407,0)))))</f>
        <v>0</v>
      </c>
      <c r="S408" s="38">
        <f>IF($S407&lt;=0,0,ROUND($S407-$R408-IF($S407-$R408&lt;=0,0,IF(MOD($A408,Übersicht!$C$25)=0,MIN(Szenarien!$C$8,$S407-$R408),0)),2))</f>
        <v>0</v>
      </c>
      <c r="T408" s="38">
        <f>IF($V407&lt;=0,0,ROUND($V407*Übersicht!$C$26,2))</f>
        <v>0</v>
      </c>
      <c r="U408" s="38">
        <f>IF($V407&lt;=0,0,MIN($V407,IF(Übersicht!$C$14="Annuitätendarlehen",MAX(0,Übersicht!$C$28-$T408),IF(Übersicht!$C$14="Ratendarlehen",Übersicht!$C$29,IF($A408&gt;=Übersicht!$C$30,$V407,0)))))</f>
        <v>0</v>
      </c>
      <c r="V408" s="38">
        <f>IF($V407&lt;=0,0,ROUND($V407-$U408-IF($V407-$U408&lt;=0,0,IF(MOD($A408,Übersicht!$C$25)=0,MIN(Szenarien!$C$9,$V407-$U408),0)),2))</f>
        <v>0</v>
      </c>
      <c r="W408" s="38">
        <f>IF($Y407&lt;=0,0,ROUND($Y407*Übersicht!$C$26,2))</f>
        <v>0</v>
      </c>
      <c r="X408" s="38">
        <f>IF($Y407&lt;=0,0,MIN($Y407,IF(Übersicht!$C$14="Annuitätendarlehen",MAX(0,Übersicht!$C$28-$W408),IF(Übersicht!$C$14="Ratendarlehen",Übersicht!$C$29,IF($A408&gt;=Übersicht!$C$30,$Y407,0)))))</f>
        <v>0</v>
      </c>
      <c r="Y408" s="38">
        <f>IF($Y407&lt;=0,0,ROUND($Y407-$X408-IF($Y407-$X408&lt;=0,0,IF(MOD($A408,Übersicht!$C$25)=0,MIN(Szenarien!$C$10,$Y407-$X408),0)),2))</f>
        <v>0</v>
      </c>
      <c r="Z408" s="38">
        <f>IF($AB407&lt;=0,0,ROUND($AB407*Übersicht!$C$26,2))</f>
        <v>0</v>
      </c>
      <c r="AA408" s="38">
        <f>IF($AB407&lt;=0,0,MIN($AB407,IF(Übersicht!$C$14="Annuitätendarlehen",MAX(0,Übersicht!$C$28-$Z408),IF(Übersicht!$C$14="Ratendarlehen",Übersicht!$C$29,IF($A408&gt;=Übersicht!$C$30,$AB407,0)))))</f>
        <v>0</v>
      </c>
      <c r="AB408" s="38">
        <f>IF($AB407&lt;=0,0,ROUND($AB407-$AA408-IF($AB407-$AA408&lt;=0,0,IF(MOD($A408,Übersicht!$C$25)=0,MIN(Szenarien!$C$11,$AB407-$AA408),0)),2))</f>
        <v>0</v>
      </c>
      <c r="AC408" s="38">
        <f>IF($AE407&lt;=0,0,ROUND($AE407*Übersicht!$C$26,2))</f>
        <v>0</v>
      </c>
      <c r="AD408" s="38">
        <f>IF($AE407&lt;=0,0,MIN($AE407,IF(Übersicht!$C$14="Annuitätendarlehen",MAX(0,Übersicht!$C$28-$AC408),IF(Übersicht!$C$14="Ratendarlehen",Übersicht!$C$29,IF($A408&gt;=Übersicht!$C$30,$AE407,0)))))</f>
        <v>0</v>
      </c>
      <c r="AE408" s="38">
        <f>IF($AE407&lt;=0,0,ROUND($AE407-$AD408-IF($AE407-$AD408&lt;=0,0,IF(MOD($A408,Übersicht!$C$25)=0,MIN(Szenarien!$C$12,$AE407-$AD408),0)),2))</f>
        <v>0</v>
      </c>
    </row>
    <row r="409" spans="1:31" ht="15" customHeight="1" x14ac:dyDescent="0.25">
      <c r="A409" s="26">
        <v>402</v>
      </c>
      <c r="B409" s="39" t="str">
        <f>IF($D409&lt;=0,"",EDATE(Übersicht!$C$18,($A409-1)*12/Übersicht!$C$25))</f>
        <v/>
      </c>
      <c r="C409" s="26" t="str">
        <f t="shared" si="42"/>
        <v/>
      </c>
      <c r="D409" s="40">
        <f t="shared" si="46"/>
        <v>0</v>
      </c>
      <c r="E409" s="28">
        <f t="shared" si="43"/>
        <v>0</v>
      </c>
      <c r="F409" s="28">
        <f>IF($D409&lt;=0,0,ROUND($D409*Übersicht!$C$26,2))</f>
        <v>0</v>
      </c>
      <c r="G409" s="28">
        <f>IF($D409&lt;=0,0,MIN($D409,IF(Übersicht!$C$14="Annuitätendarlehen",MAX(0,Übersicht!$C$28-$F409),IF(Übersicht!$C$14="Ratendarlehen",Übersicht!$C$29,IF($A409&gt;=Übersicht!$C$30,$D409,0)))))</f>
        <v>0</v>
      </c>
      <c r="H409" s="28">
        <f>IF($D409-$G409&lt;=0,0,IF(MOD($A409,Übersicht!$C$25)=0,MIN(Übersicht!$C$31,$D409-$G409),0))</f>
        <v>0</v>
      </c>
      <c r="I409" s="28">
        <f t="shared" si="44"/>
        <v>0</v>
      </c>
      <c r="J409" s="28">
        <f t="shared" si="45"/>
        <v>0</v>
      </c>
      <c r="K409" s="28">
        <f t="shared" si="47"/>
        <v>80072.129999999961</v>
      </c>
      <c r="L409" s="28">
        <f t="shared" si="48"/>
        <v>250000</v>
      </c>
      <c r="M409" s="29" t="str">
        <f>IF($D409&lt;=0,"",IF(Übersicht!$C$11=0,0,$L409/Übersicht!$C$11))</f>
        <v/>
      </c>
      <c r="N409" s="30" t="str">
        <f>IF($D409&lt;=0,"",IF($J409&lt;=0.005,"Volltilgung erreicht",IF($A409=Übersicht!$C$19*Übersicht!$C$25,"Ende der Zinsbindung",IF($H409&gt;0,"Sondertilgung verrechnet",""))))</f>
        <v/>
      </c>
      <c r="Q409" s="38">
        <f>IF($S408&lt;=0,0,ROUND($S408*Übersicht!$C$26,2))</f>
        <v>0</v>
      </c>
      <c r="R409" s="38">
        <f>IF($S408&lt;=0,0,MIN($S408,IF(Übersicht!$C$14="Annuitätendarlehen",MAX(0,Übersicht!$C$28-$Q409),IF(Übersicht!$C$14="Ratendarlehen",Übersicht!$C$29,IF($A409&gt;=Übersicht!$C$30,$S408,0)))))</f>
        <v>0</v>
      </c>
      <c r="S409" s="38">
        <f>IF($S408&lt;=0,0,ROUND($S408-$R409-IF($S408-$R409&lt;=0,0,IF(MOD($A409,Übersicht!$C$25)=0,MIN(Szenarien!$C$8,$S408-$R409),0)),2))</f>
        <v>0</v>
      </c>
      <c r="T409" s="38">
        <f>IF($V408&lt;=0,0,ROUND($V408*Übersicht!$C$26,2))</f>
        <v>0</v>
      </c>
      <c r="U409" s="38">
        <f>IF($V408&lt;=0,0,MIN($V408,IF(Übersicht!$C$14="Annuitätendarlehen",MAX(0,Übersicht!$C$28-$T409),IF(Übersicht!$C$14="Ratendarlehen",Übersicht!$C$29,IF($A409&gt;=Übersicht!$C$30,$V408,0)))))</f>
        <v>0</v>
      </c>
      <c r="V409" s="38">
        <f>IF($V408&lt;=0,0,ROUND($V408-$U409-IF($V408-$U409&lt;=0,0,IF(MOD($A409,Übersicht!$C$25)=0,MIN(Szenarien!$C$9,$V408-$U409),0)),2))</f>
        <v>0</v>
      </c>
      <c r="W409" s="38">
        <f>IF($Y408&lt;=0,0,ROUND($Y408*Übersicht!$C$26,2))</f>
        <v>0</v>
      </c>
      <c r="X409" s="38">
        <f>IF($Y408&lt;=0,0,MIN($Y408,IF(Übersicht!$C$14="Annuitätendarlehen",MAX(0,Übersicht!$C$28-$W409),IF(Übersicht!$C$14="Ratendarlehen",Übersicht!$C$29,IF($A409&gt;=Übersicht!$C$30,$Y408,0)))))</f>
        <v>0</v>
      </c>
      <c r="Y409" s="38">
        <f>IF($Y408&lt;=0,0,ROUND($Y408-$X409-IF($Y408-$X409&lt;=0,0,IF(MOD($A409,Übersicht!$C$25)=0,MIN(Szenarien!$C$10,$Y408-$X409),0)),2))</f>
        <v>0</v>
      </c>
      <c r="Z409" s="38">
        <f>IF($AB408&lt;=0,0,ROUND($AB408*Übersicht!$C$26,2))</f>
        <v>0</v>
      </c>
      <c r="AA409" s="38">
        <f>IF($AB408&lt;=0,0,MIN($AB408,IF(Übersicht!$C$14="Annuitätendarlehen",MAX(0,Übersicht!$C$28-$Z409),IF(Übersicht!$C$14="Ratendarlehen",Übersicht!$C$29,IF($A409&gt;=Übersicht!$C$30,$AB408,0)))))</f>
        <v>0</v>
      </c>
      <c r="AB409" s="38">
        <f>IF($AB408&lt;=0,0,ROUND($AB408-$AA409-IF($AB408-$AA409&lt;=0,0,IF(MOD($A409,Übersicht!$C$25)=0,MIN(Szenarien!$C$11,$AB408-$AA409),0)),2))</f>
        <v>0</v>
      </c>
      <c r="AC409" s="38">
        <f>IF($AE408&lt;=0,0,ROUND($AE408*Übersicht!$C$26,2))</f>
        <v>0</v>
      </c>
      <c r="AD409" s="38">
        <f>IF($AE408&lt;=0,0,MIN($AE408,IF(Übersicht!$C$14="Annuitätendarlehen",MAX(0,Übersicht!$C$28-$AC409),IF(Übersicht!$C$14="Ratendarlehen",Übersicht!$C$29,IF($A409&gt;=Übersicht!$C$30,$AE408,0)))))</f>
        <v>0</v>
      </c>
      <c r="AE409" s="38">
        <f>IF($AE408&lt;=0,0,ROUND($AE408-$AD409-IF($AE408-$AD409&lt;=0,0,IF(MOD($A409,Übersicht!$C$25)=0,MIN(Szenarien!$C$12,$AE408-$AD409),0)),2))</f>
        <v>0</v>
      </c>
    </row>
    <row r="410" spans="1:31" ht="15" customHeight="1" x14ac:dyDescent="0.25">
      <c r="A410" s="21">
        <v>403</v>
      </c>
      <c r="B410" s="36" t="str">
        <f>IF($D410&lt;=0,"",EDATE(Übersicht!$C$18,($A410-1)*12/Übersicht!$C$25))</f>
        <v/>
      </c>
      <c r="C410" s="21" t="str">
        <f t="shared" si="42"/>
        <v/>
      </c>
      <c r="D410" s="37">
        <f t="shared" si="46"/>
        <v>0</v>
      </c>
      <c r="E410" s="23">
        <f t="shared" si="43"/>
        <v>0</v>
      </c>
      <c r="F410" s="23">
        <f>IF($D410&lt;=0,0,ROUND($D410*Übersicht!$C$26,2))</f>
        <v>0</v>
      </c>
      <c r="G410" s="23">
        <f>IF($D410&lt;=0,0,MIN($D410,IF(Übersicht!$C$14="Annuitätendarlehen",MAX(0,Übersicht!$C$28-$F410),IF(Übersicht!$C$14="Ratendarlehen",Übersicht!$C$29,IF($A410&gt;=Übersicht!$C$30,$D410,0)))))</f>
        <v>0</v>
      </c>
      <c r="H410" s="23">
        <f>IF($D410-$G410&lt;=0,0,IF(MOD($A410,Übersicht!$C$25)=0,MIN(Übersicht!$C$31,$D410-$G410),0))</f>
        <v>0</v>
      </c>
      <c r="I410" s="23">
        <f t="shared" si="44"/>
        <v>0</v>
      </c>
      <c r="J410" s="23">
        <f t="shared" si="45"/>
        <v>0</v>
      </c>
      <c r="K410" s="23">
        <f t="shared" si="47"/>
        <v>80072.129999999961</v>
      </c>
      <c r="L410" s="23">
        <f t="shared" si="48"/>
        <v>250000</v>
      </c>
      <c r="M410" s="24" t="str">
        <f>IF($D410&lt;=0,"",IF(Übersicht!$C$11=0,0,$L410/Übersicht!$C$11))</f>
        <v/>
      </c>
      <c r="N410" s="25" t="str">
        <f>IF($D410&lt;=0,"",IF($J410&lt;=0.005,"Volltilgung erreicht",IF($A410=Übersicht!$C$19*Übersicht!$C$25,"Ende der Zinsbindung",IF($H410&gt;0,"Sondertilgung verrechnet",""))))</f>
        <v/>
      </c>
      <c r="Q410" s="38">
        <f>IF($S409&lt;=0,0,ROUND($S409*Übersicht!$C$26,2))</f>
        <v>0</v>
      </c>
      <c r="R410" s="38">
        <f>IF($S409&lt;=0,0,MIN($S409,IF(Übersicht!$C$14="Annuitätendarlehen",MAX(0,Übersicht!$C$28-$Q410),IF(Übersicht!$C$14="Ratendarlehen",Übersicht!$C$29,IF($A410&gt;=Übersicht!$C$30,$S409,0)))))</f>
        <v>0</v>
      </c>
      <c r="S410" s="38">
        <f>IF($S409&lt;=0,0,ROUND($S409-$R410-IF($S409-$R410&lt;=0,0,IF(MOD($A410,Übersicht!$C$25)=0,MIN(Szenarien!$C$8,$S409-$R410),0)),2))</f>
        <v>0</v>
      </c>
      <c r="T410" s="38">
        <f>IF($V409&lt;=0,0,ROUND($V409*Übersicht!$C$26,2))</f>
        <v>0</v>
      </c>
      <c r="U410" s="38">
        <f>IF($V409&lt;=0,0,MIN($V409,IF(Übersicht!$C$14="Annuitätendarlehen",MAX(0,Übersicht!$C$28-$T410),IF(Übersicht!$C$14="Ratendarlehen",Übersicht!$C$29,IF($A410&gt;=Übersicht!$C$30,$V409,0)))))</f>
        <v>0</v>
      </c>
      <c r="V410" s="38">
        <f>IF($V409&lt;=0,0,ROUND($V409-$U410-IF($V409-$U410&lt;=0,0,IF(MOD($A410,Übersicht!$C$25)=0,MIN(Szenarien!$C$9,$V409-$U410),0)),2))</f>
        <v>0</v>
      </c>
      <c r="W410" s="38">
        <f>IF($Y409&lt;=0,0,ROUND($Y409*Übersicht!$C$26,2))</f>
        <v>0</v>
      </c>
      <c r="X410" s="38">
        <f>IF($Y409&lt;=0,0,MIN($Y409,IF(Übersicht!$C$14="Annuitätendarlehen",MAX(0,Übersicht!$C$28-$W410),IF(Übersicht!$C$14="Ratendarlehen",Übersicht!$C$29,IF($A410&gt;=Übersicht!$C$30,$Y409,0)))))</f>
        <v>0</v>
      </c>
      <c r="Y410" s="38">
        <f>IF($Y409&lt;=0,0,ROUND($Y409-$X410-IF($Y409-$X410&lt;=0,0,IF(MOD($A410,Übersicht!$C$25)=0,MIN(Szenarien!$C$10,$Y409-$X410),0)),2))</f>
        <v>0</v>
      </c>
      <c r="Z410" s="38">
        <f>IF($AB409&lt;=0,0,ROUND($AB409*Übersicht!$C$26,2))</f>
        <v>0</v>
      </c>
      <c r="AA410" s="38">
        <f>IF($AB409&lt;=0,0,MIN($AB409,IF(Übersicht!$C$14="Annuitätendarlehen",MAX(0,Übersicht!$C$28-$Z410),IF(Übersicht!$C$14="Ratendarlehen",Übersicht!$C$29,IF($A410&gt;=Übersicht!$C$30,$AB409,0)))))</f>
        <v>0</v>
      </c>
      <c r="AB410" s="38">
        <f>IF($AB409&lt;=0,0,ROUND($AB409-$AA410-IF($AB409-$AA410&lt;=0,0,IF(MOD($A410,Übersicht!$C$25)=0,MIN(Szenarien!$C$11,$AB409-$AA410),0)),2))</f>
        <v>0</v>
      </c>
      <c r="AC410" s="38">
        <f>IF($AE409&lt;=0,0,ROUND($AE409*Übersicht!$C$26,2))</f>
        <v>0</v>
      </c>
      <c r="AD410" s="38">
        <f>IF($AE409&lt;=0,0,MIN($AE409,IF(Übersicht!$C$14="Annuitätendarlehen",MAX(0,Übersicht!$C$28-$AC410),IF(Übersicht!$C$14="Ratendarlehen",Übersicht!$C$29,IF($A410&gt;=Übersicht!$C$30,$AE409,0)))))</f>
        <v>0</v>
      </c>
      <c r="AE410" s="38">
        <f>IF($AE409&lt;=0,0,ROUND($AE409-$AD410-IF($AE409-$AD410&lt;=0,0,IF(MOD($A410,Übersicht!$C$25)=0,MIN(Szenarien!$C$12,$AE409-$AD410),0)),2))</f>
        <v>0</v>
      </c>
    </row>
    <row r="411" spans="1:31" ht="15" customHeight="1" x14ac:dyDescent="0.25">
      <c r="A411" s="26">
        <v>404</v>
      </c>
      <c r="B411" s="39" t="str">
        <f>IF($D411&lt;=0,"",EDATE(Übersicht!$C$18,($A411-1)*12/Übersicht!$C$25))</f>
        <v/>
      </c>
      <c r="C411" s="26" t="str">
        <f t="shared" si="42"/>
        <v/>
      </c>
      <c r="D411" s="40">
        <f t="shared" si="46"/>
        <v>0</v>
      </c>
      <c r="E411" s="28">
        <f t="shared" si="43"/>
        <v>0</v>
      </c>
      <c r="F411" s="28">
        <f>IF($D411&lt;=0,0,ROUND($D411*Übersicht!$C$26,2))</f>
        <v>0</v>
      </c>
      <c r="G411" s="28">
        <f>IF($D411&lt;=0,0,MIN($D411,IF(Übersicht!$C$14="Annuitätendarlehen",MAX(0,Übersicht!$C$28-$F411),IF(Übersicht!$C$14="Ratendarlehen",Übersicht!$C$29,IF($A411&gt;=Übersicht!$C$30,$D411,0)))))</f>
        <v>0</v>
      </c>
      <c r="H411" s="28">
        <f>IF($D411-$G411&lt;=0,0,IF(MOD($A411,Übersicht!$C$25)=0,MIN(Übersicht!$C$31,$D411-$G411),0))</f>
        <v>0</v>
      </c>
      <c r="I411" s="28">
        <f t="shared" si="44"/>
        <v>0</v>
      </c>
      <c r="J411" s="28">
        <f t="shared" si="45"/>
        <v>0</v>
      </c>
      <c r="K411" s="28">
        <f t="shared" si="47"/>
        <v>80072.129999999961</v>
      </c>
      <c r="L411" s="28">
        <f t="shared" si="48"/>
        <v>250000</v>
      </c>
      <c r="M411" s="29" t="str">
        <f>IF($D411&lt;=0,"",IF(Übersicht!$C$11=0,0,$L411/Übersicht!$C$11))</f>
        <v/>
      </c>
      <c r="N411" s="30" t="str">
        <f>IF($D411&lt;=0,"",IF($J411&lt;=0.005,"Volltilgung erreicht",IF($A411=Übersicht!$C$19*Übersicht!$C$25,"Ende der Zinsbindung",IF($H411&gt;0,"Sondertilgung verrechnet",""))))</f>
        <v/>
      </c>
      <c r="Q411" s="38">
        <f>IF($S410&lt;=0,0,ROUND($S410*Übersicht!$C$26,2))</f>
        <v>0</v>
      </c>
      <c r="R411" s="38">
        <f>IF($S410&lt;=0,0,MIN($S410,IF(Übersicht!$C$14="Annuitätendarlehen",MAX(0,Übersicht!$C$28-$Q411),IF(Übersicht!$C$14="Ratendarlehen",Übersicht!$C$29,IF($A411&gt;=Übersicht!$C$30,$S410,0)))))</f>
        <v>0</v>
      </c>
      <c r="S411" s="38">
        <f>IF($S410&lt;=0,0,ROUND($S410-$R411-IF($S410-$R411&lt;=0,0,IF(MOD($A411,Übersicht!$C$25)=0,MIN(Szenarien!$C$8,$S410-$R411),0)),2))</f>
        <v>0</v>
      </c>
      <c r="T411" s="38">
        <f>IF($V410&lt;=0,0,ROUND($V410*Übersicht!$C$26,2))</f>
        <v>0</v>
      </c>
      <c r="U411" s="38">
        <f>IF($V410&lt;=0,0,MIN($V410,IF(Übersicht!$C$14="Annuitätendarlehen",MAX(0,Übersicht!$C$28-$T411),IF(Übersicht!$C$14="Ratendarlehen",Übersicht!$C$29,IF($A411&gt;=Übersicht!$C$30,$V410,0)))))</f>
        <v>0</v>
      </c>
      <c r="V411" s="38">
        <f>IF($V410&lt;=0,0,ROUND($V410-$U411-IF($V410-$U411&lt;=0,0,IF(MOD($A411,Übersicht!$C$25)=0,MIN(Szenarien!$C$9,$V410-$U411),0)),2))</f>
        <v>0</v>
      </c>
      <c r="W411" s="38">
        <f>IF($Y410&lt;=0,0,ROUND($Y410*Übersicht!$C$26,2))</f>
        <v>0</v>
      </c>
      <c r="X411" s="38">
        <f>IF($Y410&lt;=0,0,MIN($Y410,IF(Übersicht!$C$14="Annuitätendarlehen",MAX(0,Übersicht!$C$28-$W411),IF(Übersicht!$C$14="Ratendarlehen",Übersicht!$C$29,IF($A411&gt;=Übersicht!$C$30,$Y410,0)))))</f>
        <v>0</v>
      </c>
      <c r="Y411" s="38">
        <f>IF($Y410&lt;=0,0,ROUND($Y410-$X411-IF($Y410-$X411&lt;=0,0,IF(MOD($A411,Übersicht!$C$25)=0,MIN(Szenarien!$C$10,$Y410-$X411),0)),2))</f>
        <v>0</v>
      </c>
      <c r="Z411" s="38">
        <f>IF($AB410&lt;=0,0,ROUND($AB410*Übersicht!$C$26,2))</f>
        <v>0</v>
      </c>
      <c r="AA411" s="38">
        <f>IF($AB410&lt;=0,0,MIN($AB410,IF(Übersicht!$C$14="Annuitätendarlehen",MAX(0,Übersicht!$C$28-$Z411),IF(Übersicht!$C$14="Ratendarlehen",Übersicht!$C$29,IF($A411&gt;=Übersicht!$C$30,$AB410,0)))))</f>
        <v>0</v>
      </c>
      <c r="AB411" s="38">
        <f>IF($AB410&lt;=0,0,ROUND($AB410-$AA411-IF($AB410-$AA411&lt;=0,0,IF(MOD($A411,Übersicht!$C$25)=0,MIN(Szenarien!$C$11,$AB410-$AA411),0)),2))</f>
        <v>0</v>
      </c>
      <c r="AC411" s="38">
        <f>IF($AE410&lt;=0,0,ROUND($AE410*Übersicht!$C$26,2))</f>
        <v>0</v>
      </c>
      <c r="AD411" s="38">
        <f>IF($AE410&lt;=0,0,MIN($AE410,IF(Übersicht!$C$14="Annuitätendarlehen",MAX(0,Übersicht!$C$28-$AC411),IF(Übersicht!$C$14="Ratendarlehen",Übersicht!$C$29,IF($A411&gt;=Übersicht!$C$30,$AE410,0)))))</f>
        <v>0</v>
      </c>
      <c r="AE411" s="38">
        <f>IF($AE410&lt;=0,0,ROUND($AE410-$AD411-IF($AE410-$AD411&lt;=0,0,IF(MOD($A411,Übersicht!$C$25)=0,MIN(Szenarien!$C$12,$AE410-$AD411),0)),2))</f>
        <v>0</v>
      </c>
    </row>
    <row r="412" spans="1:31" ht="15" customHeight="1" x14ac:dyDescent="0.25">
      <c r="A412" s="21">
        <v>405</v>
      </c>
      <c r="B412" s="36" t="str">
        <f>IF($D412&lt;=0,"",EDATE(Übersicht!$C$18,($A412-1)*12/Übersicht!$C$25))</f>
        <v/>
      </c>
      <c r="C412" s="21" t="str">
        <f t="shared" si="42"/>
        <v/>
      </c>
      <c r="D412" s="37">
        <f t="shared" si="46"/>
        <v>0</v>
      </c>
      <c r="E412" s="23">
        <f t="shared" si="43"/>
        <v>0</v>
      </c>
      <c r="F412" s="23">
        <f>IF($D412&lt;=0,0,ROUND($D412*Übersicht!$C$26,2))</f>
        <v>0</v>
      </c>
      <c r="G412" s="23">
        <f>IF($D412&lt;=0,0,MIN($D412,IF(Übersicht!$C$14="Annuitätendarlehen",MAX(0,Übersicht!$C$28-$F412),IF(Übersicht!$C$14="Ratendarlehen",Übersicht!$C$29,IF($A412&gt;=Übersicht!$C$30,$D412,0)))))</f>
        <v>0</v>
      </c>
      <c r="H412" s="23">
        <f>IF($D412-$G412&lt;=0,0,IF(MOD($A412,Übersicht!$C$25)=0,MIN(Übersicht!$C$31,$D412-$G412),0))</f>
        <v>0</v>
      </c>
      <c r="I412" s="23">
        <f t="shared" si="44"/>
        <v>0</v>
      </c>
      <c r="J412" s="23">
        <f t="shared" si="45"/>
        <v>0</v>
      </c>
      <c r="K412" s="23">
        <f t="shared" si="47"/>
        <v>80072.129999999961</v>
      </c>
      <c r="L412" s="23">
        <f t="shared" si="48"/>
        <v>250000</v>
      </c>
      <c r="M412" s="24" t="str">
        <f>IF($D412&lt;=0,"",IF(Übersicht!$C$11=0,0,$L412/Übersicht!$C$11))</f>
        <v/>
      </c>
      <c r="N412" s="25" t="str">
        <f>IF($D412&lt;=0,"",IF($J412&lt;=0.005,"Volltilgung erreicht",IF($A412=Übersicht!$C$19*Übersicht!$C$25,"Ende der Zinsbindung",IF($H412&gt;0,"Sondertilgung verrechnet",""))))</f>
        <v/>
      </c>
      <c r="Q412" s="38">
        <f>IF($S411&lt;=0,0,ROUND($S411*Übersicht!$C$26,2))</f>
        <v>0</v>
      </c>
      <c r="R412" s="38">
        <f>IF($S411&lt;=0,0,MIN($S411,IF(Übersicht!$C$14="Annuitätendarlehen",MAX(0,Übersicht!$C$28-$Q412),IF(Übersicht!$C$14="Ratendarlehen",Übersicht!$C$29,IF($A412&gt;=Übersicht!$C$30,$S411,0)))))</f>
        <v>0</v>
      </c>
      <c r="S412" s="38">
        <f>IF($S411&lt;=0,0,ROUND($S411-$R412-IF($S411-$R412&lt;=0,0,IF(MOD($A412,Übersicht!$C$25)=0,MIN(Szenarien!$C$8,$S411-$R412),0)),2))</f>
        <v>0</v>
      </c>
      <c r="T412" s="38">
        <f>IF($V411&lt;=0,0,ROUND($V411*Übersicht!$C$26,2))</f>
        <v>0</v>
      </c>
      <c r="U412" s="38">
        <f>IF($V411&lt;=0,0,MIN($V411,IF(Übersicht!$C$14="Annuitätendarlehen",MAX(0,Übersicht!$C$28-$T412),IF(Übersicht!$C$14="Ratendarlehen",Übersicht!$C$29,IF($A412&gt;=Übersicht!$C$30,$V411,0)))))</f>
        <v>0</v>
      </c>
      <c r="V412" s="38">
        <f>IF($V411&lt;=0,0,ROUND($V411-$U412-IF($V411-$U412&lt;=0,0,IF(MOD($A412,Übersicht!$C$25)=0,MIN(Szenarien!$C$9,$V411-$U412),0)),2))</f>
        <v>0</v>
      </c>
      <c r="W412" s="38">
        <f>IF($Y411&lt;=0,0,ROUND($Y411*Übersicht!$C$26,2))</f>
        <v>0</v>
      </c>
      <c r="X412" s="38">
        <f>IF($Y411&lt;=0,0,MIN($Y411,IF(Übersicht!$C$14="Annuitätendarlehen",MAX(0,Übersicht!$C$28-$W412),IF(Übersicht!$C$14="Ratendarlehen",Übersicht!$C$29,IF($A412&gt;=Übersicht!$C$30,$Y411,0)))))</f>
        <v>0</v>
      </c>
      <c r="Y412" s="38">
        <f>IF($Y411&lt;=0,0,ROUND($Y411-$X412-IF($Y411-$X412&lt;=0,0,IF(MOD($A412,Übersicht!$C$25)=0,MIN(Szenarien!$C$10,$Y411-$X412),0)),2))</f>
        <v>0</v>
      </c>
      <c r="Z412" s="38">
        <f>IF($AB411&lt;=0,0,ROUND($AB411*Übersicht!$C$26,2))</f>
        <v>0</v>
      </c>
      <c r="AA412" s="38">
        <f>IF($AB411&lt;=0,0,MIN($AB411,IF(Übersicht!$C$14="Annuitätendarlehen",MAX(0,Übersicht!$C$28-$Z412),IF(Übersicht!$C$14="Ratendarlehen",Übersicht!$C$29,IF($A412&gt;=Übersicht!$C$30,$AB411,0)))))</f>
        <v>0</v>
      </c>
      <c r="AB412" s="38">
        <f>IF($AB411&lt;=0,0,ROUND($AB411-$AA412-IF($AB411-$AA412&lt;=0,0,IF(MOD($A412,Übersicht!$C$25)=0,MIN(Szenarien!$C$11,$AB411-$AA412),0)),2))</f>
        <v>0</v>
      </c>
      <c r="AC412" s="38">
        <f>IF($AE411&lt;=0,0,ROUND($AE411*Übersicht!$C$26,2))</f>
        <v>0</v>
      </c>
      <c r="AD412" s="38">
        <f>IF($AE411&lt;=0,0,MIN($AE411,IF(Übersicht!$C$14="Annuitätendarlehen",MAX(0,Übersicht!$C$28-$AC412),IF(Übersicht!$C$14="Ratendarlehen",Übersicht!$C$29,IF($A412&gt;=Übersicht!$C$30,$AE411,0)))))</f>
        <v>0</v>
      </c>
      <c r="AE412" s="38">
        <f>IF($AE411&lt;=0,0,ROUND($AE411-$AD412-IF($AE411-$AD412&lt;=0,0,IF(MOD($A412,Übersicht!$C$25)=0,MIN(Szenarien!$C$12,$AE411-$AD412),0)),2))</f>
        <v>0</v>
      </c>
    </row>
    <row r="413" spans="1:31" ht="15" customHeight="1" x14ac:dyDescent="0.25">
      <c r="A413" s="26">
        <v>406</v>
      </c>
      <c r="B413" s="39" t="str">
        <f>IF($D413&lt;=0,"",EDATE(Übersicht!$C$18,($A413-1)*12/Übersicht!$C$25))</f>
        <v/>
      </c>
      <c r="C413" s="26" t="str">
        <f t="shared" si="42"/>
        <v/>
      </c>
      <c r="D413" s="40">
        <f t="shared" si="46"/>
        <v>0</v>
      </c>
      <c r="E413" s="28">
        <f t="shared" si="43"/>
        <v>0</v>
      </c>
      <c r="F413" s="28">
        <f>IF($D413&lt;=0,0,ROUND($D413*Übersicht!$C$26,2))</f>
        <v>0</v>
      </c>
      <c r="G413" s="28">
        <f>IF($D413&lt;=0,0,MIN($D413,IF(Übersicht!$C$14="Annuitätendarlehen",MAX(0,Übersicht!$C$28-$F413),IF(Übersicht!$C$14="Ratendarlehen",Übersicht!$C$29,IF($A413&gt;=Übersicht!$C$30,$D413,0)))))</f>
        <v>0</v>
      </c>
      <c r="H413" s="28">
        <f>IF($D413-$G413&lt;=0,0,IF(MOD($A413,Übersicht!$C$25)=0,MIN(Übersicht!$C$31,$D413-$G413),0))</f>
        <v>0</v>
      </c>
      <c r="I413" s="28">
        <f t="shared" si="44"/>
        <v>0</v>
      </c>
      <c r="J413" s="28">
        <f t="shared" si="45"/>
        <v>0</v>
      </c>
      <c r="K413" s="28">
        <f t="shared" si="47"/>
        <v>80072.129999999961</v>
      </c>
      <c r="L413" s="28">
        <f t="shared" si="48"/>
        <v>250000</v>
      </c>
      <c r="M413" s="29" t="str">
        <f>IF($D413&lt;=0,"",IF(Übersicht!$C$11=0,0,$L413/Übersicht!$C$11))</f>
        <v/>
      </c>
      <c r="N413" s="30" t="str">
        <f>IF($D413&lt;=0,"",IF($J413&lt;=0.005,"Volltilgung erreicht",IF($A413=Übersicht!$C$19*Übersicht!$C$25,"Ende der Zinsbindung",IF($H413&gt;0,"Sondertilgung verrechnet",""))))</f>
        <v/>
      </c>
      <c r="Q413" s="38">
        <f>IF($S412&lt;=0,0,ROUND($S412*Übersicht!$C$26,2))</f>
        <v>0</v>
      </c>
      <c r="R413" s="38">
        <f>IF($S412&lt;=0,0,MIN($S412,IF(Übersicht!$C$14="Annuitätendarlehen",MAX(0,Übersicht!$C$28-$Q413),IF(Übersicht!$C$14="Ratendarlehen",Übersicht!$C$29,IF($A413&gt;=Übersicht!$C$30,$S412,0)))))</f>
        <v>0</v>
      </c>
      <c r="S413" s="38">
        <f>IF($S412&lt;=0,0,ROUND($S412-$R413-IF($S412-$R413&lt;=0,0,IF(MOD($A413,Übersicht!$C$25)=0,MIN(Szenarien!$C$8,$S412-$R413),0)),2))</f>
        <v>0</v>
      </c>
      <c r="T413" s="38">
        <f>IF($V412&lt;=0,0,ROUND($V412*Übersicht!$C$26,2))</f>
        <v>0</v>
      </c>
      <c r="U413" s="38">
        <f>IF($V412&lt;=0,0,MIN($V412,IF(Übersicht!$C$14="Annuitätendarlehen",MAX(0,Übersicht!$C$28-$T413),IF(Übersicht!$C$14="Ratendarlehen",Übersicht!$C$29,IF($A413&gt;=Übersicht!$C$30,$V412,0)))))</f>
        <v>0</v>
      </c>
      <c r="V413" s="38">
        <f>IF($V412&lt;=0,0,ROUND($V412-$U413-IF($V412-$U413&lt;=0,0,IF(MOD($A413,Übersicht!$C$25)=0,MIN(Szenarien!$C$9,$V412-$U413),0)),2))</f>
        <v>0</v>
      </c>
      <c r="W413" s="38">
        <f>IF($Y412&lt;=0,0,ROUND($Y412*Übersicht!$C$26,2))</f>
        <v>0</v>
      </c>
      <c r="X413" s="38">
        <f>IF($Y412&lt;=0,0,MIN($Y412,IF(Übersicht!$C$14="Annuitätendarlehen",MAX(0,Übersicht!$C$28-$W413),IF(Übersicht!$C$14="Ratendarlehen",Übersicht!$C$29,IF($A413&gt;=Übersicht!$C$30,$Y412,0)))))</f>
        <v>0</v>
      </c>
      <c r="Y413" s="38">
        <f>IF($Y412&lt;=0,0,ROUND($Y412-$X413-IF($Y412-$X413&lt;=0,0,IF(MOD($A413,Übersicht!$C$25)=0,MIN(Szenarien!$C$10,$Y412-$X413),0)),2))</f>
        <v>0</v>
      </c>
      <c r="Z413" s="38">
        <f>IF($AB412&lt;=0,0,ROUND($AB412*Übersicht!$C$26,2))</f>
        <v>0</v>
      </c>
      <c r="AA413" s="38">
        <f>IF($AB412&lt;=0,0,MIN($AB412,IF(Übersicht!$C$14="Annuitätendarlehen",MAX(0,Übersicht!$C$28-$Z413),IF(Übersicht!$C$14="Ratendarlehen",Übersicht!$C$29,IF($A413&gt;=Übersicht!$C$30,$AB412,0)))))</f>
        <v>0</v>
      </c>
      <c r="AB413" s="38">
        <f>IF($AB412&lt;=0,0,ROUND($AB412-$AA413-IF($AB412-$AA413&lt;=0,0,IF(MOD($A413,Übersicht!$C$25)=0,MIN(Szenarien!$C$11,$AB412-$AA413),0)),2))</f>
        <v>0</v>
      </c>
      <c r="AC413" s="38">
        <f>IF($AE412&lt;=0,0,ROUND($AE412*Übersicht!$C$26,2))</f>
        <v>0</v>
      </c>
      <c r="AD413" s="38">
        <f>IF($AE412&lt;=0,0,MIN($AE412,IF(Übersicht!$C$14="Annuitätendarlehen",MAX(0,Übersicht!$C$28-$AC413),IF(Übersicht!$C$14="Ratendarlehen",Übersicht!$C$29,IF($A413&gt;=Übersicht!$C$30,$AE412,0)))))</f>
        <v>0</v>
      </c>
      <c r="AE413" s="38">
        <f>IF($AE412&lt;=0,0,ROUND($AE412-$AD413-IF($AE412-$AD413&lt;=0,0,IF(MOD($A413,Übersicht!$C$25)=0,MIN(Szenarien!$C$12,$AE412-$AD413),0)),2))</f>
        <v>0</v>
      </c>
    </row>
    <row r="414" spans="1:31" ht="15" customHeight="1" x14ac:dyDescent="0.25">
      <c r="A414" s="21">
        <v>407</v>
      </c>
      <c r="B414" s="36" t="str">
        <f>IF($D414&lt;=0,"",EDATE(Übersicht!$C$18,($A414-1)*12/Übersicht!$C$25))</f>
        <v/>
      </c>
      <c r="C414" s="21" t="str">
        <f t="shared" si="42"/>
        <v/>
      </c>
      <c r="D414" s="37">
        <f t="shared" si="46"/>
        <v>0</v>
      </c>
      <c r="E414" s="23">
        <f t="shared" si="43"/>
        <v>0</v>
      </c>
      <c r="F414" s="23">
        <f>IF($D414&lt;=0,0,ROUND($D414*Übersicht!$C$26,2))</f>
        <v>0</v>
      </c>
      <c r="G414" s="23">
        <f>IF($D414&lt;=0,0,MIN($D414,IF(Übersicht!$C$14="Annuitätendarlehen",MAX(0,Übersicht!$C$28-$F414),IF(Übersicht!$C$14="Ratendarlehen",Übersicht!$C$29,IF($A414&gt;=Übersicht!$C$30,$D414,0)))))</f>
        <v>0</v>
      </c>
      <c r="H414" s="23">
        <f>IF($D414-$G414&lt;=0,0,IF(MOD($A414,Übersicht!$C$25)=0,MIN(Übersicht!$C$31,$D414-$G414),0))</f>
        <v>0</v>
      </c>
      <c r="I414" s="23">
        <f t="shared" si="44"/>
        <v>0</v>
      </c>
      <c r="J414" s="23">
        <f t="shared" si="45"/>
        <v>0</v>
      </c>
      <c r="K414" s="23">
        <f t="shared" si="47"/>
        <v>80072.129999999961</v>
      </c>
      <c r="L414" s="23">
        <f t="shared" si="48"/>
        <v>250000</v>
      </c>
      <c r="M414" s="24" t="str">
        <f>IF($D414&lt;=0,"",IF(Übersicht!$C$11=0,0,$L414/Übersicht!$C$11))</f>
        <v/>
      </c>
      <c r="N414" s="25" t="str">
        <f>IF($D414&lt;=0,"",IF($J414&lt;=0.005,"Volltilgung erreicht",IF($A414=Übersicht!$C$19*Übersicht!$C$25,"Ende der Zinsbindung",IF($H414&gt;0,"Sondertilgung verrechnet",""))))</f>
        <v/>
      </c>
      <c r="Q414" s="38">
        <f>IF($S413&lt;=0,0,ROUND($S413*Übersicht!$C$26,2))</f>
        <v>0</v>
      </c>
      <c r="R414" s="38">
        <f>IF($S413&lt;=0,0,MIN($S413,IF(Übersicht!$C$14="Annuitätendarlehen",MAX(0,Übersicht!$C$28-$Q414),IF(Übersicht!$C$14="Ratendarlehen",Übersicht!$C$29,IF($A414&gt;=Übersicht!$C$30,$S413,0)))))</f>
        <v>0</v>
      </c>
      <c r="S414" s="38">
        <f>IF($S413&lt;=0,0,ROUND($S413-$R414-IF($S413-$R414&lt;=0,0,IF(MOD($A414,Übersicht!$C$25)=0,MIN(Szenarien!$C$8,$S413-$R414),0)),2))</f>
        <v>0</v>
      </c>
      <c r="T414" s="38">
        <f>IF($V413&lt;=0,0,ROUND($V413*Übersicht!$C$26,2))</f>
        <v>0</v>
      </c>
      <c r="U414" s="38">
        <f>IF($V413&lt;=0,0,MIN($V413,IF(Übersicht!$C$14="Annuitätendarlehen",MAX(0,Übersicht!$C$28-$T414),IF(Übersicht!$C$14="Ratendarlehen",Übersicht!$C$29,IF($A414&gt;=Übersicht!$C$30,$V413,0)))))</f>
        <v>0</v>
      </c>
      <c r="V414" s="38">
        <f>IF($V413&lt;=0,0,ROUND($V413-$U414-IF($V413-$U414&lt;=0,0,IF(MOD($A414,Übersicht!$C$25)=0,MIN(Szenarien!$C$9,$V413-$U414),0)),2))</f>
        <v>0</v>
      </c>
      <c r="W414" s="38">
        <f>IF($Y413&lt;=0,0,ROUND($Y413*Übersicht!$C$26,2))</f>
        <v>0</v>
      </c>
      <c r="X414" s="38">
        <f>IF($Y413&lt;=0,0,MIN($Y413,IF(Übersicht!$C$14="Annuitätendarlehen",MAX(0,Übersicht!$C$28-$W414),IF(Übersicht!$C$14="Ratendarlehen",Übersicht!$C$29,IF($A414&gt;=Übersicht!$C$30,$Y413,0)))))</f>
        <v>0</v>
      </c>
      <c r="Y414" s="38">
        <f>IF($Y413&lt;=0,0,ROUND($Y413-$X414-IF($Y413-$X414&lt;=0,0,IF(MOD($A414,Übersicht!$C$25)=0,MIN(Szenarien!$C$10,$Y413-$X414),0)),2))</f>
        <v>0</v>
      </c>
      <c r="Z414" s="38">
        <f>IF($AB413&lt;=0,0,ROUND($AB413*Übersicht!$C$26,2))</f>
        <v>0</v>
      </c>
      <c r="AA414" s="38">
        <f>IF($AB413&lt;=0,0,MIN($AB413,IF(Übersicht!$C$14="Annuitätendarlehen",MAX(0,Übersicht!$C$28-$Z414),IF(Übersicht!$C$14="Ratendarlehen",Übersicht!$C$29,IF($A414&gt;=Übersicht!$C$30,$AB413,0)))))</f>
        <v>0</v>
      </c>
      <c r="AB414" s="38">
        <f>IF($AB413&lt;=0,0,ROUND($AB413-$AA414-IF($AB413-$AA414&lt;=0,0,IF(MOD($A414,Übersicht!$C$25)=0,MIN(Szenarien!$C$11,$AB413-$AA414),0)),2))</f>
        <v>0</v>
      </c>
      <c r="AC414" s="38">
        <f>IF($AE413&lt;=0,0,ROUND($AE413*Übersicht!$C$26,2))</f>
        <v>0</v>
      </c>
      <c r="AD414" s="38">
        <f>IF($AE413&lt;=0,0,MIN($AE413,IF(Übersicht!$C$14="Annuitätendarlehen",MAX(0,Übersicht!$C$28-$AC414),IF(Übersicht!$C$14="Ratendarlehen",Übersicht!$C$29,IF($A414&gt;=Übersicht!$C$30,$AE413,0)))))</f>
        <v>0</v>
      </c>
      <c r="AE414" s="38">
        <f>IF($AE413&lt;=0,0,ROUND($AE413-$AD414-IF($AE413-$AD414&lt;=0,0,IF(MOD($A414,Übersicht!$C$25)=0,MIN(Szenarien!$C$12,$AE413-$AD414),0)),2))</f>
        <v>0</v>
      </c>
    </row>
    <row r="415" spans="1:31" ht="15" customHeight="1" x14ac:dyDescent="0.25">
      <c r="A415" s="26">
        <v>408</v>
      </c>
      <c r="B415" s="39" t="str">
        <f>IF($D415&lt;=0,"",EDATE(Übersicht!$C$18,($A415-1)*12/Übersicht!$C$25))</f>
        <v/>
      </c>
      <c r="C415" s="26" t="str">
        <f t="shared" si="42"/>
        <v/>
      </c>
      <c r="D415" s="40">
        <f t="shared" si="46"/>
        <v>0</v>
      </c>
      <c r="E415" s="28">
        <f t="shared" si="43"/>
        <v>0</v>
      </c>
      <c r="F415" s="28">
        <f>IF($D415&lt;=0,0,ROUND($D415*Übersicht!$C$26,2))</f>
        <v>0</v>
      </c>
      <c r="G415" s="28">
        <f>IF($D415&lt;=0,0,MIN($D415,IF(Übersicht!$C$14="Annuitätendarlehen",MAX(0,Übersicht!$C$28-$F415),IF(Übersicht!$C$14="Ratendarlehen",Übersicht!$C$29,IF($A415&gt;=Übersicht!$C$30,$D415,0)))))</f>
        <v>0</v>
      </c>
      <c r="H415" s="28">
        <f>IF($D415-$G415&lt;=0,0,IF(MOD($A415,Übersicht!$C$25)=0,MIN(Übersicht!$C$31,$D415-$G415),0))</f>
        <v>0</v>
      </c>
      <c r="I415" s="28">
        <f t="shared" si="44"/>
        <v>0</v>
      </c>
      <c r="J415" s="28">
        <f t="shared" si="45"/>
        <v>0</v>
      </c>
      <c r="K415" s="28">
        <f t="shared" si="47"/>
        <v>80072.129999999961</v>
      </c>
      <c r="L415" s="28">
        <f t="shared" si="48"/>
        <v>250000</v>
      </c>
      <c r="M415" s="29" t="str">
        <f>IF($D415&lt;=0,"",IF(Übersicht!$C$11=0,0,$L415/Übersicht!$C$11))</f>
        <v/>
      </c>
      <c r="N415" s="30" t="str">
        <f>IF($D415&lt;=0,"",IF($J415&lt;=0.005,"Volltilgung erreicht",IF($A415=Übersicht!$C$19*Übersicht!$C$25,"Ende der Zinsbindung",IF($H415&gt;0,"Sondertilgung verrechnet",""))))</f>
        <v/>
      </c>
      <c r="Q415" s="38">
        <f>IF($S414&lt;=0,0,ROUND($S414*Übersicht!$C$26,2))</f>
        <v>0</v>
      </c>
      <c r="R415" s="38">
        <f>IF($S414&lt;=0,0,MIN($S414,IF(Übersicht!$C$14="Annuitätendarlehen",MAX(0,Übersicht!$C$28-$Q415),IF(Übersicht!$C$14="Ratendarlehen",Übersicht!$C$29,IF($A415&gt;=Übersicht!$C$30,$S414,0)))))</f>
        <v>0</v>
      </c>
      <c r="S415" s="38">
        <f>IF($S414&lt;=0,0,ROUND($S414-$R415-IF($S414-$R415&lt;=0,0,IF(MOD($A415,Übersicht!$C$25)=0,MIN(Szenarien!$C$8,$S414-$R415),0)),2))</f>
        <v>0</v>
      </c>
      <c r="T415" s="38">
        <f>IF($V414&lt;=0,0,ROUND($V414*Übersicht!$C$26,2))</f>
        <v>0</v>
      </c>
      <c r="U415" s="38">
        <f>IF($V414&lt;=0,0,MIN($V414,IF(Übersicht!$C$14="Annuitätendarlehen",MAX(0,Übersicht!$C$28-$T415),IF(Übersicht!$C$14="Ratendarlehen",Übersicht!$C$29,IF($A415&gt;=Übersicht!$C$30,$V414,0)))))</f>
        <v>0</v>
      </c>
      <c r="V415" s="38">
        <f>IF($V414&lt;=0,0,ROUND($V414-$U415-IF($V414-$U415&lt;=0,0,IF(MOD($A415,Übersicht!$C$25)=0,MIN(Szenarien!$C$9,$V414-$U415),0)),2))</f>
        <v>0</v>
      </c>
      <c r="W415" s="38">
        <f>IF($Y414&lt;=0,0,ROUND($Y414*Übersicht!$C$26,2))</f>
        <v>0</v>
      </c>
      <c r="X415" s="38">
        <f>IF($Y414&lt;=0,0,MIN($Y414,IF(Übersicht!$C$14="Annuitätendarlehen",MAX(0,Übersicht!$C$28-$W415),IF(Übersicht!$C$14="Ratendarlehen",Übersicht!$C$29,IF($A415&gt;=Übersicht!$C$30,$Y414,0)))))</f>
        <v>0</v>
      </c>
      <c r="Y415" s="38">
        <f>IF($Y414&lt;=0,0,ROUND($Y414-$X415-IF($Y414-$X415&lt;=0,0,IF(MOD($A415,Übersicht!$C$25)=0,MIN(Szenarien!$C$10,$Y414-$X415),0)),2))</f>
        <v>0</v>
      </c>
      <c r="Z415" s="38">
        <f>IF($AB414&lt;=0,0,ROUND($AB414*Übersicht!$C$26,2))</f>
        <v>0</v>
      </c>
      <c r="AA415" s="38">
        <f>IF($AB414&lt;=0,0,MIN($AB414,IF(Übersicht!$C$14="Annuitätendarlehen",MAX(0,Übersicht!$C$28-$Z415),IF(Übersicht!$C$14="Ratendarlehen",Übersicht!$C$29,IF($A415&gt;=Übersicht!$C$30,$AB414,0)))))</f>
        <v>0</v>
      </c>
      <c r="AB415" s="38">
        <f>IF($AB414&lt;=0,0,ROUND($AB414-$AA415-IF($AB414-$AA415&lt;=0,0,IF(MOD($A415,Übersicht!$C$25)=0,MIN(Szenarien!$C$11,$AB414-$AA415),0)),2))</f>
        <v>0</v>
      </c>
      <c r="AC415" s="38">
        <f>IF($AE414&lt;=0,0,ROUND($AE414*Übersicht!$C$26,2))</f>
        <v>0</v>
      </c>
      <c r="AD415" s="38">
        <f>IF($AE414&lt;=0,0,MIN($AE414,IF(Übersicht!$C$14="Annuitätendarlehen",MAX(0,Übersicht!$C$28-$AC415),IF(Übersicht!$C$14="Ratendarlehen",Übersicht!$C$29,IF($A415&gt;=Übersicht!$C$30,$AE414,0)))))</f>
        <v>0</v>
      </c>
      <c r="AE415" s="38">
        <f>IF($AE414&lt;=0,0,ROUND($AE414-$AD415-IF($AE414-$AD415&lt;=0,0,IF(MOD($A415,Übersicht!$C$25)=0,MIN(Szenarien!$C$12,$AE414-$AD415),0)),2))</f>
        <v>0</v>
      </c>
    </row>
    <row r="416" spans="1:31" ht="15" customHeight="1" x14ac:dyDescent="0.25">
      <c r="A416" s="21">
        <v>409</v>
      </c>
      <c r="B416" s="36" t="str">
        <f>IF($D416&lt;=0,"",EDATE(Übersicht!$C$18,($A416-1)*12/Übersicht!$C$25))</f>
        <v/>
      </c>
      <c r="C416" s="21" t="str">
        <f t="shared" si="42"/>
        <v/>
      </c>
      <c r="D416" s="37">
        <f t="shared" si="46"/>
        <v>0</v>
      </c>
      <c r="E416" s="23">
        <f t="shared" si="43"/>
        <v>0</v>
      </c>
      <c r="F416" s="23">
        <f>IF($D416&lt;=0,0,ROUND($D416*Übersicht!$C$26,2))</f>
        <v>0</v>
      </c>
      <c r="G416" s="23">
        <f>IF($D416&lt;=0,0,MIN($D416,IF(Übersicht!$C$14="Annuitätendarlehen",MAX(0,Übersicht!$C$28-$F416),IF(Übersicht!$C$14="Ratendarlehen",Übersicht!$C$29,IF($A416&gt;=Übersicht!$C$30,$D416,0)))))</f>
        <v>0</v>
      </c>
      <c r="H416" s="23">
        <f>IF($D416-$G416&lt;=0,0,IF(MOD($A416,Übersicht!$C$25)=0,MIN(Übersicht!$C$31,$D416-$G416),0))</f>
        <v>0</v>
      </c>
      <c r="I416" s="23">
        <f t="shared" si="44"/>
        <v>0</v>
      </c>
      <c r="J416" s="23">
        <f t="shared" si="45"/>
        <v>0</v>
      </c>
      <c r="K416" s="23">
        <f t="shared" si="47"/>
        <v>80072.129999999961</v>
      </c>
      <c r="L416" s="23">
        <f t="shared" si="48"/>
        <v>250000</v>
      </c>
      <c r="M416" s="24" t="str">
        <f>IF($D416&lt;=0,"",IF(Übersicht!$C$11=0,0,$L416/Übersicht!$C$11))</f>
        <v/>
      </c>
      <c r="N416" s="25" t="str">
        <f>IF($D416&lt;=0,"",IF($J416&lt;=0.005,"Volltilgung erreicht",IF($A416=Übersicht!$C$19*Übersicht!$C$25,"Ende der Zinsbindung",IF($H416&gt;0,"Sondertilgung verrechnet",""))))</f>
        <v/>
      </c>
      <c r="Q416" s="38">
        <f>IF($S415&lt;=0,0,ROUND($S415*Übersicht!$C$26,2))</f>
        <v>0</v>
      </c>
      <c r="R416" s="38">
        <f>IF($S415&lt;=0,0,MIN($S415,IF(Übersicht!$C$14="Annuitätendarlehen",MAX(0,Übersicht!$C$28-$Q416),IF(Übersicht!$C$14="Ratendarlehen",Übersicht!$C$29,IF($A416&gt;=Übersicht!$C$30,$S415,0)))))</f>
        <v>0</v>
      </c>
      <c r="S416" s="38">
        <f>IF($S415&lt;=0,0,ROUND($S415-$R416-IF($S415-$R416&lt;=0,0,IF(MOD($A416,Übersicht!$C$25)=0,MIN(Szenarien!$C$8,$S415-$R416),0)),2))</f>
        <v>0</v>
      </c>
      <c r="T416" s="38">
        <f>IF($V415&lt;=0,0,ROUND($V415*Übersicht!$C$26,2))</f>
        <v>0</v>
      </c>
      <c r="U416" s="38">
        <f>IF($V415&lt;=0,0,MIN($V415,IF(Übersicht!$C$14="Annuitätendarlehen",MAX(0,Übersicht!$C$28-$T416),IF(Übersicht!$C$14="Ratendarlehen",Übersicht!$C$29,IF($A416&gt;=Übersicht!$C$30,$V415,0)))))</f>
        <v>0</v>
      </c>
      <c r="V416" s="38">
        <f>IF($V415&lt;=0,0,ROUND($V415-$U416-IF($V415-$U416&lt;=0,0,IF(MOD($A416,Übersicht!$C$25)=0,MIN(Szenarien!$C$9,$V415-$U416),0)),2))</f>
        <v>0</v>
      </c>
      <c r="W416" s="38">
        <f>IF($Y415&lt;=0,0,ROUND($Y415*Übersicht!$C$26,2))</f>
        <v>0</v>
      </c>
      <c r="X416" s="38">
        <f>IF($Y415&lt;=0,0,MIN($Y415,IF(Übersicht!$C$14="Annuitätendarlehen",MAX(0,Übersicht!$C$28-$W416),IF(Übersicht!$C$14="Ratendarlehen",Übersicht!$C$29,IF($A416&gt;=Übersicht!$C$30,$Y415,0)))))</f>
        <v>0</v>
      </c>
      <c r="Y416" s="38">
        <f>IF($Y415&lt;=0,0,ROUND($Y415-$X416-IF($Y415-$X416&lt;=0,0,IF(MOD($A416,Übersicht!$C$25)=0,MIN(Szenarien!$C$10,$Y415-$X416),0)),2))</f>
        <v>0</v>
      </c>
      <c r="Z416" s="38">
        <f>IF($AB415&lt;=0,0,ROUND($AB415*Übersicht!$C$26,2))</f>
        <v>0</v>
      </c>
      <c r="AA416" s="38">
        <f>IF($AB415&lt;=0,0,MIN($AB415,IF(Übersicht!$C$14="Annuitätendarlehen",MAX(0,Übersicht!$C$28-$Z416),IF(Übersicht!$C$14="Ratendarlehen",Übersicht!$C$29,IF($A416&gt;=Übersicht!$C$30,$AB415,0)))))</f>
        <v>0</v>
      </c>
      <c r="AB416" s="38">
        <f>IF($AB415&lt;=0,0,ROUND($AB415-$AA416-IF($AB415-$AA416&lt;=0,0,IF(MOD($A416,Übersicht!$C$25)=0,MIN(Szenarien!$C$11,$AB415-$AA416),0)),2))</f>
        <v>0</v>
      </c>
      <c r="AC416" s="38">
        <f>IF($AE415&lt;=0,0,ROUND($AE415*Übersicht!$C$26,2))</f>
        <v>0</v>
      </c>
      <c r="AD416" s="38">
        <f>IF($AE415&lt;=0,0,MIN($AE415,IF(Übersicht!$C$14="Annuitätendarlehen",MAX(0,Übersicht!$C$28-$AC416),IF(Übersicht!$C$14="Ratendarlehen",Übersicht!$C$29,IF($A416&gt;=Übersicht!$C$30,$AE415,0)))))</f>
        <v>0</v>
      </c>
      <c r="AE416" s="38">
        <f>IF($AE415&lt;=0,0,ROUND($AE415-$AD416-IF($AE415-$AD416&lt;=0,0,IF(MOD($A416,Übersicht!$C$25)=0,MIN(Szenarien!$C$12,$AE415-$AD416),0)),2))</f>
        <v>0</v>
      </c>
    </row>
    <row r="417" spans="1:31" ht="15" customHeight="1" x14ac:dyDescent="0.25">
      <c r="A417" s="26">
        <v>410</v>
      </c>
      <c r="B417" s="39" t="str">
        <f>IF($D417&lt;=0,"",EDATE(Übersicht!$C$18,($A417-1)*12/Übersicht!$C$25))</f>
        <v/>
      </c>
      <c r="C417" s="26" t="str">
        <f t="shared" si="42"/>
        <v/>
      </c>
      <c r="D417" s="40">
        <f t="shared" si="46"/>
        <v>0</v>
      </c>
      <c r="E417" s="28">
        <f t="shared" si="43"/>
        <v>0</v>
      </c>
      <c r="F417" s="28">
        <f>IF($D417&lt;=0,0,ROUND($D417*Übersicht!$C$26,2))</f>
        <v>0</v>
      </c>
      <c r="G417" s="28">
        <f>IF($D417&lt;=0,0,MIN($D417,IF(Übersicht!$C$14="Annuitätendarlehen",MAX(0,Übersicht!$C$28-$F417),IF(Übersicht!$C$14="Ratendarlehen",Übersicht!$C$29,IF($A417&gt;=Übersicht!$C$30,$D417,0)))))</f>
        <v>0</v>
      </c>
      <c r="H417" s="28">
        <f>IF($D417-$G417&lt;=0,0,IF(MOD($A417,Übersicht!$C$25)=0,MIN(Übersicht!$C$31,$D417-$G417),0))</f>
        <v>0</v>
      </c>
      <c r="I417" s="28">
        <f t="shared" si="44"/>
        <v>0</v>
      </c>
      <c r="J417" s="28">
        <f t="shared" si="45"/>
        <v>0</v>
      </c>
      <c r="K417" s="28">
        <f t="shared" si="47"/>
        <v>80072.129999999961</v>
      </c>
      <c r="L417" s="28">
        <f t="shared" si="48"/>
        <v>250000</v>
      </c>
      <c r="M417" s="29" t="str">
        <f>IF($D417&lt;=0,"",IF(Übersicht!$C$11=0,0,$L417/Übersicht!$C$11))</f>
        <v/>
      </c>
      <c r="N417" s="30" t="str">
        <f>IF($D417&lt;=0,"",IF($J417&lt;=0.005,"Volltilgung erreicht",IF($A417=Übersicht!$C$19*Übersicht!$C$25,"Ende der Zinsbindung",IF($H417&gt;0,"Sondertilgung verrechnet",""))))</f>
        <v/>
      </c>
      <c r="Q417" s="38">
        <f>IF($S416&lt;=0,0,ROUND($S416*Übersicht!$C$26,2))</f>
        <v>0</v>
      </c>
      <c r="R417" s="38">
        <f>IF($S416&lt;=0,0,MIN($S416,IF(Übersicht!$C$14="Annuitätendarlehen",MAX(0,Übersicht!$C$28-$Q417),IF(Übersicht!$C$14="Ratendarlehen",Übersicht!$C$29,IF($A417&gt;=Übersicht!$C$30,$S416,0)))))</f>
        <v>0</v>
      </c>
      <c r="S417" s="38">
        <f>IF($S416&lt;=0,0,ROUND($S416-$R417-IF($S416-$R417&lt;=0,0,IF(MOD($A417,Übersicht!$C$25)=0,MIN(Szenarien!$C$8,$S416-$R417),0)),2))</f>
        <v>0</v>
      </c>
      <c r="T417" s="38">
        <f>IF($V416&lt;=0,0,ROUND($V416*Übersicht!$C$26,2))</f>
        <v>0</v>
      </c>
      <c r="U417" s="38">
        <f>IF($V416&lt;=0,0,MIN($V416,IF(Übersicht!$C$14="Annuitätendarlehen",MAX(0,Übersicht!$C$28-$T417),IF(Übersicht!$C$14="Ratendarlehen",Übersicht!$C$29,IF($A417&gt;=Übersicht!$C$30,$V416,0)))))</f>
        <v>0</v>
      </c>
      <c r="V417" s="38">
        <f>IF($V416&lt;=0,0,ROUND($V416-$U417-IF($V416-$U417&lt;=0,0,IF(MOD($A417,Übersicht!$C$25)=0,MIN(Szenarien!$C$9,$V416-$U417),0)),2))</f>
        <v>0</v>
      </c>
      <c r="W417" s="38">
        <f>IF($Y416&lt;=0,0,ROUND($Y416*Übersicht!$C$26,2))</f>
        <v>0</v>
      </c>
      <c r="X417" s="38">
        <f>IF($Y416&lt;=0,0,MIN($Y416,IF(Übersicht!$C$14="Annuitätendarlehen",MAX(0,Übersicht!$C$28-$W417),IF(Übersicht!$C$14="Ratendarlehen",Übersicht!$C$29,IF($A417&gt;=Übersicht!$C$30,$Y416,0)))))</f>
        <v>0</v>
      </c>
      <c r="Y417" s="38">
        <f>IF($Y416&lt;=0,0,ROUND($Y416-$X417-IF($Y416-$X417&lt;=0,0,IF(MOD($A417,Übersicht!$C$25)=0,MIN(Szenarien!$C$10,$Y416-$X417),0)),2))</f>
        <v>0</v>
      </c>
      <c r="Z417" s="38">
        <f>IF($AB416&lt;=0,0,ROUND($AB416*Übersicht!$C$26,2))</f>
        <v>0</v>
      </c>
      <c r="AA417" s="38">
        <f>IF($AB416&lt;=0,0,MIN($AB416,IF(Übersicht!$C$14="Annuitätendarlehen",MAX(0,Übersicht!$C$28-$Z417),IF(Übersicht!$C$14="Ratendarlehen",Übersicht!$C$29,IF($A417&gt;=Übersicht!$C$30,$AB416,0)))))</f>
        <v>0</v>
      </c>
      <c r="AB417" s="38">
        <f>IF($AB416&lt;=0,0,ROUND($AB416-$AA417-IF($AB416-$AA417&lt;=0,0,IF(MOD($A417,Übersicht!$C$25)=0,MIN(Szenarien!$C$11,$AB416-$AA417),0)),2))</f>
        <v>0</v>
      </c>
      <c r="AC417" s="38">
        <f>IF($AE416&lt;=0,0,ROUND($AE416*Übersicht!$C$26,2))</f>
        <v>0</v>
      </c>
      <c r="AD417" s="38">
        <f>IF($AE416&lt;=0,0,MIN($AE416,IF(Übersicht!$C$14="Annuitätendarlehen",MAX(0,Übersicht!$C$28-$AC417),IF(Übersicht!$C$14="Ratendarlehen",Übersicht!$C$29,IF($A417&gt;=Übersicht!$C$30,$AE416,0)))))</f>
        <v>0</v>
      </c>
      <c r="AE417" s="38">
        <f>IF($AE416&lt;=0,0,ROUND($AE416-$AD417-IF($AE416-$AD417&lt;=0,0,IF(MOD($A417,Übersicht!$C$25)=0,MIN(Szenarien!$C$12,$AE416-$AD417),0)),2))</f>
        <v>0</v>
      </c>
    </row>
    <row r="418" spans="1:31" ht="15" customHeight="1" x14ac:dyDescent="0.25">
      <c r="A418" s="21">
        <v>411</v>
      </c>
      <c r="B418" s="36" t="str">
        <f>IF($D418&lt;=0,"",EDATE(Übersicht!$C$18,($A418-1)*12/Übersicht!$C$25))</f>
        <v/>
      </c>
      <c r="C418" s="21" t="str">
        <f t="shared" si="42"/>
        <v/>
      </c>
      <c r="D418" s="37">
        <f t="shared" si="46"/>
        <v>0</v>
      </c>
      <c r="E418" s="23">
        <f t="shared" si="43"/>
        <v>0</v>
      </c>
      <c r="F418" s="23">
        <f>IF($D418&lt;=0,0,ROUND($D418*Übersicht!$C$26,2))</f>
        <v>0</v>
      </c>
      <c r="G418" s="23">
        <f>IF($D418&lt;=0,0,MIN($D418,IF(Übersicht!$C$14="Annuitätendarlehen",MAX(0,Übersicht!$C$28-$F418),IF(Übersicht!$C$14="Ratendarlehen",Übersicht!$C$29,IF($A418&gt;=Übersicht!$C$30,$D418,0)))))</f>
        <v>0</v>
      </c>
      <c r="H418" s="23">
        <f>IF($D418-$G418&lt;=0,0,IF(MOD($A418,Übersicht!$C$25)=0,MIN(Übersicht!$C$31,$D418-$G418),0))</f>
        <v>0</v>
      </c>
      <c r="I418" s="23">
        <f t="shared" si="44"/>
        <v>0</v>
      </c>
      <c r="J418" s="23">
        <f t="shared" si="45"/>
        <v>0</v>
      </c>
      <c r="K418" s="23">
        <f t="shared" si="47"/>
        <v>80072.129999999961</v>
      </c>
      <c r="L418" s="23">
        <f t="shared" si="48"/>
        <v>250000</v>
      </c>
      <c r="M418" s="24" t="str">
        <f>IF($D418&lt;=0,"",IF(Übersicht!$C$11=0,0,$L418/Übersicht!$C$11))</f>
        <v/>
      </c>
      <c r="N418" s="25" t="str">
        <f>IF($D418&lt;=0,"",IF($J418&lt;=0.005,"Volltilgung erreicht",IF($A418=Übersicht!$C$19*Übersicht!$C$25,"Ende der Zinsbindung",IF($H418&gt;0,"Sondertilgung verrechnet",""))))</f>
        <v/>
      </c>
      <c r="Q418" s="38">
        <f>IF($S417&lt;=0,0,ROUND($S417*Übersicht!$C$26,2))</f>
        <v>0</v>
      </c>
      <c r="R418" s="38">
        <f>IF($S417&lt;=0,0,MIN($S417,IF(Übersicht!$C$14="Annuitätendarlehen",MAX(0,Übersicht!$C$28-$Q418),IF(Übersicht!$C$14="Ratendarlehen",Übersicht!$C$29,IF($A418&gt;=Übersicht!$C$30,$S417,0)))))</f>
        <v>0</v>
      </c>
      <c r="S418" s="38">
        <f>IF($S417&lt;=0,0,ROUND($S417-$R418-IF($S417-$R418&lt;=0,0,IF(MOD($A418,Übersicht!$C$25)=0,MIN(Szenarien!$C$8,$S417-$R418),0)),2))</f>
        <v>0</v>
      </c>
      <c r="T418" s="38">
        <f>IF($V417&lt;=0,0,ROUND($V417*Übersicht!$C$26,2))</f>
        <v>0</v>
      </c>
      <c r="U418" s="38">
        <f>IF($V417&lt;=0,0,MIN($V417,IF(Übersicht!$C$14="Annuitätendarlehen",MAX(0,Übersicht!$C$28-$T418),IF(Übersicht!$C$14="Ratendarlehen",Übersicht!$C$29,IF($A418&gt;=Übersicht!$C$30,$V417,0)))))</f>
        <v>0</v>
      </c>
      <c r="V418" s="38">
        <f>IF($V417&lt;=0,0,ROUND($V417-$U418-IF($V417-$U418&lt;=0,0,IF(MOD($A418,Übersicht!$C$25)=0,MIN(Szenarien!$C$9,$V417-$U418),0)),2))</f>
        <v>0</v>
      </c>
      <c r="W418" s="38">
        <f>IF($Y417&lt;=0,0,ROUND($Y417*Übersicht!$C$26,2))</f>
        <v>0</v>
      </c>
      <c r="X418" s="38">
        <f>IF($Y417&lt;=0,0,MIN($Y417,IF(Übersicht!$C$14="Annuitätendarlehen",MAX(0,Übersicht!$C$28-$W418),IF(Übersicht!$C$14="Ratendarlehen",Übersicht!$C$29,IF($A418&gt;=Übersicht!$C$30,$Y417,0)))))</f>
        <v>0</v>
      </c>
      <c r="Y418" s="38">
        <f>IF($Y417&lt;=0,0,ROUND($Y417-$X418-IF($Y417-$X418&lt;=0,0,IF(MOD($A418,Übersicht!$C$25)=0,MIN(Szenarien!$C$10,$Y417-$X418),0)),2))</f>
        <v>0</v>
      </c>
      <c r="Z418" s="38">
        <f>IF($AB417&lt;=0,0,ROUND($AB417*Übersicht!$C$26,2))</f>
        <v>0</v>
      </c>
      <c r="AA418" s="38">
        <f>IF($AB417&lt;=0,0,MIN($AB417,IF(Übersicht!$C$14="Annuitätendarlehen",MAX(0,Übersicht!$C$28-$Z418),IF(Übersicht!$C$14="Ratendarlehen",Übersicht!$C$29,IF($A418&gt;=Übersicht!$C$30,$AB417,0)))))</f>
        <v>0</v>
      </c>
      <c r="AB418" s="38">
        <f>IF($AB417&lt;=0,0,ROUND($AB417-$AA418-IF($AB417-$AA418&lt;=0,0,IF(MOD($A418,Übersicht!$C$25)=0,MIN(Szenarien!$C$11,$AB417-$AA418),0)),2))</f>
        <v>0</v>
      </c>
      <c r="AC418" s="38">
        <f>IF($AE417&lt;=0,0,ROUND($AE417*Übersicht!$C$26,2))</f>
        <v>0</v>
      </c>
      <c r="AD418" s="38">
        <f>IF($AE417&lt;=0,0,MIN($AE417,IF(Übersicht!$C$14="Annuitätendarlehen",MAX(0,Übersicht!$C$28-$AC418),IF(Übersicht!$C$14="Ratendarlehen",Übersicht!$C$29,IF($A418&gt;=Übersicht!$C$30,$AE417,0)))))</f>
        <v>0</v>
      </c>
      <c r="AE418" s="38">
        <f>IF($AE417&lt;=0,0,ROUND($AE417-$AD418-IF($AE417-$AD418&lt;=0,0,IF(MOD($A418,Übersicht!$C$25)=0,MIN(Szenarien!$C$12,$AE417-$AD418),0)),2))</f>
        <v>0</v>
      </c>
    </row>
    <row r="419" spans="1:31" ht="15" customHeight="1" x14ac:dyDescent="0.25">
      <c r="A419" s="26">
        <v>412</v>
      </c>
      <c r="B419" s="39" t="str">
        <f>IF($D419&lt;=0,"",EDATE(Übersicht!$C$18,($A419-1)*12/Übersicht!$C$25))</f>
        <v/>
      </c>
      <c r="C419" s="26" t="str">
        <f t="shared" si="42"/>
        <v/>
      </c>
      <c r="D419" s="40">
        <f t="shared" si="46"/>
        <v>0</v>
      </c>
      <c r="E419" s="28">
        <f t="shared" si="43"/>
        <v>0</v>
      </c>
      <c r="F419" s="28">
        <f>IF($D419&lt;=0,0,ROUND($D419*Übersicht!$C$26,2))</f>
        <v>0</v>
      </c>
      <c r="G419" s="28">
        <f>IF($D419&lt;=0,0,MIN($D419,IF(Übersicht!$C$14="Annuitätendarlehen",MAX(0,Übersicht!$C$28-$F419),IF(Übersicht!$C$14="Ratendarlehen",Übersicht!$C$29,IF($A419&gt;=Übersicht!$C$30,$D419,0)))))</f>
        <v>0</v>
      </c>
      <c r="H419" s="28">
        <f>IF($D419-$G419&lt;=0,0,IF(MOD($A419,Übersicht!$C$25)=0,MIN(Übersicht!$C$31,$D419-$G419),0))</f>
        <v>0</v>
      </c>
      <c r="I419" s="28">
        <f t="shared" si="44"/>
        <v>0</v>
      </c>
      <c r="J419" s="28">
        <f t="shared" si="45"/>
        <v>0</v>
      </c>
      <c r="K419" s="28">
        <f t="shared" si="47"/>
        <v>80072.129999999961</v>
      </c>
      <c r="L419" s="28">
        <f t="shared" si="48"/>
        <v>250000</v>
      </c>
      <c r="M419" s="29" t="str">
        <f>IF($D419&lt;=0,"",IF(Übersicht!$C$11=0,0,$L419/Übersicht!$C$11))</f>
        <v/>
      </c>
      <c r="N419" s="30" t="str">
        <f>IF($D419&lt;=0,"",IF($J419&lt;=0.005,"Volltilgung erreicht",IF($A419=Übersicht!$C$19*Übersicht!$C$25,"Ende der Zinsbindung",IF($H419&gt;0,"Sondertilgung verrechnet",""))))</f>
        <v/>
      </c>
      <c r="Q419" s="38">
        <f>IF($S418&lt;=0,0,ROUND($S418*Übersicht!$C$26,2))</f>
        <v>0</v>
      </c>
      <c r="R419" s="38">
        <f>IF($S418&lt;=0,0,MIN($S418,IF(Übersicht!$C$14="Annuitätendarlehen",MAX(0,Übersicht!$C$28-$Q419),IF(Übersicht!$C$14="Ratendarlehen",Übersicht!$C$29,IF($A419&gt;=Übersicht!$C$30,$S418,0)))))</f>
        <v>0</v>
      </c>
      <c r="S419" s="38">
        <f>IF($S418&lt;=0,0,ROUND($S418-$R419-IF($S418-$R419&lt;=0,0,IF(MOD($A419,Übersicht!$C$25)=0,MIN(Szenarien!$C$8,$S418-$R419),0)),2))</f>
        <v>0</v>
      </c>
      <c r="T419" s="38">
        <f>IF($V418&lt;=0,0,ROUND($V418*Übersicht!$C$26,2))</f>
        <v>0</v>
      </c>
      <c r="U419" s="38">
        <f>IF($V418&lt;=0,0,MIN($V418,IF(Übersicht!$C$14="Annuitätendarlehen",MAX(0,Übersicht!$C$28-$T419),IF(Übersicht!$C$14="Ratendarlehen",Übersicht!$C$29,IF($A419&gt;=Übersicht!$C$30,$V418,0)))))</f>
        <v>0</v>
      </c>
      <c r="V419" s="38">
        <f>IF($V418&lt;=0,0,ROUND($V418-$U419-IF($V418-$U419&lt;=0,0,IF(MOD($A419,Übersicht!$C$25)=0,MIN(Szenarien!$C$9,$V418-$U419),0)),2))</f>
        <v>0</v>
      </c>
      <c r="W419" s="38">
        <f>IF($Y418&lt;=0,0,ROUND($Y418*Übersicht!$C$26,2))</f>
        <v>0</v>
      </c>
      <c r="X419" s="38">
        <f>IF($Y418&lt;=0,0,MIN($Y418,IF(Übersicht!$C$14="Annuitätendarlehen",MAX(0,Übersicht!$C$28-$W419),IF(Übersicht!$C$14="Ratendarlehen",Übersicht!$C$29,IF($A419&gt;=Übersicht!$C$30,$Y418,0)))))</f>
        <v>0</v>
      </c>
      <c r="Y419" s="38">
        <f>IF($Y418&lt;=0,0,ROUND($Y418-$X419-IF($Y418-$X419&lt;=0,0,IF(MOD($A419,Übersicht!$C$25)=0,MIN(Szenarien!$C$10,$Y418-$X419),0)),2))</f>
        <v>0</v>
      </c>
      <c r="Z419" s="38">
        <f>IF($AB418&lt;=0,0,ROUND($AB418*Übersicht!$C$26,2))</f>
        <v>0</v>
      </c>
      <c r="AA419" s="38">
        <f>IF($AB418&lt;=0,0,MIN($AB418,IF(Übersicht!$C$14="Annuitätendarlehen",MAX(0,Übersicht!$C$28-$Z419),IF(Übersicht!$C$14="Ratendarlehen",Übersicht!$C$29,IF($A419&gt;=Übersicht!$C$30,$AB418,0)))))</f>
        <v>0</v>
      </c>
      <c r="AB419" s="38">
        <f>IF($AB418&lt;=0,0,ROUND($AB418-$AA419-IF($AB418-$AA419&lt;=0,0,IF(MOD($A419,Übersicht!$C$25)=0,MIN(Szenarien!$C$11,$AB418-$AA419),0)),2))</f>
        <v>0</v>
      </c>
      <c r="AC419" s="38">
        <f>IF($AE418&lt;=0,0,ROUND($AE418*Übersicht!$C$26,2))</f>
        <v>0</v>
      </c>
      <c r="AD419" s="38">
        <f>IF($AE418&lt;=0,0,MIN($AE418,IF(Übersicht!$C$14="Annuitätendarlehen",MAX(0,Übersicht!$C$28-$AC419),IF(Übersicht!$C$14="Ratendarlehen",Übersicht!$C$29,IF($A419&gt;=Übersicht!$C$30,$AE418,0)))))</f>
        <v>0</v>
      </c>
      <c r="AE419" s="38">
        <f>IF($AE418&lt;=0,0,ROUND($AE418-$AD419-IF($AE418-$AD419&lt;=0,0,IF(MOD($A419,Übersicht!$C$25)=0,MIN(Szenarien!$C$12,$AE418-$AD419),0)),2))</f>
        <v>0</v>
      </c>
    </row>
    <row r="420" spans="1:31" ht="15" customHeight="1" x14ac:dyDescent="0.25">
      <c r="A420" s="21">
        <v>413</v>
      </c>
      <c r="B420" s="36" t="str">
        <f>IF($D420&lt;=0,"",EDATE(Übersicht!$C$18,($A420-1)*12/Übersicht!$C$25))</f>
        <v/>
      </c>
      <c r="C420" s="21" t="str">
        <f t="shared" si="42"/>
        <v/>
      </c>
      <c r="D420" s="37">
        <f t="shared" si="46"/>
        <v>0</v>
      </c>
      <c r="E420" s="23">
        <f t="shared" si="43"/>
        <v>0</v>
      </c>
      <c r="F420" s="23">
        <f>IF($D420&lt;=0,0,ROUND($D420*Übersicht!$C$26,2))</f>
        <v>0</v>
      </c>
      <c r="G420" s="23">
        <f>IF($D420&lt;=0,0,MIN($D420,IF(Übersicht!$C$14="Annuitätendarlehen",MAX(0,Übersicht!$C$28-$F420),IF(Übersicht!$C$14="Ratendarlehen",Übersicht!$C$29,IF($A420&gt;=Übersicht!$C$30,$D420,0)))))</f>
        <v>0</v>
      </c>
      <c r="H420" s="23">
        <f>IF($D420-$G420&lt;=0,0,IF(MOD($A420,Übersicht!$C$25)=0,MIN(Übersicht!$C$31,$D420-$G420),0))</f>
        <v>0</v>
      </c>
      <c r="I420" s="23">
        <f t="shared" si="44"/>
        <v>0</v>
      </c>
      <c r="J420" s="23">
        <f t="shared" si="45"/>
        <v>0</v>
      </c>
      <c r="K420" s="23">
        <f t="shared" si="47"/>
        <v>80072.129999999961</v>
      </c>
      <c r="L420" s="23">
        <f t="shared" si="48"/>
        <v>250000</v>
      </c>
      <c r="M420" s="24" t="str">
        <f>IF($D420&lt;=0,"",IF(Übersicht!$C$11=0,0,$L420/Übersicht!$C$11))</f>
        <v/>
      </c>
      <c r="N420" s="25" t="str">
        <f>IF($D420&lt;=0,"",IF($J420&lt;=0.005,"Volltilgung erreicht",IF($A420=Übersicht!$C$19*Übersicht!$C$25,"Ende der Zinsbindung",IF($H420&gt;0,"Sondertilgung verrechnet",""))))</f>
        <v/>
      </c>
      <c r="Q420" s="38">
        <f>IF($S419&lt;=0,0,ROUND($S419*Übersicht!$C$26,2))</f>
        <v>0</v>
      </c>
      <c r="R420" s="38">
        <f>IF($S419&lt;=0,0,MIN($S419,IF(Übersicht!$C$14="Annuitätendarlehen",MAX(0,Übersicht!$C$28-$Q420),IF(Übersicht!$C$14="Ratendarlehen",Übersicht!$C$29,IF($A420&gt;=Übersicht!$C$30,$S419,0)))))</f>
        <v>0</v>
      </c>
      <c r="S420" s="38">
        <f>IF($S419&lt;=0,0,ROUND($S419-$R420-IF($S419-$R420&lt;=0,0,IF(MOD($A420,Übersicht!$C$25)=0,MIN(Szenarien!$C$8,$S419-$R420),0)),2))</f>
        <v>0</v>
      </c>
      <c r="T420" s="38">
        <f>IF($V419&lt;=0,0,ROUND($V419*Übersicht!$C$26,2))</f>
        <v>0</v>
      </c>
      <c r="U420" s="38">
        <f>IF($V419&lt;=0,0,MIN($V419,IF(Übersicht!$C$14="Annuitätendarlehen",MAX(0,Übersicht!$C$28-$T420),IF(Übersicht!$C$14="Ratendarlehen",Übersicht!$C$29,IF($A420&gt;=Übersicht!$C$30,$V419,0)))))</f>
        <v>0</v>
      </c>
      <c r="V420" s="38">
        <f>IF($V419&lt;=0,0,ROUND($V419-$U420-IF($V419-$U420&lt;=0,0,IF(MOD($A420,Übersicht!$C$25)=0,MIN(Szenarien!$C$9,$V419-$U420),0)),2))</f>
        <v>0</v>
      </c>
      <c r="W420" s="38">
        <f>IF($Y419&lt;=0,0,ROUND($Y419*Übersicht!$C$26,2))</f>
        <v>0</v>
      </c>
      <c r="X420" s="38">
        <f>IF($Y419&lt;=0,0,MIN($Y419,IF(Übersicht!$C$14="Annuitätendarlehen",MAX(0,Übersicht!$C$28-$W420),IF(Übersicht!$C$14="Ratendarlehen",Übersicht!$C$29,IF($A420&gt;=Übersicht!$C$30,$Y419,0)))))</f>
        <v>0</v>
      </c>
      <c r="Y420" s="38">
        <f>IF($Y419&lt;=0,0,ROUND($Y419-$X420-IF($Y419-$X420&lt;=0,0,IF(MOD($A420,Übersicht!$C$25)=0,MIN(Szenarien!$C$10,$Y419-$X420),0)),2))</f>
        <v>0</v>
      </c>
      <c r="Z420" s="38">
        <f>IF($AB419&lt;=0,0,ROUND($AB419*Übersicht!$C$26,2))</f>
        <v>0</v>
      </c>
      <c r="AA420" s="38">
        <f>IF($AB419&lt;=0,0,MIN($AB419,IF(Übersicht!$C$14="Annuitätendarlehen",MAX(0,Übersicht!$C$28-$Z420),IF(Übersicht!$C$14="Ratendarlehen",Übersicht!$C$29,IF($A420&gt;=Übersicht!$C$30,$AB419,0)))))</f>
        <v>0</v>
      </c>
      <c r="AB420" s="38">
        <f>IF($AB419&lt;=0,0,ROUND($AB419-$AA420-IF($AB419-$AA420&lt;=0,0,IF(MOD($A420,Übersicht!$C$25)=0,MIN(Szenarien!$C$11,$AB419-$AA420),0)),2))</f>
        <v>0</v>
      </c>
      <c r="AC420" s="38">
        <f>IF($AE419&lt;=0,0,ROUND($AE419*Übersicht!$C$26,2))</f>
        <v>0</v>
      </c>
      <c r="AD420" s="38">
        <f>IF($AE419&lt;=0,0,MIN($AE419,IF(Übersicht!$C$14="Annuitätendarlehen",MAX(0,Übersicht!$C$28-$AC420),IF(Übersicht!$C$14="Ratendarlehen",Übersicht!$C$29,IF($A420&gt;=Übersicht!$C$30,$AE419,0)))))</f>
        <v>0</v>
      </c>
      <c r="AE420" s="38">
        <f>IF($AE419&lt;=0,0,ROUND($AE419-$AD420-IF($AE419-$AD420&lt;=0,0,IF(MOD($A420,Übersicht!$C$25)=0,MIN(Szenarien!$C$12,$AE419-$AD420),0)),2))</f>
        <v>0</v>
      </c>
    </row>
    <row r="421" spans="1:31" ht="15" customHeight="1" x14ac:dyDescent="0.25">
      <c r="A421" s="26">
        <v>414</v>
      </c>
      <c r="B421" s="39" t="str">
        <f>IF($D421&lt;=0,"",EDATE(Übersicht!$C$18,($A421-1)*12/Übersicht!$C$25))</f>
        <v/>
      </c>
      <c r="C421" s="26" t="str">
        <f t="shared" si="42"/>
        <v/>
      </c>
      <c r="D421" s="40">
        <f t="shared" si="46"/>
        <v>0</v>
      </c>
      <c r="E421" s="28">
        <f t="shared" si="43"/>
        <v>0</v>
      </c>
      <c r="F421" s="28">
        <f>IF($D421&lt;=0,0,ROUND($D421*Übersicht!$C$26,2))</f>
        <v>0</v>
      </c>
      <c r="G421" s="28">
        <f>IF($D421&lt;=0,0,MIN($D421,IF(Übersicht!$C$14="Annuitätendarlehen",MAX(0,Übersicht!$C$28-$F421),IF(Übersicht!$C$14="Ratendarlehen",Übersicht!$C$29,IF($A421&gt;=Übersicht!$C$30,$D421,0)))))</f>
        <v>0</v>
      </c>
      <c r="H421" s="28">
        <f>IF($D421-$G421&lt;=0,0,IF(MOD($A421,Übersicht!$C$25)=0,MIN(Übersicht!$C$31,$D421-$G421),0))</f>
        <v>0</v>
      </c>
      <c r="I421" s="28">
        <f t="shared" si="44"/>
        <v>0</v>
      </c>
      <c r="J421" s="28">
        <f t="shared" si="45"/>
        <v>0</v>
      </c>
      <c r="K421" s="28">
        <f t="shared" si="47"/>
        <v>80072.129999999961</v>
      </c>
      <c r="L421" s="28">
        <f t="shared" si="48"/>
        <v>250000</v>
      </c>
      <c r="M421" s="29" t="str">
        <f>IF($D421&lt;=0,"",IF(Übersicht!$C$11=0,0,$L421/Übersicht!$C$11))</f>
        <v/>
      </c>
      <c r="N421" s="30" t="str">
        <f>IF($D421&lt;=0,"",IF($J421&lt;=0.005,"Volltilgung erreicht",IF($A421=Übersicht!$C$19*Übersicht!$C$25,"Ende der Zinsbindung",IF($H421&gt;0,"Sondertilgung verrechnet",""))))</f>
        <v/>
      </c>
      <c r="Q421" s="38">
        <f>IF($S420&lt;=0,0,ROUND($S420*Übersicht!$C$26,2))</f>
        <v>0</v>
      </c>
      <c r="R421" s="38">
        <f>IF($S420&lt;=0,0,MIN($S420,IF(Übersicht!$C$14="Annuitätendarlehen",MAX(0,Übersicht!$C$28-$Q421),IF(Übersicht!$C$14="Ratendarlehen",Übersicht!$C$29,IF($A421&gt;=Übersicht!$C$30,$S420,0)))))</f>
        <v>0</v>
      </c>
      <c r="S421" s="38">
        <f>IF($S420&lt;=0,0,ROUND($S420-$R421-IF($S420-$R421&lt;=0,0,IF(MOD($A421,Übersicht!$C$25)=0,MIN(Szenarien!$C$8,$S420-$R421),0)),2))</f>
        <v>0</v>
      </c>
      <c r="T421" s="38">
        <f>IF($V420&lt;=0,0,ROUND($V420*Übersicht!$C$26,2))</f>
        <v>0</v>
      </c>
      <c r="U421" s="38">
        <f>IF($V420&lt;=0,0,MIN($V420,IF(Übersicht!$C$14="Annuitätendarlehen",MAX(0,Übersicht!$C$28-$T421),IF(Übersicht!$C$14="Ratendarlehen",Übersicht!$C$29,IF($A421&gt;=Übersicht!$C$30,$V420,0)))))</f>
        <v>0</v>
      </c>
      <c r="V421" s="38">
        <f>IF($V420&lt;=0,0,ROUND($V420-$U421-IF($V420-$U421&lt;=0,0,IF(MOD($A421,Übersicht!$C$25)=0,MIN(Szenarien!$C$9,$V420-$U421),0)),2))</f>
        <v>0</v>
      </c>
      <c r="W421" s="38">
        <f>IF($Y420&lt;=0,0,ROUND($Y420*Übersicht!$C$26,2))</f>
        <v>0</v>
      </c>
      <c r="X421" s="38">
        <f>IF($Y420&lt;=0,0,MIN($Y420,IF(Übersicht!$C$14="Annuitätendarlehen",MAX(0,Übersicht!$C$28-$W421),IF(Übersicht!$C$14="Ratendarlehen",Übersicht!$C$29,IF($A421&gt;=Übersicht!$C$30,$Y420,0)))))</f>
        <v>0</v>
      </c>
      <c r="Y421" s="38">
        <f>IF($Y420&lt;=0,0,ROUND($Y420-$X421-IF($Y420-$X421&lt;=0,0,IF(MOD($A421,Übersicht!$C$25)=0,MIN(Szenarien!$C$10,$Y420-$X421),0)),2))</f>
        <v>0</v>
      </c>
      <c r="Z421" s="38">
        <f>IF($AB420&lt;=0,0,ROUND($AB420*Übersicht!$C$26,2))</f>
        <v>0</v>
      </c>
      <c r="AA421" s="38">
        <f>IF($AB420&lt;=0,0,MIN($AB420,IF(Übersicht!$C$14="Annuitätendarlehen",MAX(0,Übersicht!$C$28-$Z421),IF(Übersicht!$C$14="Ratendarlehen",Übersicht!$C$29,IF($A421&gt;=Übersicht!$C$30,$AB420,0)))))</f>
        <v>0</v>
      </c>
      <c r="AB421" s="38">
        <f>IF($AB420&lt;=0,0,ROUND($AB420-$AA421-IF($AB420-$AA421&lt;=0,0,IF(MOD($A421,Übersicht!$C$25)=0,MIN(Szenarien!$C$11,$AB420-$AA421),0)),2))</f>
        <v>0</v>
      </c>
      <c r="AC421" s="38">
        <f>IF($AE420&lt;=0,0,ROUND($AE420*Übersicht!$C$26,2))</f>
        <v>0</v>
      </c>
      <c r="AD421" s="38">
        <f>IF($AE420&lt;=0,0,MIN($AE420,IF(Übersicht!$C$14="Annuitätendarlehen",MAX(0,Übersicht!$C$28-$AC421),IF(Übersicht!$C$14="Ratendarlehen",Übersicht!$C$29,IF($A421&gt;=Übersicht!$C$30,$AE420,0)))))</f>
        <v>0</v>
      </c>
      <c r="AE421" s="38">
        <f>IF($AE420&lt;=0,0,ROUND($AE420-$AD421-IF($AE420-$AD421&lt;=0,0,IF(MOD($A421,Übersicht!$C$25)=0,MIN(Szenarien!$C$12,$AE420-$AD421),0)),2))</f>
        <v>0</v>
      </c>
    </row>
    <row r="422" spans="1:31" ht="15" customHeight="1" x14ac:dyDescent="0.25">
      <c r="A422" s="21">
        <v>415</v>
      </c>
      <c r="B422" s="36" t="str">
        <f>IF($D422&lt;=0,"",EDATE(Übersicht!$C$18,($A422-1)*12/Übersicht!$C$25))</f>
        <v/>
      </c>
      <c r="C422" s="21" t="str">
        <f t="shared" si="42"/>
        <v/>
      </c>
      <c r="D422" s="37">
        <f t="shared" si="46"/>
        <v>0</v>
      </c>
      <c r="E422" s="23">
        <f t="shared" si="43"/>
        <v>0</v>
      </c>
      <c r="F422" s="23">
        <f>IF($D422&lt;=0,0,ROUND($D422*Übersicht!$C$26,2))</f>
        <v>0</v>
      </c>
      <c r="G422" s="23">
        <f>IF($D422&lt;=0,0,MIN($D422,IF(Übersicht!$C$14="Annuitätendarlehen",MAX(0,Übersicht!$C$28-$F422),IF(Übersicht!$C$14="Ratendarlehen",Übersicht!$C$29,IF($A422&gt;=Übersicht!$C$30,$D422,0)))))</f>
        <v>0</v>
      </c>
      <c r="H422" s="23">
        <f>IF($D422-$G422&lt;=0,0,IF(MOD($A422,Übersicht!$C$25)=0,MIN(Übersicht!$C$31,$D422-$G422),0))</f>
        <v>0</v>
      </c>
      <c r="I422" s="23">
        <f t="shared" si="44"/>
        <v>0</v>
      </c>
      <c r="J422" s="23">
        <f t="shared" si="45"/>
        <v>0</v>
      </c>
      <c r="K422" s="23">
        <f t="shared" si="47"/>
        <v>80072.129999999961</v>
      </c>
      <c r="L422" s="23">
        <f t="shared" si="48"/>
        <v>250000</v>
      </c>
      <c r="M422" s="24" t="str">
        <f>IF($D422&lt;=0,"",IF(Übersicht!$C$11=0,0,$L422/Übersicht!$C$11))</f>
        <v/>
      </c>
      <c r="N422" s="25" t="str">
        <f>IF($D422&lt;=0,"",IF($J422&lt;=0.005,"Volltilgung erreicht",IF($A422=Übersicht!$C$19*Übersicht!$C$25,"Ende der Zinsbindung",IF($H422&gt;0,"Sondertilgung verrechnet",""))))</f>
        <v/>
      </c>
      <c r="Q422" s="38">
        <f>IF($S421&lt;=0,0,ROUND($S421*Übersicht!$C$26,2))</f>
        <v>0</v>
      </c>
      <c r="R422" s="38">
        <f>IF($S421&lt;=0,0,MIN($S421,IF(Übersicht!$C$14="Annuitätendarlehen",MAX(0,Übersicht!$C$28-$Q422),IF(Übersicht!$C$14="Ratendarlehen",Übersicht!$C$29,IF($A422&gt;=Übersicht!$C$30,$S421,0)))))</f>
        <v>0</v>
      </c>
      <c r="S422" s="38">
        <f>IF($S421&lt;=0,0,ROUND($S421-$R422-IF($S421-$R422&lt;=0,0,IF(MOD($A422,Übersicht!$C$25)=0,MIN(Szenarien!$C$8,$S421-$R422),0)),2))</f>
        <v>0</v>
      </c>
      <c r="T422" s="38">
        <f>IF($V421&lt;=0,0,ROUND($V421*Übersicht!$C$26,2))</f>
        <v>0</v>
      </c>
      <c r="U422" s="38">
        <f>IF($V421&lt;=0,0,MIN($V421,IF(Übersicht!$C$14="Annuitätendarlehen",MAX(0,Übersicht!$C$28-$T422),IF(Übersicht!$C$14="Ratendarlehen",Übersicht!$C$29,IF($A422&gt;=Übersicht!$C$30,$V421,0)))))</f>
        <v>0</v>
      </c>
      <c r="V422" s="38">
        <f>IF($V421&lt;=0,0,ROUND($V421-$U422-IF($V421-$U422&lt;=0,0,IF(MOD($A422,Übersicht!$C$25)=0,MIN(Szenarien!$C$9,$V421-$U422),0)),2))</f>
        <v>0</v>
      </c>
      <c r="W422" s="38">
        <f>IF($Y421&lt;=0,0,ROUND($Y421*Übersicht!$C$26,2))</f>
        <v>0</v>
      </c>
      <c r="X422" s="38">
        <f>IF($Y421&lt;=0,0,MIN($Y421,IF(Übersicht!$C$14="Annuitätendarlehen",MAX(0,Übersicht!$C$28-$W422),IF(Übersicht!$C$14="Ratendarlehen",Übersicht!$C$29,IF($A422&gt;=Übersicht!$C$30,$Y421,0)))))</f>
        <v>0</v>
      </c>
      <c r="Y422" s="38">
        <f>IF($Y421&lt;=0,0,ROUND($Y421-$X422-IF($Y421-$X422&lt;=0,0,IF(MOD($A422,Übersicht!$C$25)=0,MIN(Szenarien!$C$10,$Y421-$X422),0)),2))</f>
        <v>0</v>
      </c>
      <c r="Z422" s="38">
        <f>IF($AB421&lt;=0,0,ROUND($AB421*Übersicht!$C$26,2))</f>
        <v>0</v>
      </c>
      <c r="AA422" s="38">
        <f>IF($AB421&lt;=0,0,MIN($AB421,IF(Übersicht!$C$14="Annuitätendarlehen",MAX(0,Übersicht!$C$28-$Z422),IF(Übersicht!$C$14="Ratendarlehen",Übersicht!$C$29,IF($A422&gt;=Übersicht!$C$30,$AB421,0)))))</f>
        <v>0</v>
      </c>
      <c r="AB422" s="38">
        <f>IF($AB421&lt;=0,0,ROUND($AB421-$AA422-IF($AB421-$AA422&lt;=0,0,IF(MOD($A422,Übersicht!$C$25)=0,MIN(Szenarien!$C$11,$AB421-$AA422),0)),2))</f>
        <v>0</v>
      </c>
      <c r="AC422" s="38">
        <f>IF($AE421&lt;=0,0,ROUND($AE421*Übersicht!$C$26,2))</f>
        <v>0</v>
      </c>
      <c r="AD422" s="38">
        <f>IF($AE421&lt;=0,0,MIN($AE421,IF(Übersicht!$C$14="Annuitätendarlehen",MAX(0,Übersicht!$C$28-$AC422),IF(Übersicht!$C$14="Ratendarlehen",Übersicht!$C$29,IF($A422&gt;=Übersicht!$C$30,$AE421,0)))))</f>
        <v>0</v>
      </c>
      <c r="AE422" s="38">
        <f>IF($AE421&lt;=0,0,ROUND($AE421-$AD422-IF($AE421-$AD422&lt;=0,0,IF(MOD($A422,Übersicht!$C$25)=0,MIN(Szenarien!$C$12,$AE421-$AD422),0)),2))</f>
        <v>0</v>
      </c>
    </row>
    <row r="423" spans="1:31" ht="15" customHeight="1" x14ac:dyDescent="0.25">
      <c r="A423" s="26">
        <v>416</v>
      </c>
      <c r="B423" s="39" t="str">
        <f>IF($D423&lt;=0,"",EDATE(Übersicht!$C$18,($A423-1)*12/Übersicht!$C$25))</f>
        <v/>
      </c>
      <c r="C423" s="26" t="str">
        <f t="shared" si="42"/>
        <v/>
      </c>
      <c r="D423" s="40">
        <f t="shared" si="46"/>
        <v>0</v>
      </c>
      <c r="E423" s="28">
        <f t="shared" si="43"/>
        <v>0</v>
      </c>
      <c r="F423" s="28">
        <f>IF($D423&lt;=0,0,ROUND($D423*Übersicht!$C$26,2))</f>
        <v>0</v>
      </c>
      <c r="G423" s="28">
        <f>IF($D423&lt;=0,0,MIN($D423,IF(Übersicht!$C$14="Annuitätendarlehen",MAX(0,Übersicht!$C$28-$F423),IF(Übersicht!$C$14="Ratendarlehen",Übersicht!$C$29,IF($A423&gt;=Übersicht!$C$30,$D423,0)))))</f>
        <v>0</v>
      </c>
      <c r="H423" s="28">
        <f>IF($D423-$G423&lt;=0,0,IF(MOD($A423,Übersicht!$C$25)=0,MIN(Übersicht!$C$31,$D423-$G423),0))</f>
        <v>0</v>
      </c>
      <c r="I423" s="28">
        <f t="shared" si="44"/>
        <v>0</v>
      </c>
      <c r="J423" s="28">
        <f t="shared" si="45"/>
        <v>0</v>
      </c>
      <c r="K423" s="28">
        <f t="shared" si="47"/>
        <v>80072.129999999961</v>
      </c>
      <c r="L423" s="28">
        <f t="shared" si="48"/>
        <v>250000</v>
      </c>
      <c r="M423" s="29" t="str">
        <f>IF($D423&lt;=0,"",IF(Übersicht!$C$11=0,0,$L423/Übersicht!$C$11))</f>
        <v/>
      </c>
      <c r="N423" s="30" t="str">
        <f>IF($D423&lt;=0,"",IF($J423&lt;=0.005,"Volltilgung erreicht",IF($A423=Übersicht!$C$19*Übersicht!$C$25,"Ende der Zinsbindung",IF($H423&gt;0,"Sondertilgung verrechnet",""))))</f>
        <v/>
      </c>
      <c r="Q423" s="38">
        <f>IF($S422&lt;=0,0,ROUND($S422*Übersicht!$C$26,2))</f>
        <v>0</v>
      </c>
      <c r="R423" s="38">
        <f>IF($S422&lt;=0,0,MIN($S422,IF(Übersicht!$C$14="Annuitätendarlehen",MAX(0,Übersicht!$C$28-$Q423),IF(Übersicht!$C$14="Ratendarlehen",Übersicht!$C$29,IF($A423&gt;=Übersicht!$C$30,$S422,0)))))</f>
        <v>0</v>
      </c>
      <c r="S423" s="38">
        <f>IF($S422&lt;=0,0,ROUND($S422-$R423-IF($S422-$R423&lt;=0,0,IF(MOD($A423,Übersicht!$C$25)=0,MIN(Szenarien!$C$8,$S422-$R423),0)),2))</f>
        <v>0</v>
      </c>
      <c r="T423" s="38">
        <f>IF($V422&lt;=0,0,ROUND($V422*Übersicht!$C$26,2))</f>
        <v>0</v>
      </c>
      <c r="U423" s="38">
        <f>IF($V422&lt;=0,0,MIN($V422,IF(Übersicht!$C$14="Annuitätendarlehen",MAX(0,Übersicht!$C$28-$T423),IF(Übersicht!$C$14="Ratendarlehen",Übersicht!$C$29,IF($A423&gt;=Übersicht!$C$30,$V422,0)))))</f>
        <v>0</v>
      </c>
      <c r="V423" s="38">
        <f>IF($V422&lt;=0,0,ROUND($V422-$U423-IF($V422-$U423&lt;=0,0,IF(MOD($A423,Übersicht!$C$25)=0,MIN(Szenarien!$C$9,$V422-$U423),0)),2))</f>
        <v>0</v>
      </c>
      <c r="W423" s="38">
        <f>IF($Y422&lt;=0,0,ROUND($Y422*Übersicht!$C$26,2))</f>
        <v>0</v>
      </c>
      <c r="X423" s="38">
        <f>IF($Y422&lt;=0,0,MIN($Y422,IF(Übersicht!$C$14="Annuitätendarlehen",MAX(0,Übersicht!$C$28-$W423),IF(Übersicht!$C$14="Ratendarlehen",Übersicht!$C$29,IF($A423&gt;=Übersicht!$C$30,$Y422,0)))))</f>
        <v>0</v>
      </c>
      <c r="Y423" s="38">
        <f>IF($Y422&lt;=0,0,ROUND($Y422-$X423-IF($Y422-$X423&lt;=0,0,IF(MOD($A423,Übersicht!$C$25)=0,MIN(Szenarien!$C$10,$Y422-$X423),0)),2))</f>
        <v>0</v>
      </c>
      <c r="Z423" s="38">
        <f>IF($AB422&lt;=0,0,ROUND($AB422*Übersicht!$C$26,2))</f>
        <v>0</v>
      </c>
      <c r="AA423" s="38">
        <f>IF($AB422&lt;=0,0,MIN($AB422,IF(Übersicht!$C$14="Annuitätendarlehen",MAX(0,Übersicht!$C$28-$Z423),IF(Übersicht!$C$14="Ratendarlehen",Übersicht!$C$29,IF($A423&gt;=Übersicht!$C$30,$AB422,0)))))</f>
        <v>0</v>
      </c>
      <c r="AB423" s="38">
        <f>IF($AB422&lt;=0,0,ROUND($AB422-$AA423-IF($AB422-$AA423&lt;=0,0,IF(MOD($A423,Übersicht!$C$25)=0,MIN(Szenarien!$C$11,$AB422-$AA423),0)),2))</f>
        <v>0</v>
      </c>
      <c r="AC423" s="38">
        <f>IF($AE422&lt;=0,0,ROUND($AE422*Übersicht!$C$26,2))</f>
        <v>0</v>
      </c>
      <c r="AD423" s="38">
        <f>IF($AE422&lt;=0,0,MIN($AE422,IF(Übersicht!$C$14="Annuitätendarlehen",MAX(0,Übersicht!$C$28-$AC423),IF(Übersicht!$C$14="Ratendarlehen",Übersicht!$C$29,IF($A423&gt;=Übersicht!$C$30,$AE422,0)))))</f>
        <v>0</v>
      </c>
      <c r="AE423" s="38">
        <f>IF($AE422&lt;=0,0,ROUND($AE422-$AD423-IF($AE422-$AD423&lt;=0,0,IF(MOD($A423,Übersicht!$C$25)=0,MIN(Szenarien!$C$12,$AE422-$AD423),0)),2))</f>
        <v>0</v>
      </c>
    </row>
    <row r="424" spans="1:31" ht="15" customHeight="1" x14ac:dyDescent="0.25">
      <c r="A424" s="21">
        <v>417</v>
      </c>
      <c r="B424" s="36" t="str">
        <f>IF($D424&lt;=0,"",EDATE(Übersicht!$C$18,($A424-1)*12/Übersicht!$C$25))</f>
        <v/>
      </c>
      <c r="C424" s="21" t="str">
        <f t="shared" si="42"/>
        <v/>
      </c>
      <c r="D424" s="37">
        <f t="shared" si="46"/>
        <v>0</v>
      </c>
      <c r="E424" s="23">
        <f t="shared" si="43"/>
        <v>0</v>
      </c>
      <c r="F424" s="23">
        <f>IF($D424&lt;=0,0,ROUND($D424*Übersicht!$C$26,2))</f>
        <v>0</v>
      </c>
      <c r="G424" s="23">
        <f>IF($D424&lt;=0,0,MIN($D424,IF(Übersicht!$C$14="Annuitätendarlehen",MAX(0,Übersicht!$C$28-$F424),IF(Übersicht!$C$14="Ratendarlehen",Übersicht!$C$29,IF($A424&gt;=Übersicht!$C$30,$D424,0)))))</f>
        <v>0</v>
      </c>
      <c r="H424" s="23">
        <f>IF($D424-$G424&lt;=0,0,IF(MOD($A424,Übersicht!$C$25)=0,MIN(Übersicht!$C$31,$D424-$G424),0))</f>
        <v>0</v>
      </c>
      <c r="I424" s="23">
        <f t="shared" si="44"/>
        <v>0</v>
      </c>
      <c r="J424" s="23">
        <f t="shared" si="45"/>
        <v>0</v>
      </c>
      <c r="K424" s="23">
        <f t="shared" si="47"/>
        <v>80072.129999999961</v>
      </c>
      <c r="L424" s="23">
        <f t="shared" si="48"/>
        <v>250000</v>
      </c>
      <c r="M424" s="24" t="str">
        <f>IF($D424&lt;=0,"",IF(Übersicht!$C$11=0,0,$L424/Übersicht!$C$11))</f>
        <v/>
      </c>
      <c r="N424" s="25" t="str">
        <f>IF($D424&lt;=0,"",IF($J424&lt;=0.005,"Volltilgung erreicht",IF($A424=Übersicht!$C$19*Übersicht!$C$25,"Ende der Zinsbindung",IF($H424&gt;0,"Sondertilgung verrechnet",""))))</f>
        <v/>
      </c>
      <c r="Q424" s="38">
        <f>IF($S423&lt;=0,0,ROUND($S423*Übersicht!$C$26,2))</f>
        <v>0</v>
      </c>
      <c r="R424" s="38">
        <f>IF($S423&lt;=0,0,MIN($S423,IF(Übersicht!$C$14="Annuitätendarlehen",MAX(0,Übersicht!$C$28-$Q424),IF(Übersicht!$C$14="Ratendarlehen",Übersicht!$C$29,IF($A424&gt;=Übersicht!$C$30,$S423,0)))))</f>
        <v>0</v>
      </c>
      <c r="S424" s="38">
        <f>IF($S423&lt;=0,0,ROUND($S423-$R424-IF($S423-$R424&lt;=0,0,IF(MOD($A424,Übersicht!$C$25)=0,MIN(Szenarien!$C$8,$S423-$R424),0)),2))</f>
        <v>0</v>
      </c>
      <c r="T424" s="38">
        <f>IF($V423&lt;=0,0,ROUND($V423*Übersicht!$C$26,2))</f>
        <v>0</v>
      </c>
      <c r="U424" s="38">
        <f>IF($V423&lt;=0,0,MIN($V423,IF(Übersicht!$C$14="Annuitätendarlehen",MAX(0,Übersicht!$C$28-$T424),IF(Übersicht!$C$14="Ratendarlehen",Übersicht!$C$29,IF($A424&gt;=Übersicht!$C$30,$V423,0)))))</f>
        <v>0</v>
      </c>
      <c r="V424" s="38">
        <f>IF($V423&lt;=0,0,ROUND($V423-$U424-IF($V423-$U424&lt;=0,0,IF(MOD($A424,Übersicht!$C$25)=0,MIN(Szenarien!$C$9,$V423-$U424),0)),2))</f>
        <v>0</v>
      </c>
      <c r="W424" s="38">
        <f>IF($Y423&lt;=0,0,ROUND($Y423*Übersicht!$C$26,2))</f>
        <v>0</v>
      </c>
      <c r="X424" s="38">
        <f>IF($Y423&lt;=0,0,MIN($Y423,IF(Übersicht!$C$14="Annuitätendarlehen",MAX(0,Übersicht!$C$28-$W424),IF(Übersicht!$C$14="Ratendarlehen",Übersicht!$C$29,IF($A424&gt;=Übersicht!$C$30,$Y423,0)))))</f>
        <v>0</v>
      </c>
      <c r="Y424" s="38">
        <f>IF($Y423&lt;=0,0,ROUND($Y423-$X424-IF($Y423-$X424&lt;=0,0,IF(MOD($A424,Übersicht!$C$25)=0,MIN(Szenarien!$C$10,$Y423-$X424),0)),2))</f>
        <v>0</v>
      </c>
      <c r="Z424" s="38">
        <f>IF($AB423&lt;=0,0,ROUND($AB423*Übersicht!$C$26,2))</f>
        <v>0</v>
      </c>
      <c r="AA424" s="38">
        <f>IF($AB423&lt;=0,0,MIN($AB423,IF(Übersicht!$C$14="Annuitätendarlehen",MAX(0,Übersicht!$C$28-$Z424),IF(Übersicht!$C$14="Ratendarlehen",Übersicht!$C$29,IF($A424&gt;=Übersicht!$C$30,$AB423,0)))))</f>
        <v>0</v>
      </c>
      <c r="AB424" s="38">
        <f>IF($AB423&lt;=0,0,ROUND($AB423-$AA424-IF($AB423-$AA424&lt;=0,0,IF(MOD($A424,Übersicht!$C$25)=0,MIN(Szenarien!$C$11,$AB423-$AA424),0)),2))</f>
        <v>0</v>
      </c>
      <c r="AC424" s="38">
        <f>IF($AE423&lt;=0,0,ROUND($AE423*Übersicht!$C$26,2))</f>
        <v>0</v>
      </c>
      <c r="AD424" s="38">
        <f>IF($AE423&lt;=0,0,MIN($AE423,IF(Übersicht!$C$14="Annuitätendarlehen",MAX(0,Übersicht!$C$28-$AC424),IF(Übersicht!$C$14="Ratendarlehen",Übersicht!$C$29,IF($A424&gt;=Übersicht!$C$30,$AE423,0)))))</f>
        <v>0</v>
      </c>
      <c r="AE424" s="38">
        <f>IF($AE423&lt;=0,0,ROUND($AE423-$AD424-IF($AE423-$AD424&lt;=0,0,IF(MOD($A424,Übersicht!$C$25)=0,MIN(Szenarien!$C$12,$AE423-$AD424),0)),2))</f>
        <v>0</v>
      </c>
    </row>
    <row r="425" spans="1:31" ht="15" customHeight="1" x14ac:dyDescent="0.25">
      <c r="A425" s="26">
        <v>418</v>
      </c>
      <c r="B425" s="39" t="str">
        <f>IF($D425&lt;=0,"",EDATE(Übersicht!$C$18,($A425-1)*12/Übersicht!$C$25))</f>
        <v/>
      </c>
      <c r="C425" s="26" t="str">
        <f t="shared" si="42"/>
        <v/>
      </c>
      <c r="D425" s="40">
        <f t="shared" si="46"/>
        <v>0</v>
      </c>
      <c r="E425" s="28">
        <f t="shared" si="43"/>
        <v>0</v>
      </c>
      <c r="F425" s="28">
        <f>IF($D425&lt;=0,0,ROUND($D425*Übersicht!$C$26,2))</f>
        <v>0</v>
      </c>
      <c r="G425" s="28">
        <f>IF($D425&lt;=0,0,MIN($D425,IF(Übersicht!$C$14="Annuitätendarlehen",MAX(0,Übersicht!$C$28-$F425),IF(Übersicht!$C$14="Ratendarlehen",Übersicht!$C$29,IF($A425&gt;=Übersicht!$C$30,$D425,0)))))</f>
        <v>0</v>
      </c>
      <c r="H425" s="28">
        <f>IF($D425-$G425&lt;=0,0,IF(MOD($A425,Übersicht!$C$25)=0,MIN(Übersicht!$C$31,$D425-$G425),0))</f>
        <v>0</v>
      </c>
      <c r="I425" s="28">
        <f t="shared" si="44"/>
        <v>0</v>
      </c>
      <c r="J425" s="28">
        <f t="shared" si="45"/>
        <v>0</v>
      </c>
      <c r="K425" s="28">
        <f t="shared" si="47"/>
        <v>80072.129999999961</v>
      </c>
      <c r="L425" s="28">
        <f t="shared" si="48"/>
        <v>250000</v>
      </c>
      <c r="M425" s="29" t="str">
        <f>IF($D425&lt;=0,"",IF(Übersicht!$C$11=0,0,$L425/Übersicht!$C$11))</f>
        <v/>
      </c>
      <c r="N425" s="30" t="str">
        <f>IF($D425&lt;=0,"",IF($J425&lt;=0.005,"Volltilgung erreicht",IF($A425=Übersicht!$C$19*Übersicht!$C$25,"Ende der Zinsbindung",IF($H425&gt;0,"Sondertilgung verrechnet",""))))</f>
        <v/>
      </c>
      <c r="Q425" s="38">
        <f>IF($S424&lt;=0,0,ROUND($S424*Übersicht!$C$26,2))</f>
        <v>0</v>
      </c>
      <c r="R425" s="38">
        <f>IF($S424&lt;=0,0,MIN($S424,IF(Übersicht!$C$14="Annuitätendarlehen",MAX(0,Übersicht!$C$28-$Q425),IF(Übersicht!$C$14="Ratendarlehen",Übersicht!$C$29,IF($A425&gt;=Übersicht!$C$30,$S424,0)))))</f>
        <v>0</v>
      </c>
      <c r="S425" s="38">
        <f>IF($S424&lt;=0,0,ROUND($S424-$R425-IF($S424-$R425&lt;=0,0,IF(MOD($A425,Übersicht!$C$25)=0,MIN(Szenarien!$C$8,$S424-$R425),0)),2))</f>
        <v>0</v>
      </c>
      <c r="T425" s="38">
        <f>IF($V424&lt;=0,0,ROUND($V424*Übersicht!$C$26,2))</f>
        <v>0</v>
      </c>
      <c r="U425" s="38">
        <f>IF($V424&lt;=0,0,MIN($V424,IF(Übersicht!$C$14="Annuitätendarlehen",MAX(0,Übersicht!$C$28-$T425),IF(Übersicht!$C$14="Ratendarlehen",Übersicht!$C$29,IF($A425&gt;=Übersicht!$C$30,$V424,0)))))</f>
        <v>0</v>
      </c>
      <c r="V425" s="38">
        <f>IF($V424&lt;=0,0,ROUND($V424-$U425-IF($V424-$U425&lt;=0,0,IF(MOD($A425,Übersicht!$C$25)=0,MIN(Szenarien!$C$9,$V424-$U425),0)),2))</f>
        <v>0</v>
      </c>
      <c r="W425" s="38">
        <f>IF($Y424&lt;=0,0,ROUND($Y424*Übersicht!$C$26,2))</f>
        <v>0</v>
      </c>
      <c r="X425" s="38">
        <f>IF($Y424&lt;=0,0,MIN($Y424,IF(Übersicht!$C$14="Annuitätendarlehen",MAX(0,Übersicht!$C$28-$W425),IF(Übersicht!$C$14="Ratendarlehen",Übersicht!$C$29,IF($A425&gt;=Übersicht!$C$30,$Y424,0)))))</f>
        <v>0</v>
      </c>
      <c r="Y425" s="38">
        <f>IF($Y424&lt;=0,0,ROUND($Y424-$X425-IF($Y424-$X425&lt;=0,0,IF(MOD($A425,Übersicht!$C$25)=0,MIN(Szenarien!$C$10,$Y424-$X425),0)),2))</f>
        <v>0</v>
      </c>
      <c r="Z425" s="38">
        <f>IF($AB424&lt;=0,0,ROUND($AB424*Übersicht!$C$26,2))</f>
        <v>0</v>
      </c>
      <c r="AA425" s="38">
        <f>IF($AB424&lt;=0,0,MIN($AB424,IF(Übersicht!$C$14="Annuitätendarlehen",MAX(0,Übersicht!$C$28-$Z425),IF(Übersicht!$C$14="Ratendarlehen",Übersicht!$C$29,IF($A425&gt;=Übersicht!$C$30,$AB424,0)))))</f>
        <v>0</v>
      </c>
      <c r="AB425" s="38">
        <f>IF($AB424&lt;=0,0,ROUND($AB424-$AA425-IF($AB424-$AA425&lt;=0,0,IF(MOD($A425,Übersicht!$C$25)=0,MIN(Szenarien!$C$11,$AB424-$AA425),0)),2))</f>
        <v>0</v>
      </c>
      <c r="AC425" s="38">
        <f>IF($AE424&lt;=0,0,ROUND($AE424*Übersicht!$C$26,2))</f>
        <v>0</v>
      </c>
      <c r="AD425" s="38">
        <f>IF($AE424&lt;=0,0,MIN($AE424,IF(Übersicht!$C$14="Annuitätendarlehen",MAX(0,Übersicht!$C$28-$AC425),IF(Übersicht!$C$14="Ratendarlehen",Übersicht!$C$29,IF($A425&gt;=Übersicht!$C$30,$AE424,0)))))</f>
        <v>0</v>
      </c>
      <c r="AE425" s="38">
        <f>IF($AE424&lt;=0,0,ROUND($AE424-$AD425-IF($AE424-$AD425&lt;=0,0,IF(MOD($A425,Übersicht!$C$25)=0,MIN(Szenarien!$C$12,$AE424-$AD425),0)),2))</f>
        <v>0</v>
      </c>
    </row>
    <row r="426" spans="1:31" ht="15" customHeight="1" x14ac:dyDescent="0.25">
      <c r="A426" s="21">
        <v>419</v>
      </c>
      <c r="B426" s="36" t="str">
        <f>IF($D426&lt;=0,"",EDATE(Übersicht!$C$18,($A426-1)*12/Übersicht!$C$25))</f>
        <v/>
      </c>
      <c r="C426" s="21" t="str">
        <f t="shared" si="42"/>
        <v/>
      </c>
      <c r="D426" s="37">
        <f t="shared" si="46"/>
        <v>0</v>
      </c>
      <c r="E426" s="23">
        <f t="shared" si="43"/>
        <v>0</v>
      </c>
      <c r="F426" s="23">
        <f>IF($D426&lt;=0,0,ROUND($D426*Übersicht!$C$26,2))</f>
        <v>0</v>
      </c>
      <c r="G426" s="23">
        <f>IF($D426&lt;=0,0,MIN($D426,IF(Übersicht!$C$14="Annuitätendarlehen",MAX(0,Übersicht!$C$28-$F426),IF(Übersicht!$C$14="Ratendarlehen",Übersicht!$C$29,IF($A426&gt;=Übersicht!$C$30,$D426,0)))))</f>
        <v>0</v>
      </c>
      <c r="H426" s="23">
        <f>IF($D426-$G426&lt;=0,0,IF(MOD($A426,Übersicht!$C$25)=0,MIN(Übersicht!$C$31,$D426-$G426),0))</f>
        <v>0</v>
      </c>
      <c r="I426" s="23">
        <f t="shared" si="44"/>
        <v>0</v>
      </c>
      <c r="J426" s="23">
        <f t="shared" si="45"/>
        <v>0</v>
      </c>
      <c r="K426" s="23">
        <f t="shared" si="47"/>
        <v>80072.129999999961</v>
      </c>
      <c r="L426" s="23">
        <f t="shared" si="48"/>
        <v>250000</v>
      </c>
      <c r="M426" s="24" t="str">
        <f>IF($D426&lt;=0,"",IF(Übersicht!$C$11=0,0,$L426/Übersicht!$C$11))</f>
        <v/>
      </c>
      <c r="N426" s="25" t="str">
        <f>IF($D426&lt;=0,"",IF($J426&lt;=0.005,"Volltilgung erreicht",IF($A426=Übersicht!$C$19*Übersicht!$C$25,"Ende der Zinsbindung",IF($H426&gt;0,"Sondertilgung verrechnet",""))))</f>
        <v/>
      </c>
      <c r="Q426" s="38">
        <f>IF($S425&lt;=0,0,ROUND($S425*Übersicht!$C$26,2))</f>
        <v>0</v>
      </c>
      <c r="R426" s="38">
        <f>IF($S425&lt;=0,0,MIN($S425,IF(Übersicht!$C$14="Annuitätendarlehen",MAX(0,Übersicht!$C$28-$Q426),IF(Übersicht!$C$14="Ratendarlehen",Übersicht!$C$29,IF($A426&gt;=Übersicht!$C$30,$S425,0)))))</f>
        <v>0</v>
      </c>
      <c r="S426" s="38">
        <f>IF($S425&lt;=0,0,ROUND($S425-$R426-IF($S425-$R426&lt;=0,0,IF(MOD($A426,Übersicht!$C$25)=0,MIN(Szenarien!$C$8,$S425-$R426),0)),2))</f>
        <v>0</v>
      </c>
      <c r="T426" s="38">
        <f>IF($V425&lt;=0,0,ROUND($V425*Übersicht!$C$26,2))</f>
        <v>0</v>
      </c>
      <c r="U426" s="38">
        <f>IF($V425&lt;=0,0,MIN($V425,IF(Übersicht!$C$14="Annuitätendarlehen",MAX(0,Übersicht!$C$28-$T426),IF(Übersicht!$C$14="Ratendarlehen",Übersicht!$C$29,IF($A426&gt;=Übersicht!$C$30,$V425,0)))))</f>
        <v>0</v>
      </c>
      <c r="V426" s="38">
        <f>IF($V425&lt;=0,0,ROUND($V425-$U426-IF($V425-$U426&lt;=0,0,IF(MOD($A426,Übersicht!$C$25)=0,MIN(Szenarien!$C$9,$V425-$U426),0)),2))</f>
        <v>0</v>
      </c>
      <c r="W426" s="38">
        <f>IF($Y425&lt;=0,0,ROUND($Y425*Übersicht!$C$26,2))</f>
        <v>0</v>
      </c>
      <c r="X426" s="38">
        <f>IF($Y425&lt;=0,0,MIN($Y425,IF(Übersicht!$C$14="Annuitätendarlehen",MAX(0,Übersicht!$C$28-$W426),IF(Übersicht!$C$14="Ratendarlehen",Übersicht!$C$29,IF($A426&gt;=Übersicht!$C$30,$Y425,0)))))</f>
        <v>0</v>
      </c>
      <c r="Y426" s="38">
        <f>IF($Y425&lt;=0,0,ROUND($Y425-$X426-IF($Y425-$X426&lt;=0,0,IF(MOD($A426,Übersicht!$C$25)=0,MIN(Szenarien!$C$10,$Y425-$X426),0)),2))</f>
        <v>0</v>
      </c>
      <c r="Z426" s="38">
        <f>IF($AB425&lt;=0,0,ROUND($AB425*Übersicht!$C$26,2))</f>
        <v>0</v>
      </c>
      <c r="AA426" s="38">
        <f>IF($AB425&lt;=0,0,MIN($AB425,IF(Übersicht!$C$14="Annuitätendarlehen",MAX(0,Übersicht!$C$28-$Z426),IF(Übersicht!$C$14="Ratendarlehen",Übersicht!$C$29,IF($A426&gt;=Übersicht!$C$30,$AB425,0)))))</f>
        <v>0</v>
      </c>
      <c r="AB426" s="38">
        <f>IF($AB425&lt;=0,0,ROUND($AB425-$AA426-IF($AB425-$AA426&lt;=0,0,IF(MOD($A426,Übersicht!$C$25)=0,MIN(Szenarien!$C$11,$AB425-$AA426),0)),2))</f>
        <v>0</v>
      </c>
      <c r="AC426" s="38">
        <f>IF($AE425&lt;=0,0,ROUND($AE425*Übersicht!$C$26,2))</f>
        <v>0</v>
      </c>
      <c r="AD426" s="38">
        <f>IF($AE425&lt;=0,0,MIN($AE425,IF(Übersicht!$C$14="Annuitätendarlehen",MAX(0,Übersicht!$C$28-$AC426),IF(Übersicht!$C$14="Ratendarlehen",Übersicht!$C$29,IF($A426&gt;=Übersicht!$C$30,$AE425,0)))))</f>
        <v>0</v>
      </c>
      <c r="AE426" s="38">
        <f>IF($AE425&lt;=0,0,ROUND($AE425-$AD426-IF($AE425-$AD426&lt;=0,0,IF(MOD($A426,Übersicht!$C$25)=0,MIN(Szenarien!$C$12,$AE425-$AD426),0)),2))</f>
        <v>0</v>
      </c>
    </row>
    <row r="427" spans="1:31" ht="15" customHeight="1" x14ac:dyDescent="0.25">
      <c r="A427" s="26">
        <v>420</v>
      </c>
      <c r="B427" s="39" t="str">
        <f>IF($D427&lt;=0,"",EDATE(Übersicht!$C$18,($A427-1)*12/Übersicht!$C$25))</f>
        <v/>
      </c>
      <c r="C427" s="26" t="str">
        <f t="shared" si="42"/>
        <v/>
      </c>
      <c r="D427" s="40">
        <f t="shared" si="46"/>
        <v>0</v>
      </c>
      <c r="E427" s="28">
        <f t="shared" si="43"/>
        <v>0</v>
      </c>
      <c r="F427" s="28">
        <f>IF($D427&lt;=0,0,ROUND($D427*Übersicht!$C$26,2))</f>
        <v>0</v>
      </c>
      <c r="G427" s="28">
        <f>IF($D427&lt;=0,0,MIN($D427,IF(Übersicht!$C$14="Annuitätendarlehen",MAX(0,Übersicht!$C$28-$F427),IF(Übersicht!$C$14="Ratendarlehen",Übersicht!$C$29,IF($A427&gt;=Übersicht!$C$30,$D427,0)))))</f>
        <v>0</v>
      </c>
      <c r="H427" s="28">
        <f>IF($D427-$G427&lt;=0,0,IF(MOD($A427,Übersicht!$C$25)=0,MIN(Übersicht!$C$31,$D427-$G427),0))</f>
        <v>0</v>
      </c>
      <c r="I427" s="28">
        <f t="shared" si="44"/>
        <v>0</v>
      </c>
      <c r="J427" s="28">
        <f t="shared" si="45"/>
        <v>0</v>
      </c>
      <c r="K427" s="28">
        <f t="shared" si="47"/>
        <v>80072.129999999961</v>
      </c>
      <c r="L427" s="28">
        <f t="shared" si="48"/>
        <v>250000</v>
      </c>
      <c r="M427" s="29" t="str">
        <f>IF($D427&lt;=0,"",IF(Übersicht!$C$11=0,0,$L427/Übersicht!$C$11))</f>
        <v/>
      </c>
      <c r="N427" s="30" t="str">
        <f>IF($D427&lt;=0,"",IF($J427&lt;=0.005,"Volltilgung erreicht",IF($A427=Übersicht!$C$19*Übersicht!$C$25,"Ende der Zinsbindung",IF($H427&gt;0,"Sondertilgung verrechnet",""))))</f>
        <v/>
      </c>
      <c r="Q427" s="38">
        <f>IF($S426&lt;=0,0,ROUND($S426*Übersicht!$C$26,2))</f>
        <v>0</v>
      </c>
      <c r="R427" s="38">
        <f>IF($S426&lt;=0,0,MIN($S426,IF(Übersicht!$C$14="Annuitätendarlehen",MAX(0,Übersicht!$C$28-$Q427),IF(Übersicht!$C$14="Ratendarlehen",Übersicht!$C$29,IF($A427&gt;=Übersicht!$C$30,$S426,0)))))</f>
        <v>0</v>
      </c>
      <c r="S427" s="38">
        <f>IF($S426&lt;=0,0,ROUND($S426-$R427-IF($S426-$R427&lt;=0,0,IF(MOD($A427,Übersicht!$C$25)=0,MIN(Szenarien!$C$8,$S426-$R427),0)),2))</f>
        <v>0</v>
      </c>
      <c r="T427" s="38">
        <f>IF($V426&lt;=0,0,ROUND($V426*Übersicht!$C$26,2))</f>
        <v>0</v>
      </c>
      <c r="U427" s="38">
        <f>IF($V426&lt;=0,0,MIN($V426,IF(Übersicht!$C$14="Annuitätendarlehen",MAX(0,Übersicht!$C$28-$T427),IF(Übersicht!$C$14="Ratendarlehen",Übersicht!$C$29,IF($A427&gt;=Übersicht!$C$30,$V426,0)))))</f>
        <v>0</v>
      </c>
      <c r="V427" s="38">
        <f>IF($V426&lt;=0,0,ROUND($V426-$U427-IF($V426-$U427&lt;=0,0,IF(MOD($A427,Übersicht!$C$25)=0,MIN(Szenarien!$C$9,$V426-$U427),0)),2))</f>
        <v>0</v>
      </c>
      <c r="W427" s="38">
        <f>IF($Y426&lt;=0,0,ROUND($Y426*Übersicht!$C$26,2))</f>
        <v>0</v>
      </c>
      <c r="X427" s="38">
        <f>IF($Y426&lt;=0,0,MIN($Y426,IF(Übersicht!$C$14="Annuitätendarlehen",MAX(0,Übersicht!$C$28-$W427),IF(Übersicht!$C$14="Ratendarlehen",Übersicht!$C$29,IF($A427&gt;=Übersicht!$C$30,$Y426,0)))))</f>
        <v>0</v>
      </c>
      <c r="Y427" s="38">
        <f>IF($Y426&lt;=0,0,ROUND($Y426-$X427-IF($Y426-$X427&lt;=0,0,IF(MOD($A427,Übersicht!$C$25)=0,MIN(Szenarien!$C$10,$Y426-$X427),0)),2))</f>
        <v>0</v>
      </c>
      <c r="Z427" s="38">
        <f>IF($AB426&lt;=0,0,ROUND($AB426*Übersicht!$C$26,2))</f>
        <v>0</v>
      </c>
      <c r="AA427" s="38">
        <f>IF($AB426&lt;=0,0,MIN($AB426,IF(Übersicht!$C$14="Annuitätendarlehen",MAX(0,Übersicht!$C$28-$Z427),IF(Übersicht!$C$14="Ratendarlehen",Übersicht!$C$29,IF($A427&gt;=Übersicht!$C$30,$AB426,0)))))</f>
        <v>0</v>
      </c>
      <c r="AB427" s="38">
        <f>IF($AB426&lt;=0,0,ROUND($AB426-$AA427-IF($AB426-$AA427&lt;=0,0,IF(MOD($A427,Übersicht!$C$25)=0,MIN(Szenarien!$C$11,$AB426-$AA427),0)),2))</f>
        <v>0</v>
      </c>
      <c r="AC427" s="38">
        <f>IF($AE426&lt;=0,0,ROUND($AE426*Übersicht!$C$26,2))</f>
        <v>0</v>
      </c>
      <c r="AD427" s="38">
        <f>IF($AE426&lt;=0,0,MIN($AE426,IF(Übersicht!$C$14="Annuitätendarlehen",MAX(0,Übersicht!$C$28-$AC427),IF(Übersicht!$C$14="Ratendarlehen",Übersicht!$C$29,IF($A427&gt;=Übersicht!$C$30,$AE426,0)))))</f>
        <v>0</v>
      </c>
      <c r="AE427" s="38">
        <f>IF($AE426&lt;=0,0,ROUND($AE426-$AD427-IF($AE426-$AD427&lt;=0,0,IF(MOD($A427,Übersicht!$C$25)=0,MIN(Szenarien!$C$12,$AE426-$AD427),0)),2))</f>
        <v>0</v>
      </c>
    </row>
    <row r="428" spans="1:31" ht="15" customHeight="1" x14ac:dyDescent="0.25">
      <c r="A428" s="21">
        <v>421</v>
      </c>
      <c r="B428" s="36" t="str">
        <f>IF($D428&lt;=0,"",EDATE(Übersicht!$C$18,($A428-1)*12/Übersicht!$C$25))</f>
        <v/>
      </c>
      <c r="C428" s="21" t="str">
        <f t="shared" si="42"/>
        <v/>
      </c>
      <c r="D428" s="37">
        <f t="shared" si="46"/>
        <v>0</v>
      </c>
      <c r="E428" s="23">
        <f t="shared" si="43"/>
        <v>0</v>
      </c>
      <c r="F428" s="23">
        <f>IF($D428&lt;=0,0,ROUND($D428*Übersicht!$C$26,2))</f>
        <v>0</v>
      </c>
      <c r="G428" s="23">
        <f>IF($D428&lt;=0,0,MIN($D428,IF(Übersicht!$C$14="Annuitätendarlehen",MAX(0,Übersicht!$C$28-$F428),IF(Übersicht!$C$14="Ratendarlehen",Übersicht!$C$29,IF($A428&gt;=Übersicht!$C$30,$D428,0)))))</f>
        <v>0</v>
      </c>
      <c r="H428" s="23">
        <f>IF($D428-$G428&lt;=0,0,IF(MOD($A428,Übersicht!$C$25)=0,MIN(Übersicht!$C$31,$D428-$G428),0))</f>
        <v>0</v>
      </c>
      <c r="I428" s="23">
        <f t="shared" si="44"/>
        <v>0</v>
      </c>
      <c r="J428" s="23">
        <f t="shared" si="45"/>
        <v>0</v>
      </c>
      <c r="K428" s="23">
        <f t="shared" si="47"/>
        <v>80072.129999999961</v>
      </c>
      <c r="L428" s="23">
        <f t="shared" si="48"/>
        <v>250000</v>
      </c>
      <c r="M428" s="24" t="str">
        <f>IF($D428&lt;=0,"",IF(Übersicht!$C$11=0,0,$L428/Übersicht!$C$11))</f>
        <v/>
      </c>
      <c r="N428" s="25" t="str">
        <f>IF($D428&lt;=0,"",IF($J428&lt;=0.005,"Volltilgung erreicht",IF($A428=Übersicht!$C$19*Übersicht!$C$25,"Ende der Zinsbindung",IF($H428&gt;0,"Sondertilgung verrechnet",""))))</f>
        <v/>
      </c>
      <c r="Q428" s="38">
        <f>IF($S427&lt;=0,0,ROUND($S427*Übersicht!$C$26,2))</f>
        <v>0</v>
      </c>
      <c r="R428" s="38">
        <f>IF($S427&lt;=0,0,MIN($S427,IF(Übersicht!$C$14="Annuitätendarlehen",MAX(0,Übersicht!$C$28-$Q428),IF(Übersicht!$C$14="Ratendarlehen",Übersicht!$C$29,IF($A428&gt;=Übersicht!$C$30,$S427,0)))))</f>
        <v>0</v>
      </c>
      <c r="S428" s="38">
        <f>IF($S427&lt;=0,0,ROUND($S427-$R428-IF($S427-$R428&lt;=0,0,IF(MOD($A428,Übersicht!$C$25)=0,MIN(Szenarien!$C$8,$S427-$R428),0)),2))</f>
        <v>0</v>
      </c>
      <c r="T428" s="38">
        <f>IF($V427&lt;=0,0,ROUND($V427*Übersicht!$C$26,2))</f>
        <v>0</v>
      </c>
      <c r="U428" s="38">
        <f>IF($V427&lt;=0,0,MIN($V427,IF(Übersicht!$C$14="Annuitätendarlehen",MAX(0,Übersicht!$C$28-$T428),IF(Übersicht!$C$14="Ratendarlehen",Übersicht!$C$29,IF($A428&gt;=Übersicht!$C$30,$V427,0)))))</f>
        <v>0</v>
      </c>
      <c r="V428" s="38">
        <f>IF($V427&lt;=0,0,ROUND($V427-$U428-IF($V427-$U428&lt;=0,0,IF(MOD($A428,Übersicht!$C$25)=0,MIN(Szenarien!$C$9,$V427-$U428),0)),2))</f>
        <v>0</v>
      </c>
      <c r="W428" s="38">
        <f>IF($Y427&lt;=0,0,ROUND($Y427*Übersicht!$C$26,2))</f>
        <v>0</v>
      </c>
      <c r="X428" s="38">
        <f>IF($Y427&lt;=0,0,MIN($Y427,IF(Übersicht!$C$14="Annuitätendarlehen",MAX(0,Übersicht!$C$28-$W428),IF(Übersicht!$C$14="Ratendarlehen",Übersicht!$C$29,IF($A428&gt;=Übersicht!$C$30,$Y427,0)))))</f>
        <v>0</v>
      </c>
      <c r="Y428" s="38">
        <f>IF($Y427&lt;=0,0,ROUND($Y427-$X428-IF($Y427-$X428&lt;=0,0,IF(MOD($A428,Übersicht!$C$25)=0,MIN(Szenarien!$C$10,$Y427-$X428),0)),2))</f>
        <v>0</v>
      </c>
      <c r="Z428" s="38">
        <f>IF($AB427&lt;=0,0,ROUND($AB427*Übersicht!$C$26,2))</f>
        <v>0</v>
      </c>
      <c r="AA428" s="38">
        <f>IF($AB427&lt;=0,0,MIN($AB427,IF(Übersicht!$C$14="Annuitätendarlehen",MAX(0,Übersicht!$C$28-$Z428),IF(Übersicht!$C$14="Ratendarlehen",Übersicht!$C$29,IF($A428&gt;=Übersicht!$C$30,$AB427,0)))))</f>
        <v>0</v>
      </c>
      <c r="AB428" s="38">
        <f>IF($AB427&lt;=0,0,ROUND($AB427-$AA428-IF($AB427-$AA428&lt;=0,0,IF(MOD($A428,Übersicht!$C$25)=0,MIN(Szenarien!$C$11,$AB427-$AA428),0)),2))</f>
        <v>0</v>
      </c>
      <c r="AC428" s="38">
        <f>IF($AE427&lt;=0,0,ROUND($AE427*Übersicht!$C$26,2))</f>
        <v>0</v>
      </c>
      <c r="AD428" s="38">
        <f>IF($AE427&lt;=0,0,MIN($AE427,IF(Übersicht!$C$14="Annuitätendarlehen",MAX(0,Übersicht!$C$28-$AC428),IF(Übersicht!$C$14="Ratendarlehen",Übersicht!$C$29,IF($A428&gt;=Übersicht!$C$30,$AE427,0)))))</f>
        <v>0</v>
      </c>
      <c r="AE428" s="38">
        <f>IF($AE427&lt;=0,0,ROUND($AE427-$AD428-IF($AE427-$AD428&lt;=0,0,IF(MOD($A428,Übersicht!$C$25)=0,MIN(Szenarien!$C$12,$AE427-$AD428),0)),2))</f>
        <v>0</v>
      </c>
    </row>
    <row r="429" spans="1:31" ht="15" customHeight="1" x14ac:dyDescent="0.25">
      <c r="A429" s="26">
        <v>422</v>
      </c>
      <c r="B429" s="39" t="str">
        <f>IF($D429&lt;=0,"",EDATE(Übersicht!$C$18,($A429-1)*12/Übersicht!$C$25))</f>
        <v/>
      </c>
      <c r="C429" s="26" t="str">
        <f t="shared" si="42"/>
        <v/>
      </c>
      <c r="D429" s="40">
        <f t="shared" si="46"/>
        <v>0</v>
      </c>
      <c r="E429" s="28">
        <f t="shared" si="43"/>
        <v>0</v>
      </c>
      <c r="F429" s="28">
        <f>IF($D429&lt;=0,0,ROUND($D429*Übersicht!$C$26,2))</f>
        <v>0</v>
      </c>
      <c r="G429" s="28">
        <f>IF($D429&lt;=0,0,MIN($D429,IF(Übersicht!$C$14="Annuitätendarlehen",MAX(0,Übersicht!$C$28-$F429),IF(Übersicht!$C$14="Ratendarlehen",Übersicht!$C$29,IF($A429&gt;=Übersicht!$C$30,$D429,0)))))</f>
        <v>0</v>
      </c>
      <c r="H429" s="28">
        <f>IF($D429-$G429&lt;=0,0,IF(MOD($A429,Übersicht!$C$25)=0,MIN(Übersicht!$C$31,$D429-$G429),0))</f>
        <v>0</v>
      </c>
      <c r="I429" s="28">
        <f t="shared" si="44"/>
        <v>0</v>
      </c>
      <c r="J429" s="28">
        <f t="shared" si="45"/>
        <v>0</v>
      </c>
      <c r="K429" s="28">
        <f t="shared" si="47"/>
        <v>80072.129999999961</v>
      </c>
      <c r="L429" s="28">
        <f t="shared" si="48"/>
        <v>250000</v>
      </c>
      <c r="M429" s="29" t="str">
        <f>IF($D429&lt;=0,"",IF(Übersicht!$C$11=0,0,$L429/Übersicht!$C$11))</f>
        <v/>
      </c>
      <c r="N429" s="30" t="str">
        <f>IF($D429&lt;=0,"",IF($J429&lt;=0.005,"Volltilgung erreicht",IF($A429=Übersicht!$C$19*Übersicht!$C$25,"Ende der Zinsbindung",IF($H429&gt;0,"Sondertilgung verrechnet",""))))</f>
        <v/>
      </c>
      <c r="Q429" s="38">
        <f>IF($S428&lt;=0,0,ROUND($S428*Übersicht!$C$26,2))</f>
        <v>0</v>
      </c>
      <c r="R429" s="38">
        <f>IF($S428&lt;=0,0,MIN($S428,IF(Übersicht!$C$14="Annuitätendarlehen",MAX(0,Übersicht!$C$28-$Q429),IF(Übersicht!$C$14="Ratendarlehen",Übersicht!$C$29,IF($A429&gt;=Übersicht!$C$30,$S428,0)))))</f>
        <v>0</v>
      </c>
      <c r="S429" s="38">
        <f>IF($S428&lt;=0,0,ROUND($S428-$R429-IF($S428-$R429&lt;=0,0,IF(MOD($A429,Übersicht!$C$25)=0,MIN(Szenarien!$C$8,$S428-$R429),0)),2))</f>
        <v>0</v>
      </c>
      <c r="T429" s="38">
        <f>IF($V428&lt;=0,0,ROUND($V428*Übersicht!$C$26,2))</f>
        <v>0</v>
      </c>
      <c r="U429" s="38">
        <f>IF($V428&lt;=0,0,MIN($V428,IF(Übersicht!$C$14="Annuitätendarlehen",MAX(0,Übersicht!$C$28-$T429),IF(Übersicht!$C$14="Ratendarlehen",Übersicht!$C$29,IF($A429&gt;=Übersicht!$C$30,$V428,0)))))</f>
        <v>0</v>
      </c>
      <c r="V429" s="38">
        <f>IF($V428&lt;=0,0,ROUND($V428-$U429-IF($V428-$U429&lt;=0,0,IF(MOD($A429,Übersicht!$C$25)=0,MIN(Szenarien!$C$9,$V428-$U429),0)),2))</f>
        <v>0</v>
      </c>
      <c r="W429" s="38">
        <f>IF($Y428&lt;=0,0,ROUND($Y428*Übersicht!$C$26,2))</f>
        <v>0</v>
      </c>
      <c r="X429" s="38">
        <f>IF($Y428&lt;=0,0,MIN($Y428,IF(Übersicht!$C$14="Annuitätendarlehen",MAX(0,Übersicht!$C$28-$W429),IF(Übersicht!$C$14="Ratendarlehen",Übersicht!$C$29,IF($A429&gt;=Übersicht!$C$30,$Y428,0)))))</f>
        <v>0</v>
      </c>
      <c r="Y429" s="38">
        <f>IF($Y428&lt;=0,0,ROUND($Y428-$X429-IF($Y428-$X429&lt;=0,0,IF(MOD($A429,Übersicht!$C$25)=0,MIN(Szenarien!$C$10,$Y428-$X429),0)),2))</f>
        <v>0</v>
      </c>
      <c r="Z429" s="38">
        <f>IF($AB428&lt;=0,0,ROUND($AB428*Übersicht!$C$26,2))</f>
        <v>0</v>
      </c>
      <c r="AA429" s="38">
        <f>IF($AB428&lt;=0,0,MIN($AB428,IF(Übersicht!$C$14="Annuitätendarlehen",MAX(0,Übersicht!$C$28-$Z429),IF(Übersicht!$C$14="Ratendarlehen",Übersicht!$C$29,IF($A429&gt;=Übersicht!$C$30,$AB428,0)))))</f>
        <v>0</v>
      </c>
      <c r="AB429" s="38">
        <f>IF($AB428&lt;=0,0,ROUND($AB428-$AA429-IF($AB428-$AA429&lt;=0,0,IF(MOD($A429,Übersicht!$C$25)=0,MIN(Szenarien!$C$11,$AB428-$AA429),0)),2))</f>
        <v>0</v>
      </c>
      <c r="AC429" s="38">
        <f>IF($AE428&lt;=0,0,ROUND($AE428*Übersicht!$C$26,2))</f>
        <v>0</v>
      </c>
      <c r="AD429" s="38">
        <f>IF($AE428&lt;=0,0,MIN($AE428,IF(Übersicht!$C$14="Annuitätendarlehen",MAX(0,Übersicht!$C$28-$AC429),IF(Übersicht!$C$14="Ratendarlehen",Übersicht!$C$29,IF($A429&gt;=Übersicht!$C$30,$AE428,0)))))</f>
        <v>0</v>
      </c>
      <c r="AE429" s="38">
        <f>IF($AE428&lt;=0,0,ROUND($AE428-$AD429-IF($AE428-$AD429&lt;=0,0,IF(MOD($A429,Übersicht!$C$25)=0,MIN(Szenarien!$C$12,$AE428-$AD429),0)),2))</f>
        <v>0</v>
      </c>
    </row>
    <row r="430" spans="1:31" ht="15" customHeight="1" x14ac:dyDescent="0.25">
      <c r="A430" s="21">
        <v>423</v>
      </c>
      <c r="B430" s="36" t="str">
        <f>IF($D430&lt;=0,"",EDATE(Übersicht!$C$18,($A430-1)*12/Übersicht!$C$25))</f>
        <v/>
      </c>
      <c r="C430" s="21" t="str">
        <f t="shared" si="42"/>
        <v/>
      </c>
      <c r="D430" s="37">
        <f t="shared" si="46"/>
        <v>0</v>
      </c>
      <c r="E430" s="23">
        <f t="shared" si="43"/>
        <v>0</v>
      </c>
      <c r="F430" s="23">
        <f>IF($D430&lt;=0,0,ROUND($D430*Übersicht!$C$26,2))</f>
        <v>0</v>
      </c>
      <c r="G430" s="23">
        <f>IF($D430&lt;=0,0,MIN($D430,IF(Übersicht!$C$14="Annuitätendarlehen",MAX(0,Übersicht!$C$28-$F430),IF(Übersicht!$C$14="Ratendarlehen",Übersicht!$C$29,IF($A430&gt;=Übersicht!$C$30,$D430,0)))))</f>
        <v>0</v>
      </c>
      <c r="H430" s="23">
        <f>IF($D430-$G430&lt;=0,0,IF(MOD($A430,Übersicht!$C$25)=0,MIN(Übersicht!$C$31,$D430-$G430),0))</f>
        <v>0</v>
      </c>
      <c r="I430" s="23">
        <f t="shared" si="44"/>
        <v>0</v>
      </c>
      <c r="J430" s="23">
        <f t="shared" si="45"/>
        <v>0</v>
      </c>
      <c r="K430" s="23">
        <f t="shared" si="47"/>
        <v>80072.129999999961</v>
      </c>
      <c r="L430" s="23">
        <f t="shared" si="48"/>
        <v>250000</v>
      </c>
      <c r="M430" s="24" t="str">
        <f>IF($D430&lt;=0,"",IF(Übersicht!$C$11=0,0,$L430/Übersicht!$C$11))</f>
        <v/>
      </c>
      <c r="N430" s="25" t="str">
        <f>IF($D430&lt;=0,"",IF($J430&lt;=0.005,"Volltilgung erreicht",IF($A430=Übersicht!$C$19*Übersicht!$C$25,"Ende der Zinsbindung",IF($H430&gt;0,"Sondertilgung verrechnet",""))))</f>
        <v/>
      </c>
      <c r="Q430" s="38">
        <f>IF($S429&lt;=0,0,ROUND($S429*Übersicht!$C$26,2))</f>
        <v>0</v>
      </c>
      <c r="R430" s="38">
        <f>IF($S429&lt;=0,0,MIN($S429,IF(Übersicht!$C$14="Annuitätendarlehen",MAX(0,Übersicht!$C$28-$Q430),IF(Übersicht!$C$14="Ratendarlehen",Übersicht!$C$29,IF($A430&gt;=Übersicht!$C$30,$S429,0)))))</f>
        <v>0</v>
      </c>
      <c r="S430" s="38">
        <f>IF($S429&lt;=0,0,ROUND($S429-$R430-IF($S429-$R430&lt;=0,0,IF(MOD($A430,Übersicht!$C$25)=0,MIN(Szenarien!$C$8,$S429-$R430),0)),2))</f>
        <v>0</v>
      </c>
      <c r="T430" s="38">
        <f>IF($V429&lt;=0,0,ROUND($V429*Übersicht!$C$26,2))</f>
        <v>0</v>
      </c>
      <c r="U430" s="38">
        <f>IF($V429&lt;=0,0,MIN($V429,IF(Übersicht!$C$14="Annuitätendarlehen",MAX(0,Übersicht!$C$28-$T430),IF(Übersicht!$C$14="Ratendarlehen",Übersicht!$C$29,IF($A430&gt;=Übersicht!$C$30,$V429,0)))))</f>
        <v>0</v>
      </c>
      <c r="V430" s="38">
        <f>IF($V429&lt;=0,0,ROUND($V429-$U430-IF($V429-$U430&lt;=0,0,IF(MOD($A430,Übersicht!$C$25)=0,MIN(Szenarien!$C$9,$V429-$U430),0)),2))</f>
        <v>0</v>
      </c>
      <c r="W430" s="38">
        <f>IF($Y429&lt;=0,0,ROUND($Y429*Übersicht!$C$26,2))</f>
        <v>0</v>
      </c>
      <c r="X430" s="38">
        <f>IF($Y429&lt;=0,0,MIN($Y429,IF(Übersicht!$C$14="Annuitätendarlehen",MAX(0,Übersicht!$C$28-$W430),IF(Übersicht!$C$14="Ratendarlehen",Übersicht!$C$29,IF($A430&gt;=Übersicht!$C$30,$Y429,0)))))</f>
        <v>0</v>
      </c>
      <c r="Y430" s="38">
        <f>IF($Y429&lt;=0,0,ROUND($Y429-$X430-IF($Y429-$X430&lt;=0,0,IF(MOD($A430,Übersicht!$C$25)=0,MIN(Szenarien!$C$10,$Y429-$X430),0)),2))</f>
        <v>0</v>
      </c>
      <c r="Z430" s="38">
        <f>IF($AB429&lt;=0,0,ROUND($AB429*Übersicht!$C$26,2))</f>
        <v>0</v>
      </c>
      <c r="AA430" s="38">
        <f>IF($AB429&lt;=0,0,MIN($AB429,IF(Übersicht!$C$14="Annuitätendarlehen",MAX(0,Übersicht!$C$28-$Z430),IF(Übersicht!$C$14="Ratendarlehen",Übersicht!$C$29,IF($A430&gt;=Übersicht!$C$30,$AB429,0)))))</f>
        <v>0</v>
      </c>
      <c r="AB430" s="38">
        <f>IF($AB429&lt;=0,0,ROUND($AB429-$AA430-IF($AB429-$AA430&lt;=0,0,IF(MOD($A430,Übersicht!$C$25)=0,MIN(Szenarien!$C$11,$AB429-$AA430),0)),2))</f>
        <v>0</v>
      </c>
      <c r="AC430" s="38">
        <f>IF($AE429&lt;=0,0,ROUND($AE429*Übersicht!$C$26,2))</f>
        <v>0</v>
      </c>
      <c r="AD430" s="38">
        <f>IF($AE429&lt;=0,0,MIN($AE429,IF(Übersicht!$C$14="Annuitätendarlehen",MAX(0,Übersicht!$C$28-$AC430),IF(Übersicht!$C$14="Ratendarlehen",Übersicht!$C$29,IF($A430&gt;=Übersicht!$C$30,$AE429,0)))))</f>
        <v>0</v>
      </c>
      <c r="AE430" s="38">
        <f>IF($AE429&lt;=0,0,ROUND($AE429-$AD430-IF($AE429-$AD430&lt;=0,0,IF(MOD($A430,Übersicht!$C$25)=0,MIN(Szenarien!$C$12,$AE429-$AD430),0)),2))</f>
        <v>0</v>
      </c>
    </row>
    <row r="431" spans="1:31" ht="15" customHeight="1" x14ac:dyDescent="0.25">
      <c r="A431" s="26">
        <v>424</v>
      </c>
      <c r="B431" s="39" t="str">
        <f>IF($D431&lt;=0,"",EDATE(Übersicht!$C$18,($A431-1)*12/Übersicht!$C$25))</f>
        <v/>
      </c>
      <c r="C431" s="26" t="str">
        <f t="shared" si="42"/>
        <v/>
      </c>
      <c r="D431" s="40">
        <f t="shared" si="46"/>
        <v>0</v>
      </c>
      <c r="E431" s="28">
        <f t="shared" si="43"/>
        <v>0</v>
      </c>
      <c r="F431" s="28">
        <f>IF($D431&lt;=0,0,ROUND($D431*Übersicht!$C$26,2))</f>
        <v>0</v>
      </c>
      <c r="G431" s="28">
        <f>IF($D431&lt;=0,0,MIN($D431,IF(Übersicht!$C$14="Annuitätendarlehen",MAX(0,Übersicht!$C$28-$F431),IF(Übersicht!$C$14="Ratendarlehen",Übersicht!$C$29,IF($A431&gt;=Übersicht!$C$30,$D431,0)))))</f>
        <v>0</v>
      </c>
      <c r="H431" s="28">
        <f>IF($D431-$G431&lt;=0,0,IF(MOD($A431,Übersicht!$C$25)=0,MIN(Übersicht!$C$31,$D431-$G431),0))</f>
        <v>0</v>
      </c>
      <c r="I431" s="28">
        <f t="shared" si="44"/>
        <v>0</v>
      </c>
      <c r="J431" s="28">
        <f t="shared" si="45"/>
        <v>0</v>
      </c>
      <c r="K431" s="28">
        <f t="shared" si="47"/>
        <v>80072.129999999961</v>
      </c>
      <c r="L431" s="28">
        <f t="shared" si="48"/>
        <v>250000</v>
      </c>
      <c r="M431" s="29" t="str">
        <f>IF($D431&lt;=0,"",IF(Übersicht!$C$11=0,0,$L431/Übersicht!$C$11))</f>
        <v/>
      </c>
      <c r="N431" s="30" t="str">
        <f>IF($D431&lt;=0,"",IF($J431&lt;=0.005,"Volltilgung erreicht",IF($A431=Übersicht!$C$19*Übersicht!$C$25,"Ende der Zinsbindung",IF($H431&gt;0,"Sondertilgung verrechnet",""))))</f>
        <v/>
      </c>
      <c r="Q431" s="38">
        <f>IF($S430&lt;=0,0,ROUND($S430*Übersicht!$C$26,2))</f>
        <v>0</v>
      </c>
      <c r="R431" s="38">
        <f>IF($S430&lt;=0,0,MIN($S430,IF(Übersicht!$C$14="Annuitätendarlehen",MAX(0,Übersicht!$C$28-$Q431),IF(Übersicht!$C$14="Ratendarlehen",Übersicht!$C$29,IF($A431&gt;=Übersicht!$C$30,$S430,0)))))</f>
        <v>0</v>
      </c>
      <c r="S431" s="38">
        <f>IF($S430&lt;=0,0,ROUND($S430-$R431-IF($S430-$R431&lt;=0,0,IF(MOD($A431,Übersicht!$C$25)=0,MIN(Szenarien!$C$8,$S430-$R431),0)),2))</f>
        <v>0</v>
      </c>
      <c r="T431" s="38">
        <f>IF($V430&lt;=0,0,ROUND($V430*Übersicht!$C$26,2))</f>
        <v>0</v>
      </c>
      <c r="U431" s="38">
        <f>IF($V430&lt;=0,0,MIN($V430,IF(Übersicht!$C$14="Annuitätendarlehen",MAX(0,Übersicht!$C$28-$T431),IF(Übersicht!$C$14="Ratendarlehen",Übersicht!$C$29,IF($A431&gt;=Übersicht!$C$30,$V430,0)))))</f>
        <v>0</v>
      </c>
      <c r="V431" s="38">
        <f>IF($V430&lt;=0,0,ROUND($V430-$U431-IF($V430-$U431&lt;=0,0,IF(MOD($A431,Übersicht!$C$25)=0,MIN(Szenarien!$C$9,$V430-$U431),0)),2))</f>
        <v>0</v>
      </c>
      <c r="W431" s="38">
        <f>IF($Y430&lt;=0,0,ROUND($Y430*Übersicht!$C$26,2))</f>
        <v>0</v>
      </c>
      <c r="X431" s="38">
        <f>IF($Y430&lt;=0,0,MIN($Y430,IF(Übersicht!$C$14="Annuitätendarlehen",MAX(0,Übersicht!$C$28-$W431),IF(Übersicht!$C$14="Ratendarlehen",Übersicht!$C$29,IF($A431&gt;=Übersicht!$C$30,$Y430,0)))))</f>
        <v>0</v>
      </c>
      <c r="Y431" s="38">
        <f>IF($Y430&lt;=0,0,ROUND($Y430-$X431-IF($Y430-$X431&lt;=0,0,IF(MOD($A431,Übersicht!$C$25)=0,MIN(Szenarien!$C$10,$Y430-$X431),0)),2))</f>
        <v>0</v>
      </c>
      <c r="Z431" s="38">
        <f>IF($AB430&lt;=0,0,ROUND($AB430*Übersicht!$C$26,2))</f>
        <v>0</v>
      </c>
      <c r="AA431" s="38">
        <f>IF($AB430&lt;=0,0,MIN($AB430,IF(Übersicht!$C$14="Annuitätendarlehen",MAX(0,Übersicht!$C$28-$Z431),IF(Übersicht!$C$14="Ratendarlehen",Übersicht!$C$29,IF($A431&gt;=Übersicht!$C$30,$AB430,0)))))</f>
        <v>0</v>
      </c>
      <c r="AB431" s="38">
        <f>IF($AB430&lt;=0,0,ROUND($AB430-$AA431-IF($AB430-$AA431&lt;=0,0,IF(MOD($A431,Übersicht!$C$25)=0,MIN(Szenarien!$C$11,$AB430-$AA431),0)),2))</f>
        <v>0</v>
      </c>
      <c r="AC431" s="38">
        <f>IF($AE430&lt;=0,0,ROUND($AE430*Übersicht!$C$26,2))</f>
        <v>0</v>
      </c>
      <c r="AD431" s="38">
        <f>IF($AE430&lt;=0,0,MIN($AE430,IF(Übersicht!$C$14="Annuitätendarlehen",MAX(0,Übersicht!$C$28-$AC431),IF(Übersicht!$C$14="Ratendarlehen",Übersicht!$C$29,IF($A431&gt;=Übersicht!$C$30,$AE430,0)))))</f>
        <v>0</v>
      </c>
      <c r="AE431" s="38">
        <f>IF($AE430&lt;=0,0,ROUND($AE430-$AD431-IF($AE430-$AD431&lt;=0,0,IF(MOD($A431,Übersicht!$C$25)=0,MIN(Szenarien!$C$12,$AE430-$AD431),0)),2))</f>
        <v>0</v>
      </c>
    </row>
    <row r="432" spans="1:31" ht="15" customHeight="1" x14ac:dyDescent="0.25">
      <c r="A432" s="21">
        <v>425</v>
      </c>
      <c r="B432" s="36" t="str">
        <f>IF($D432&lt;=0,"",EDATE(Übersicht!$C$18,($A432-1)*12/Übersicht!$C$25))</f>
        <v/>
      </c>
      <c r="C432" s="21" t="str">
        <f t="shared" si="42"/>
        <v/>
      </c>
      <c r="D432" s="37">
        <f t="shared" si="46"/>
        <v>0</v>
      </c>
      <c r="E432" s="23">
        <f t="shared" si="43"/>
        <v>0</v>
      </c>
      <c r="F432" s="23">
        <f>IF($D432&lt;=0,0,ROUND($D432*Übersicht!$C$26,2))</f>
        <v>0</v>
      </c>
      <c r="G432" s="23">
        <f>IF($D432&lt;=0,0,MIN($D432,IF(Übersicht!$C$14="Annuitätendarlehen",MAX(0,Übersicht!$C$28-$F432),IF(Übersicht!$C$14="Ratendarlehen",Übersicht!$C$29,IF($A432&gt;=Übersicht!$C$30,$D432,0)))))</f>
        <v>0</v>
      </c>
      <c r="H432" s="23">
        <f>IF($D432-$G432&lt;=0,0,IF(MOD($A432,Übersicht!$C$25)=0,MIN(Übersicht!$C$31,$D432-$G432),0))</f>
        <v>0</v>
      </c>
      <c r="I432" s="23">
        <f t="shared" si="44"/>
        <v>0</v>
      </c>
      <c r="J432" s="23">
        <f t="shared" si="45"/>
        <v>0</v>
      </c>
      <c r="K432" s="23">
        <f t="shared" si="47"/>
        <v>80072.129999999961</v>
      </c>
      <c r="L432" s="23">
        <f t="shared" si="48"/>
        <v>250000</v>
      </c>
      <c r="M432" s="24" t="str">
        <f>IF($D432&lt;=0,"",IF(Übersicht!$C$11=0,0,$L432/Übersicht!$C$11))</f>
        <v/>
      </c>
      <c r="N432" s="25" t="str">
        <f>IF($D432&lt;=0,"",IF($J432&lt;=0.005,"Volltilgung erreicht",IF($A432=Übersicht!$C$19*Übersicht!$C$25,"Ende der Zinsbindung",IF($H432&gt;0,"Sondertilgung verrechnet",""))))</f>
        <v/>
      </c>
      <c r="Q432" s="38">
        <f>IF($S431&lt;=0,0,ROUND($S431*Übersicht!$C$26,2))</f>
        <v>0</v>
      </c>
      <c r="R432" s="38">
        <f>IF($S431&lt;=0,0,MIN($S431,IF(Übersicht!$C$14="Annuitätendarlehen",MAX(0,Übersicht!$C$28-$Q432),IF(Übersicht!$C$14="Ratendarlehen",Übersicht!$C$29,IF($A432&gt;=Übersicht!$C$30,$S431,0)))))</f>
        <v>0</v>
      </c>
      <c r="S432" s="38">
        <f>IF($S431&lt;=0,0,ROUND($S431-$R432-IF($S431-$R432&lt;=0,0,IF(MOD($A432,Übersicht!$C$25)=0,MIN(Szenarien!$C$8,$S431-$R432),0)),2))</f>
        <v>0</v>
      </c>
      <c r="T432" s="38">
        <f>IF($V431&lt;=0,0,ROUND($V431*Übersicht!$C$26,2))</f>
        <v>0</v>
      </c>
      <c r="U432" s="38">
        <f>IF($V431&lt;=0,0,MIN($V431,IF(Übersicht!$C$14="Annuitätendarlehen",MAX(0,Übersicht!$C$28-$T432),IF(Übersicht!$C$14="Ratendarlehen",Übersicht!$C$29,IF($A432&gt;=Übersicht!$C$30,$V431,0)))))</f>
        <v>0</v>
      </c>
      <c r="V432" s="38">
        <f>IF($V431&lt;=0,0,ROUND($V431-$U432-IF($V431-$U432&lt;=0,0,IF(MOD($A432,Übersicht!$C$25)=0,MIN(Szenarien!$C$9,$V431-$U432),0)),2))</f>
        <v>0</v>
      </c>
      <c r="W432" s="38">
        <f>IF($Y431&lt;=0,0,ROUND($Y431*Übersicht!$C$26,2))</f>
        <v>0</v>
      </c>
      <c r="X432" s="38">
        <f>IF($Y431&lt;=0,0,MIN($Y431,IF(Übersicht!$C$14="Annuitätendarlehen",MAX(0,Übersicht!$C$28-$W432),IF(Übersicht!$C$14="Ratendarlehen",Übersicht!$C$29,IF($A432&gt;=Übersicht!$C$30,$Y431,0)))))</f>
        <v>0</v>
      </c>
      <c r="Y432" s="38">
        <f>IF($Y431&lt;=0,0,ROUND($Y431-$X432-IF($Y431-$X432&lt;=0,0,IF(MOD($A432,Übersicht!$C$25)=0,MIN(Szenarien!$C$10,$Y431-$X432),0)),2))</f>
        <v>0</v>
      </c>
      <c r="Z432" s="38">
        <f>IF($AB431&lt;=0,0,ROUND($AB431*Übersicht!$C$26,2))</f>
        <v>0</v>
      </c>
      <c r="AA432" s="38">
        <f>IF($AB431&lt;=0,0,MIN($AB431,IF(Übersicht!$C$14="Annuitätendarlehen",MAX(0,Übersicht!$C$28-$Z432),IF(Übersicht!$C$14="Ratendarlehen",Übersicht!$C$29,IF($A432&gt;=Übersicht!$C$30,$AB431,0)))))</f>
        <v>0</v>
      </c>
      <c r="AB432" s="38">
        <f>IF($AB431&lt;=0,0,ROUND($AB431-$AA432-IF($AB431-$AA432&lt;=0,0,IF(MOD($A432,Übersicht!$C$25)=0,MIN(Szenarien!$C$11,$AB431-$AA432),0)),2))</f>
        <v>0</v>
      </c>
      <c r="AC432" s="38">
        <f>IF($AE431&lt;=0,0,ROUND($AE431*Übersicht!$C$26,2))</f>
        <v>0</v>
      </c>
      <c r="AD432" s="38">
        <f>IF($AE431&lt;=0,0,MIN($AE431,IF(Übersicht!$C$14="Annuitätendarlehen",MAX(0,Übersicht!$C$28-$AC432),IF(Übersicht!$C$14="Ratendarlehen",Übersicht!$C$29,IF($A432&gt;=Übersicht!$C$30,$AE431,0)))))</f>
        <v>0</v>
      </c>
      <c r="AE432" s="38">
        <f>IF($AE431&lt;=0,0,ROUND($AE431-$AD432-IF($AE431-$AD432&lt;=0,0,IF(MOD($A432,Übersicht!$C$25)=0,MIN(Szenarien!$C$12,$AE431-$AD432),0)),2))</f>
        <v>0</v>
      </c>
    </row>
    <row r="433" spans="1:31" ht="15" customHeight="1" x14ac:dyDescent="0.25">
      <c r="A433" s="26">
        <v>426</v>
      </c>
      <c r="B433" s="39" t="str">
        <f>IF($D433&lt;=0,"",EDATE(Übersicht!$C$18,($A433-1)*12/Übersicht!$C$25))</f>
        <v/>
      </c>
      <c r="C433" s="26" t="str">
        <f t="shared" si="42"/>
        <v/>
      </c>
      <c r="D433" s="40">
        <f t="shared" si="46"/>
        <v>0</v>
      </c>
      <c r="E433" s="28">
        <f t="shared" si="43"/>
        <v>0</v>
      </c>
      <c r="F433" s="28">
        <f>IF($D433&lt;=0,0,ROUND($D433*Übersicht!$C$26,2))</f>
        <v>0</v>
      </c>
      <c r="G433" s="28">
        <f>IF($D433&lt;=0,0,MIN($D433,IF(Übersicht!$C$14="Annuitätendarlehen",MAX(0,Übersicht!$C$28-$F433),IF(Übersicht!$C$14="Ratendarlehen",Übersicht!$C$29,IF($A433&gt;=Übersicht!$C$30,$D433,0)))))</f>
        <v>0</v>
      </c>
      <c r="H433" s="28">
        <f>IF($D433-$G433&lt;=0,0,IF(MOD($A433,Übersicht!$C$25)=0,MIN(Übersicht!$C$31,$D433-$G433),0))</f>
        <v>0</v>
      </c>
      <c r="I433" s="28">
        <f t="shared" si="44"/>
        <v>0</v>
      </c>
      <c r="J433" s="28">
        <f t="shared" si="45"/>
        <v>0</v>
      </c>
      <c r="K433" s="28">
        <f t="shared" si="47"/>
        <v>80072.129999999961</v>
      </c>
      <c r="L433" s="28">
        <f t="shared" si="48"/>
        <v>250000</v>
      </c>
      <c r="M433" s="29" t="str">
        <f>IF($D433&lt;=0,"",IF(Übersicht!$C$11=0,0,$L433/Übersicht!$C$11))</f>
        <v/>
      </c>
      <c r="N433" s="30" t="str">
        <f>IF($D433&lt;=0,"",IF($J433&lt;=0.005,"Volltilgung erreicht",IF($A433=Übersicht!$C$19*Übersicht!$C$25,"Ende der Zinsbindung",IF($H433&gt;0,"Sondertilgung verrechnet",""))))</f>
        <v/>
      </c>
      <c r="Q433" s="38">
        <f>IF($S432&lt;=0,0,ROUND($S432*Übersicht!$C$26,2))</f>
        <v>0</v>
      </c>
      <c r="R433" s="38">
        <f>IF($S432&lt;=0,0,MIN($S432,IF(Übersicht!$C$14="Annuitätendarlehen",MAX(0,Übersicht!$C$28-$Q433),IF(Übersicht!$C$14="Ratendarlehen",Übersicht!$C$29,IF($A433&gt;=Übersicht!$C$30,$S432,0)))))</f>
        <v>0</v>
      </c>
      <c r="S433" s="38">
        <f>IF($S432&lt;=0,0,ROUND($S432-$R433-IF($S432-$R433&lt;=0,0,IF(MOD($A433,Übersicht!$C$25)=0,MIN(Szenarien!$C$8,$S432-$R433),0)),2))</f>
        <v>0</v>
      </c>
      <c r="T433" s="38">
        <f>IF($V432&lt;=0,0,ROUND($V432*Übersicht!$C$26,2))</f>
        <v>0</v>
      </c>
      <c r="U433" s="38">
        <f>IF($V432&lt;=0,0,MIN($V432,IF(Übersicht!$C$14="Annuitätendarlehen",MAX(0,Übersicht!$C$28-$T433),IF(Übersicht!$C$14="Ratendarlehen",Übersicht!$C$29,IF($A433&gt;=Übersicht!$C$30,$V432,0)))))</f>
        <v>0</v>
      </c>
      <c r="V433" s="38">
        <f>IF($V432&lt;=0,0,ROUND($V432-$U433-IF($V432-$U433&lt;=0,0,IF(MOD($A433,Übersicht!$C$25)=0,MIN(Szenarien!$C$9,$V432-$U433),0)),2))</f>
        <v>0</v>
      </c>
      <c r="W433" s="38">
        <f>IF($Y432&lt;=0,0,ROUND($Y432*Übersicht!$C$26,2))</f>
        <v>0</v>
      </c>
      <c r="X433" s="38">
        <f>IF($Y432&lt;=0,0,MIN($Y432,IF(Übersicht!$C$14="Annuitätendarlehen",MAX(0,Übersicht!$C$28-$W433),IF(Übersicht!$C$14="Ratendarlehen",Übersicht!$C$29,IF($A433&gt;=Übersicht!$C$30,$Y432,0)))))</f>
        <v>0</v>
      </c>
      <c r="Y433" s="38">
        <f>IF($Y432&lt;=0,0,ROUND($Y432-$X433-IF($Y432-$X433&lt;=0,0,IF(MOD($A433,Übersicht!$C$25)=0,MIN(Szenarien!$C$10,$Y432-$X433),0)),2))</f>
        <v>0</v>
      </c>
      <c r="Z433" s="38">
        <f>IF($AB432&lt;=0,0,ROUND($AB432*Übersicht!$C$26,2))</f>
        <v>0</v>
      </c>
      <c r="AA433" s="38">
        <f>IF($AB432&lt;=0,0,MIN($AB432,IF(Übersicht!$C$14="Annuitätendarlehen",MAX(0,Übersicht!$C$28-$Z433),IF(Übersicht!$C$14="Ratendarlehen",Übersicht!$C$29,IF($A433&gt;=Übersicht!$C$30,$AB432,0)))))</f>
        <v>0</v>
      </c>
      <c r="AB433" s="38">
        <f>IF($AB432&lt;=0,0,ROUND($AB432-$AA433-IF($AB432-$AA433&lt;=0,0,IF(MOD($A433,Übersicht!$C$25)=0,MIN(Szenarien!$C$11,$AB432-$AA433),0)),2))</f>
        <v>0</v>
      </c>
      <c r="AC433" s="38">
        <f>IF($AE432&lt;=0,0,ROUND($AE432*Übersicht!$C$26,2))</f>
        <v>0</v>
      </c>
      <c r="AD433" s="38">
        <f>IF($AE432&lt;=0,0,MIN($AE432,IF(Übersicht!$C$14="Annuitätendarlehen",MAX(0,Übersicht!$C$28-$AC433),IF(Übersicht!$C$14="Ratendarlehen",Übersicht!$C$29,IF($A433&gt;=Übersicht!$C$30,$AE432,0)))))</f>
        <v>0</v>
      </c>
      <c r="AE433" s="38">
        <f>IF($AE432&lt;=0,0,ROUND($AE432-$AD433-IF($AE432-$AD433&lt;=0,0,IF(MOD($A433,Übersicht!$C$25)=0,MIN(Szenarien!$C$12,$AE432-$AD433),0)),2))</f>
        <v>0</v>
      </c>
    </row>
    <row r="434" spans="1:31" ht="15" customHeight="1" x14ac:dyDescent="0.25">
      <c r="A434" s="21">
        <v>427</v>
      </c>
      <c r="B434" s="36" t="str">
        <f>IF($D434&lt;=0,"",EDATE(Übersicht!$C$18,($A434-1)*12/Übersicht!$C$25))</f>
        <v/>
      </c>
      <c r="C434" s="21" t="str">
        <f t="shared" si="42"/>
        <v/>
      </c>
      <c r="D434" s="37">
        <f t="shared" si="46"/>
        <v>0</v>
      </c>
      <c r="E434" s="23">
        <f t="shared" si="43"/>
        <v>0</v>
      </c>
      <c r="F434" s="23">
        <f>IF($D434&lt;=0,0,ROUND($D434*Übersicht!$C$26,2))</f>
        <v>0</v>
      </c>
      <c r="G434" s="23">
        <f>IF($D434&lt;=0,0,MIN($D434,IF(Übersicht!$C$14="Annuitätendarlehen",MAX(0,Übersicht!$C$28-$F434),IF(Übersicht!$C$14="Ratendarlehen",Übersicht!$C$29,IF($A434&gt;=Übersicht!$C$30,$D434,0)))))</f>
        <v>0</v>
      </c>
      <c r="H434" s="23">
        <f>IF($D434-$G434&lt;=0,0,IF(MOD($A434,Übersicht!$C$25)=0,MIN(Übersicht!$C$31,$D434-$G434),0))</f>
        <v>0</v>
      </c>
      <c r="I434" s="23">
        <f t="shared" si="44"/>
        <v>0</v>
      </c>
      <c r="J434" s="23">
        <f t="shared" si="45"/>
        <v>0</v>
      </c>
      <c r="K434" s="23">
        <f t="shared" si="47"/>
        <v>80072.129999999961</v>
      </c>
      <c r="L434" s="23">
        <f t="shared" si="48"/>
        <v>250000</v>
      </c>
      <c r="M434" s="24" t="str">
        <f>IF($D434&lt;=0,"",IF(Übersicht!$C$11=0,0,$L434/Übersicht!$C$11))</f>
        <v/>
      </c>
      <c r="N434" s="25" t="str">
        <f>IF($D434&lt;=0,"",IF($J434&lt;=0.005,"Volltilgung erreicht",IF($A434=Übersicht!$C$19*Übersicht!$C$25,"Ende der Zinsbindung",IF($H434&gt;0,"Sondertilgung verrechnet",""))))</f>
        <v/>
      </c>
      <c r="Q434" s="38">
        <f>IF($S433&lt;=0,0,ROUND($S433*Übersicht!$C$26,2))</f>
        <v>0</v>
      </c>
      <c r="R434" s="38">
        <f>IF($S433&lt;=0,0,MIN($S433,IF(Übersicht!$C$14="Annuitätendarlehen",MAX(0,Übersicht!$C$28-$Q434),IF(Übersicht!$C$14="Ratendarlehen",Übersicht!$C$29,IF($A434&gt;=Übersicht!$C$30,$S433,0)))))</f>
        <v>0</v>
      </c>
      <c r="S434" s="38">
        <f>IF($S433&lt;=0,0,ROUND($S433-$R434-IF($S433-$R434&lt;=0,0,IF(MOD($A434,Übersicht!$C$25)=0,MIN(Szenarien!$C$8,$S433-$R434),0)),2))</f>
        <v>0</v>
      </c>
      <c r="T434" s="38">
        <f>IF($V433&lt;=0,0,ROUND($V433*Übersicht!$C$26,2))</f>
        <v>0</v>
      </c>
      <c r="U434" s="38">
        <f>IF($V433&lt;=0,0,MIN($V433,IF(Übersicht!$C$14="Annuitätendarlehen",MAX(0,Übersicht!$C$28-$T434),IF(Übersicht!$C$14="Ratendarlehen",Übersicht!$C$29,IF($A434&gt;=Übersicht!$C$30,$V433,0)))))</f>
        <v>0</v>
      </c>
      <c r="V434" s="38">
        <f>IF($V433&lt;=0,0,ROUND($V433-$U434-IF($V433-$U434&lt;=0,0,IF(MOD($A434,Übersicht!$C$25)=0,MIN(Szenarien!$C$9,$V433-$U434),0)),2))</f>
        <v>0</v>
      </c>
      <c r="W434" s="38">
        <f>IF($Y433&lt;=0,0,ROUND($Y433*Übersicht!$C$26,2))</f>
        <v>0</v>
      </c>
      <c r="X434" s="38">
        <f>IF($Y433&lt;=0,0,MIN($Y433,IF(Übersicht!$C$14="Annuitätendarlehen",MAX(0,Übersicht!$C$28-$W434),IF(Übersicht!$C$14="Ratendarlehen",Übersicht!$C$29,IF($A434&gt;=Übersicht!$C$30,$Y433,0)))))</f>
        <v>0</v>
      </c>
      <c r="Y434" s="38">
        <f>IF($Y433&lt;=0,0,ROUND($Y433-$X434-IF($Y433-$X434&lt;=0,0,IF(MOD($A434,Übersicht!$C$25)=0,MIN(Szenarien!$C$10,$Y433-$X434),0)),2))</f>
        <v>0</v>
      </c>
      <c r="Z434" s="38">
        <f>IF($AB433&lt;=0,0,ROUND($AB433*Übersicht!$C$26,2))</f>
        <v>0</v>
      </c>
      <c r="AA434" s="38">
        <f>IF($AB433&lt;=0,0,MIN($AB433,IF(Übersicht!$C$14="Annuitätendarlehen",MAX(0,Übersicht!$C$28-$Z434),IF(Übersicht!$C$14="Ratendarlehen",Übersicht!$C$29,IF($A434&gt;=Übersicht!$C$30,$AB433,0)))))</f>
        <v>0</v>
      </c>
      <c r="AB434" s="38">
        <f>IF($AB433&lt;=0,0,ROUND($AB433-$AA434-IF($AB433-$AA434&lt;=0,0,IF(MOD($A434,Übersicht!$C$25)=0,MIN(Szenarien!$C$11,$AB433-$AA434),0)),2))</f>
        <v>0</v>
      </c>
      <c r="AC434" s="38">
        <f>IF($AE433&lt;=0,0,ROUND($AE433*Übersicht!$C$26,2))</f>
        <v>0</v>
      </c>
      <c r="AD434" s="38">
        <f>IF($AE433&lt;=0,0,MIN($AE433,IF(Übersicht!$C$14="Annuitätendarlehen",MAX(0,Übersicht!$C$28-$AC434),IF(Übersicht!$C$14="Ratendarlehen",Übersicht!$C$29,IF($A434&gt;=Übersicht!$C$30,$AE433,0)))))</f>
        <v>0</v>
      </c>
      <c r="AE434" s="38">
        <f>IF($AE433&lt;=0,0,ROUND($AE433-$AD434-IF($AE433-$AD434&lt;=0,0,IF(MOD($A434,Übersicht!$C$25)=0,MIN(Szenarien!$C$12,$AE433-$AD434),0)),2))</f>
        <v>0</v>
      </c>
    </row>
    <row r="435" spans="1:31" ht="15" customHeight="1" x14ac:dyDescent="0.25">
      <c r="A435" s="26">
        <v>428</v>
      </c>
      <c r="B435" s="39" t="str">
        <f>IF($D435&lt;=0,"",EDATE(Übersicht!$C$18,($A435-1)*12/Übersicht!$C$25))</f>
        <v/>
      </c>
      <c r="C435" s="26" t="str">
        <f t="shared" si="42"/>
        <v/>
      </c>
      <c r="D435" s="40">
        <f t="shared" si="46"/>
        <v>0</v>
      </c>
      <c r="E435" s="28">
        <f t="shared" si="43"/>
        <v>0</v>
      </c>
      <c r="F435" s="28">
        <f>IF($D435&lt;=0,0,ROUND($D435*Übersicht!$C$26,2))</f>
        <v>0</v>
      </c>
      <c r="G435" s="28">
        <f>IF($D435&lt;=0,0,MIN($D435,IF(Übersicht!$C$14="Annuitätendarlehen",MAX(0,Übersicht!$C$28-$F435),IF(Übersicht!$C$14="Ratendarlehen",Übersicht!$C$29,IF($A435&gt;=Übersicht!$C$30,$D435,0)))))</f>
        <v>0</v>
      </c>
      <c r="H435" s="28">
        <f>IF($D435-$G435&lt;=0,0,IF(MOD($A435,Übersicht!$C$25)=0,MIN(Übersicht!$C$31,$D435-$G435),0))</f>
        <v>0</v>
      </c>
      <c r="I435" s="28">
        <f t="shared" si="44"/>
        <v>0</v>
      </c>
      <c r="J435" s="28">
        <f t="shared" si="45"/>
        <v>0</v>
      </c>
      <c r="K435" s="28">
        <f t="shared" si="47"/>
        <v>80072.129999999961</v>
      </c>
      <c r="L435" s="28">
        <f t="shared" si="48"/>
        <v>250000</v>
      </c>
      <c r="M435" s="29" t="str">
        <f>IF($D435&lt;=0,"",IF(Übersicht!$C$11=0,0,$L435/Übersicht!$C$11))</f>
        <v/>
      </c>
      <c r="N435" s="30" t="str">
        <f>IF($D435&lt;=0,"",IF($J435&lt;=0.005,"Volltilgung erreicht",IF($A435=Übersicht!$C$19*Übersicht!$C$25,"Ende der Zinsbindung",IF($H435&gt;0,"Sondertilgung verrechnet",""))))</f>
        <v/>
      </c>
      <c r="Q435" s="38">
        <f>IF($S434&lt;=0,0,ROUND($S434*Übersicht!$C$26,2))</f>
        <v>0</v>
      </c>
      <c r="R435" s="38">
        <f>IF($S434&lt;=0,0,MIN($S434,IF(Übersicht!$C$14="Annuitätendarlehen",MAX(0,Übersicht!$C$28-$Q435),IF(Übersicht!$C$14="Ratendarlehen",Übersicht!$C$29,IF($A435&gt;=Übersicht!$C$30,$S434,0)))))</f>
        <v>0</v>
      </c>
      <c r="S435" s="38">
        <f>IF($S434&lt;=0,0,ROUND($S434-$R435-IF($S434-$R435&lt;=0,0,IF(MOD($A435,Übersicht!$C$25)=0,MIN(Szenarien!$C$8,$S434-$R435),0)),2))</f>
        <v>0</v>
      </c>
      <c r="T435" s="38">
        <f>IF($V434&lt;=0,0,ROUND($V434*Übersicht!$C$26,2))</f>
        <v>0</v>
      </c>
      <c r="U435" s="38">
        <f>IF($V434&lt;=0,0,MIN($V434,IF(Übersicht!$C$14="Annuitätendarlehen",MAX(0,Übersicht!$C$28-$T435),IF(Übersicht!$C$14="Ratendarlehen",Übersicht!$C$29,IF($A435&gt;=Übersicht!$C$30,$V434,0)))))</f>
        <v>0</v>
      </c>
      <c r="V435" s="38">
        <f>IF($V434&lt;=0,0,ROUND($V434-$U435-IF($V434-$U435&lt;=0,0,IF(MOD($A435,Übersicht!$C$25)=0,MIN(Szenarien!$C$9,$V434-$U435),0)),2))</f>
        <v>0</v>
      </c>
      <c r="W435" s="38">
        <f>IF($Y434&lt;=0,0,ROUND($Y434*Übersicht!$C$26,2))</f>
        <v>0</v>
      </c>
      <c r="X435" s="38">
        <f>IF($Y434&lt;=0,0,MIN($Y434,IF(Übersicht!$C$14="Annuitätendarlehen",MAX(0,Übersicht!$C$28-$W435),IF(Übersicht!$C$14="Ratendarlehen",Übersicht!$C$29,IF($A435&gt;=Übersicht!$C$30,$Y434,0)))))</f>
        <v>0</v>
      </c>
      <c r="Y435" s="38">
        <f>IF($Y434&lt;=0,0,ROUND($Y434-$X435-IF($Y434-$X435&lt;=0,0,IF(MOD($A435,Übersicht!$C$25)=0,MIN(Szenarien!$C$10,$Y434-$X435),0)),2))</f>
        <v>0</v>
      </c>
      <c r="Z435" s="38">
        <f>IF($AB434&lt;=0,0,ROUND($AB434*Übersicht!$C$26,2))</f>
        <v>0</v>
      </c>
      <c r="AA435" s="38">
        <f>IF($AB434&lt;=0,0,MIN($AB434,IF(Übersicht!$C$14="Annuitätendarlehen",MAX(0,Übersicht!$C$28-$Z435),IF(Übersicht!$C$14="Ratendarlehen",Übersicht!$C$29,IF($A435&gt;=Übersicht!$C$30,$AB434,0)))))</f>
        <v>0</v>
      </c>
      <c r="AB435" s="38">
        <f>IF($AB434&lt;=0,0,ROUND($AB434-$AA435-IF($AB434-$AA435&lt;=0,0,IF(MOD($A435,Übersicht!$C$25)=0,MIN(Szenarien!$C$11,$AB434-$AA435),0)),2))</f>
        <v>0</v>
      </c>
      <c r="AC435" s="38">
        <f>IF($AE434&lt;=0,0,ROUND($AE434*Übersicht!$C$26,2))</f>
        <v>0</v>
      </c>
      <c r="AD435" s="38">
        <f>IF($AE434&lt;=0,0,MIN($AE434,IF(Übersicht!$C$14="Annuitätendarlehen",MAX(0,Übersicht!$C$28-$AC435),IF(Übersicht!$C$14="Ratendarlehen",Übersicht!$C$29,IF($A435&gt;=Übersicht!$C$30,$AE434,0)))))</f>
        <v>0</v>
      </c>
      <c r="AE435" s="38">
        <f>IF($AE434&lt;=0,0,ROUND($AE434-$AD435-IF($AE434-$AD435&lt;=0,0,IF(MOD($A435,Übersicht!$C$25)=0,MIN(Szenarien!$C$12,$AE434-$AD435),0)),2))</f>
        <v>0</v>
      </c>
    </row>
    <row r="436" spans="1:31" ht="15" customHeight="1" x14ac:dyDescent="0.25">
      <c r="A436" s="21">
        <v>429</v>
      </c>
      <c r="B436" s="36" t="str">
        <f>IF($D436&lt;=0,"",EDATE(Übersicht!$C$18,($A436-1)*12/Übersicht!$C$25))</f>
        <v/>
      </c>
      <c r="C436" s="21" t="str">
        <f t="shared" si="42"/>
        <v/>
      </c>
      <c r="D436" s="37">
        <f t="shared" si="46"/>
        <v>0</v>
      </c>
      <c r="E436" s="23">
        <f t="shared" si="43"/>
        <v>0</v>
      </c>
      <c r="F436" s="23">
        <f>IF($D436&lt;=0,0,ROUND($D436*Übersicht!$C$26,2))</f>
        <v>0</v>
      </c>
      <c r="G436" s="23">
        <f>IF($D436&lt;=0,0,MIN($D436,IF(Übersicht!$C$14="Annuitätendarlehen",MAX(0,Übersicht!$C$28-$F436),IF(Übersicht!$C$14="Ratendarlehen",Übersicht!$C$29,IF($A436&gt;=Übersicht!$C$30,$D436,0)))))</f>
        <v>0</v>
      </c>
      <c r="H436" s="23">
        <f>IF($D436-$G436&lt;=0,0,IF(MOD($A436,Übersicht!$C$25)=0,MIN(Übersicht!$C$31,$D436-$G436),0))</f>
        <v>0</v>
      </c>
      <c r="I436" s="23">
        <f t="shared" si="44"/>
        <v>0</v>
      </c>
      <c r="J436" s="23">
        <f t="shared" si="45"/>
        <v>0</v>
      </c>
      <c r="K436" s="23">
        <f t="shared" si="47"/>
        <v>80072.129999999961</v>
      </c>
      <c r="L436" s="23">
        <f t="shared" si="48"/>
        <v>250000</v>
      </c>
      <c r="M436" s="24" t="str">
        <f>IF($D436&lt;=0,"",IF(Übersicht!$C$11=0,0,$L436/Übersicht!$C$11))</f>
        <v/>
      </c>
      <c r="N436" s="25" t="str">
        <f>IF($D436&lt;=0,"",IF($J436&lt;=0.005,"Volltilgung erreicht",IF($A436=Übersicht!$C$19*Übersicht!$C$25,"Ende der Zinsbindung",IF($H436&gt;0,"Sondertilgung verrechnet",""))))</f>
        <v/>
      </c>
      <c r="Q436" s="38">
        <f>IF($S435&lt;=0,0,ROUND($S435*Übersicht!$C$26,2))</f>
        <v>0</v>
      </c>
      <c r="R436" s="38">
        <f>IF($S435&lt;=0,0,MIN($S435,IF(Übersicht!$C$14="Annuitätendarlehen",MAX(0,Übersicht!$C$28-$Q436),IF(Übersicht!$C$14="Ratendarlehen",Übersicht!$C$29,IF($A436&gt;=Übersicht!$C$30,$S435,0)))))</f>
        <v>0</v>
      </c>
      <c r="S436" s="38">
        <f>IF($S435&lt;=0,0,ROUND($S435-$R436-IF($S435-$R436&lt;=0,0,IF(MOD($A436,Übersicht!$C$25)=0,MIN(Szenarien!$C$8,$S435-$R436),0)),2))</f>
        <v>0</v>
      </c>
      <c r="T436" s="38">
        <f>IF($V435&lt;=0,0,ROUND($V435*Übersicht!$C$26,2))</f>
        <v>0</v>
      </c>
      <c r="U436" s="38">
        <f>IF($V435&lt;=0,0,MIN($V435,IF(Übersicht!$C$14="Annuitätendarlehen",MAX(0,Übersicht!$C$28-$T436),IF(Übersicht!$C$14="Ratendarlehen",Übersicht!$C$29,IF($A436&gt;=Übersicht!$C$30,$V435,0)))))</f>
        <v>0</v>
      </c>
      <c r="V436" s="38">
        <f>IF($V435&lt;=0,0,ROUND($V435-$U436-IF($V435-$U436&lt;=0,0,IF(MOD($A436,Übersicht!$C$25)=0,MIN(Szenarien!$C$9,$V435-$U436),0)),2))</f>
        <v>0</v>
      </c>
      <c r="W436" s="38">
        <f>IF($Y435&lt;=0,0,ROUND($Y435*Übersicht!$C$26,2))</f>
        <v>0</v>
      </c>
      <c r="X436" s="38">
        <f>IF($Y435&lt;=0,0,MIN($Y435,IF(Übersicht!$C$14="Annuitätendarlehen",MAX(0,Übersicht!$C$28-$W436),IF(Übersicht!$C$14="Ratendarlehen",Übersicht!$C$29,IF($A436&gt;=Übersicht!$C$30,$Y435,0)))))</f>
        <v>0</v>
      </c>
      <c r="Y436" s="38">
        <f>IF($Y435&lt;=0,0,ROUND($Y435-$X436-IF($Y435-$X436&lt;=0,0,IF(MOD($A436,Übersicht!$C$25)=0,MIN(Szenarien!$C$10,$Y435-$X436),0)),2))</f>
        <v>0</v>
      </c>
      <c r="Z436" s="38">
        <f>IF($AB435&lt;=0,0,ROUND($AB435*Übersicht!$C$26,2))</f>
        <v>0</v>
      </c>
      <c r="AA436" s="38">
        <f>IF($AB435&lt;=0,0,MIN($AB435,IF(Übersicht!$C$14="Annuitätendarlehen",MAX(0,Übersicht!$C$28-$Z436),IF(Übersicht!$C$14="Ratendarlehen",Übersicht!$C$29,IF($A436&gt;=Übersicht!$C$30,$AB435,0)))))</f>
        <v>0</v>
      </c>
      <c r="AB436" s="38">
        <f>IF($AB435&lt;=0,0,ROUND($AB435-$AA436-IF($AB435-$AA436&lt;=0,0,IF(MOD($A436,Übersicht!$C$25)=0,MIN(Szenarien!$C$11,$AB435-$AA436),0)),2))</f>
        <v>0</v>
      </c>
      <c r="AC436" s="38">
        <f>IF($AE435&lt;=0,0,ROUND($AE435*Übersicht!$C$26,2))</f>
        <v>0</v>
      </c>
      <c r="AD436" s="38">
        <f>IF($AE435&lt;=0,0,MIN($AE435,IF(Übersicht!$C$14="Annuitätendarlehen",MAX(0,Übersicht!$C$28-$AC436),IF(Übersicht!$C$14="Ratendarlehen",Übersicht!$C$29,IF($A436&gt;=Übersicht!$C$30,$AE435,0)))))</f>
        <v>0</v>
      </c>
      <c r="AE436" s="38">
        <f>IF($AE435&lt;=0,0,ROUND($AE435-$AD436-IF($AE435-$AD436&lt;=0,0,IF(MOD($A436,Übersicht!$C$25)=0,MIN(Szenarien!$C$12,$AE435-$AD436),0)),2))</f>
        <v>0</v>
      </c>
    </row>
    <row r="437" spans="1:31" ht="15" customHeight="1" x14ac:dyDescent="0.25">
      <c r="A437" s="26">
        <v>430</v>
      </c>
      <c r="B437" s="39" t="str">
        <f>IF($D437&lt;=0,"",EDATE(Übersicht!$C$18,($A437-1)*12/Übersicht!$C$25))</f>
        <v/>
      </c>
      <c r="C437" s="26" t="str">
        <f t="shared" si="42"/>
        <v/>
      </c>
      <c r="D437" s="40">
        <f t="shared" si="46"/>
        <v>0</v>
      </c>
      <c r="E437" s="28">
        <f t="shared" si="43"/>
        <v>0</v>
      </c>
      <c r="F437" s="28">
        <f>IF($D437&lt;=0,0,ROUND($D437*Übersicht!$C$26,2))</f>
        <v>0</v>
      </c>
      <c r="G437" s="28">
        <f>IF($D437&lt;=0,0,MIN($D437,IF(Übersicht!$C$14="Annuitätendarlehen",MAX(0,Übersicht!$C$28-$F437),IF(Übersicht!$C$14="Ratendarlehen",Übersicht!$C$29,IF($A437&gt;=Übersicht!$C$30,$D437,0)))))</f>
        <v>0</v>
      </c>
      <c r="H437" s="28">
        <f>IF($D437-$G437&lt;=0,0,IF(MOD($A437,Übersicht!$C$25)=0,MIN(Übersicht!$C$31,$D437-$G437),0))</f>
        <v>0</v>
      </c>
      <c r="I437" s="28">
        <f t="shared" si="44"/>
        <v>0</v>
      </c>
      <c r="J437" s="28">
        <f t="shared" si="45"/>
        <v>0</v>
      </c>
      <c r="K437" s="28">
        <f t="shared" si="47"/>
        <v>80072.129999999961</v>
      </c>
      <c r="L437" s="28">
        <f t="shared" si="48"/>
        <v>250000</v>
      </c>
      <c r="M437" s="29" t="str">
        <f>IF($D437&lt;=0,"",IF(Übersicht!$C$11=0,0,$L437/Übersicht!$C$11))</f>
        <v/>
      </c>
      <c r="N437" s="30" t="str">
        <f>IF($D437&lt;=0,"",IF($J437&lt;=0.005,"Volltilgung erreicht",IF($A437=Übersicht!$C$19*Übersicht!$C$25,"Ende der Zinsbindung",IF($H437&gt;0,"Sondertilgung verrechnet",""))))</f>
        <v/>
      </c>
      <c r="Q437" s="38">
        <f>IF($S436&lt;=0,0,ROUND($S436*Übersicht!$C$26,2))</f>
        <v>0</v>
      </c>
      <c r="R437" s="38">
        <f>IF($S436&lt;=0,0,MIN($S436,IF(Übersicht!$C$14="Annuitätendarlehen",MAX(0,Übersicht!$C$28-$Q437),IF(Übersicht!$C$14="Ratendarlehen",Übersicht!$C$29,IF($A437&gt;=Übersicht!$C$30,$S436,0)))))</f>
        <v>0</v>
      </c>
      <c r="S437" s="38">
        <f>IF($S436&lt;=0,0,ROUND($S436-$R437-IF($S436-$R437&lt;=0,0,IF(MOD($A437,Übersicht!$C$25)=0,MIN(Szenarien!$C$8,$S436-$R437),0)),2))</f>
        <v>0</v>
      </c>
      <c r="T437" s="38">
        <f>IF($V436&lt;=0,0,ROUND($V436*Übersicht!$C$26,2))</f>
        <v>0</v>
      </c>
      <c r="U437" s="38">
        <f>IF($V436&lt;=0,0,MIN($V436,IF(Übersicht!$C$14="Annuitätendarlehen",MAX(0,Übersicht!$C$28-$T437),IF(Übersicht!$C$14="Ratendarlehen",Übersicht!$C$29,IF($A437&gt;=Übersicht!$C$30,$V436,0)))))</f>
        <v>0</v>
      </c>
      <c r="V437" s="38">
        <f>IF($V436&lt;=0,0,ROUND($V436-$U437-IF($V436-$U437&lt;=0,0,IF(MOD($A437,Übersicht!$C$25)=0,MIN(Szenarien!$C$9,$V436-$U437),0)),2))</f>
        <v>0</v>
      </c>
      <c r="W437" s="38">
        <f>IF($Y436&lt;=0,0,ROUND($Y436*Übersicht!$C$26,2))</f>
        <v>0</v>
      </c>
      <c r="X437" s="38">
        <f>IF($Y436&lt;=0,0,MIN($Y436,IF(Übersicht!$C$14="Annuitätendarlehen",MAX(0,Übersicht!$C$28-$W437),IF(Übersicht!$C$14="Ratendarlehen",Übersicht!$C$29,IF($A437&gt;=Übersicht!$C$30,$Y436,0)))))</f>
        <v>0</v>
      </c>
      <c r="Y437" s="38">
        <f>IF($Y436&lt;=0,0,ROUND($Y436-$X437-IF($Y436-$X437&lt;=0,0,IF(MOD($A437,Übersicht!$C$25)=0,MIN(Szenarien!$C$10,$Y436-$X437),0)),2))</f>
        <v>0</v>
      </c>
      <c r="Z437" s="38">
        <f>IF($AB436&lt;=0,0,ROUND($AB436*Übersicht!$C$26,2))</f>
        <v>0</v>
      </c>
      <c r="AA437" s="38">
        <f>IF($AB436&lt;=0,0,MIN($AB436,IF(Übersicht!$C$14="Annuitätendarlehen",MAX(0,Übersicht!$C$28-$Z437),IF(Übersicht!$C$14="Ratendarlehen",Übersicht!$C$29,IF($A437&gt;=Übersicht!$C$30,$AB436,0)))))</f>
        <v>0</v>
      </c>
      <c r="AB437" s="38">
        <f>IF($AB436&lt;=0,0,ROUND($AB436-$AA437-IF($AB436-$AA437&lt;=0,0,IF(MOD($A437,Übersicht!$C$25)=0,MIN(Szenarien!$C$11,$AB436-$AA437),0)),2))</f>
        <v>0</v>
      </c>
      <c r="AC437" s="38">
        <f>IF($AE436&lt;=0,0,ROUND($AE436*Übersicht!$C$26,2))</f>
        <v>0</v>
      </c>
      <c r="AD437" s="38">
        <f>IF($AE436&lt;=0,0,MIN($AE436,IF(Übersicht!$C$14="Annuitätendarlehen",MAX(0,Übersicht!$C$28-$AC437),IF(Übersicht!$C$14="Ratendarlehen",Übersicht!$C$29,IF($A437&gt;=Übersicht!$C$30,$AE436,0)))))</f>
        <v>0</v>
      </c>
      <c r="AE437" s="38">
        <f>IF($AE436&lt;=0,0,ROUND($AE436-$AD437-IF($AE436-$AD437&lt;=0,0,IF(MOD($A437,Übersicht!$C$25)=0,MIN(Szenarien!$C$12,$AE436-$AD437),0)),2))</f>
        <v>0</v>
      </c>
    </row>
    <row r="438" spans="1:31" ht="15" customHeight="1" x14ac:dyDescent="0.25">
      <c r="A438" s="21">
        <v>431</v>
      </c>
      <c r="B438" s="36" t="str">
        <f>IF($D438&lt;=0,"",EDATE(Übersicht!$C$18,($A438-1)*12/Übersicht!$C$25))</f>
        <v/>
      </c>
      <c r="C438" s="21" t="str">
        <f t="shared" si="42"/>
        <v/>
      </c>
      <c r="D438" s="37">
        <f t="shared" si="46"/>
        <v>0</v>
      </c>
      <c r="E438" s="23">
        <f t="shared" si="43"/>
        <v>0</v>
      </c>
      <c r="F438" s="23">
        <f>IF($D438&lt;=0,0,ROUND($D438*Übersicht!$C$26,2))</f>
        <v>0</v>
      </c>
      <c r="G438" s="23">
        <f>IF($D438&lt;=0,0,MIN($D438,IF(Übersicht!$C$14="Annuitätendarlehen",MAX(0,Übersicht!$C$28-$F438),IF(Übersicht!$C$14="Ratendarlehen",Übersicht!$C$29,IF($A438&gt;=Übersicht!$C$30,$D438,0)))))</f>
        <v>0</v>
      </c>
      <c r="H438" s="23">
        <f>IF($D438-$G438&lt;=0,0,IF(MOD($A438,Übersicht!$C$25)=0,MIN(Übersicht!$C$31,$D438-$G438),0))</f>
        <v>0</v>
      </c>
      <c r="I438" s="23">
        <f t="shared" si="44"/>
        <v>0</v>
      </c>
      <c r="J438" s="23">
        <f t="shared" si="45"/>
        <v>0</v>
      </c>
      <c r="K438" s="23">
        <f t="shared" si="47"/>
        <v>80072.129999999961</v>
      </c>
      <c r="L438" s="23">
        <f t="shared" si="48"/>
        <v>250000</v>
      </c>
      <c r="M438" s="24" t="str">
        <f>IF($D438&lt;=0,"",IF(Übersicht!$C$11=0,0,$L438/Übersicht!$C$11))</f>
        <v/>
      </c>
      <c r="N438" s="25" t="str">
        <f>IF($D438&lt;=0,"",IF($J438&lt;=0.005,"Volltilgung erreicht",IF($A438=Übersicht!$C$19*Übersicht!$C$25,"Ende der Zinsbindung",IF($H438&gt;0,"Sondertilgung verrechnet",""))))</f>
        <v/>
      </c>
      <c r="Q438" s="38">
        <f>IF($S437&lt;=0,0,ROUND($S437*Übersicht!$C$26,2))</f>
        <v>0</v>
      </c>
      <c r="R438" s="38">
        <f>IF($S437&lt;=0,0,MIN($S437,IF(Übersicht!$C$14="Annuitätendarlehen",MAX(0,Übersicht!$C$28-$Q438),IF(Übersicht!$C$14="Ratendarlehen",Übersicht!$C$29,IF($A438&gt;=Übersicht!$C$30,$S437,0)))))</f>
        <v>0</v>
      </c>
      <c r="S438" s="38">
        <f>IF($S437&lt;=0,0,ROUND($S437-$R438-IF($S437-$R438&lt;=0,0,IF(MOD($A438,Übersicht!$C$25)=0,MIN(Szenarien!$C$8,$S437-$R438),0)),2))</f>
        <v>0</v>
      </c>
      <c r="T438" s="38">
        <f>IF($V437&lt;=0,0,ROUND($V437*Übersicht!$C$26,2))</f>
        <v>0</v>
      </c>
      <c r="U438" s="38">
        <f>IF($V437&lt;=0,0,MIN($V437,IF(Übersicht!$C$14="Annuitätendarlehen",MAX(0,Übersicht!$C$28-$T438),IF(Übersicht!$C$14="Ratendarlehen",Übersicht!$C$29,IF($A438&gt;=Übersicht!$C$30,$V437,0)))))</f>
        <v>0</v>
      </c>
      <c r="V438" s="38">
        <f>IF($V437&lt;=0,0,ROUND($V437-$U438-IF($V437-$U438&lt;=0,0,IF(MOD($A438,Übersicht!$C$25)=0,MIN(Szenarien!$C$9,$V437-$U438),0)),2))</f>
        <v>0</v>
      </c>
      <c r="W438" s="38">
        <f>IF($Y437&lt;=0,0,ROUND($Y437*Übersicht!$C$26,2))</f>
        <v>0</v>
      </c>
      <c r="X438" s="38">
        <f>IF($Y437&lt;=0,0,MIN($Y437,IF(Übersicht!$C$14="Annuitätendarlehen",MAX(0,Übersicht!$C$28-$W438),IF(Übersicht!$C$14="Ratendarlehen",Übersicht!$C$29,IF($A438&gt;=Übersicht!$C$30,$Y437,0)))))</f>
        <v>0</v>
      </c>
      <c r="Y438" s="38">
        <f>IF($Y437&lt;=0,0,ROUND($Y437-$X438-IF($Y437-$X438&lt;=0,0,IF(MOD($A438,Übersicht!$C$25)=0,MIN(Szenarien!$C$10,$Y437-$X438),0)),2))</f>
        <v>0</v>
      </c>
      <c r="Z438" s="38">
        <f>IF($AB437&lt;=0,0,ROUND($AB437*Übersicht!$C$26,2))</f>
        <v>0</v>
      </c>
      <c r="AA438" s="38">
        <f>IF($AB437&lt;=0,0,MIN($AB437,IF(Übersicht!$C$14="Annuitätendarlehen",MAX(0,Übersicht!$C$28-$Z438),IF(Übersicht!$C$14="Ratendarlehen",Übersicht!$C$29,IF($A438&gt;=Übersicht!$C$30,$AB437,0)))))</f>
        <v>0</v>
      </c>
      <c r="AB438" s="38">
        <f>IF($AB437&lt;=0,0,ROUND($AB437-$AA438-IF($AB437-$AA438&lt;=0,0,IF(MOD($A438,Übersicht!$C$25)=0,MIN(Szenarien!$C$11,$AB437-$AA438),0)),2))</f>
        <v>0</v>
      </c>
      <c r="AC438" s="38">
        <f>IF($AE437&lt;=0,0,ROUND($AE437*Übersicht!$C$26,2))</f>
        <v>0</v>
      </c>
      <c r="AD438" s="38">
        <f>IF($AE437&lt;=0,0,MIN($AE437,IF(Übersicht!$C$14="Annuitätendarlehen",MAX(0,Übersicht!$C$28-$AC438),IF(Übersicht!$C$14="Ratendarlehen",Übersicht!$C$29,IF($A438&gt;=Übersicht!$C$30,$AE437,0)))))</f>
        <v>0</v>
      </c>
      <c r="AE438" s="38">
        <f>IF($AE437&lt;=0,0,ROUND($AE437-$AD438-IF($AE437-$AD438&lt;=0,0,IF(MOD($A438,Übersicht!$C$25)=0,MIN(Szenarien!$C$12,$AE437-$AD438),0)),2))</f>
        <v>0</v>
      </c>
    </row>
    <row r="439" spans="1:31" ht="15" customHeight="1" x14ac:dyDescent="0.25">
      <c r="A439" s="26">
        <v>432</v>
      </c>
      <c r="B439" s="39" t="str">
        <f>IF($D439&lt;=0,"",EDATE(Übersicht!$C$18,($A439-1)*12/Übersicht!$C$25))</f>
        <v/>
      </c>
      <c r="C439" s="26" t="str">
        <f t="shared" si="42"/>
        <v/>
      </c>
      <c r="D439" s="40">
        <f t="shared" si="46"/>
        <v>0</v>
      </c>
      <c r="E439" s="28">
        <f t="shared" si="43"/>
        <v>0</v>
      </c>
      <c r="F439" s="28">
        <f>IF($D439&lt;=0,0,ROUND($D439*Übersicht!$C$26,2))</f>
        <v>0</v>
      </c>
      <c r="G439" s="28">
        <f>IF($D439&lt;=0,0,MIN($D439,IF(Übersicht!$C$14="Annuitätendarlehen",MAX(0,Übersicht!$C$28-$F439),IF(Übersicht!$C$14="Ratendarlehen",Übersicht!$C$29,IF($A439&gt;=Übersicht!$C$30,$D439,0)))))</f>
        <v>0</v>
      </c>
      <c r="H439" s="28">
        <f>IF($D439-$G439&lt;=0,0,IF(MOD($A439,Übersicht!$C$25)=0,MIN(Übersicht!$C$31,$D439-$G439),0))</f>
        <v>0</v>
      </c>
      <c r="I439" s="28">
        <f t="shared" si="44"/>
        <v>0</v>
      </c>
      <c r="J439" s="28">
        <f t="shared" si="45"/>
        <v>0</v>
      </c>
      <c r="K439" s="28">
        <f t="shared" si="47"/>
        <v>80072.129999999961</v>
      </c>
      <c r="L439" s="28">
        <f t="shared" si="48"/>
        <v>250000</v>
      </c>
      <c r="M439" s="29" t="str">
        <f>IF($D439&lt;=0,"",IF(Übersicht!$C$11=0,0,$L439/Übersicht!$C$11))</f>
        <v/>
      </c>
      <c r="N439" s="30" t="str">
        <f>IF($D439&lt;=0,"",IF($J439&lt;=0.005,"Volltilgung erreicht",IF($A439=Übersicht!$C$19*Übersicht!$C$25,"Ende der Zinsbindung",IF($H439&gt;0,"Sondertilgung verrechnet",""))))</f>
        <v/>
      </c>
      <c r="Q439" s="38">
        <f>IF($S438&lt;=0,0,ROUND($S438*Übersicht!$C$26,2))</f>
        <v>0</v>
      </c>
      <c r="R439" s="38">
        <f>IF($S438&lt;=0,0,MIN($S438,IF(Übersicht!$C$14="Annuitätendarlehen",MAX(0,Übersicht!$C$28-$Q439),IF(Übersicht!$C$14="Ratendarlehen",Übersicht!$C$29,IF($A439&gt;=Übersicht!$C$30,$S438,0)))))</f>
        <v>0</v>
      </c>
      <c r="S439" s="38">
        <f>IF($S438&lt;=0,0,ROUND($S438-$R439-IF($S438-$R439&lt;=0,0,IF(MOD($A439,Übersicht!$C$25)=0,MIN(Szenarien!$C$8,$S438-$R439),0)),2))</f>
        <v>0</v>
      </c>
      <c r="T439" s="38">
        <f>IF($V438&lt;=0,0,ROUND($V438*Übersicht!$C$26,2))</f>
        <v>0</v>
      </c>
      <c r="U439" s="38">
        <f>IF($V438&lt;=0,0,MIN($V438,IF(Übersicht!$C$14="Annuitätendarlehen",MAX(0,Übersicht!$C$28-$T439),IF(Übersicht!$C$14="Ratendarlehen",Übersicht!$C$29,IF($A439&gt;=Übersicht!$C$30,$V438,0)))))</f>
        <v>0</v>
      </c>
      <c r="V439" s="38">
        <f>IF($V438&lt;=0,0,ROUND($V438-$U439-IF($V438-$U439&lt;=0,0,IF(MOD($A439,Übersicht!$C$25)=0,MIN(Szenarien!$C$9,$V438-$U439),0)),2))</f>
        <v>0</v>
      </c>
      <c r="W439" s="38">
        <f>IF($Y438&lt;=0,0,ROUND($Y438*Übersicht!$C$26,2))</f>
        <v>0</v>
      </c>
      <c r="X439" s="38">
        <f>IF($Y438&lt;=0,0,MIN($Y438,IF(Übersicht!$C$14="Annuitätendarlehen",MAX(0,Übersicht!$C$28-$W439),IF(Übersicht!$C$14="Ratendarlehen",Übersicht!$C$29,IF($A439&gt;=Übersicht!$C$30,$Y438,0)))))</f>
        <v>0</v>
      </c>
      <c r="Y439" s="38">
        <f>IF($Y438&lt;=0,0,ROUND($Y438-$X439-IF($Y438-$X439&lt;=0,0,IF(MOD($A439,Übersicht!$C$25)=0,MIN(Szenarien!$C$10,$Y438-$X439),0)),2))</f>
        <v>0</v>
      </c>
      <c r="Z439" s="38">
        <f>IF($AB438&lt;=0,0,ROUND($AB438*Übersicht!$C$26,2))</f>
        <v>0</v>
      </c>
      <c r="AA439" s="38">
        <f>IF($AB438&lt;=0,0,MIN($AB438,IF(Übersicht!$C$14="Annuitätendarlehen",MAX(0,Übersicht!$C$28-$Z439),IF(Übersicht!$C$14="Ratendarlehen",Übersicht!$C$29,IF($A439&gt;=Übersicht!$C$30,$AB438,0)))))</f>
        <v>0</v>
      </c>
      <c r="AB439" s="38">
        <f>IF($AB438&lt;=0,0,ROUND($AB438-$AA439-IF($AB438-$AA439&lt;=0,0,IF(MOD($A439,Übersicht!$C$25)=0,MIN(Szenarien!$C$11,$AB438-$AA439),0)),2))</f>
        <v>0</v>
      </c>
      <c r="AC439" s="38">
        <f>IF($AE438&lt;=0,0,ROUND($AE438*Übersicht!$C$26,2))</f>
        <v>0</v>
      </c>
      <c r="AD439" s="38">
        <f>IF($AE438&lt;=0,0,MIN($AE438,IF(Übersicht!$C$14="Annuitätendarlehen",MAX(0,Übersicht!$C$28-$AC439),IF(Übersicht!$C$14="Ratendarlehen",Übersicht!$C$29,IF($A439&gt;=Übersicht!$C$30,$AE438,0)))))</f>
        <v>0</v>
      </c>
      <c r="AE439" s="38">
        <f>IF($AE438&lt;=0,0,ROUND($AE438-$AD439-IF($AE438-$AD439&lt;=0,0,IF(MOD($A439,Übersicht!$C$25)=0,MIN(Szenarien!$C$12,$AE438-$AD439),0)),2))</f>
        <v>0</v>
      </c>
    </row>
    <row r="440" spans="1:31" ht="15" customHeight="1" x14ac:dyDescent="0.25">
      <c r="A440" s="21">
        <v>433</v>
      </c>
      <c r="B440" s="36" t="str">
        <f>IF($D440&lt;=0,"",EDATE(Übersicht!$C$18,($A440-1)*12/Übersicht!$C$25))</f>
        <v/>
      </c>
      <c r="C440" s="21" t="str">
        <f t="shared" si="42"/>
        <v/>
      </c>
      <c r="D440" s="37">
        <f t="shared" si="46"/>
        <v>0</v>
      </c>
      <c r="E440" s="23">
        <f t="shared" si="43"/>
        <v>0</v>
      </c>
      <c r="F440" s="23">
        <f>IF($D440&lt;=0,0,ROUND($D440*Übersicht!$C$26,2))</f>
        <v>0</v>
      </c>
      <c r="G440" s="23">
        <f>IF($D440&lt;=0,0,MIN($D440,IF(Übersicht!$C$14="Annuitätendarlehen",MAX(0,Übersicht!$C$28-$F440),IF(Übersicht!$C$14="Ratendarlehen",Übersicht!$C$29,IF($A440&gt;=Übersicht!$C$30,$D440,0)))))</f>
        <v>0</v>
      </c>
      <c r="H440" s="23">
        <f>IF($D440-$G440&lt;=0,0,IF(MOD($A440,Übersicht!$C$25)=0,MIN(Übersicht!$C$31,$D440-$G440),0))</f>
        <v>0</v>
      </c>
      <c r="I440" s="23">
        <f t="shared" si="44"/>
        <v>0</v>
      </c>
      <c r="J440" s="23">
        <f t="shared" si="45"/>
        <v>0</v>
      </c>
      <c r="K440" s="23">
        <f t="shared" si="47"/>
        <v>80072.129999999961</v>
      </c>
      <c r="L440" s="23">
        <f t="shared" si="48"/>
        <v>250000</v>
      </c>
      <c r="M440" s="24" t="str">
        <f>IF($D440&lt;=0,"",IF(Übersicht!$C$11=0,0,$L440/Übersicht!$C$11))</f>
        <v/>
      </c>
      <c r="N440" s="25" t="str">
        <f>IF($D440&lt;=0,"",IF($J440&lt;=0.005,"Volltilgung erreicht",IF($A440=Übersicht!$C$19*Übersicht!$C$25,"Ende der Zinsbindung",IF($H440&gt;0,"Sondertilgung verrechnet",""))))</f>
        <v/>
      </c>
      <c r="Q440" s="38">
        <f>IF($S439&lt;=0,0,ROUND($S439*Übersicht!$C$26,2))</f>
        <v>0</v>
      </c>
      <c r="R440" s="38">
        <f>IF($S439&lt;=0,0,MIN($S439,IF(Übersicht!$C$14="Annuitätendarlehen",MAX(0,Übersicht!$C$28-$Q440),IF(Übersicht!$C$14="Ratendarlehen",Übersicht!$C$29,IF($A440&gt;=Übersicht!$C$30,$S439,0)))))</f>
        <v>0</v>
      </c>
      <c r="S440" s="38">
        <f>IF($S439&lt;=0,0,ROUND($S439-$R440-IF($S439-$R440&lt;=0,0,IF(MOD($A440,Übersicht!$C$25)=0,MIN(Szenarien!$C$8,$S439-$R440),0)),2))</f>
        <v>0</v>
      </c>
      <c r="T440" s="38">
        <f>IF($V439&lt;=0,0,ROUND($V439*Übersicht!$C$26,2))</f>
        <v>0</v>
      </c>
      <c r="U440" s="38">
        <f>IF($V439&lt;=0,0,MIN($V439,IF(Übersicht!$C$14="Annuitätendarlehen",MAX(0,Übersicht!$C$28-$T440),IF(Übersicht!$C$14="Ratendarlehen",Übersicht!$C$29,IF($A440&gt;=Übersicht!$C$30,$V439,0)))))</f>
        <v>0</v>
      </c>
      <c r="V440" s="38">
        <f>IF($V439&lt;=0,0,ROUND($V439-$U440-IF($V439-$U440&lt;=0,0,IF(MOD($A440,Übersicht!$C$25)=0,MIN(Szenarien!$C$9,$V439-$U440),0)),2))</f>
        <v>0</v>
      </c>
      <c r="W440" s="38">
        <f>IF($Y439&lt;=0,0,ROUND($Y439*Übersicht!$C$26,2))</f>
        <v>0</v>
      </c>
      <c r="X440" s="38">
        <f>IF($Y439&lt;=0,0,MIN($Y439,IF(Übersicht!$C$14="Annuitätendarlehen",MAX(0,Übersicht!$C$28-$W440),IF(Übersicht!$C$14="Ratendarlehen",Übersicht!$C$29,IF($A440&gt;=Übersicht!$C$30,$Y439,0)))))</f>
        <v>0</v>
      </c>
      <c r="Y440" s="38">
        <f>IF($Y439&lt;=0,0,ROUND($Y439-$X440-IF($Y439-$X440&lt;=0,0,IF(MOD($A440,Übersicht!$C$25)=0,MIN(Szenarien!$C$10,$Y439-$X440),0)),2))</f>
        <v>0</v>
      </c>
      <c r="Z440" s="38">
        <f>IF($AB439&lt;=0,0,ROUND($AB439*Übersicht!$C$26,2))</f>
        <v>0</v>
      </c>
      <c r="AA440" s="38">
        <f>IF($AB439&lt;=0,0,MIN($AB439,IF(Übersicht!$C$14="Annuitätendarlehen",MAX(0,Übersicht!$C$28-$Z440),IF(Übersicht!$C$14="Ratendarlehen",Übersicht!$C$29,IF($A440&gt;=Übersicht!$C$30,$AB439,0)))))</f>
        <v>0</v>
      </c>
      <c r="AB440" s="38">
        <f>IF($AB439&lt;=0,0,ROUND($AB439-$AA440-IF($AB439-$AA440&lt;=0,0,IF(MOD($A440,Übersicht!$C$25)=0,MIN(Szenarien!$C$11,$AB439-$AA440),0)),2))</f>
        <v>0</v>
      </c>
      <c r="AC440" s="38">
        <f>IF($AE439&lt;=0,0,ROUND($AE439*Übersicht!$C$26,2))</f>
        <v>0</v>
      </c>
      <c r="AD440" s="38">
        <f>IF($AE439&lt;=0,0,MIN($AE439,IF(Übersicht!$C$14="Annuitätendarlehen",MAX(0,Übersicht!$C$28-$AC440),IF(Übersicht!$C$14="Ratendarlehen",Übersicht!$C$29,IF($A440&gt;=Übersicht!$C$30,$AE439,0)))))</f>
        <v>0</v>
      </c>
      <c r="AE440" s="38">
        <f>IF($AE439&lt;=0,0,ROUND($AE439-$AD440-IF($AE439-$AD440&lt;=0,0,IF(MOD($A440,Übersicht!$C$25)=0,MIN(Szenarien!$C$12,$AE439-$AD440),0)),2))</f>
        <v>0</v>
      </c>
    </row>
    <row r="441" spans="1:31" ht="15" customHeight="1" x14ac:dyDescent="0.25">
      <c r="A441" s="26">
        <v>434</v>
      </c>
      <c r="B441" s="39" t="str">
        <f>IF($D441&lt;=0,"",EDATE(Übersicht!$C$18,($A441-1)*12/Übersicht!$C$25))</f>
        <v/>
      </c>
      <c r="C441" s="26" t="str">
        <f t="shared" si="42"/>
        <v/>
      </c>
      <c r="D441" s="40">
        <f t="shared" si="46"/>
        <v>0</v>
      </c>
      <c r="E441" s="28">
        <f t="shared" si="43"/>
        <v>0</v>
      </c>
      <c r="F441" s="28">
        <f>IF($D441&lt;=0,0,ROUND($D441*Übersicht!$C$26,2))</f>
        <v>0</v>
      </c>
      <c r="G441" s="28">
        <f>IF($D441&lt;=0,0,MIN($D441,IF(Übersicht!$C$14="Annuitätendarlehen",MAX(0,Übersicht!$C$28-$F441),IF(Übersicht!$C$14="Ratendarlehen",Übersicht!$C$29,IF($A441&gt;=Übersicht!$C$30,$D441,0)))))</f>
        <v>0</v>
      </c>
      <c r="H441" s="28">
        <f>IF($D441-$G441&lt;=0,0,IF(MOD($A441,Übersicht!$C$25)=0,MIN(Übersicht!$C$31,$D441-$G441),0))</f>
        <v>0</v>
      </c>
      <c r="I441" s="28">
        <f t="shared" si="44"/>
        <v>0</v>
      </c>
      <c r="J441" s="28">
        <f t="shared" si="45"/>
        <v>0</v>
      </c>
      <c r="K441" s="28">
        <f t="shared" si="47"/>
        <v>80072.129999999961</v>
      </c>
      <c r="L441" s="28">
        <f t="shared" si="48"/>
        <v>250000</v>
      </c>
      <c r="M441" s="29" t="str">
        <f>IF($D441&lt;=0,"",IF(Übersicht!$C$11=0,0,$L441/Übersicht!$C$11))</f>
        <v/>
      </c>
      <c r="N441" s="30" t="str">
        <f>IF($D441&lt;=0,"",IF($J441&lt;=0.005,"Volltilgung erreicht",IF($A441=Übersicht!$C$19*Übersicht!$C$25,"Ende der Zinsbindung",IF($H441&gt;0,"Sondertilgung verrechnet",""))))</f>
        <v/>
      </c>
      <c r="Q441" s="38">
        <f>IF($S440&lt;=0,0,ROUND($S440*Übersicht!$C$26,2))</f>
        <v>0</v>
      </c>
      <c r="R441" s="38">
        <f>IF($S440&lt;=0,0,MIN($S440,IF(Übersicht!$C$14="Annuitätendarlehen",MAX(0,Übersicht!$C$28-$Q441),IF(Übersicht!$C$14="Ratendarlehen",Übersicht!$C$29,IF($A441&gt;=Übersicht!$C$30,$S440,0)))))</f>
        <v>0</v>
      </c>
      <c r="S441" s="38">
        <f>IF($S440&lt;=0,0,ROUND($S440-$R441-IF($S440-$R441&lt;=0,0,IF(MOD($A441,Übersicht!$C$25)=0,MIN(Szenarien!$C$8,$S440-$R441),0)),2))</f>
        <v>0</v>
      </c>
      <c r="T441" s="38">
        <f>IF($V440&lt;=0,0,ROUND($V440*Übersicht!$C$26,2))</f>
        <v>0</v>
      </c>
      <c r="U441" s="38">
        <f>IF($V440&lt;=0,0,MIN($V440,IF(Übersicht!$C$14="Annuitätendarlehen",MAX(0,Übersicht!$C$28-$T441),IF(Übersicht!$C$14="Ratendarlehen",Übersicht!$C$29,IF($A441&gt;=Übersicht!$C$30,$V440,0)))))</f>
        <v>0</v>
      </c>
      <c r="V441" s="38">
        <f>IF($V440&lt;=0,0,ROUND($V440-$U441-IF($V440-$U441&lt;=0,0,IF(MOD($A441,Übersicht!$C$25)=0,MIN(Szenarien!$C$9,$V440-$U441),0)),2))</f>
        <v>0</v>
      </c>
      <c r="W441" s="38">
        <f>IF($Y440&lt;=0,0,ROUND($Y440*Übersicht!$C$26,2))</f>
        <v>0</v>
      </c>
      <c r="X441" s="38">
        <f>IF($Y440&lt;=0,0,MIN($Y440,IF(Übersicht!$C$14="Annuitätendarlehen",MAX(0,Übersicht!$C$28-$W441),IF(Übersicht!$C$14="Ratendarlehen",Übersicht!$C$29,IF($A441&gt;=Übersicht!$C$30,$Y440,0)))))</f>
        <v>0</v>
      </c>
      <c r="Y441" s="38">
        <f>IF($Y440&lt;=0,0,ROUND($Y440-$X441-IF($Y440-$X441&lt;=0,0,IF(MOD($A441,Übersicht!$C$25)=0,MIN(Szenarien!$C$10,$Y440-$X441),0)),2))</f>
        <v>0</v>
      </c>
      <c r="Z441" s="38">
        <f>IF($AB440&lt;=0,0,ROUND($AB440*Übersicht!$C$26,2))</f>
        <v>0</v>
      </c>
      <c r="AA441" s="38">
        <f>IF($AB440&lt;=0,0,MIN($AB440,IF(Übersicht!$C$14="Annuitätendarlehen",MAX(0,Übersicht!$C$28-$Z441),IF(Übersicht!$C$14="Ratendarlehen",Übersicht!$C$29,IF($A441&gt;=Übersicht!$C$30,$AB440,0)))))</f>
        <v>0</v>
      </c>
      <c r="AB441" s="38">
        <f>IF($AB440&lt;=0,0,ROUND($AB440-$AA441-IF($AB440-$AA441&lt;=0,0,IF(MOD($A441,Übersicht!$C$25)=0,MIN(Szenarien!$C$11,$AB440-$AA441),0)),2))</f>
        <v>0</v>
      </c>
      <c r="AC441" s="38">
        <f>IF($AE440&lt;=0,0,ROUND($AE440*Übersicht!$C$26,2))</f>
        <v>0</v>
      </c>
      <c r="AD441" s="38">
        <f>IF($AE440&lt;=0,0,MIN($AE440,IF(Übersicht!$C$14="Annuitätendarlehen",MAX(0,Übersicht!$C$28-$AC441),IF(Übersicht!$C$14="Ratendarlehen",Übersicht!$C$29,IF($A441&gt;=Übersicht!$C$30,$AE440,0)))))</f>
        <v>0</v>
      </c>
      <c r="AE441" s="38">
        <f>IF($AE440&lt;=0,0,ROUND($AE440-$AD441-IF($AE440-$AD441&lt;=0,0,IF(MOD($A441,Übersicht!$C$25)=0,MIN(Szenarien!$C$12,$AE440-$AD441),0)),2))</f>
        <v>0</v>
      </c>
    </row>
    <row r="442" spans="1:31" ht="15" customHeight="1" x14ac:dyDescent="0.25">
      <c r="A442" s="21">
        <v>435</v>
      </c>
      <c r="B442" s="36" t="str">
        <f>IF($D442&lt;=0,"",EDATE(Übersicht!$C$18,($A442-1)*12/Übersicht!$C$25))</f>
        <v/>
      </c>
      <c r="C442" s="21" t="str">
        <f t="shared" si="42"/>
        <v/>
      </c>
      <c r="D442" s="37">
        <f t="shared" si="46"/>
        <v>0</v>
      </c>
      <c r="E442" s="23">
        <f t="shared" si="43"/>
        <v>0</v>
      </c>
      <c r="F442" s="23">
        <f>IF($D442&lt;=0,0,ROUND($D442*Übersicht!$C$26,2))</f>
        <v>0</v>
      </c>
      <c r="G442" s="23">
        <f>IF($D442&lt;=0,0,MIN($D442,IF(Übersicht!$C$14="Annuitätendarlehen",MAX(0,Übersicht!$C$28-$F442),IF(Übersicht!$C$14="Ratendarlehen",Übersicht!$C$29,IF($A442&gt;=Übersicht!$C$30,$D442,0)))))</f>
        <v>0</v>
      </c>
      <c r="H442" s="23">
        <f>IF($D442-$G442&lt;=0,0,IF(MOD($A442,Übersicht!$C$25)=0,MIN(Übersicht!$C$31,$D442-$G442),0))</f>
        <v>0</v>
      </c>
      <c r="I442" s="23">
        <f t="shared" si="44"/>
        <v>0</v>
      </c>
      <c r="J442" s="23">
        <f t="shared" si="45"/>
        <v>0</v>
      </c>
      <c r="K442" s="23">
        <f t="shared" si="47"/>
        <v>80072.129999999961</v>
      </c>
      <c r="L442" s="23">
        <f t="shared" si="48"/>
        <v>250000</v>
      </c>
      <c r="M442" s="24" t="str">
        <f>IF($D442&lt;=0,"",IF(Übersicht!$C$11=0,0,$L442/Übersicht!$C$11))</f>
        <v/>
      </c>
      <c r="N442" s="25" t="str">
        <f>IF($D442&lt;=0,"",IF($J442&lt;=0.005,"Volltilgung erreicht",IF($A442=Übersicht!$C$19*Übersicht!$C$25,"Ende der Zinsbindung",IF($H442&gt;0,"Sondertilgung verrechnet",""))))</f>
        <v/>
      </c>
      <c r="Q442" s="38">
        <f>IF($S441&lt;=0,0,ROUND($S441*Übersicht!$C$26,2))</f>
        <v>0</v>
      </c>
      <c r="R442" s="38">
        <f>IF($S441&lt;=0,0,MIN($S441,IF(Übersicht!$C$14="Annuitätendarlehen",MAX(0,Übersicht!$C$28-$Q442),IF(Übersicht!$C$14="Ratendarlehen",Übersicht!$C$29,IF($A442&gt;=Übersicht!$C$30,$S441,0)))))</f>
        <v>0</v>
      </c>
      <c r="S442" s="38">
        <f>IF($S441&lt;=0,0,ROUND($S441-$R442-IF($S441-$R442&lt;=0,0,IF(MOD($A442,Übersicht!$C$25)=0,MIN(Szenarien!$C$8,$S441-$R442),0)),2))</f>
        <v>0</v>
      </c>
      <c r="T442" s="38">
        <f>IF($V441&lt;=0,0,ROUND($V441*Übersicht!$C$26,2))</f>
        <v>0</v>
      </c>
      <c r="U442" s="38">
        <f>IF($V441&lt;=0,0,MIN($V441,IF(Übersicht!$C$14="Annuitätendarlehen",MAX(0,Übersicht!$C$28-$T442),IF(Übersicht!$C$14="Ratendarlehen",Übersicht!$C$29,IF($A442&gt;=Übersicht!$C$30,$V441,0)))))</f>
        <v>0</v>
      </c>
      <c r="V442" s="38">
        <f>IF($V441&lt;=0,0,ROUND($V441-$U442-IF($V441-$U442&lt;=0,0,IF(MOD($A442,Übersicht!$C$25)=0,MIN(Szenarien!$C$9,$V441-$U442),0)),2))</f>
        <v>0</v>
      </c>
      <c r="W442" s="38">
        <f>IF($Y441&lt;=0,0,ROUND($Y441*Übersicht!$C$26,2))</f>
        <v>0</v>
      </c>
      <c r="X442" s="38">
        <f>IF($Y441&lt;=0,0,MIN($Y441,IF(Übersicht!$C$14="Annuitätendarlehen",MAX(0,Übersicht!$C$28-$W442),IF(Übersicht!$C$14="Ratendarlehen",Übersicht!$C$29,IF($A442&gt;=Übersicht!$C$30,$Y441,0)))))</f>
        <v>0</v>
      </c>
      <c r="Y442" s="38">
        <f>IF($Y441&lt;=0,0,ROUND($Y441-$X442-IF($Y441-$X442&lt;=0,0,IF(MOD($A442,Übersicht!$C$25)=0,MIN(Szenarien!$C$10,$Y441-$X442),0)),2))</f>
        <v>0</v>
      </c>
      <c r="Z442" s="38">
        <f>IF($AB441&lt;=0,0,ROUND($AB441*Übersicht!$C$26,2))</f>
        <v>0</v>
      </c>
      <c r="AA442" s="38">
        <f>IF($AB441&lt;=0,0,MIN($AB441,IF(Übersicht!$C$14="Annuitätendarlehen",MAX(0,Übersicht!$C$28-$Z442),IF(Übersicht!$C$14="Ratendarlehen",Übersicht!$C$29,IF($A442&gt;=Übersicht!$C$30,$AB441,0)))))</f>
        <v>0</v>
      </c>
      <c r="AB442" s="38">
        <f>IF($AB441&lt;=0,0,ROUND($AB441-$AA442-IF($AB441-$AA442&lt;=0,0,IF(MOD($A442,Übersicht!$C$25)=0,MIN(Szenarien!$C$11,$AB441-$AA442),0)),2))</f>
        <v>0</v>
      </c>
      <c r="AC442" s="38">
        <f>IF($AE441&lt;=0,0,ROUND($AE441*Übersicht!$C$26,2))</f>
        <v>0</v>
      </c>
      <c r="AD442" s="38">
        <f>IF($AE441&lt;=0,0,MIN($AE441,IF(Übersicht!$C$14="Annuitätendarlehen",MAX(0,Übersicht!$C$28-$AC442),IF(Übersicht!$C$14="Ratendarlehen",Übersicht!$C$29,IF($A442&gt;=Übersicht!$C$30,$AE441,0)))))</f>
        <v>0</v>
      </c>
      <c r="AE442" s="38">
        <f>IF($AE441&lt;=0,0,ROUND($AE441-$AD442-IF($AE441-$AD442&lt;=0,0,IF(MOD($A442,Übersicht!$C$25)=0,MIN(Szenarien!$C$12,$AE441-$AD442),0)),2))</f>
        <v>0</v>
      </c>
    </row>
    <row r="443" spans="1:31" ht="15" customHeight="1" x14ac:dyDescent="0.25">
      <c r="A443" s="26">
        <v>436</v>
      </c>
      <c r="B443" s="39" t="str">
        <f>IF($D443&lt;=0,"",EDATE(Übersicht!$C$18,($A443-1)*12/Übersicht!$C$25))</f>
        <v/>
      </c>
      <c r="C443" s="26" t="str">
        <f t="shared" si="42"/>
        <v/>
      </c>
      <c r="D443" s="40">
        <f t="shared" si="46"/>
        <v>0</v>
      </c>
      <c r="E443" s="28">
        <f t="shared" si="43"/>
        <v>0</v>
      </c>
      <c r="F443" s="28">
        <f>IF($D443&lt;=0,0,ROUND($D443*Übersicht!$C$26,2))</f>
        <v>0</v>
      </c>
      <c r="G443" s="28">
        <f>IF($D443&lt;=0,0,MIN($D443,IF(Übersicht!$C$14="Annuitätendarlehen",MAX(0,Übersicht!$C$28-$F443),IF(Übersicht!$C$14="Ratendarlehen",Übersicht!$C$29,IF($A443&gt;=Übersicht!$C$30,$D443,0)))))</f>
        <v>0</v>
      </c>
      <c r="H443" s="28">
        <f>IF($D443-$G443&lt;=0,0,IF(MOD($A443,Übersicht!$C$25)=0,MIN(Übersicht!$C$31,$D443-$G443),0))</f>
        <v>0</v>
      </c>
      <c r="I443" s="28">
        <f t="shared" si="44"/>
        <v>0</v>
      </c>
      <c r="J443" s="28">
        <f t="shared" si="45"/>
        <v>0</v>
      </c>
      <c r="K443" s="28">
        <f t="shared" si="47"/>
        <v>80072.129999999961</v>
      </c>
      <c r="L443" s="28">
        <f t="shared" si="48"/>
        <v>250000</v>
      </c>
      <c r="M443" s="29" t="str">
        <f>IF($D443&lt;=0,"",IF(Übersicht!$C$11=0,0,$L443/Übersicht!$C$11))</f>
        <v/>
      </c>
      <c r="N443" s="30" t="str">
        <f>IF($D443&lt;=0,"",IF($J443&lt;=0.005,"Volltilgung erreicht",IF($A443=Übersicht!$C$19*Übersicht!$C$25,"Ende der Zinsbindung",IF($H443&gt;0,"Sondertilgung verrechnet",""))))</f>
        <v/>
      </c>
      <c r="Q443" s="38">
        <f>IF($S442&lt;=0,0,ROUND($S442*Übersicht!$C$26,2))</f>
        <v>0</v>
      </c>
      <c r="R443" s="38">
        <f>IF($S442&lt;=0,0,MIN($S442,IF(Übersicht!$C$14="Annuitätendarlehen",MAX(0,Übersicht!$C$28-$Q443),IF(Übersicht!$C$14="Ratendarlehen",Übersicht!$C$29,IF($A443&gt;=Übersicht!$C$30,$S442,0)))))</f>
        <v>0</v>
      </c>
      <c r="S443" s="38">
        <f>IF($S442&lt;=0,0,ROUND($S442-$R443-IF($S442-$R443&lt;=0,0,IF(MOD($A443,Übersicht!$C$25)=0,MIN(Szenarien!$C$8,$S442-$R443),0)),2))</f>
        <v>0</v>
      </c>
      <c r="T443" s="38">
        <f>IF($V442&lt;=0,0,ROUND($V442*Übersicht!$C$26,2))</f>
        <v>0</v>
      </c>
      <c r="U443" s="38">
        <f>IF($V442&lt;=0,0,MIN($V442,IF(Übersicht!$C$14="Annuitätendarlehen",MAX(0,Übersicht!$C$28-$T443),IF(Übersicht!$C$14="Ratendarlehen",Übersicht!$C$29,IF($A443&gt;=Übersicht!$C$30,$V442,0)))))</f>
        <v>0</v>
      </c>
      <c r="V443" s="38">
        <f>IF($V442&lt;=0,0,ROUND($V442-$U443-IF($V442-$U443&lt;=0,0,IF(MOD($A443,Übersicht!$C$25)=0,MIN(Szenarien!$C$9,$V442-$U443),0)),2))</f>
        <v>0</v>
      </c>
      <c r="W443" s="38">
        <f>IF($Y442&lt;=0,0,ROUND($Y442*Übersicht!$C$26,2))</f>
        <v>0</v>
      </c>
      <c r="X443" s="38">
        <f>IF($Y442&lt;=0,0,MIN($Y442,IF(Übersicht!$C$14="Annuitätendarlehen",MAX(0,Übersicht!$C$28-$W443),IF(Übersicht!$C$14="Ratendarlehen",Übersicht!$C$29,IF($A443&gt;=Übersicht!$C$30,$Y442,0)))))</f>
        <v>0</v>
      </c>
      <c r="Y443" s="38">
        <f>IF($Y442&lt;=0,0,ROUND($Y442-$X443-IF($Y442-$X443&lt;=0,0,IF(MOD($A443,Übersicht!$C$25)=0,MIN(Szenarien!$C$10,$Y442-$X443),0)),2))</f>
        <v>0</v>
      </c>
      <c r="Z443" s="38">
        <f>IF($AB442&lt;=0,0,ROUND($AB442*Übersicht!$C$26,2))</f>
        <v>0</v>
      </c>
      <c r="AA443" s="38">
        <f>IF($AB442&lt;=0,0,MIN($AB442,IF(Übersicht!$C$14="Annuitätendarlehen",MAX(0,Übersicht!$C$28-$Z443),IF(Übersicht!$C$14="Ratendarlehen",Übersicht!$C$29,IF($A443&gt;=Übersicht!$C$30,$AB442,0)))))</f>
        <v>0</v>
      </c>
      <c r="AB443" s="38">
        <f>IF($AB442&lt;=0,0,ROUND($AB442-$AA443-IF($AB442-$AA443&lt;=0,0,IF(MOD($A443,Übersicht!$C$25)=0,MIN(Szenarien!$C$11,$AB442-$AA443),0)),2))</f>
        <v>0</v>
      </c>
      <c r="AC443" s="38">
        <f>IF($AE442&lt;=0,0,ROUND($AE442*Übersicht!$C$26,2))</f>
        <v>0</v>
      </c>
      <c r="AD443" s="38">
        <f>IF($AE442&lt;=0,0,MIN($AE442,IF(Übersicht!$C$14="Annuitätendarlehen",MAX(0,Übersicht!$C$28-$AC443),IF(Übersicht!$C$14="Ratendarlehen",Übersicht!$C$29,IF($A443&gt;=Übersicht!$C$30,$AE442,0)))))</f>
        <v>0</v>
      </c>
      <c r="AE443" s="38">
        <f>IF($AE442&lt;=0,0,ROUND($AE442-$AD443-IF($AE442-$AD443&lt;=0,0,IF(MOD($A443,Übersicht!$C$25)=0,MIN(Szenarien!$C$12,$AE442-$AD443),0)),2))</f>
        <v>0</v>
      </c>
    </row>
    <row r="444" spans="1:31" ht="15" customHeight="1" x14ac:dyDescent="0.25">
      <c r="A444" s="21">
        <v>437</v>
      </c>
      <c r="B444" s="36" t="str">
        <f>IF($D444&lt;=0,"",EDATE(Übersicht!$C$18,($A444-1)*12/Übersicht!$C$25))</f>
        <v/>
      </c>
      <c r="C444" s="21" t="str">
        <f t="shared" si="42"/>
        <v/>
      </c>
      <c r="D444" s="37">
        <f t="shared" si="46"/>
        <v>0</v>
      </c>
      <c r="E444" s="23">
        <f t="shared" si="43"/>
        <v>0</v>
      </c>
      <c r="F444" s="23">
        <f>IF($D444&lt;=0,0,ROUND($D444*Übersicht!$C$26,2))</f>
        <v>0</v>
      </c>
      <c r="G444" s="23">
        <f>IF($D444&lt;=0,0,MIN($D444,IF(Übersicht!$C$14="Annuitätendarlehen",MAX(0,Übersicht!$C$28-$F444),IF(Übersicht!$C$14="Ratendarlehen",Übersicht!$C$29,IF($A444&gt;=Übersicht!$C$30,$D444,0)))))</f>
        <v>0</v>
      </c>
      <c r="H444" s="23">
        <f>IF($D444-$G444&lt;=0,0,IF(MOD($A444,Übersicht!$C$25)=0,MIN(Übersicht!$C$31,$D444-$G444),0))</f>
        <v>0</v>
      </c>
      <c r="I444" s="23">
        <f t="shared" si="44"/>
        <v>0</v>
      </c>
      <c r="J444" s="23">
        <f t="shared" si="45"/>
        <v>0</v>
      </c>
      <c r="K444" s="23">
        <f t="shared" si="47"/>
        <v>80072.129999999961</v>
      </c>
      <c r="L444" s="23">
        <f t="shared" si="48"/>
        <v>250000</v>
      </c>
      <c r="M444" s="24" t="str">
        <f>IF($D444&lt;=0,"",IF(Übersicht!$C$11=0,0,$L444/Übersicht!$C$11))</f>
        <v/>
      </c>
      <c r="N444" s="25" t="str">
        <f>IF($D444&lt;=0,"",IF($J444&lt;=0.005,"Volltilgung erreicht",IF($A444=Übersicht!$C$19*Übersicht!$C$25,"Ende der Zinsbindung",IF($H444&gt;0,"Sondertilgung verrechnet",""))))</f>
        <v/>
      </c>
      <c r="Q444" s="38">
        <f>IF($S443&lt;=0,0,ROUND($S443*Übersicht!$C$26,2))</f>
        <v>0</v>
      </c>
      <c r="R444" s="38">
        <f>IF($S443&lt;=0,0,MIN($S443,IF(Übersicht!$C$14="Annuitätendarlehen",MAX(0,Übersicht!$C$28-$Q444),IF(Übersicht!$C$14="Ratendarlehen",Übersicht!$C$29,IF($A444&gt;=Übersicht!$C$30,$S443,0)))))</f>
        <v>0</v>
      </c>
      <c r="S444" s="38">
        <f>IF($S443&lt;=0,0,ROUND($S443-$R444-IF($S443-$R444&lt;=0,0,IF(MOD($A444,Übersicht!$C$25)=0,MIN(Szenarien!$C$8,$S443-$R444),0)),2))</f>
        <v>0</v>
      </c>
      <c r="T444" s="38">
        <f>IF($V443&lt;=0,0,ROUND($V443*Übersicht!$C$26,2))</f>
        <v>0</v>
      </c>
      <c r="U444" s="38">
        <f>IF($V443&lt;=0,0,MIN($V443,IF(Übersicht!$C$14="Annuitätendarlehen",MAX(0,Übersicht!$C$28-$T444),IF(Übersicht!$C$14="Ratendarlehen",Übersicht!$C$29,IF($A444&gt;=Übersicht!$C$30,$V443,0)))))</f>
        <v>0</v>
      </c>
      <c r="V444" s="38">
        <f>IF($V443&lt;=0,0,ROUND($V443-$U444-IF($V443-$U444&lt;=0,0,IF(MOD($A444,Übersicht!$C$25)=0,MIN(Szenarien!$C$9,$V443-$U444),0)),2))</f>
        <v>0</v>
      </c>
      <c r="W444" s="38">
        <f>IF($Y443&lt;=0,0,ROUND($Y443*Übersicht!$C$26,2))</f>
        <v>0</v>
      </c>
      <c r="X444" s="38">
        <f>IF($Y443&lt;=0,0,MIN($Y443,IF(Übersicht!$C$14="Annuitätendarlehen",MAX(0,Übersicht!$C$28-$W444),IF(Übersicht!$C$14="Ratendarlehen",Übersicht!$C$29,IF($A444&gt;=Übersicht!$C$30,$Y443,0)))))</f>
        <v>0</v>
      </c>
      <c r="Y444" s="38">
        <f>IF($Y443&lt;=0,0,ROUND($Y443-$X444-IF($Y443-$X444&lt;=0,0,IF(MOD($A444,Übersicht!$C$25)=0,MIN(Szenarien!$C$10,$Y443-$X444),0)),2))</f>
        <v>0</v>
      </c>
      <c r="Z444" s="38">
        <f>IF($AB443&lt;=0,0,ROUND($AB443*Übersicht!$C$26,2))</f>
        <v>0</v>
      </c>
      <c r="AA444" s="38">
        <f>IF($AB443&lt;=0,0,MIN($AB443,IF(Übersicht!$C$14="Annuitätendarlehen",MAX(0,Übersicht!$C$28-$Z444),IF(Übersicht!$C$14="Ratendarlehen",Übersicht!$C$29,IF($A444&gt;=Übersicht!$C$30,$AB443,0)))))</f>
        <v>0</v>
      </c>
      <c r="AB444" s="38">
        <f>IF($AB443&lt;=0,0,ROUND($AB443-$AA444-IF($AB443-$AA444&lt;=0,0,IF(MOD($A444,Übersicht!$C$25)=0,MIN(Szenarien!$C$11,$AB443-$AA444),0)),2))</f>
        <v>0</v>
      </c>
      <c r="AC444" s="38">
        <f>IF($AE443&lt;=0,0,ROUND($AE443*Übersicht!$C$26,2))</f>
        <v>0</v>
      </c>
      <c r="AD444" s="38">
        <f>IF($AE443&lt;=0,0,MIN($AE443,IF(Übersicht!$C$14="Annuitätendarlehen",MAX(0,Übersicht!$C$28-$AC444),IF(Übersicht!$C$14="Ratendarlehen",Übersicht!$C$29,IF($A444&gt;=Übersicht!$C$30,$AE443,0)))))</f>
        <v>0</v>
      </c>
      <c r="AE444" s="38">
        <f>IF($AE443&lt;=0,0,ROUND($AE443-$AD444-IF($AE443-$AD444&lt;=0,0,IF(MOD($A444,Übersicht!$C$25)=0,MIN(Szenarien!$C$12,$AE443-$AD444),0)),2))</f>
        <v>0</v>
      </c>
    </row>
    <row r="445" spans="1:31" ht="15" customHeight="1" x14ac:dyDescent="0.25">
      <c r="A445" s="26">
        <v>438</v>
      </c>
      <c r="B445" s="39" t="str">
        <f>IF($D445&lt;=0,"",EDATE(Übersicht!$C$18,($A445-1)*12/Übersicht!$C$25))</f>
        <v/>
      </c>
      <c r="C445" s="26" t="str">
        <f t="shared" si="42"/>
        <v/>
      </c>
      <c r="D445" s="40">
        <f t="shared" si="46"/>
        <v>0</v>
      </c>
      <c r="E445" s="28">
        <f t="shared" si="43"/>
        <v>0</v>
      </c>
      <c r="F445" s="28">
        <f>IF($D445&lt;=0,0,ROUND($D445*Übersicht!$C$26,2))</f>
        <v>0</v>
      </c>
      <c r="G445" s="28">
        <f>IF($D445&lt;=0,0,MIN($D445,IF(Übersicht!$C$14="Annuitätendarlehen",MAX(0,Übersicht!$C$28-$F445),IF(Übersicht!$C$14="Ratendarlehen",Übersicht!$C$29,IF($A445&gt;=Übersicht!$C$30,$D445,0)))))</f>
        <v>0</v>
      </c>
      <c r="H445" s="28">
        <f>IF($D445-$G445&lt;=0,0,IF(MOD($A445,Übersicht!$C$25)=0,MIN(Übersicht!$C$31,$D445-$G445),0))</f>
        <v>0</v>
      </c>
      <c r="I445" s="28">
        <f t="shared" si="44"/>
        <v>0</v>
      </c>
      <c r="J445" s="28">
        <f t="shared" si="45"/>
        <v>0</v>
      </c>
      <c r="K445" s="28">
        <f t="shared" si="47"/>
        <v>80072.129999999961</v>
      </c>
      <c r="L445" s="28">
        <f t="shared" si="48"/>
        <v>250000</v>
      </c>
      <c r="M445" s="29" t="str">
        <f>IF($D445&lt;=0,"",IF(Übersicht!$C$11=0,0,$L445/Übersicht!$C$11))</f>
        <v/>
      </c>
      <c r="N445" s="30" t="str">
        <f>IF($D445&lt;=0,"",IF($J445&lt;=0.005,"Volltilgung erreicht",IF($A445=Übersicht!$C$19*Übersicht!$C$25,"Ende der Zinsbindung",IF($H445&gt;0,"Sondertilgung verrechnet",""))))</f>
        <v/>
      </c>
      <c r="Q445" s="38">
        <f>IF($S444&lt;=0,0,ROUND($S444*Übersicht!$C$26,2))</f>
        <v>0</v>
      </c>
      <c r="R445" s="38">
        <f>IF($S444&lt;=0,0,MIN($S444,IF(Übersicht!$C$14="Annuitätendarlehen",MAX(0,Übersicht!$C$28-$Q445),IF(Übersicht!$C$14="Ratendarlehen",Übersicht!$C$29,IF($A445&gt;=Übersicht!$C$30,$S444,0)))))</f>
        <v>0</v>
      </c>
      <c r="S445" s="38">
        <f>IF($S444&lt;=0,0,ROUND($S444-$R445-IF($S444-$R445&lt;=0,0,IF(MOD($A445,Übersicht!$C$25)=0,MIN(Szenarien!$C$8,$S444-$R445),0)),2))</f>
        <v>0</v>
      </c>
      <c r="T445" s="38">
        <f>IF($V444&lt;=0,0,ROUND($V444*Übersicht!$C$26,2))</f>
        <v>0</v>
      </c>
      <c r="U445" s="38">
        <f>IF($V444&lt;=0,0,MIN($V444,IF(Übersicht!$C$14="Annuitätendarlehen",MAX(0,Übersicht!$C$28-$T445),IF(Übersicht!$C$14="Ratendarlehen",Übersicht!$C$29,IF($A445&gt;=Übersicht!$C$30,$V444,0)))))</f>
        <v>0</v>
      </c>
      <c r="V445" s="38">
        <f>IF($V444&lt;=0,0,ROUND($V444-$U445-IF($V444-$U445&lt;=0,0,IF(MOD($A445,Übersicht!$C$25)=0,MIN(Szenarien!$C$9,$V444-$U445),0)),2))</f>
        <v>0</v>
      </c>
      <c r="W445" s="38">
        <f>IF($Y444&lt;=0,0,ROUND($Y444*Übersicht!$C$26,2))</f>
        <v>0</v>
      </c>
      <c r="X445" s="38">
        <f>IF($Y444&lt;=0,0,MIN($Y444,IF(Übersicht!$C$14="Annuitätendarlehen",MAX(0,Übersicht!$C$28-$W445),IF(Übersicht!$C$14="Ratendarlehen",Übersicht!$C$29,IF($A445&gt;=Übersicht!$C$30,$Y444,0)))))</f>
        <v>0</v>
      </c>
      <c r="Y445" s="38">
        <f>IF($Y444&lt;=0,0,ROUND($Y444-$X445-IF($Y444-$X445&lt;=0,0,IF(MOD($A445,Übersicht!$C$25)=0,MIN(Szenarien!$C$10,$Y444-$X445),0)),2))</f>
        <v>0</v>
      </c>
      <c r="Z445" s="38">
        <f>IF($AB444&lt;=0,0,ROUND($AB444*Übersicht!$C$26,2))</f>
        <v>0</v>
      </c>
      <c r="AA445" s="38">
        <f>IF($AB444&lt;=0,0,MIN($AB444,IF(Übersicht!$C$14="Annuitätendarlehen",MAX(0,Übersicht!$C$28-$Z445),IF(Übersicht!$C$14="Ratendarlehen",Übersicht!$C$29,IF($A445&gt;=Übersicht!$C$30,$AB444,0)))))</f>
        <v>0</v>
      </c>
      <c r="AB445" s="38">
        <f>IF($AB444&lt;=0,0,ROUND($AB444-$AA445-IF($AB444-$AA445&lt;=0,0,IF(MOD($A445,Übersicht!$C$25)=0,MIN(Szenarien!$C$11,$AB444-$AA445),0)),2))</f>
        <v>0</v>
      </c>
      <c r="AC445" s="38">
        <f>IF($AE444&lt;=0,0,ROUND($AE444*Übersicht!$C$26,2))</f>
        <v>0</v>
      </c>
      <c r="AD445" s="38">
        <f>IF($AE444&lt;=0,0,MIN($AE444,IF(Übersicht!$C$14="Annuitätendarlehen",MAX(0,Übersicht!$C$28-$AC445),IF(Übersicht!$C$14="Ratendarlehen",Übersicht!$C$29,IF($A445&gt;=Übersicht!$C$30,$AE444,0)))))</f>
        <v>0</v>
      </c>
      <c r="AE445" s="38">
        <f>IF($AE444&lt;=0,0,ROUND($AE444-$AD445-IF($AE444-$AD445&lt;=0,0,IF(MOD($A445,Übersicht!$C$25)=0,MIN(Szenarien!$C$12,$AE444-$AD445),0)),2))</f>
        <v>0</v>
      </c>
    </row>
    <row r="446" spans="1:31" ht="15" customHeight="1" x14ac:dyDescent="0.25">
      <c r="A446" s="21">
        <v>439</v>
      </c>
      <c r="B446" s="36" t="str">
        <f>IF($D446&lt;=0,"",EDATE(Übersicht!$C$18,($A446-1)*12/Übersicht!$C$25))</f>
        <v/>
      </c>
      <c r="C446" s="21" t="str">
        <f t="shared" si="42"/>
        <v/>
      </c>
      <c r="D446" s="37">
        <f t="shared" si="46"/>
        <v>0</v>
      </c>
      <c r="E446" s="23">
        <f t="shared" si="43"/>
        <v>0</v>
      </c>
      <c r="F446" s="23">
        <f>IF($D446&lt;=0,0,ROUND($D446*Übersicht!$C$26,2))</f>
        <v>0</v>
      </c>
      <c r="G446" s="23">
        <f>IF($D446&lt;=0,0,MIN($D446,IF(Übersicht!$C$14="Annuitätendarlehen",MAX(0,Übersicht!$C$28-$F446),IF(Übersicht!$C$14="Ratendarlehen",Übersicht!$C$29,IF($A446&gt;=Übersicht!$C$30,$D446,0)))))</f>
        <v>0</v>
      </c>
      <c r="H446" s="23">
        <f>IF($D446-$G446&lt;=0,0,IF(MOD($A446,Übersicht!$C$25)=0,MIN(Übersicht!$C$31,$D446-$G446),0))</f>
        <v>0</v>
      </c>
      <c r="I446" s="23">
        <f t="shared" si="44"/>
        <v>0</v>
      </c>
      <c r="J446" s="23">
        <f t="shared" si="45"/>
        <v>0</v>
      </c>
      <c r="K446" s="23">
        <f t="shared" si="47"/>
        <v>80072.129999999961</v>
      </c>
      <c r="L446" s="23">
        <f t="shared" si="48"/>
        <v>250000</v>
      </c>
      <c r="M446" s="24" t="str">
        <f>IF($D446&lt;=0,"",IF(Übersicht!$C$11=0,0,$L446/Übersicht!$C$11))</f>
        <v/>
      </c>
      <c r="N446" s="25" t="str">
        <f>IF($D446&lt;=0,"",IF($J446&lt;=0.005,"Volltilgung erreicht",IF($A446=Übersicht!$C$19*Übersicht!$C$25,"Ende der Zinsbindung",IF($H446&gt;0,"Sondertilgung verrechnet",""))))</f>
        <v/>
      </c>
      <c r="Q446" s="38">
        <f>IF($S445&lt;=0,0,ROUND($S445*Übersicht!$C$26,2))</f>
        <v>0</v>
      </c>
      <c r="R446" s="38">
        <f>IF($S445&lt;=0,0,MIN($S445,IF(Übersicht!$C$14="Annuitätendarlehen",MAX(0,Übersicht!$C$28-$Q446),IF(Übersicht!$C$14="Ratendarlehen",Übersicht!$C$29,IF($A446&gt;=Übersicht!$C$30,$S445,0)))))</f>
        <v>0</v>
      </c>
      <c r="S446" s="38">
        <f>IF($S445&lt;=0,0,ROUND($S445-$R446-IF($S445-$R446&lt;=0,0,IF(MOD($A446,Übersicht!$C$25)=0,MIN(Szenarien!$C$8,$S445-$R446),0)),2))</f>
        <v>0</v>
      </c>
      <c r="T446" s="38">
        <f>IF($V445&lt;=0,0,ROUND($V445*Übersicht!$C$26,2))</f>
        <v>0</v>
      </c>
      <c r="U446" s="38">
        <f>IF($V445&lt;=0,0,MIN($V445,IF(Übersicht!$C$14="Annuitätendarlehen",MAX(0,Übersicht!$C$28-$T446),IF(Übersicht!$C$14="Ratendarlehen",Übersicht!$C$29,IF($A446&gt;=Übersicht!$C$30,$V445,0)))))</f>
        <v>0</v>
      </c>
      <c r="V446" s="38">
        <f>IF($V445&lt;=0,0,ROUND($V445-$U446-IF($V445-$U446&lt;=0,0,IF(MOD($A446,Übersicht!$C$25)=0,MIN(Szenarien!$C$9,$V445-$U446),0)),2))</f>
        <v>0</v>
      </c>
      <c r="W446" s="38">
        <f>IF($Y445&lt;=0,0,ROUND($Y445*Übersicht!$C$26,2))</f>
        <v>0</v>
      </c>
      <c r="X446" s="38">
        <f>IF($Y445&lt;=0,0,MIN($Y445,IF(Übersicht!$C$14="Annuitätendarlehen",MAX(0,Übersicht!$C$28-$W446),IF(Übersicht!$C$14="Ratendarlehen",Übersicht!$C$29,IF($A446&gt;=Übersicht!$C$30,$Y445,0)))))</f>
        <v>0</v>
      </c>
      <c r="Y446" s="38">
        <f>IF($Y445&lt;=0,0,ROUND($Y445-$X446-IF($Y445-$X446&lt;=0,0,IF(MOD($A446,Übersicht!$C$25)=0,MIN(Szenarien!$C$10,$Y445-$X446),0)),2))</f>
        <v>0</v>
      </c>
      <c r="Z446" s="38">
        <f>IF($AB445&lt;=0,0,ROUND($AB445*Übersicht!$C$26,2))</f>
        <v>0</v>
      </c>
      <c r="AA446" s="38">
        <f>IF($AB445&lt;=0,0,MIN($AB445,IF(Übersicht!$C$14="Annuitätendarlehen",MAX(0,Übersicht!$C$28-$Z446),IF(Übersicht!$C$14="Ratendarlehen",Übersicht!$C$29,IF($A446&gt;=Übersicht!$C$30,$AB445,0)))))</f>
        <v>0</v>
      </c>
      <c r="AB446" s="38">
        <f>IF($AB445&lt;=0,0,ROUND($AB445-$AA446-IF($AB445-$AA446&lt;=0,0,IF(MOD($A446,Übersicht!$C$25)=0,MIN(Szenarien!$C$11,$AB445-$AA446),0)),2))</f>
        <v>0</v>
      </c>
      <c r="AC446" s="38">
        <f>IF($AE445&lt;=0,0,ROUND($AE445*Übersicht!$C$26,2))</f>
        <v>0</v>
      </c>
      <c r="AD446" s="38">
        <f>IF($AE445&lt;=0,0,MIN($AE445,IF(Übersicht!$C$14="Annuitätendarlehen",MAX(0,Übersicht!$C$28-$AC446),IF(Übersicht!$C$14="Ratendarlehen",Übersicht!$C$29,IF($A446&gt;=Übersicht!$C$30,$AE445,0)))))</f>
        <v>0</v>
      </c>
      <c r="AE446" s="38">
        <f>IF($AE445&lt;=0,0,ROUND($AE445-$AD446-IF($AE445-$AD446&lt;=0,0,IF(MOD($A446,Übersicht!$C$25)=0,MIN(Szenarien!$C$12,$AE445-$AD446),0)),2))</f>
        <v>0</v>
      </c>
    </row>
    <row r="447" spans="1:31" ht="15" customHeight="1" x14ac:dyDescent="0.25">
      <c r="A447" s="26">
        <v>440</v>
      </c>
      <c r="B447" s="39" t="str">
        <f>IF($D447&lt;=0,"",EDATE(Übersicht!$C$18,($A447-1)*12/Übersicht!$C$25))</f>
        <v/>
      </c>
      <c r="C447" s="26" t="str">
        <f t="shared" si="42"/>
        <v/>
      </c>
      <c r="D447" s="40">
        <f t="shared" si="46"/>
        <v>0</v>
      </c>
      <c r="E447" s="28">
        <f t="shared" si="43"/>
        <v>0</v>
      </c>
      <c r="F447" s="28">
        <f>IF($D447&lt;=0,0,ROUND($D447*Übersicht!$C$26,2))</f>
        <v>0</v>
      </c>
      <c r="G447" s="28">
        <f>IF($D447&lt;=0,0,MIN($D447,IF(Übersicht!$C$14="Annuitätendarlehen",MAX(0,Übersicht!$C$28-$F447),IF(Übersicht!$C$14="Ratendarlehen",Übersicht!$C$29,IF($A447&gt;=Übersicht!$C$30,$D447,0)))))</f>
        <v>0</v>
      </c>
      <c r="H447" s="28">
        <f>IF($D447-$G447&lt;=0,0,IF(MOD($A447,Übersicht!$C$25)=0,MIN(Übersicht!$C$31,$D447-$G447),0))</f>
        <v>0</v>
      </c>
      <c r="I447" s="28">
        <f t="shared" si="44"/>
        <v>0</v>
      </c>
      <c r="J447" s="28">
        <f t="shared" si="45"/>
        <v>0</v>
      </c>
      <c r="K447" s="28">
        <f t="shared" si="47"/>
        <v>80072.129999999961</v>
      </c>
      <c r="L447" s="28">
        <f t="shared" si="48"/>
        <v>250000</v>
      </c>
      <c r="M447" s="29" t="str">
        <f>IF($D447&lt;=0,"",IF(Übersicht!$C$11=0,0,$L447/Übersicht!$C$11))</f>
        <v/>
      </c>
      <c r="N447" s="30" t="str">
        <f>IF($D447&lt;=0,"",IF($J447&lt;=0.005,"Volltilgung erreicht",IF($A447=Übersicht!$C$19*Übersicht!$C$25,"Ende der Zinsbindung",IF($H447&gt;0,"Sondertilgung verrechnet",""))))</f>
        <v/>
      </c>
      <c r="Q447" s="38">
        <f>IF($S446&lt;=0,0,ROUND($S446*Übersicht!$C$26,2))</f>
        <v>0</v>
      </c>
      <c r="R447" s="38">
        <f>IF($S446&lt;=0,0,MIN($S446,IF(Übersicht!$C$14="Annuitätendarlehen",MAX(0,Übersicht!$C$28-$Q447),IF(Übersicht!$C$14="Ratendarlehen",Übersicht!$C$29,IF($A447&gt;=Übersicht!$C$30,$S446,0)))))</f>
        <v>0</v>
      </c>
      <c r="S447" s="38">
        <f>IF($S446&lt;=0,0,ROUND($S446-$R447-IF($S446-$R447&lt;=0,0,IF(MOD($A447,Übersicht!$C$25)=0,MIN(Szenarien!$C$8,$S446-$R447),0)),2))</f>
        <v>0</v>
      </c>
      <c r="T447" s="38">
        <f>IF($V446&lt;=0,0,ROUND($V446*Übersicht!$C$26,2))</f>
        <v>0</v>
      </c>
      <c r="U447" s="38">
        <f>IF($V446&lt;=0,0,MIN($V446,IF(Übersicht!$C$14="Annuitätendarlehen",MAX(0,Übersicht!$C$28-$T447),IF(Übersicht!$C$14="Ratendarlehen",Übersicht!$C$29,IF($A447&gt;=Übersicht!$C$30,$V446,0)))))</f>
        <v>0</v>
      </c>
      <c r="V447" s="38">
        <f>IF($V446&lt;=0,0,ROUND($V446-$U447-IF($V446-$U447&lt;=0,0,IF(MOD($A447,Übersicht!$C$25)=0,MIN(Szenarien!$C$9,$V446-$U447),0)),2))</f>
        <v>0</v>
      </c>
      <c r="W447" s="38">
        <f>IF($Y446&lt;=0,0,ROUND($Y446*Übersicht!$C$26,2))</f>
        <v>0</v>
      </c>
      <c r="X447" s="38">
        <f>IF($Y446&lt;=0,0,MIN($Y446,IF(Übersicht!$C$14="Annuitätendarlehen",MAX(0,Übersicht!$C$28-$W447),IF(Übersicht!$C$14="Ratendarlehen",Übersicht!$C$29,IF($A447&gt;=Übersicht!$C$30,$Y446,0)))))</f>
        <v>0</v>
      </c>
      <c r="Y447" s="38">
        <f>IF($Y446&lt;=0,0,ROUND($Y446-$X447-IF($Y446-$X447&lt;=0,0,IF(MOD($A447,Übersicht!$C$25)=0,MIN(Szenarien!$C$10,$Y446-$X447),0)),2))</f>
        <v>0</v>
      </c>
      <c r="Z447" s="38">
        <f>IF($AB446&lt;=0,0,ROUND($AB446*Übersicht!$C$26,2))</f>
        <v>0</v>
      </c>
      <c r="AA447" s="38">
        <f>IF($AB446&lt;=0,0,MIN($AB446,IF(Übersicht!$C$14="Annuitätendarlehen",MAX(0,Übersicht!$C$28-$Z447),IF(Übersicht!$C$14="Ratendarlehen",Übersicht!$C$29,IF($A447&gt;=Übersicht!$C$30,$AB446,0)))))</f>
        <v>0</v>
      </c>
      <c r="AB447" s="38">
        <f>IF($AB446&lt;=0,0,ROUND($AB446-$AA447-IF($AB446-$AA447&lt;=0,0,IF(MOD($A447,Übersicht!$C$25)=0,MIN(Szenarien!$C$11,$AB446-$AA447),0)),2))</f>
        <v>0</v>
      </c>
      <c r="AC447" s="38">
        <f>IF($AE446&lt;=0,0,ROUND($AE446*Übersicht!$C$26,2))</f>
        <v>0</v>
      </c>
      <c r="AD447" s="38">
        <f>IF($AE446&lt;=0,0,MIN($AE446,IF(Übersicht!$C$14="Annuitätendarlehen",MAX(0,Übersicht!$C$28-$AC447),IF(Übersicht!$C$14="Ratendarlehen",Übersicht!$C$29,IF($A447&gt;=Übersicht!$C$30,$AE446,0)))))</f>
        <v>0</v>
      </c>
      <c r="AE447" s="38">
        <f>IF($AE446&lt;=0,0,ROUND($AE446-$AD447-IF($AE446-$AD447&lt;=0,0,IF(MOD($A447,Übersicht!$C$25)=0,MIN(Szenarien!$C$12,$AE446-$AD447),0)),2))</f>
        <v>0</v>
      </c>
    </row>
    <row r="448" spans="1:31" ht="15" customHeight="1" x14ac:dyDescent="0.25">
      <c r="A448" s="21">
        <v>441</v>
      </c>
      <c r="B448" s="36" t="str">
        <f>IF($D448&lt;=0,"",EDATE(Übersicht!$C$18,($A448-1)*12/Übersicht!$C$25))</f>
        <v/>
      </c>
      <c r="C448" s="21" t="str">
        <f t="shared" si="42"/>
        <v/>
      </c>
      <c r="D448" s="37">
        <f t="shared" si="46"/>
        <v>0</v>
      </c>
      <c r="E448" s="23">
        <f t="shared" si="43"/>
        <v>0</v>
      </c>
      <c r="F448" s="23">
        <f>IF($D448&lt;=0,0,ROUND($D448*Übersicht!$C$26,2))</f>
        <v>0</v>
      </c>
      <c r="G448" s="23">
        <f>IF($D448&lt;=0,0,MIN($D448,IF(Übersicht!$C$14="Annuitätendarlehen",MAX(0,Übersicht!$C$28-$F448),IF(Übersicht!$C$14="Ratendarlehen",Übersicht!$C$29,IF($A448&gt;=Übersicht!$C$30,$D448,0)))))</f>
        <v>0</v>
      </c>
      <c r="H448" s="23">
        <f>IF($D448-$G448&lt;=0,0,IF(MOD($A448,Übersicht!$C$25)=0,MIN(Übersicht!$C$31,$D448-$G448),0))</f>
        <v>0</v>
      </c>
      <c r="I448" s="23">
        <f t="shared" si="44"/>
        <v>0</v>
      </c>
      <c r="J448" s="23">
        <f t="shared" si="45"/>
        <v>0</v>
      </c>
      <c r="K448" s="23">
        <f t="shared" si="47"/>
        <v>80072.129999999961</v>
      </c>
      <c r="L448" s="23">
        <f t="shared" si="48"/>
        <v>250000</v>
      </c>
      <c r="M448" s="24" t="str">
        <f>IF($D448&lt;=0,"",IF(Übersicht!$C$11=0,0,$L448/Übersicht!$C$11))</f>
        <v/>
      </c>
      <c r="N448" s="25" t="str">
        <f>IF($D448&lt;=0,"",IF($J448&lt;=0.005,"Volltilgung erreicht",IF($A448=Übersicht!$C$19*Übersicht!$C$25,"Ende der Zinsbindung",IF($H448&gt;0,"Sondertilgung verrechnet",""))))</f>
        <v/>
      </c>
      <c r="Q448" s="38">
        <f>IF($S447&lt;=0,0,ROUND($S447*Übersicht!$C$26,2))</f>
        <v>0</v>
      </c>
      <c r="R448" s="38">
        <f>IF($S447&lt;=0,0,MIN($S447,IF(Übersicht!$C$14="Annuitätendarlehen",MAX(0,Übersicht!$C$28-$Q448),IF(Übersicht!$C$14="Ratendarlehen",Übersicht!$C$29,IF($A448&gt;=Übersicht!$C$30,$S447,0)))))</f>
        <v>0</v>
      </c>
      <c r="S448" s="38">
        <f>IF($S447&lt;=0,0,ROUND($S447-$R448-IF($S447-$R448&lt;=0,0,IF(MOD($A448,Übersicht!$C$25)=0,MIN(Szenarien!$C$8,$S447-$R448),0)),2))</f>
        <v>0</v>
      </c>
      <c r="T448" s="38">
        <f>IF($V447&lt;=0,0,ROUND($V447*Übersicht!$C$26,2))</f>
        <v>0</v>
      </c>
      <c r="U448" s="38">
        <f>IF($V447&lt;=0,0,MIN($V447,IF(Übersicht!$C$14="Annuitätendarlehen",MAX(0,Übersicht!$C$28-$T448),IF(Übersicht!$C$14="Ratendarlehen",Übersicht!$C$29,IF($A448&gt;=Übersicht!$C$30,$V447,0)))))</f>
        <v>0</v>
      </c>
      <c r="V448" s="38">
        <f>IF($V447&lt;=0,0,ROUND($V447-$U448-IF($V447-$U448&lt;=0,0,IF(MOD($A448,Übersicht!$C$25)=0,MIN(Szenarien!$C$9,$V447-$U448),0)),2))</f>
        <v>0</v>
      </c>
      <c r="W448" s="38">
        <f>IF($Y447&lt;=0,0,ROUND($Y447*Übersicht!$C$26,2))</f>
        <v>0</v>
      </c>
      <c r="X448" s="38">
        <f>IF($Y447&lt;=0,0,MIN($Y447,IF(Übersicht!$C$14="Annuitätendarlehen",MAX(0,Übersicht!$C$28-$W448),IF(Übersicht!$C$14="Ratendarlehen",Übersicht!$C$29,IF($A448&gt;=Übersicht!$C$30,$Y447,0)))))</f>
        <v>0</v>
      </c>
      <c r="Y448" s="38">
        <f>IF($Y447&lt;=0,0,ROUND($Y447-$X448-IF($Y447-$X448&lt;=0,0,IF(MOD($A448,Übersicht!$C$25)=0,MIN(Szenarien!$C$10,$Y447-$X448),0)),2))</f>
        <v>0</v>
      </c>
      <c r="Z448" s="38">
        <f>IF($AB447&lt;=0,0,ROUND($AB447*Übersicht!$C$26,2))</f>
        <v>0</v>
      </c>
      <c r="AA448" s="38">
        <f>IF($AB447&lt;=0,0,MIN($AB447,IF(Übersicht!$C$14="Annuitätendarlehen",MAX(0,Übersicht!$C$28-$Z448),IF(Übersicht!$C$14="Ratendarlehen",Übersicht!$C$29,IF($A448&gt;=Übersicht!$C$30,$AB447,0)))))</f>
        <v>0</v>
      </c>
      <c r="AB448" s="38">
        <f>IF($AB447&lt;=0,0,ROUND($AB447-$AA448-IF($AB447-$AA448&lt;=0,0,IF(MOD($A448,Übersicht!$C$25)=0,MIN(Szenarien!$C$11,$AB447-$AA448),0)),2))</f>
        <v>0</v>
      </c>
      <c r="AC448" s="38">
        <f>IF($AE447&lt;=0,0,ROUND($AE447*Übersicht!$C$26,2))</f>
        <v>0</v>
      </c>
      <c r="AD448" s="38">
        <f>IF($AE447&lt;=0,0,MIN($AE447,IF(Übersicht!$C$14="Annuitätendarlehen",MAX(0,Übersicht!$C$28-$AC448),IF(Übersicht!$C$14="Ratendarlehen",Übersicht!$C$29,IF($A448&gt;=Übersicht!$C$30,$AE447,0)))))</f>
        <v>0</v>
      </c>
      <c r="AE448" s="38">
        <f>IF($AE447&lt;=0,0,ROUND($AE447-$AD448-IF($AE447-$AD448&lt;=0,0,IF(MOD($A448,Übersicht!$C$25)=0,MIN(Szenarien!$C$12,$AE447-$AD448),0)),2))</f>
        <v>0</v>
      </c>
    </row>
    <row r="449" spans="1:31" ht="15" customHeight="1" x14ac:dyDescent="0.25">
      <c r="A449" s="26">
        <v>442</v>
      </c>
      <c r="B449" s="39" t="str">
        <f>IF($D449&lt;=0,"",EDATE(Übersicht!$C$18,($A449-1)*12/Übersicht!$C$25))</f>
        <v/>
      </c>
      <c r="C449" s="26" t="str">
        <f t="shared" si="42"/>
        <v/>
      </c>
      <c r="D449" s="40">
        <f t="shared" si="46"/>
        <v>0</v>
      </c>
      <c r="E449" s="28">
        <f t="shared" si="43"/>
        <v>0</v>
      </c>
      <c r="F449" s="28">
        <f>IF($D449&lt;=0,0,ROUND($D449*Übersicht!$C$26,2))</f>
        <v>0</v>
      </c>
      <c r="G449" s="28">
        <f>IF($D449&lt;=0,0,MIN($D449,IF(Übersicht!$C$14="Annuitätendarlehen",MAX(0,Übersicht!$C$28-$F449),IF(Übersicht!$C$14="Ratendarlehen",Übersicht!$C$29,IF($A449&gt;=Übersicht!$C$30,$D449,0)))))</f>
        <v>0</v>
      </c>
      <c r="H449" s="28">
        <f>IF($D449-$G449&lt;=0,0,IF(MOD($A449,Übersicht!$C$25)=0,MIN(Übersicht!$C$31,$D449-$G449),0))</f>
        <v>0</v>
      </c>
      <c r="I449" s="28">
        <f t="shared" si="44"/>
        <v>0</v>
      </c>
      <c r="J449" s="28">
        <f t="shared" si="45"/>
        <v>0</v>
      </c>
      <c r="K449" s="28">
        <f t="shared" si="47"/>
        <v>80072.129999999961</v>
      </c>
      <c r="L449" s="28">
        <f t="shared" si="48"/>
        <v>250000</v>
      </c>
      <c r="M449" s="29" t="str">
        <f>IF($D449&lt;=0,"",IF(Übersicht!$C$11=0,0,$L449/Übersicht!$C$11))</f>
        <v/>
      </c>
      <c r="N449" s="30" t="str">
        <f>IF($D449&lt;=0,"",IF($J449&lt;=0.005,"Volltilgung erreicht",IF($A449=Übersicht!$C$19*Übersicht!$C$25,"Ende der Zinsbindung",IF($H449&gt;0,"Sondertilgung verrechnet",""))))</f>
        <v/>
      </c>
      <c r="Q449" s="38">
        <f>IF($S448&lt;=0,0,ROUND($S448*Übersicht!$C$26,2))</f>
        <v>0</v>
      </c>
      <c r="R449" s="38">
        <f>IF($S448&lt;=0,0,MIN($S448,IF(Übersicht!$C$14="Annuitätendarlehen",MAX(0,Übersicht!$C$28-$Q449),IF(Übersicht!$C$14="Ratendarlehen",Übersicht!$C$29,IF($A449&gt;=Übersicht!$C$30,$S448,0)))))</f>
        <v>0</v>
      </c>
      <c r="S449" s="38">
        <f>IF($S448&lt;=0,0,ROUND($S448-$R449-IF($S448-$R449&lt;=0,0,IF(MOD($A449,Übersicht!$C$25)=0,MIN(Szenarien!$C$8,$S448-$R449),0)),2))</f>
        <v>0</v>
      </c>
      <c r="T449" s="38">
        <f>IF($V448&lt;=0,0,ROUND($V448*Übersicht!$C$26,2))</f>
        <v>0</v>
      </c>
      <c r="U449" s="38">
        <f>IF($V448&lt;=0,0,MIN($V448,IF(Übersicht!$C$14="Annuitätendarlehen",MAX(0,Übersicht!$C$28-$T449),IF(Übersicht!$C$14="Ratendarlehen",Übersicht!$C$29,IF($A449&gt;=Übersicht!$C$30,$V448,0)))))</f>
        <v>0</v>
      </c>
      <c r="V449" s="38">
        <f>IF($V448&lt;=0,0,ROUND($V448-$U449-IF($V448-$U449&lt;=0,0,IF(MOD($A449,Übersicht!$C$25)=0,MIN(Szenarien!$C$9,$V448-$U449),0)),2))</f>
        <v>0</v>
      </c>
      <c r="W449" s="38">
        <f>IF($Y448&lt;=0,0,ROUND($Y448*Übersicht!$C$26,2))</f>
        <v>0</v>
      </c>
      <c r="X449" s="38">
        <f>IF($Y448&lt;=0,0,MIN($Y448,IF(Übersicht!$C$14="Annuitätendarlehen",MAX(0,Übersicht!$C$28-$W449),IF(Übersicht!$C$14="Ratendarlehen",Übersicht!$C$29,IF($A449&gt;=Übersicht!$C$30,$Y448,0)))))</f>
        <v>0</v>
      </c>
      <c r="Y449" s="38">
        <f>IF($Y448&lt;=0,0,ROUND($Y448-$X449-IF($Y448-$X449&lt;=0,0,IF(MOD($A449,Übersicht!$C$25)=0,MIN(Szenarien!$C$10,$Y448-$X449),0)),2))</f>
        <v>0</v>
      </c>
      <c r="Z449" s="38">
        <f>IF($AB448&lt;=0,0,ROUND($AB448*Übersicht!$C$26,2))</f>
        <v>0</v>
      </c>
      <c r="AA449" s="38">
        <f>IF($AB448&lt;=0,0,MIN($AB448,IF(Übersicht!$C$14="Annuitätendarlehen",MAX(0,Übersicht!$C$28-$Z449),IF(Übersicht!$C$14="Ratendarlehen",Übersicht!$C$29,IF($A449&gt;=Übersicht!$C$30,$AB448,0)))))</f>
        <v>0</v>
      </c>
      <c r="AB449" s="38">
        <f>IF($AB448&lt;=0,0,ROUND($AB448-$AA449-IF($AB448-$AA449&lt;=0,0,IF(MOD($A449,Übersicht!$C$25)=0,MIN(Szenarien!$C$11,$AB448-$AA449),0)),2))</f>
        <v>0</v>
      </c>
      <c r="AC449" s="38">
        <f>IF($AE448&lt;=0,0,ROUND($AE448*Übersicht!$C$26,2))</f>
        <v>0</v>
      </c>
      <c r="AD449" s="38">
        <f>IF($AE448&lt;=0,0,MIN($AE448,IF(Übersicht!$C$14="Annuitätendarlehen",MAX(0,Übersicht!$C$28-$AC449),IF(Übersicht!$C$14="Ratendarlehen",Übersicht!$C$29,IF($A449&gt;=Übersicht!$C$30,$AE448,0)))))</f>
        <v>0</v>
      </c>
      <c r="AE449" s="38">
        <f>IF($AE448&lt;=0,0,ROUND($AE448-$AD449-IF($AE448-$AD449&lt;=0,0,IF(MOD($A449,Übersicht!$C$25)=0,MIN(Szenarien!$C$12,$AE448-$AD449),0)),2))</f>
        <v>0</v>
      </c>
    </row>
    <row r="450" spans="1:31" ht="15" customHeight="1" x14ac:dyDescent="0.25">
      <c r="A450" s="21">
        <v>443</v>
      </c>
      <c r="B450" s="36" t="str">
        <f>IF($D450&lt;=0,"",EDATE(Übersicht!$C$18,($A450-1)*12/Übersicht!$C$25))</f>
        <v/>
      </c>
      <c r="C450" s="21" t="str">
        <f t="shared" si="42"/>
        <v/>
      </c>
      <c r="D450" s="37">
        <f t="shared" si="46"/>
        <v>0</v>
      </c>
      <c r="E450" s="23">
        <f t="shared" si="43"/>
        <v>0</v>
      </c>
      <c r="F450" s="23">
        <f>IF($D450&lt;=0,0,ROUND($D450*Übersicht!$C$26,2))</f>
        <v>0</v>
      </c>
      <c r="G450" s="23">
        <f>IF($D450&lt;=0,0,MIN($D450,IF(Übersicht!$C$14="Annuitätendarlehen",MAX(0,Übersicht!$C$28-$F450),IF(Übersicht!$C$14="Ratendarlehen",Übersicht!$C$29,IF($A450&gt;=Übersicht!$C$30,$D450,0)))))</f>
        <v>0</v>
      </c>
      <c r="H450" s="23">
        <f>IF($D450-$G450&lt;=0,0,IF(MOD($A450,Übersicht!$C$25)=0,MIN(Übersicht!$C$31,$D450-$G450),0))</f>
        <v>0</v>
      </c>
      <c r="I450" s="23">
        <f t="shared" si="44"/>
        <v>0</v>
      </c>
      <c r="J450" s="23">
        <f t="shared" si="45"/>
        <v>0</v>
      </c>
      <c r="K450" s="23">
        <f t="shared" si="47"/>
        <v>80072.129999999961</v>
      </c>
      <c r="L450" s="23">
        <f t="shared" si="48"/>
        <v>250000</v>
      </c>
      <c r="M450" s="24" t="str">
        <f>IF($D450&lt;=0,"",IF(Übersicht!$C$11=0,0,$L450/Übersicht!$C$11))</f>
        <v/>
      </c>
      <c r="N450" s="25" t="str">
        <f>IF($D450&lt;=0,"",IF($J450&lt;=0.005,"Volltilgung erreicht",IF($A450=Übersicht!$C$19*Übersicht!$C$25,"Ende der Zinsbindung",IF($H450&gt;0,"Sondertilgung verrechnet",""))))</f>
        <v/>
      </c>
      <c r="Q450" s="38">
        <f>IF($S449&lt;=0,0,ROUND($S449*Übersicht!$C$26,2))</f>
        <v>0</v>
      </c>
      <c r="R450" s="38">
        <f>IF($S449&lt;=0,0,MIN($S449,IF(Übersicht!$C$14="Annuitätendarlehen",MAX(0,Übersicht!$C$28-$Q450),IF(Übersicht!$C$14="Ratendarlehen",Übersicht!$C$29,IF($A450&gt;=Übersicht!$C$30,$S449,0)))))</f>
        <v>0</v>
      </c>
      <c r="S450" s="38">
        <f>IF($S449&lt;=0,0,ROUND($S449-$R450-IF($S449-$R450&lt;=0,0,IF(MOD($A450,Übersicht!$C$25)=0,MIN(Szenarien!$C$8,$S449-$R450),0)),2))</f>
        <v>0</v>
      </c>
      <c r="T450" s="38">
        <f>IF($V449&lt;=0,0,ROUND($V449*Übersicht!$C$26,2))</f>
        <v>0</v>
      </c>
      <c r="U450" s="38">
        <f>IF($V449&lt;=0,0,MIN($V449,IF(Übersicht!$C$14="Annuitätendarlehen",MAX(0,Übersicht!$C$28-$T450),IF(Übersicht!$C$14="Ratendarlehen",Übersicht!$C$29,IF($A450&gt;=Übersicht!$C$30,$V449,0)))))</f>
        <v>0</v>
      </c>
      <c r="V450" s="38">
        <f>IF($V449&lt;=0,0,ROUND($V449-$U450-IF($V449-$U450&lt;=0,0,IF(MOD($A450,Übersicht!$C$25)=0,MIN(Szenarien!$C$9,$V449-$U450),0)),2))</f>
        <v>0</v>
      </c>
      <c r="W450" s="38">
        <f>IF($Y449&lt;=0,0,ROUND($Y449*Übersicht!$C$26,2))</f>
        <v>0</v>
      </c>
      <c r="X450" s="38">
        <f>IF($Y449&lt;=0,0,MIN($Y449,IF(Übersicht!$C$14="Annuitätendarlehen",MAX(0,Übersicht!$C$28-$W450),IF(Übersicht!$C$14="Ratendarlehen",Übersicht!$C$29,IF($A450&gt;=Übersicht!$C$30,$Y449,0)))))</f>
        <v>0</v>
      </c>
      <c r="Y450" s="38">
        <f>IF($Y449&lt;=0,0,ROUND($Y449-$X450-IF($Y449-$X450&lt;=0,0,IF(MOD($A450,Übersicht!$C$25)=0,MIN(Szenarien!$C$10,$Y449-$X450),0)),2))</f>
        <v>0</v>
      </c>
      <c r="Z450" s="38">
        <f>IF($AB449&lt;=0,0,ROUND($AB449*Übersicht!$C$26,2))</f>
        <v>0</v>
      </c>
      <c r="AA450" s="38">
        <f>IF($AB449&lt;=0,0,MIN($AB449,IF(Übersicht!$C$14="Annuitätendarlehen",MAX(0,Übersicht!$C$28-$Z450),IF(Übersicht!$C$14="Ratendarlehen",Übersicht!$C$29,IF($A450&gt;=Übersicht!$C$30,$AB449,0)))))</f>
        <v>0</v>
      </c>
      <c r="AB450" s="38">
        <f>IF($AB449&lt;=0,0,ROUND($AB449-$AA450-IF($AB449-$AA450&lt;=0,0,IF(MOD($A450,Übersicht!$C$25)=0,MIN(Szenarien!$C$11,$AB449-$AA450),0)),2))</f>
        <v>0</v>
      </c>
      <c r="AC450" s="38">
        <f>IF($AE449&lt;=0,0,ROUND($AE449*Übersicht!$C$26,2))</f>
        <v>0</v>
      </c>
      <c r="AD450" s="38">
        <f>IF($AE449&lt;=0,0,MIN($AE449,IF(Übersicht!$C$14="Annuitätendarlehen",MAX(0,Übersicht!$C$28-$AC450),IF(Übersicht!$C$14="Ratendarlehen",Übersicht!$C$29,IF($A450&gt;=Übersicht!$C$30,$AE449,0)))))</f>
        <v>0</v>
      </c>
      <c r="AE450" s="38">
        <f>IF($AE449&lt;=0,0,ROUND($AE449-$AD450-IF($AE449-$AD450&lt;=0,0,IF(MOD($A450,Übersicht!$C$25)=0,MIN(Szenarien!$C$12,$AE449-$AD450),0)),2))</f>
        <v>0</v>
      </c>
    </row>
    <row r="451" spans="1:31" ht="15" customHeight="1" x14ac:dyDescent="0.25">
      <c r="A451" s="26">
        <v>444</v>
      </c>
      <c r="B451" s="39" t="str">
        <f>IF($D451&lt;=0,"",EDATE(Übersicht!$C$18,($A451-1)*12/Übersicht!$C$25))</f>
        <v/>
      </c>
      <c r="C451" s="26" t="str">
        <f t="shared" si="42"/>
        <v/>
      </c>
      <c r="D451" s="40">
        <f t="shared" si="46"/>
        <v>0</v>
      </c>
      <c r="E451" s="28">
        <f t="shared" si="43"/>
        <v>0</v>
      </c>
      <c r="F451" s="28">
        <f>IF($D451&lt;=0,0,ROUND($D451*Übersicht!$C$26,2))</f>
        <v>0</v>
      </c>
      <c r="G451" s="28">
        <f>IF($D451&lt;=0,0,MIN($D451,IF(Übersicht!$C$14="Annuitätendarlehen",MAX(0,Übersicht!$C$28-$F451),IF(Übersicht!$C$14="Ratendarlehen",Übersicht!$C$29,IF($A451&gt;=Übersicht!$C$30,$D451,0)))))</f>
        <v>0</v>
      </c>
      <c r="H451" s="28">
        <f>IF($D451-$G451&lt;=0,0,IF(MOD($A451,Übersicht!$C$25)=0,MIN(Übersicht!$C$31,$D451-$G451),0))</f>
        <v>0</v>
      </c>
      <c r="I451" s="28">
        <f t="shared" si="44"/>
        <v>0</v>
      </c>
      <c r="J451" s="28">
        <f t="shared" si="45"/>
        <v>0</v>
      </c>
      <c r="K451" s="28">
        <f t="shared" si="47"/>
        <v>80072.129999999961</v>
      </c>
      <c r="L451" s="28">
        <f t="shared" si="48"/>
        <v>250000</v>
      </c>
      <c r="M451" s="29" t="str">
        <f>IF($D451&lt;=0,"",IF(Übersicht!$C$11=0,0,$L451/Übersicht!$C$11))</f>
        <v/>
      </c>
      <c r="N451" s="30" t="str">
        <f>IF($D451&lt;=0,"",IF($J451&lt;=0.005,"Volltilgung erreicht",IF($A451=Übersicht!$C$19*Übersicht!$C$25,"Ende der Zinsbindung",IF($H451&gt;0,"Sondertilgung verrechnet",""))))</f>
        <v/>
      </c>
      <c r="Q451" s="38">
        <f>IF($S450&lt;=0,0,ROUND($S450*Übersicht!$C$26,2))</f>
        <v>0</v>
      </c>
      <c r="R451" s="38">
        <f>IF($S450&lt;=0,0,MIN($S450,IF(Übersicht!$C$14="Annuitätendarlehen",MAX(0,Übersicht!$C$28-$Q451),IF(Übersicht!$C$14="Ratendarlehen",Übersicht!$C$29,IF($A451&gt;=Übersicht!$C$30,$S450,0)))))</f>
        <v>0</v>
      </c>
      <c r="S451" s="38">
        <f>IF($S450&lt;=0,0,ROUND($S450-$R451-IF($S450-$R451&lt;=0,0,IF(MOD($A451,Übersicht!$C$25)=0,MIN(Szenarien!$C$8,$S450-$R451),0)),2))</f>
        <v>0</v>
      </c>
      <c r="T451" s="38">
        <f>IF($V450&lt;=0,0,ROUND($V450*Übersicht!$C$26,2))</f>
        <v>0</v>
      </c>
      <c r="U451" s="38">
        <f>IF($V450&lt;=0,0,MIN($V450,IF(Übersicht!$C$14="Annuitätendarlehen",MAX(0,Übersicht!$C$28-$T451),IF(Übersicht!$C$14="Ratendarlehen",Übersicht!$C$29,IF($A451&gt;=Übersicht!$C$30,$V450,0)))))</f>
        <v>0</v>
      </c>
      <c r="V451" s="38">
        <f>IF($V450&lt;=0,0,ROUND($V450-$U451-IF($V450-$U451&lt;=0,0,IF(MOD($A451,Übersicht!$C$25)=0,MIN(Szenarien!$C$9,$V450-$U451),0)),2))</f>
        <v>0</v>
      </c>
      <c r="W451" s="38">
        <f>IF($Y450&lt;=0,0,ROUND($Y450*Übersicht!$C$26,2))</f>
        <v>0</v>
      </c>
      <c r="X451" s="38">
        <f>IF($Y450&lt;=0,0,MIN($Y450,IF(Übersicht!$C$14="Annuitätendarlehen",MAX(0,Übersicht!$C$28-$W451),IF(Übersicht!$C$14="Ratendarlehen",Übersicht!$C$29,IF($A451&gt;=Übersicht!$C$30,$Y450,0)))))</f>
        <v>0</v>
      </c>
      <c r="Y451" s="38">
        <f>IF($Y450&lt;=0,0,ROUND($Y450-$X451-IF($Y450-$X451&lt;=0,0,IF(MOD($A451,Übersicht!$C$25)=0,MIN(Szenarien!$C$10,$Y450-$X451),0)),2))</f>
        <v>0</v>
      </c>
      <c r="Z451" s="38">
        <f>IF($AB450&lt;=0,0,ROUND($AB450*Übersicht!$C$26,2))</f>
        <v>0</v>
      </c>
      <c r="AA451" s="38">
        <f>IF($AB450&lt;=0,0,MIN($AB450,IF(Übersicht!$C$14="Annuitätendarlehen",MAX(0,Übersicht!$C$28-$Z451),IF(Übersicht!$C$14="Ratendarlehen",Übersicht!$C$29,IF($A451&gt;=Übersicht!$C$30,$AB450,0)))))</f>
        <v>0</v>
      </c>
      <c r="AB451" s="38">
        <f>IF($AB450&lt;=0,0,ROUND($AB450-$AA451-IF($AB450-$AA451&lt;=0,0,IF(MOD($A451,Übersicht!$C$25)=0,MIN(Szenarien!$C$11,$AB450-$AA451),0)),2))</f>
        <v>0</v>
      </c>
      <c r="AC451" s="38">
        <f>IF($AE450&lt;=0,0,ROUND($AE450*Übersicht!$C$26,2))</f>
        <v>0</v>
      </c>
      <c r="AD451" s="38">
        <f>IF($AE450&lt;=0,0,MIN($AE450,IF(Übersicht!$C$14="Annuitätendarlehen",MAX(0,Übersicht!$C$28-$AC451),IF(Übersicht!$C$14="Ratendarlehen",Übersicht!$C$29,IF($A451&gt;=Übersicht!$C$30,$AE450,0)))))</f>
        <v>0</v>
      </c>
      <c r="AE451" s="38">
        <f>IF($AE450&lt;=0,0,ROUND($AE450-$AD451-IF($AE450-$AD451&lt;=0,0,IF(MOD($A451,Übersicht!$C$25)=0,MIN(Szenarien!$C$12,$AE450-$AD451),0)),2))</f>
        <v>0</v>
      </c>
    </row>
    <row r="452" spans="1:31" ht="15" customHeight="1" x14ac:dyDescent="0.25">
      <c r="A452" s="21">
        <v>445</v>
      </c>
      <c r="B452" s="36" t="str">
        <f>IF($D452&lt;=0,"",EDATE(Übersicht!$C$18,($A452-1)*12/Übersicht!$C$25))</f>
        <v/>
      </c>
      <c r="C452" s="21" t="str">
        <f t="shared" si="42"/>
        <v/>
      </c>
      <c r="D452" s="37">
        <f t="shared" si="46"/>
        <v>0</v>
      </c>
      <c r="E452" s="23">
        <f t="shared" si="43"/>
        <v>0</v>
      </c>
      <c r="F452" s="23">
        <f>IF($D452&lt;=0,0,ROUND($D452*Übersicht!$C$26,2))</f>
        <v>0</v>
      </c>
      <c r="G452" s="23">
        <f>IF($D452&lt;=0,0,MIN($D452,IF(Übersicht!$C$14="Annuitätendarlehen",MAX(0,Übersicht!$C$28-$F452),IF(Übersicht!$C$14="Ratendarlehen",Übersicht!$C$29,IF($A452&gt;=Übersicht!$C$30,$D452,0)))))</f>
        <v>0</v>
      </c>
      <c r="H452" s="23">
        <f>IF($D452-$G452&lt;=0,0,IF(MOD($A452,Übersicht!$C$25)=0,MIN(Übersicht!$C$31,$D452-$G452),0))</f>
        <v>0</v>
      </c>
      <c r="I452" s="23">
        <f t="shared" si="44"/>
        <v>0</v>
      </c>
      <c r="J452" s="23">
        <f t="shared" si="45"/>
        <v>0</v>
      </c>
      <c r="K452" s="23">
        <f t="shared" si="47"/>
        <v>80072.129999999961</v>
      </c>
      <c r="L452" s="23">
        <f t="shared" si="48"/>
        <v>250000</v>
      </c>
      <c r="M452" s="24" t="str">
        <f>IF($D452&lt;=0,"",IF(Übersicht!$C$11=0,0,$L452/Übersicht!$C$11))</f>
        <v/>
      </c>
      <c r="N452" s="25" t="str">
        <f>IF($D452&lt;=0,"",IF($J452&lt;=0.005,"Volltilgung erreicht",IF($A452=Übersicht!$C$19*Übersicht!$C$25,"Ende der Zinsbindung",IF($H452&gt;0,"Sondertilgung verrechnet",""))))</f>
        <v/>
      </c>
      <c r="Q452" s="38">
        <f>IF($S451&lt;=0,0,ROUND($S451*Übersicht!$C$26,2))</f>
        <v>0</v>
      </c>
      <c r="R452" s="38">
        <f>IF($S451&lt;=0,0,MIN($S451,IF(Übersicht!$C$14="Annuitätendarlehen",MAX(0,Übersicht!$C$28-$Q452),IF(Übersicht!$C$14="Ratendarlehen",Übersicht!$C$29,IF($A452&gt;=Übersicht!$C$30,$S451,0)))))</f>
        <v>0</v>
      </c>
      <c r="S452" s="38">
        <f>IF($S451&lt;=0,0,ROUND($S451-$R452-IF($S451-$R452&lt;=0,0,IF(MOD($A452,Übersicht!$C$25)=0,MIN(Szenarien!$C$8,$S451-$R452),0)),2))</f>
        <v>0</v>
      </c>
      <c r="T452" s="38">
        <f>IF($V451&lt;=0,0,ROUND($V451*Übersicht!$C$26,2))</f>
        <v>0</v>
      </c>
      <c r="U452" s="38">
        <f>IF($V451&lt;=0,0,MIN($V451,IF(Übersicht!$C$14="Annuitätendarlehen",MAX(0,Übersicht!$C$28-$T452),IF(Übersicht!$C$14="Ratendarlehen",Übersicht!$C$29,IF($A452&gt;=Übersicht!$C$30,$V451,0)))))</f>
        <v>0</v>
      </c>
      <c r="V452" s="38">
        <f>IF($V451&lt;=0,0,ROUND($V451-$U452-IF($V451-$U452&lt;=0,0,IF(MOD($A452,Übersicht!$C$25)=0,MIN(Szenarien!$C$9,$V451-$U452),0)),2))</f>
        <v>0</v>
      </c>
      <c r="W452" s="38">
        <f>IF($Y451&lt;=0,0,ROUND($Y451*Übersicht!$C$26,2))</f>
        <v>0</v>
      </c>
      <c r="X452" s="38">
        <f>IF($Y451&lt;=0,0,MIN($Y451,IF(Übersicht!$C$14="Annuitätendarlehen",MAX(0,Übersicht!$C$28-$W452),IF(Übersicht!$C$14="Ratendarlehen",Übersicht!$C$29,IF($A452&gt;=Übersicht!$C$30,$Y451,0)))))</f>
        <v>0</v>
      </c>
      <c r="Y452" s="38">
        <f>IF($Y451&lt;=0,0,ROUND($Y451-$X452-IF($Y451-$X452&lt;=0,0,IF(MOD($A452,Übersicht!$C$25)=0,MIN(Szenarien!$C$10,$Y451-$X452),0)),2))</f>
        <v>0</v>
      </c>
      <c r="Z452" s="38">
        <f>IF($AB451&lt;=0,0,ROUND($AB451*Übersicht!$C$26,2))</f>
        <v>0</v>
      </c>
      <c r="AA452" s="38">
        <f>IF($AB451&lt;=0,0,MIN($AB451,IF(Übersicht!$C$14="Annuitätendarlehen",MAX(0,Übersicht!$C$28-$Z452),IF(Übersicht!$C$14="Ratendarlehen",Übersicht!$C$29,IF($A452&gt;=Übersicht!$C$30,$AB451,0)))))</f>
        <v>0</v>
      </c>
      <c r="AB452" s="38">
        <f>IF($AB451&lt;=0,0,ROUND($AB451-$AA452-IF($AB451-$AA452&lt;=0,0,IF(MOD($A452,Übersicht!$C$25)=0,MIN(Szenarien!$C$11,$AB451-$AA452),0)),2))</f>
        <v>0</v>
      </c>
      <c r="AC452" s="38">
        <f>IF($AE451&lt;=0,0,ROUND($AE451*Übersicht!$C$26,2))</f>
        <v>0</v>
      </c>
      <c r="AD452" s="38">
        <f>IF($AE451&lt;=0,0,MIN($AE451,IF(Übersicht!$C$14="Annuitätendarlehen",MAX(0,Übersicht!$C$28-$AC452),IF(Übersicht!$C$14="Ratendarlehen",Übersicht!$C$29,IF($A452&gt;=Übersicht!$C$30,$AE451,0)))))</f>
        <v>0</v>
      </c>
      <c r="AE452" s="38">
        <f>IF($AE451&lt;=0,0,ROUND($AE451-$AD452-IF($AE451-$AD452&lt;=0,0,IF(MOD($A452,Übersicht!$C$25)=0,MIN(Szenarien!$C$12,$AE451-$AD452),0)),2))</f>
        <v>0</v>
      </c>
    </row>
    <row r="453" spans="1:31" ht="15" customHeight="1" x14ac:dyDescent="0.25">
      <c r="A453" s="26">
        <v>446</v>
      </c>
      <c r="B453" s="39" t="str">
        <f>IF($D453&lt;=0,"",EDATE(Übersicht!$C$18,($A453-1)*12/Übersicht!$C$25))</f>
        <v/>
      </c>
      <c r="C453" s="26" t="str">
        <f t="shared" si="42"/>
        <v/>
      </c>
      <c r="D453" s="40">
        <f t="shared" si="46"/>
        <v>0</v>
      </c>
      <c r="E453" s="28">
        <f t="shared" si="43"/>
        <v>0</v>
      </c>
      <c r="F453" s="28">
        <f>IF($D453&lt;=0,0,ROUND($D453*Übersicht!$C$26,2))</f>
        <v>0</v>
      </c>
      <c r="G453" s="28">
        <f>IF($D453&lt;=0,0,MIN($D453,IF(Übersicht!$C$14="Annuitätendarlehen",MAX(0,Übersicht!$C$28-$F453),IF(Übersicht!$C$14="Ratendarlehen",Übersicht!$C$29,IF($A453&gt;=Übersicht!$C$30,$D453,0)))))</f>
        <v>0</v>
      </c>
      <c r="H453" s="28">
        <f>IF($D453-$G453&lt;=0,0,IF(MOD($A453,Übersicht!$C$25)=0,MIN(Übersicht!$C$31,$D453-$G453),0))</f>
        <v>0</v>
      </c>
      <c r="I453" s="28">
        <f t="shared" si="44"/>
        <v>0</v>
      </c>
      <c r="J453" s="28">
        <f t="shared" si="45"/>
        <v>0</v>
      </c>
      <c r="K453" s="28">
        <f t="shared" si="47"/>
        <v>80072.129999999961</v>
      </c>
      <c r="L453" s="28">
        <f t="shared" si="48"/>
        <v>250000</v>
      </c>
      <c r="M453" s="29" t="str">
        <f>IF($D453&lt;=0,"",IF(Übersicht!$C$11=0,0,$L453/Übersicht!$C$11))</f>
        <v/>
      </c>
      <c r="N453" s="30" t="str">
        <f>IF($D453&lt;=0,"",IF($J453&lt;=0.005,"Volltilgung erreicht",IF($A453=Übersicht!$C$19*Übersicht!$C$25,"Ende der Zinsbindung",IF($H453&gt;0,"Sondertilgung verrechnet",""))))</f>
        <v/>
      </c>
      <c r="Q453" s="38">
        <f>IF($S452&lt;=0,0,ROUND($S452*Übersicht!$C$26,2))</f>
        <v>0</v>
      </c>
      <c r="R453" s="38">
        <f>IF($S452&lt;=0,0,MIN($S452,IF(Übersicht!$C$14="Annuitätendarlehen",MAX(0,Übersicht!$C$28-$Q453),IF(Übersicht!$C$14="Ratendarlehen",Übersicht!$C$29,IF($A453&gt;=Übersicht!$C$30,$S452,0)))))</f>
        <v>0</v>
      </c>
      <c r="S453" s="38">
        <f>IF($S452&lt;=0,0,ROUND($S452-$R453-IF($S452-$R453&lt;=0,0,IF(MOD($A453,Übersicht!$C$25)=0,MIN(Szenarien!$C$8,$S452-$R453),0)),2))</f>
        <v>0</v>
      </c>
      <c r="T453" s="38">
        <f>IF($V452&lt;=0,0,ROUND($V452*Übersicht!$C$26,2))</f>
        <v>0</v>
      </c>
      <c r="U453" s="38">
        <f>IF($V452&lt;=0,0,MIN($V452,IF(Übersicht!$C$14="Annuitätendarlehen",MAX(0,Übersicht!$C$28-$T453),IF(Übersicht!$C$14="Ratendarlehen",Übersicht!$C$29,IF($A453&gt;=Übersicht!$C$30,$V452,0)))))</f>
        <v>0</v>
      </c>
      <c r="V453" s="38">
        <f>IF($V452&lt;=0,0,ROUND($V452-$U453-IF($V452-$U453&lt;=0,0,IF(MOD($A453,Übersicht!$C$25)=0,MIN(Szenarien!$C$9,$V452-$U453),0)),2))</f>
        <v>0</v>
      </c>
      <c r="W453" s="38">
        <f>IF($Y452&lt;=0,0,ROUND($Y452*Übersicht!$C$26,2))</f>
        <v>0</v>
      </c>
      <c r="X453" s="38">
        <f>IF($Y452&lt;=0,0,MIN($Y452,IF(Übersicht!$C$14="Annuitätendarlehen",MAX(0,Übersicht!$C$28-$W453),IF(Übersicht!$C$14="Ratendarlehen",Übersicht!$C$29,IF($A453&gt;=Übersicht!$C$30,$Y452,0)))))</f>
        <v>0</v>
      </c>
      <c r="Y453" s="38">
        <f>IF($Y452&lt;=0,0,ROUND($Y452-$X453-IF($Y452-$X453&lt;=0,0,IF(MOD($A453,Übersicht!$C$25)=0,MIN(Szenarien!$C$10,$Y452-$X453),0)),2))</f>
        <v>0</v>
      </c>
      <c r="Z453" s="38">
        <f>IF($AB452&lt;=0,0,ROUND($AB452*Übersicht!$C$26,2))</f>
        <v>0</v>
      </c>
      <c r="AA453" s="38">
        <f>IF($AB452&lt;=0,0,MIN($AB452,IF(Übersicht!$C$14="Annuitätendarlehen",MAX(0,Übersicht!$C$28-$Z453),IF(Übersicht!$C$14="Ratendarlehen",Übersicht!$C$29,IF($A453&gt;=Übersicht!$C$30,$AB452,0)))))</f>
        <v>0</v>
      </c>
      <c r="AB453" s="38">
        <f>IF($AB452&lt;=0,0,ROUND($AB452-$AA453-IF($AB452-$AA453&lt;=0,0,IF(MOD($A453,Übersicht!$C$25)=0,MIN(Szenarien!$C$11,$AB452-$AA453),0)),2))</f>
        <v>0</v>
      </c>
      <c r="AC453" s="38">
        <f>IF($AE452&lt;=0,0,ROUND($AE452*Übersicht!$C$26,2))</f>
        <v>0</v>
      </c>
      <c r="AD453" s="38">
        <f>IF($AE452&lt;=0,0,MIN($AE452,IF(Übersicht!$C$14="Annuitätendarlehen",MAX(0,Übersicht!$C$28-$AC453),IF(Übersicht!$C$14="Ratendarlehen",Übersicht!$C$29,IF($A453&gt;=Übersicht!$C$30,$AE452,0)))))</f>
        <v>0</v>
      </c>
      <c r="AE453" s="38">
        <f>IF($AE452&lt;=0,0,ROUND($AE452-$AD453-IF($AE452-$AD453&lt;=0,0,IF(MOD($A453,Übersicht!$C$25)=0,MIN(Szenarien!$C$12,$AE452-$AD453),0)),2))</f>
        <v>0</v>
      </c>
    </row>
    <row r="454" spans="1:31" ht="15" customHeight="1" x14ac:dyDescent="0.25">
      <c r="A454" s="21">
        <v>447</v>
      </c>
      <c r="B454" s="36" t="str">
        <f>IF($D454&lt;=0,"",EDATE(Übersicht!$C$18,($A454-1)*12/Übersicht!$C$25))</f>
        <v/>
      </c>
      <c r="C454" s="21" t="str">
        <f t="shared" si="42"/>
        <v/>
      </c>
      <c r="D454" s="37">
        <f t="shared" si="46"/>
        <v>0</v>
      </c>
      <c r="E454" s="23">
        <f t="shared" si="43"/>
        <v>0</v>
      </c>
      <c r="F454" s="23">
        <f>IF($D454&lt;=0,0,ROUND($D454*Übersicht!$C$26,2))</f>
        <v>0</v>
      </c>
      <c r="G454" s="23">
        <f>IF($D454&lt;=0,0,MIN($D454,IF(Übersicht!$C$14="Annuitätendarlehen",MAX(0,Übersicht!$C$28-$F454),IF(Übersicht!$C$14="Ratendarlehen",Übersicht!$C$29,IF($A454&gt;=Übersicht!$C$30,$D454,0)))))</f>
        <v>0</v>
      </c>
      <c r="H454" s="23">
        <f>IF($D454-$G454&lt;=0,0,IF(MOD($A454,Übersicht!$C$25)=0,MIN(Übersicht!$C$31,$D454-$G454),0))</f>
        <v>0</v>
      </c>
      <c r="I454" s="23">
        <f t="shared" si="44"/>
        <v>0</v>
      </c>
      <c r="J454" s="23">
        <f t="shared" si="45"/>
        <v>0</v>
      </c>
      <c r="K454" s="23">
        <f t="shared" si="47"/>
        <v>80072.129999999961</v>
      </c>
      <c r="L454" s="23">
        <f t="shared" si="48"/>
        <v>250000</v>
      </c>
      <c r="M454" s="24" t="str">
        <f>IF($D454&lt;=0,"",IF(Übersicht!$C$11=0,0,$L454/Übersicht!$C$11))</f>
        <v/>
      </c>
      <c r="N454" s="25" t="str">
        <f>IF($D454&lt;=0,"",IF($J454&lt;=0.005,"Volltilgung erreicht",IF($A454=Übersicht!$C$19*Übersicht!$C$25,"Ende der Zinsbindung",IF($H454&gt;0,"Sondertilgung verrechnet",""))))</f>
        <v/>
      </c>
      <c r="Q454" s="38">
        <f>IF($S453&lt;=0,0,ROUND($S453*Übersicht!$C$26,2))</f>
        <v>0</v>
      </c>
      <c r="R454" s="38">
        <f>IF($S453&lt;=0,0,MIN($S453,IF(Übersicht!$C$14="Annuitätendarlehen",MAX(0,Übersicht!$C$28-$Q454),IF(Übersicht!$C$14="Ratendarlehen",Übersicht!$C$29,IF($A454&gt;=Übersicht!$C$30,$S453,0)))))</f>
        <v>0</v>
      </c>
      <c r="S454" s="38">
        <f>IF($S453&lt;=0,0,ROUND($S453-$R454-IF($S453-$R454&lt;=0,0,IF(MOD($A454,Übersicht!$C$25)=0,MIN(Szenarien!$C$8,$S453-$R454),0)),2))</f>
        <v>0</v>
      </c>
      <c r="T454" s="38">
        <f>IF($V453&lt;=0,0,ROUND($V453*Übersicht!$C$26,2))</f>
        <v>0</v>
      </c>
      <c r="U454" s="38">
        <f>IF($V453&lt;=0,0,MIN($V453,IF(Übersicht!$C$14="Annuitätendarlehen",MAX(0,Übersicht!$C$28-$T454),IF(Übersicht!$C$14="Ratendarlehen",Übersicht!$C$29,IF($A454&gt;=Übersicht!$C$30,$V453,0)))))</f>
        <v>0</v>
      </c>
      <c r="V454" s="38">
        <f>IF($V453&lt;=0,0,ROUND($V453-$U454-IF($V453-$U454&lt;=0,0,IF(MOD($A454,Übersicht!$C$25)=0,MIN(Szenarien!$C$9,$V453-$U454),0)),2))</f>
        <v>0</v>
      </c>
      <c r="W454" s="38">
        <f>IF($Y453&lt;=0,0,ROUND($Y453*Übersicht!$C$26,2))</f>
        <v>0</v>
      </c>
      <c r="X454" s="38">
        <f>IF($Y453&lt;=0,0,MIN($Y453,IF(Übersicht!$C$14="Annuitätendarlehen",MAX(0,Übersicht!$C$28-$W454),IF(Übersicht!$C$14="Ratendarlehen",Übersicht!$C$29,IF($A454&gt;=Übersicht!$C$30,$Y453,0)))))</f>
        <v>0</v>
      </c>
      <c r="Y454" s="38">
        <f>IF($Y453&lt;=0,0,ROUND($Y453-$X454-IF($Y453-$X454&lt;=0,0,IF(MOD($A454,Übersicht!$C$25)=0,MIN(Szenarien!$C$10,$Y453-$X454),0)),2))</f>
        <v>0</v>
      </c>
      <c r="Z454" s="38">
        <f>IF($AB453&lt;=0,0,ROUND($AB453*Übersicht!$C$26,2))</f>
        <v>0</v>
      </c>
      <c r="AA454" s="38">
        <f>IF($AB453&lt;=0,0,MIN($AB453,IF(Übersicht!$C$14="Annuitätendarlehen",MAX(0,Übersicht!$C$28-$Z454),IF(Übersicht!$C$14="Ratendarlehen",Übersicht!$C$29,IF($A454&gt;=Übersicht!$C$30,$AB453,0)))))</f>
        <v>0</v>
      </c>
      <c r="AB454" s="38">
        <f>IF($AB453&lt;=0,0,ROUND($AB453-$AA454-IF($AB453-$AA454&lt;=0,0,IF(MOD($A454,Übersicht!$C$25)=0,MIN(Szenarien!$C$11,$AB453-$AA454),0)),2))</f>
        <v>0</v>
      </c>
      <c r="AC454" s="38">
        <f>IF($AE453&lt;=0,0,ROUND($AE453*Übersicht!$C$26,2))</f>
        <v>0</v>
      </c>
      <c r="AD454" s="38">
        <f>IF($AE453&lt;=0,0,MIN($AE453,IF(Übersicht!$C$14="Annuitätendarlehen",MAX(0,Übersicht!$C$28-$AC454),IF(Übersicht!$C$14="Ratendarlehen",Übersicht!$C$29,IF($A454&gt;=Übersicht!$C$30,$AE453,0)))))</f>
        <v>0</v>
      </c>
      <c r="AE454" s="38">
        <f>IF($AE453&lt;=0,0,ROUND($AE453-$AD454-IF($AE453-$AD454&lt;=0,0,IF(MOD($A454,Übersicht!$C$25)=0,MIN(Szenarien!$C$12,$AE453-$AD454),0)),2))</f>
        <v>0</v>
      </c>
    </row>
    <row r="455" spans="1:31" ht="15" customHeight="1" x14ac:dyDescent="0.25">
      <c r="A455" s="26">
        <v>448</v>
      </c>
      <c r="B455" s="39" t="str">
        <f>IF($D455&lt;=0,"",EDATE(Übersicht!$C$18,($A455-1)*12/Übersicht!$C$25))</f>
        <v/>
      </c>
      <c r="C455" s="26" t="str">
        <f t="shared" si="42"/>
        <v/>
      </c>
      <c r="D455" s="40">
        <f t="shared" si="46"/>
        <v>0</v>
      </c>
      <c r="E455" s="28">
        <f t="shared" si="43"/>
        <v>0</v>
      </c>
      <c r="F455" s="28">
        <f>IF($D455&lt;=0,0,ROUND($D455*Übersicht!$C$26,2))</f>
        <v>0</v>
      </c>
      <c r="G455" s="28">
        <f>IF($D455&lt;=0,0,MIN($D455,IF(Übersicht!$C$14="Annuitätendarlehen",MAX(0,Übersicht!$C$28-$F455),IF(Übersicht!$C$14="Ratendarlehen",Übersicht!$C$29,IF($A455&gt;=Übersicht!$C$30,$D455,0)))))</f>
        <v>0</v>
      </c>
      <c r="H455" s="28">
        <f>IF($D455-$G455&lt;=0,0,IF(MOD($A455,Übersicht!$C$25)=0,MIN(Übersicht!$C$31,$D455-$G455),0))</f>
        <v>0</v>
      </c>
      <c r="I455" s="28">
        <f t="shared" si="44"/>
        <v>0</v>
      </c>
      <c r="J455" s="28">
        <f t="shared" si="45"/>
        <v>0</v>
      </c>
      <c r="K455" s="28">
        <f t="shared" si="47"/>
        <v>80072.129999999961</v>
      </c>
      <c r="L455" s="28">
        <f t="shared" si="48"/>
        <v>250000</v>
      </c>
      <c r="M455" s="29" t="str">
        <f>IF($D455&lt;=0,"",IF(Übersicht!$C$11=0,0,$L455/Übersicht!$C$11))</f>
        <v/>
      </c>
      <c r="N455" s="30" t="str">
        <f>IF($D455&lt;=0,"",IF($J455&lt;=0.005,"Volltilgung erreicht",IF($A455=Übersicht!$C$19*Übersicht!$C$25,"Ende der Zinsbindung",IF($H455&gt;0,"Sondertilgung verrechnet",""))))</f>
        <v/>
      </c>
      <c r="Q455" s="38">
        <f>IF($S454&lt;=0,0,ROUND($S454*Übersicht!$C$26,2))</f>
        <v>0</v>
      </c>
      <c r="R455" s="38">
        <f>IF($S454&lt;=0,0,MIN($S454,IF(Übersicht!$C$14="Annuitätendarlehen",MAX(0,Übersicht!$C$28-$Q455),IF(Übersicht!$C$14="Ratendarlehen",Übersicht!$C$29,IF($A455&gt;=Übersicht!$C$30,$S454,0)))))</f>
        <v>0</v>
      </c>
      <c r="S455" s="38">
        <f>IF($S454&lt;=0,0,ROUND($S454-$R455-IF($S454-$R455&lt;=0,0,IF(MOD($A455,Übersicht!$C$25)=0,MIN(Szenarien!$C$8,$S454-$R455),0)),2))</f>
        <v>0</v>
      </c>
      <c r="T455" s="38">
        <f>IF($V454&lt;=0,0,ROUND($V454*Übersicht!$C$26,2))</f>
        <v>0</v>
      </c>
      <c r="U455" s="38">
        <f>IF($V454&lt;=0,0,MIN($V454,IF(Übersicht!$C$14="Annuitätendarlehen",MAX(0,Übersicht!$C$28-$T455),IF(Übersicht!$C$14="Ratendarlehen",Übersicht!$C$29,IF($A455&gt;=Übersicht!$C$30,$V454,0)))))</f>
        <v>0</v>
      </c>
      <c r="V455" s="38">
        <f>IF($V454&lt;=0,0,ROUND($V454-$U455-IF($V454-$U455&lt;=0,0,IF(MOD($A455,Übersicht!$C$25)=0,MIN(Szenarien!$C$9,$V454-$U455),0)),2))</f>
        <v>0</v>
      </c>
      <c r="W455" s="38">
        <f>IF($Y454&lt;=0,0,ROUND($Y454*Übersicht!$C$26,2))</f>
        <v>0</v>
      </c>
      <c r="X455" s="38">
        <f>IF($Y454&lt;=0,0,MIN($Y454,IF(Übersicht!$C$14="Annuitätendarlehen",MAX(0,Übersicht!$C$28-$W455),IF(Übersicht!$C$14="Ratendarlehen",Übersicht!$C$29,IF($A455&gt;=Übersicht!$C$30,$Y454,0)))))</f>
        <v>0</v>
      </c>
      <c r="Y455" s="38">
        <f>IF($Y454&lt;=0,0,ROUND($Y454-$X455-IF($Y454-$X455&lt;=0,0,IF(MOD($A455,Übersicht!$C$25)=0,MIN(Szenarien!$C$10,$Y454-$X455),0)),2))</f>
        <v>0</v>
      </c>
      <c r="Z455" s="38">
        <f>IF($AB454&lt;=0,0,ROUND($AB454*Übersicht!$C$26,2))</f>
        <v>0</v>
      </c>
      <c r="AA455" s="38">
        <f>IF($AB454&lt;=0,0,MIN($AB454,IF(Übersicht!$C$14="Annuitätendarlehen",MAX(0,Übersicht!$C$28-$Z455),IF(Übersicht!$C$14="Ratendarlehen",Übersicht!$C$29,IF($A455&gt;=Übersicht!$C$30,$AB454,0)))))</f>
        <v>0</v>
      </c>
      <c r="AB455" s="38">
        <f>IF($AB454&lt;=0,0,ROUND($AB454-$AA455-IF($AB454-$AA455&lt;=0,0,IF(MOD($A455,Übersicht!$C$25)=0,MIN(Szenarien!$C$11,$AB454-$AA455),0)),2))</f>
        <v>0</v>
      </c>
      <c r="AC455" s="38">
        <f>IF($AE454&lt;=0,0,ROUND($AE454*Übersicht!$C$26,2))</f>
        <v>0</v>
      </c>
      <c r="AD455" s="38">
        <f>IF($AE454&lt;=0,0,MIN($AE454,IF(Übersicht!$C$14="Annuitätendarlehen",MAX(0,Übersicht!$C$28-$AC455),IF(Übersicht!$C$14="Ratendarlehen",Übersicht!$C$29,IF($A455&gt;=Übersicht!$C$30,$AE454,0)))))</f>
        <v>0</v>
      </c>
      <c r="AE455" s="38">
        <f>IF($AE454&lt;=0,0,ROUND($AE454-$AD455-IF($AE454-$AD455&lt;=0,0,IF(MOD($A455,Übersicht!$C$25)=0,MIN(Szenarien!$C$12,$AE454-$AD455),0)),2))</f>
        <v>0</v>
      </c>
    </row>
    <row r="456" spans="1:31" ht="15" customHeight="1" x14ac:dyDescent="0.25">
      <c r="A456" s="21">
        <v>449</v>
      </c>
      <c r="B456" s="36" t="str">
        <f>IF($D456&lt;=0,"",EDATE(Übersicht!$C$18,($A456-1)*12/Übersicht!$C$25))</f>
        <v/>
      </c>
      <c r="C456" s="21" t="str">
        <f t="shared" ref="C456:C487" si="49">IF($B456="","",YEAR($B456))</f>
        <v/>
      </c>
      <c r="D456" s="37">
        <f t="shared" si="46"/>
        <v>0</v>
      </c>
      <c r="E456" s="23">
        <f t="shared" ref="E456:E487" si="50">IF($D456&lt;=0,0,$F456+$G456)</f>
        <v>0</v>
      </c>
      <c r="F456" s="23">
        <f>IF($D456&lt;=0,0,ROUND($D456*Übersicht!$C$26,2))</f>
        <v>0</v>
      </c>
      <c r="G456" s="23">
        <f>IF($D456&lt;=0,0,MIN($D456,IF(Übersicht!$C$14="Annuitätendarlehen",MAX(0,Übersicht!$C$28-$F456),IF(Übersicht!$C$14="Ratendarlehen",Übersicht!$C$29,IF($A456&gt;=Übersicht!$C$30,$D456,0)))))</f>
        <v>0</v>
      </c>
      <c r="H456" s="23">
        <f>IF($D456-$G456&lt;=0,0,IF(MOD($A456,Übersicht!$C$25)=0,MIN(Übersicht!$C$31,$D456-$G456),0))</f>
        <v>0</v>
      </c>
      <c r="I456" s="23">
        <f t="shared" ref="I456:I487" si="51">IF($D456&lt;=0,0,$E456+$H456)</f>
        <v>0</v>
      </c>
      <c r="J456" s="23">
        <f t="shared" ref="J456:J487" si="52">IF($D456&lt;=0,0,ROUND($D456-$G456-$H456,2))</f>
        <v>0</v>
      </c>
      <c r="K456" s="23">
        <f t="shared" si="47"/>
        <v>80072.129999999961</v>
      </c>
      <c r="L456" s="23">
        <f t="shared" si="48"/>
        <v>250000</v>
      </c>
      <c r="M456" s="24" t="str">
        <f>IF($D456&lt;=0,"",IF(Übersicht!$C$11=0,0,$L456/Übersicht!$C$11))</f>
        <v/>
      </c>
      <c r="N456" s="25" t="str">
        <f>IF($D456&lt;=0,"",IF($J456&lt;=0.005,"Volltilgung erreicht",IF($A456=Übersicht!$C$19*Übersicht!$C$25,"Ende der Zinsbindung",IF($H456&gt;0,"Sondertilgung verrechnet",""))))</f>
        <v/>
      </c>
      <c r="Q456" s="38">
        <f>IF($S455&lt;=0,0,ROUND($S455*Übersicht!$C$26,2))</f>
        <v>0</v>
      </c>
      <c r="R456" s="38">
        <f>IF($S455&lt;=0,0,MIN($S455,IF(Übersicht!$C$14="Annuitätendarlehen",MAX(0,Übersicht!$C$28-$Q456),IF(Übersicht!$C$14="Ratendarlehen",Übersicht!$C$29,IF($A456&gt;=Übersicht!$C$30,$S455,0)))))</f>
        <v>0</v>
      </c>
      <c r="S456" s="38">
        <f>IF($S455&lt;=0,0,ROUND($S455-$R456-IF($S455-$R456&lt;=0,0,IF(MOD($A456,Übersicht!$C$25)=0,MIN(Szenarien!$C$8,$S455-$R456),0)),2))</f>
        <v>0</v>
      </c>
      <c r="T456" s="38">
        <f>IF($V455&lt;=0,0,ROUND($V455*Übersicht!$C$26,2))</f>
        <v>0</v>
      </c>
      <c r="U456" s="38">
        <f>IF($V455&lt;=0,0,MIN($V455,IF(Übersicht!$C$14="Annuitätendarlehen",MAX(0,Übersicht!$C$28-$T456),IF(Übersicht!$C$14="Ratendarlehen",Übersicht!$C$29,IF($A456&gt;=Übersicht!$C$30,$V455,0)))))</f>
        <v>0</v>
      </c>
      <c r="V456" s="38">
        <f>IF($V455&lt;=0,0,ROUND($V455-$U456-IF($V455-$U456&lt;=0,0,IF(MOD($A456,Übersicht!$C$25)=0,MIN(Szenarien!$C$9,$V455-$U456),0)),2))</f>
        <v>0</v>
      </c>
      <c r="W456" s="38">
        <f>IF($Y455&lt;=0,0,ROUND($Y455*Übersicht!$C$26,2))</f>
        <v>0</v>
      </c>
      <c r="X456" s="38">
        <f>IF($Y455&lt;=0,0,MIN($Y455,IF(Übersicht!$C$14="Annuitätendarlehen",MAX(0,Übersicht!$C$28-$W456),IF(Übersicht!$C$14="Ratendarlehen",Übersicht!$C$29,IF($A456&gt;=Übersicht!$C$30,$Y455,0)))))</f>
        <v>0</v>
      </c>
      <c r="Y456" s="38">
        <f>IF($Y455&lt;=0,0,ROUND($Y455-$X456-IF($Y455-$X456&lt;=0,0,IF(MOD($A456,Übersicht!$C$25)=0,MIN(Szenarien!$C$10,$Y455-$X456),0)),2))</f>
        <v>0</v>
      </c>
      <c r="Z456" s="38">
        <f>IF($AB455&lt;=0,0,ROUND($AB455*Übersicht!$C$26,2))</f>
        <v>0</v>
      </c>
      <c r="AA456" s="38">
        <f>IF($AB455&lt;=0,0,MIN($AB455,IF(Übersicht!$C$14="Annuitätendarlehen",MAX(0,Übersicht!$C$28-$Z456),IF(Übersicht!$C$14="Ratendarlehen",Übersicht!$C$29,IF($A456&gt;=Übersicht!$C$30,$AB455,0)))))</f>
        <v>0</v>
      </c>
      <c r="AB456" s="38">
        <f>IF($AB455&lt;=0,0,ROUND($AB455-$AA456-IF($AB455-$AA456&lt;=0,0,IF(MOD($A456,Übersicht!$C$25)=0,MIN(Szenarien!$C$11,$AB455-$AA456),0)),2))</f>
        <v>0</v>
      </c>
      <c r="AC456" s="38">
        <f>IF($AE455&lt;=0,0,ROUND($AE455*Übersicht!$C$26,2))</f>
        <v>0</v>
      </c>
      <c r="AD456" s="38">
        <f>IF($AE455&lt;=0,0,MIN($AE455,IF(Übersicht!$C$14="Annuitätendarlehen",MAX(0,Übersicht!$C$28-$AC456),IF(Übersicht!$C$14="Ratendarlehen",Übersicht!$C$29,IF($A456&gt;=Übersicht!$C$30,$AE455,0)))))</f>
        <v>0</v>
      </c>
      <c r="AE456" s="38">
        <f>IF($AE455&lt;=0,0,ROUND($AE455-$AD456-IF($AE455-$AD456&lt;=0,0,IF(MOD($A456,Übersicht!$C$25)=0,MIN(Szenarien!$C$12,$AE455-$AD456),0)),2))</f>
        <v>0</v>
      </c>
    </row>
    <row r="457" spans="1:31" ht="15" customHeight="1" x14ac:dyDescent="0.25">
      <c r="A457" s="26">
        <v>450</v>
      </c>
      <c r="B457" s="39" t="str">
        <f>IF($D457&lt;=0,"",EDATE(Übersicht!$C$18,($A457-1)*12/Übersicht!$C$25))</f>
        <v/>
      </c>
      <c r="C457" s="26" t="str">
        <f t="shared" si="49"/>
        <v/>
      </c>
      <c r="D457" s="40">
        <f t="shared" ref="D457:D487" si="53">$J456</f>
        <v>0</v>
      </c>
      <c r="E457" s="28">
        <f t="shared" si="50"/>
        <v>0</v>
      </c>
      <c r="F457" s="28">
        <f>IF($D457&lt;=0,0,ROUND($D457*Übersicht!$C$26,2))</f>
        <v>0</v>
      </c>
      <c r="G457" s="28">
        <f>IF($D457&lt;=0,0,MIN($D457,IF(Übersicht!$C$14="Annuitätendarlehen",MAX(0,Übersicht!$C$28-$F457),IF(Übersicht!$C$14="Ratendarlehen",Übersicht!$C$29,IF($A457&gt;=Übersicht!$C$30,$D457,0)))))</f>
        <v>0</v>
      </c>
      <c r="H457" s="28">
        <f>IF($D457-$G457&lt;=0,0,IF(MOD($A457,Übersicht!$C$25)=0,MIN(Übersicht!$C$31,$D457-$G457),0))</f>
        <v>0</v>
      </c>
      <c r="I457" s="28">
        <f t="shared" si="51"/>
        <v>0</v>
      </c>
      <c r="J457" s="28">
        <f t="shared" si="52"/>
        <v>0</v>
      </c>
      <c r="K457" s="28">
        <f t="shared" ref="K457:K487" si="54">$K456+$F457</f>
        <v>80072.129999999961</v>
      </c>
      <c r="L457" s="28">
        <f t="shared" ref="L457:L487" si="55">ROUND($L456+$G457+$H457,2)</f>
        <v>250000</v>
      </c>
      <c r="M457" s="29" t="str">
        <f>IF($D457&lt;=0,"",IF(Übersicht!$C$11=0,0,$L457/Übersicht!$C$11))</f>
        <v/>
      </c>
      <c r="N457" s="30" t="str">
        <f>IF($D457&lt;=0,"",IF($J457&lt;=0.005,"Volltilgung erreicht",IF($A457=Übersicht!$C$19*Übersicht!$C$25,"Ende der Zinsbindung",IF($H457&gt;0,"Sondertilgung verrechnet",""))))</f>
        <v/>
      </c>
      <c r="Q457" s="38">
        <f>IF($S456&lt;=0,0,ROUND($S456*Übersicht!$C$26,2))</f>
        <v>0</v>
      </c>
      <c r="R457" s="38">
        <f>IF($S456&lt;=0,0,MIN($S456,IF(Übersicht!$C$14="Annuitätendarlehen",MAX(0,Übersicht!$C$28-$Q457),IF(Übersicht!$C$14="Ratendarlehen",Übersicht!$C$29,IF($A457&gt;=Übersicht!$C$30,$S456,0)))))</f>
        <v>0</v>
      </c>
      <c r="S457" s="38">
        <f>IF($S456&lt;=0,0,ROUND($S456-$R457-IF($S456-$R457&lt;=0,0,IF(MOD($A457,Übersicht!$C$25)=0,MIN(Szenarien!$C$8,$S456-$R457),0)),2))</f>
        <v>0</v>
      </c>
      <c r="T457" s="38">
        <f>IF($V456&lt;=0,0,ROUND($V456*Übersicht!$C$26,2))</f>
        <v>0</v>
      </c>
      <c r="U457" s="38">
        <f>IF($V456&lt;=0,0,MIN($V456,IF(Übersicht!$C$14="Annuitätendarlehen",MAX(0,Übersicht!$C$28-$T457),IF(Übersicht!$C$14="Ratendarlehen",Übersicht!$C$29,IF($A457&gt;=Übersicht!$C$30,$V456,0)))))</f>
        <v>0</v>
      </c>
      <c r="V457" s="38">
        <f>IF($V456&lt;=0,0,ROUND($V456-$U457-IF($V456-$U457&lt;=0,0,IF(MOD($A457,Übersicht!$C$25)=0,MIN(Szenarien!$C$9,$V456-$U457),0)),2))</f>
        <v>0</v>
      </c>
      <c r="W457" s="38">
        <f>IF($Y456&lt;=0,0,ROUND($Y456*Übersicht!$C$26,2))</f>
        <v>0</v>
      </c>
      <c r="X457" s="38">
        <f>IF($Y456&lt;=0,0,MIN($Y456,IF(Übersicht!$C$14="Annuitätendarlehen",MAX(0,Übersicht!$C$28-$W457),IF(Übersicht!$C$14="Ratendarlehen",Übersicht!$C$29,IF($A457&gt;=Übersicht!$C$30,$Y456,0)))))</f>
        <v>0</v>
      </c>
      <c r="Y457" s="38">
        <f>IF($Y456&lt;=0,0,ROUND($Y456-$X457-IF($Y456-$X457&lt;=0,0,IF(MOD($A457,Übersicht!$C$25)=0,MIN(Szenarien!$C$10,$Y456-$X457),0)),2))</f>
        <v>0</v>
      </c>
      <c r="Z457" s="38">
        <f>IF($AB456&lt;=0,0,ROUND($AB456*Übersicht!$C$26,2))</f>
        <v>0</v>
      </c>
      <c r="AA457" s="38">
        <f>IF($AB456&lt;=0,0,MIN($AB456,IF(Übersicht!$C$14="Annuitätendarlehen",MAX(0,Übersicht!$C$28-$Z457),IF(Übersicht!$C$14="Ratendarlehen",Übersicht!$C$29,IF($A457&gt;=Übersicht!$C$30,$AB456,0)))))</f>
        <v>0</v>
      </c>
      <c r="AB457" s="38">
        <f>IF($AB456&lt;=0,0,ROUND($AB456-$AA457-IF($AB456-$AA457&lt;=0,0,IF(MOD($A457,Übersicht!$C$25)=0,MIN(Szenarien!$C$11,$AB456-$AA457),0)),2))</f>
        <v>0</v>
      </c>
      <c r="AC457" s="38">
        <f>IF($AE456&lt;=0,0,ROUND($AE456*Übersicht!$C$26,2))</f>
        <v>0</v>
      </c>
      <c r="AD457" s="38">
        <f>IF($AE456&lt;=0,0,MIN($AE456,IF(Übersicht!$C$14="Annuitätendarlehen",MAX(0,Übersicht!$C$28-$AC457),IF(Übersicht!$C$14="Ratendarlehen",Übersicht!$C$29,IF($A457&gt;=Übersicht!$C$30,$AE456,0)))))</f>
        <v>0</v>
      </c>
      <c r="AE457" s="38">
        <f>IF($AE456&lt;=0,0,ROUND($AE456-$AD457-IF($AE456-$AD457&lt;=0,0,IF(MOD($A457,Übersicht!$C$25)=0,MIN(Szenarien!$C$12,$AE456-$AD457),0)),2))</f>
        <v>0</v>
      </c>
    </row>
    <row r="458" spans="1:31" ht="15" customHeight="1" x14ac:dyDescent="0.25">
      <c r="A458" s="21">
        <v>451</v>
      </c>
      <c r="B458" s="36" t="str">
        <f>IF($D458&lt;=0,"",EDATE(Übersicht!$C$18,($A458-1)*12/Übersicht!$C$25))</f>
        <v/>
      </c>
      <c r="C458" s="21" t="str">
        <f t="shared" si="49"/>
        <v/>
      </c>
      <c r="D458" s="37">
        <f t="shared" si="53"/>
        <v>0</v>
      </c>
      <c r="E458" s="23">
        <f t="shared" si="50"/>
        <v>0</v>
      </c>
      <c r="F458" s="23">
        <f>IF($D458&lt;=0,0,ROUND($D458*Übersicht!$C$26,2))</f>
        <v>0</v>
      </c>
      <c r="G458" s="23">
        <f>IF($D458&lt;=0,0,MIN($D458,IF(Übersicht!$C$14="Annuitätendarlehen",MAX(0,Übersicht!$C$28-$F458),IF(Übersicht!$C$14="Ratendarlehen",Übersicht!$C$29,IF($A458&gt;=Übersicht!$C$30,$D458,0)))))</f>
        <v>0</v>
      </c>
      <c r="H458" s="23">
        <f>IF($D458-$G458&lt;=0,0,IF(MOD($A458,Übersicht!$C$25)=0,MIN(Übersicht!$C$31,$D458-$G458),0))</f>
        <v>0</v>
      </c>
      <c r="I458" s="23">
        <f t="shared" si="51"/>
        <v>0</v>
      </c>
      <c r="J458" s="23">
        <f t="shared" si="52"/>
        <v>0</v>
      </c>
      <c r="K458" s="23">
        <f t="shared" si="54"/>
        <v>80072.129999999961</v>
      </c>
      <c r="L458" s="23">
        <f t="shared" si="55"/>
        <v>250000</v>
      </c>
      <c r="M458" s="24" t="str">
        <f>IF($D458&lt;=0,"",IF(Übersicht!$C$11=0,0,$L458/Übersicht!$C$11))</f>
        <v/>
      </c>
      <c r="N458" s="25" t="str">
        <f>IF($D458&lt;=0,"",IF($J458&lt;=0.005,"Volltilgung erreicht",IF($A458=Übersicht!$C$19*Übersicht!$C$25,"Ende der Zinsbindung",IF($H458&gt;0,"Sondertilgung verrechnet",""))))</f>
        <v/>
      </c>
      <c r="Q458" s="38">
        <f>IF($S457&lt;=0,0,ROUND($S457*Übersicht!$C$26,2))</f>
        <v>0</v>
      </c>
      <c r="R458" s="38">
        <f>IF($S457&lt;=0,0,MIN($S457,IF(Übersicht!$C$14="Annuitätendarlehen",MAX(0,Übersicht!$C$28-$Q458),IF(Übersicht!$C$14="Ratendarlehen",Übersicht!$C$29,IF($A458&gt;=Übersicht!$C$30,$S457,0)))))</f>
        <v>0</v>
      </c>
      <c r="S458" s="38">
        <f>IF($S457&lt;=0,0,ROUND($S457-$R458-IF($S457-$R458&lt;=0,0,IF(MOD($A458,Übersicht!$C$25)=0,MIN(Szenarien!$C$8,$S457-$R458),0)),2))</f>
        <v>0</v>
      </c>
      <c r="T458" s="38">
        <f>IF($V457&lt;=0,0,ROUND($V457*Übersicht!$C$26,2))</f>
        <v>0</v>
      </c>
      <c r="U458" s="38">
        <f>IF($V457&lt;=0,0,MIN($V457,IF(Übersicht!$C$14="Annuitätendarlehen",MAX(0,Übersicht!$C$28-$T458),IF(Übersicht!$C$14="Ratendarlehen",Übersicht!$C$29,IF($A458&gt;=Übersicht!$C$30,$V457,0)))))</f>
        <v>0</v>
      </c>
      <c r="V458" s="38">
        <f>IF($V457&lt;=0,0,ROUND($V457-$U458-IF($V457-$U458&lt;=0,0,IF(MOD($A458,Übersicht!$C$25)=0,MIN(Szenarien!$C$9,$V457-$U458),0)),2))</f>
        <v>0</v>
      </c>
      <c r="W458" s="38">
        <f>IF($Y457&lt;=0,0,ROUND($Y457*Übersicht!$C$26,2))</f>
        <v>0</v>
      </c>
      <c r="X458" s="38">
        <f>IF($Y457&lt;=0,0,MIN($Y457,IF(Übersicht!$C$14="Annuitätendarlehen",MAX(0,Übersicht!$C$28-$W458),IF(Übersicht!$C$14="Ratendarlehen",Übersicht!$C$29,IF($A458&gt;=Übersicht!$C$30,$Y457,0)))))</f>
        <v>0</v>
      </c>
      <c r="Y458" s="38">
        <f>IF($Y457&lt;=0,0,ROUND($Y457-$X458-IF($Y457-$X458&lt;=0,0,IF(MOD($A458,Übersicht!$C$25)=0,MIN(Szenarien!$C$10,$Y457-$X458),0)),2))</f>
        <v>0</v>
      </c>
      <c r="Z458" s="38">
        <f>IF($AB457&lt;=0,0,ROUND($AB457*Übersicht!$C$26,2))</f>
        <v>0</v>
      </c>
      <c r="AA458" s="38">
        <f>IF($AB457&lt;=0,0,MIN($AB457,IF(Übersicht!$C$14="Annuitätendarlehen",MAX(0,Übersicht!$C$28-$Z458),IF(Übersicht!$C$14="Ratendarlehen",Übersicht!$C$29,IF($A458&gt;=Übersicht!$C$30,$AB457,0)))))</f>
        <v>0</v>
      </c>
      <c r="AB458" s="38">
        <f>IF($AB457&lt;=0,0,ROUND($AB457-$AA458-IF($AB457-$AA458&lt;=0,0,IF(MOD($A458,Übersicht!$C$25)=0,MIN(Szenarien!$C$11,$AB457-$AA458),0)),2))</f>
        <v>0</v>
      </c>
      <c r="AC458" s="38">
        <f>IF($AE457&lt;=0,0,ROUND($AE457*Übersicht!$C$26,2))</f>
        <v>0</v>
      </c>
      <c r="AD458" s="38">
        <f>IF($AE457&lt;=0,0,MIN($AE457,IF(Übersicht!$C$14="Annuitätendarlehen",MAX(0,Übersicht!$C$28-$AC458),IF(Übersicht!$C$14="Ratendarlehen",Übersicht!$C$29,IF($A458&gt;=Übersicht!$C$30,$AE457,0)))))</f>
        <v>0</v>
      </c>
      <c r="AE458" s="38">
        <f>IF($AE457&lt;=0,0,ROUND($AE457-$AD458-IF($AE457-$AD458&lt;=0,0,IF(MOD($A458,Übersicht!$C$25)=0,MIN(Szenarien!$C$12,$AE457-$AD458),0)),2))</f>
        <v>0</v>
      </c>
    </row>
    <row r="459" spans="1:31" ht="15" customHeight="1" x14ac:dyDescent="0.25">
      <c r="A459" s="26">
        <v>452</v>
      </c>
      <c r="B459" s="39" t="str">
        <f>IF($D459&lt;=0,"",EDATE(Übersicht!$C$18,($A459-1)*12/Übersicht!$C$25))</f>
        <v/>
      </c>
      <c r="C459" s="26" t="str">
        <f t="shared" si="49"/>
        <v/>
      </c>
      <c r="D459" s="40">
        <f t="shared" si="53"/>
        <v>0</v>
      </c>
      <c r="E459" s="28">
        <f t="shared" si="50"/>
        <v>0</v>
      </c>
      <c r="F459" s="28">
        <f>IF($D459&lt;=0,0,ROUND($D459*Übersicht!$C$26,2))</f>
        <v>0</v>
      </c>
      <c r="G459" s="28">
        <f>IF($D459&lt;=0,0,MIN($D459,IF(Übersicht!$C$14="Annuitätendarlehen",MAX(0,Übersicht!$C$28-$F459),IF(Übersicht!$C$14="Ratendarlehen",Übersicht!$C$29,IF($A459&gt;=Übersicht!$C$30,$D459,0)))))</f>
        <v>0</v>
      </c>
      <c r="H459" s="28">
        <f>IF($D459-$G459&lt;=0,0,IF(MOD($A459,Übersicht!$C$25)=0,MIN(Übersicht!$C$31,$D459-$G459),0))</f>
        <v>0</v>
      </c>
      <c r="I459" s="28">
        <f t="shared" si="51"/>
        <v>0</v>
      </c>
      <c r="J459" s="28">
        <f t="shared" si="52"/>
        <v>0</v>
      </c>
      <c r="K459" s="28">
        <f t="shared" si="54"/>
        <v>80072.129999999961</v>
      </c>
      <c r="L459" s="28">
        <f t="shared" si="55"/>
        <v>250000</v>
      </c>
      <c r="M459" s="29" t="str">
        <f>IF($D459&lt;=0,"",IF(Übersicht!$C$11=0,0,$L459/Übersicht!$C$11))</f>
        <v/>
      </c>
      <c r="N459" s="30" t="str">
        <f>IF($D459&lt;=0,"",IF($J459&lt;=0.005,"Volltilgung erreicht",IF($A459=Übersicht!$C$19*Übersicht!$C$25,"Ende der Zinsbindung",IF($H459&gt;0,"Sondertilgung verrechnet",""))))</f>
        <v/>
      </c>
      <c r="Q459" s="38">
        <f>IF($S458&lt;=0,0,ROUND($S458*Übersicht!$C$26,2))</f>
        <v>0</v>
      </c>
      <c r="R459" s="38">
        <f>IF($S458&lt;=0,0,MIN($S458,IF(Übersicht!$C$14="Annuitätendarlehen",MAX(0,Übersicht!$C$28-$Q459),IF(Übersicht!$C$14="Ratendarlehen",Übersicht!$C$29,IF($A459&gt;=Übersicht!$C$30,$S458,0)))))</f>
        <v>0</v>
      </c>
      <c r="S459" s="38">
        <f>IF($S458&lt;=0,0,ROUND($S458-$R459-IF($S458-$R459&lt;=0,0,IF(MOD($A459,Übersicht!$C$25)=0,MIN(Szenarien!$C$8,$S458-$R459),0)),2))</f>
        <v>0</v>
      </c>
      <c r="T459" s="38">
        <f>IF($V458&lt;=0,0,ROUND($V458*Übersicht!$C$26,2))</f>
        <v>0</v>
      </c>
      <c r="U459" s="38">
        <f>IF($V458&lt;=0,0,MIN($V458,IF(Übersicht!$C$14="Annuitätendarlehen",MAX(0,Übersicht!$C$28-$T459),IF(Übersicht!$C$14="Ratendarlehen",Übersicht!$C$29,IF($A459&gt;=Übersicht!$C$30,$V458,0)))))</f>
        <v>0</v>
      </c>
      <c r="V459" s="38">
        <f>IF($V458&lt;=0,0,ROUND($V458-$U459-IF($V458-$U459&lt;=0,0,IF(MOD($A459,Übersicht!$C$25)=0,MIN(Szenarien!$C$9,$V458-$U459),0)),2))</f>
        <v>0</v>
      </c>
      <c r="W459" s="38">
        <f>IF($Y458&lt;=0,0,ROUND($Y458*Übersicht!$C$26,2))</f>
        <v>0</v>
      </c>
      <c r="X459" s="38">
        <f>IF($Y458&lt;=0,0,MIN($Y458,IF(Übersicht!$C$14="Annuitätendarlehen",MAX(0,Übersicht!$C$28-$W459),IF(Übersicht!$C$14="Ratendarlehen",Übersicht!$C$29,IF($A459&gt;=Übersicht!$C$30,$Y458,0)))))</f>
        <v>0</v>
      </c>
      <c r="Y459" s="38">
        <f>IF($Y458&lt;=0,0,ROUND($Y458-$X459-IF($Y458-$X459&lt;=0,0,IF(MOD($A459,Übersicht!$C$25)=0,MIN(Szenarien!$C$10,$Y458-$X459),0)),2))</f>
        <v>0</v>
      </c>
      <c r="Z459" s="38">
        <f>IF($AB458&lt;=0,0,ROUND($AB458*Übersicht!$C$26,2))</f>
        <v>0</v>
      </c>
      <c r="AA459" s="38">
        <f>IF($AB458&lt;=0,0,MIN($AB458,IF(Übersicht!$C$14="Annuitätendarlehen",MAX(0,Übersicht!$C$28-$Z459),IF(Übersicht!$C$14="Ratendarlehen",Übersicht!$C$29,IF($A459&gt;=Übersicht!$C$30,$AB458,0)))))</f>
        <v>0</v>
      </c>
      <c r="AB459" s="38">
        <f>IF($AB458&lt;=0,0,ROUND($AB458-$AA459-IF($AB458-$AA459&lt;=0,0,IF(MOD($A459,Übersicht!$C$25)=0,MIN(Szenarien!$C$11,$AB458-$AA459),0)),2))</f>
        <v>0</v>
      </c>
      <c r="AC459" s="38">
        <f>IF($AE458&lt;=0,0,ROUND($AE458*Übersicht!$C$26,2))</f>
        <v>0</v>
      </c>
      <c r="AD459" s="38">
        <f>IF($AE458&lt;=0,0,MIN($AE458,IF(Übersicht!$C$14="Annuitätendarlehen",MAX(0,Übersicht!$C$28-$AC459),IF(Übersicht!$C$14="Ratendarlehen",Übersicht!$C$29,IF($A459&gt;=Übersicht!$C$30,$AE458,0)))))</f>
        <v>0</v>
      </c>
      <c r="AE459" s="38">
        <f>IF($AE458&lt;=0,0,ROUND($AE458-$AD459-IF($AE458-$AD459&lt;=0,0,IF(MOD($A459,Übersicht!$C$25)=0,MIN(Szenarien!$C$12,$AE458-$AD459),0)),2))</f>
        <v>0</v>
      </c>
    </row>
    <row r="460" spans="1:31" ht="15" customHeight="1" x14ac:dyDescent="0.25">
      <c r="A460" s="21">
        <v>453</v>
      </c>
      <c r="B460" s="36" t="str">
        <f>IF($D460&lt;=0,"",EDATE(Übersicht!$C$18,($A460-1)*12/Übersicht!$C$25))</f>
        <v/>
      </c>
      <c r="C460" s="21" t="str">
        <f t="shared" si="49"/>
        <v/>
      </c>
      <c r="D460" s="37">
        <f t="shared" si="53"/>
        <v>0</v>
      </c>
      <c r="E460" s="23">
        <f t="shared" si="50"/>
        <v>0</v>
      </c>
      <c r="F460" s="23">
        <f>IF($D460&lt;=0,0,ROUND($D460*Übersicht!$C$26,2))</f>
        <v>0</v>
      </c>
      <c r="G460" s="23">
        <f>IF($D460&lt;=0,0,MIN($D460,IF(Übersicht!$C$14="Annuitätendarlehen",MAX(0,Übersicht!$C$28-$F460),IF(Übersicht!$C$14="Ratendarlehen",Übersicht!$C$29,IF($A460&gt;=Übersicht!$C$30,$D460,0)))))</f>
        <v>0</v>
      </c>
      <c r="H460" s="23">
        <f>IF($D460-$G460&lt;=0,0,IF(MOD($A460,Übersicht!$C$25)=0,MIN(Übersicht!$C$31,$D460-$G460),0))</f>
        <v>0</v>
      </c>
      <c r="I460" s="23">
        <f t="shared" si="51"/>
        <v>0</v>
      </c>
      <c r="J460" s="23">
        <f t="shared" si="52"/>
        <v>0</v>
      </c>
      <c r="K460" s="23">
        <f t="shared" si="54"/>
        <v>80072.129999999961</v>
      </c>
      <c r="L460" s="23">
        <f t="shared" si="55"/>
        <v>250000</v>
      </c>
      <c r="M460" s="24" t="str">
        <f>IF($D460&lt;=0,"",IF(Übersicht!$C$11=0,0,$L460/Übersicht!$C$11))</f>
        <v/>
      </c>
      <c r="N460" s="25" t="str">
        <f>IF($D460&lt;=0,"",IF($J460&lt;=0.005,"Volltilgung erreicht",IF($A460=Übersicht!$C$19*Übersicht!$C$25,"Ende der Zinsbindung",IF($H460&gt;0,"Sondertilgung verrechnet",""))))</f>
        <v/>
      </c>
      <c r="Q460" s="38">
        <f>IF($S459&lt;=0,0,ROUND($S459*Übersicht!$C$26,2))</f>
        <v>0</v>
      </c>
      <c r="R460" s="38">
        <f>IF($S459&lt;=0,0,MIN($S459,IF(Übersicht!$C$14="Annuitätendarlehen",MAX(0,Übersicht!$C$28-$Q460),IF(Übersicht!$C$14="Ratendarlehen",Übersicht!$C$29,IF($A460&gt;=Übersicht!$C$30,$S459,0)))))</f>
        <v>0</v>
      </c>
      <c r="S460" s="38">
        <f>IF($S459&lt;=0,0,ROUND($S459-$R460-IF($S459-$R460&lt;=0,0,IF(MOD($A460,Übersicht!$C$25)=0,MIN(Szenarien!$C$8,$S459-$R460),0)),2))</f>
        <v>0</v>
      </c>
      <c r="T460" s="38">
        <f>IF($V459&lt;=0,0,ROUND($V459*Übersicht!$C$26,2))</f>
        <v>0</v>
      </c>
      <c r="U460" s="38">
        <f>IF($V459&lt;=0,0,MIN($V459,IF(Übersicht!$C$14="Annuitätendarlehen",MAX(0,Übersicht!$C$28-$T460),IF(Übersicht!$C$14="Ratendarlehen",Übersicht!$C$29,IF($A460&gt;=Übersicht!$C$30,$V459,0)))))</f>
        <v>0</v>
      </c>
      <c r="V460" s="38">
        <f>IF($V459&lt;=0,0,ROUND($V459-$U460-IF($V459-$U460&lt;=0,0,IF(MOD($A460,Übersicht!$C$25)=0,MIN(Szenarien!$C$9,$V459-$U460),0)),2))</f>
        <v>0</v>
      </c>
      <c r="W460" s="38">
        <f>IF($Y459&lt;=0,0,ROUND($Y459*Übersicht!$C$26,2))</f>
        <v>0</v>
      </c>
      <c r="X460" s="38">
        <f>IF($Y459&lt;=0,0,MIN($Y459,IF(Übersicht!$C$14="Annuitätendarlehen",MAX(0,Übersicht!$C$28-$W460),IF(Übersicht!$C$14="Ratendarlehen",Übersicht!$C$29,IF($A460&gt;=Übersicht!$C$30,$Y459,0)))))</f>
        <v>0</v>
      </c>
      <c r="Y460" s="38">
        <f>IF($Y459&lt;=0,0,ROUND($Y459-$X460-IF($Y459-$X460&lt;=0,0,IF(MOD($A460,Übersicht!$C$25)=0,MIN(Szenarien!$C$10,$Y459-$X460),0)),2))</f>
        <v>0</v>
      </c>
      <c r="Z460" s="38">
        <f>IF($AB459&lt;=0,0,ROUND($AB459*Übersicht!$C$26,2))</f>
        <v>0</v>
      </c>
      <c r="AA460" s="38">
        <f>IF($AB459&lt;=0,0,MIN($AB459,IF(Übersicht!$C$14="Annuitätendarlehen",MAX(0,Übersicht!$C$28-$Z460),IF(Übersicht!$C$14="Ratendarlehen",Übersicht!$C$29,IF($A460&gt;=Übersicht!$C$30,$AB459,0)))))</f>
        <v>0</v>
      </c>
      <c r="AB460" s="38">
        <f>IF($AB459&lt;=0,0,ROUND($AB459-$AA460-IF($AB459-$AA460&lt;=0,0,IF(MOD($A460,Übersicht!$C$25)=0,MIN(Szenarien!$C$11,$AB459-$AA460),0)),2))</f>
        <v>0</v>
      </c>
      <c r="AC460" s="38">
        <f>IF($AE459&lt;=0,0,ROUND($AE459*Übersicht!$C$26,2))</f>
        <v>0</v>
      </c>
      <c r="AD460" s="38">
        <f>IF($AE459&lt;=0,0,MIN($AE459,IF(Übersicht!$C$14="Annuitätendarlehen",MAX(0,Übersicht!$C$28-$AC460),IF(Übersicht!$C$14="Ratendarlehen",Übersicht!$C$29,IF($A460&gt;=Übersicht!$C$30,$AE459,0)))))</f>
        <v>0</v>
      </c>
      <c r="AE460" s="38">
        <f>IF($AE459&lt;=0,0,ROUND($AE459-$AD460-IF($AE459-$AD460&lt;=0,0,IF(MOD($A460,Übersicht!$C$25)=0,MIN(Szenarien!$C$12,$AE459-$AD460),0)),2))</f>
        <v>0</v>
      </c>
    </row>
    <row r="461" spans="1:31" ht="15" customHeight="1" x14ac:dyDescent="0.25">
      <c r="A461" s="26">
        <v>454</v>
      </c>
      <c r="B461" s="39" t="str">
        <f>IF($D461&lt;=0,"",EDATE(Übersicht!$C$18,($A461-1)*12/Übersicht!$C$25))</f>
        <v/>
      </c>
      <c r="C461" s="26" t="str">
        <f t="shared" si="49"/>
        <v/>
      </c>
      <c r="D461" s="40">
        <f t="shared" si="53"/>
        <v>0</v>
      </c>
      <c r="E461" s="28">
        <f t="shared" si="50"/>
        <v>0</v>
      </c>
      <c r="F461" s="28">
        <f>IF($D461&lt;=0,0,ROUND($D461*Übersicht!$C$26,2))</f>
        <v>0</v>
      </c>
      <c r="G461" s="28">
        <f>IF($D461&lt;=0,0,MIN($D461,IF(Übersicht!$C$14="Annuitätendarlehen",MAX(0,Übersicht!$C$28-$F461),IF(Übersicht!$C$14="Ratendarlehen",Übersicht!$C$29,IF($A461&gt;=Übersicht!$C$30,$D461,0)))))</f>
        <v>0</v>
      </c>
      <c r="H461" s="28">
        <f>IF($D461-$G461&lt;=0,0,IF(MOD($A461,Übersicht!$C$25)=0,MIN(Übersicht!$C$31,$D461-$G461),0))</f>
        <v>0</v>
      </c>
      <c r="I461" s="28">
        <f t="shared" si="51"/>
        <v>0</v>
      </c>
      <c r="J461" s="28">
        <f t="shared" si="52"/>
        <v>0</v>
      </c>
      <c r="K461" s="28">
        <f t="shared" si="54"/>
        <v>80072.129999999961</v>
      </c>
      <c r="L461" s="28">
        <f t="shared" si="55"/>
        <v>250000</v>
      </c>
      <c r="M461" s="29" t="str">
        <f>IF($D461&lt;=0,"",IF(Übersicht!$C$11=0,0,$L461/Übersicht!$C$11))</f>
        <v/>
      </c>
      <c r="N461" s="30" t="str">
        <f>IF($D461&lt;=0,"",IF($J461&lt;=0.005,"Volltilgung erreicht",IF($A461=Übersicht!$C$19*Übersicht!$C$25,"Ende der Zinsbindung",IF($H461&gt;0,"Sondertilgung verrechnet",""))))</f>
        <v/>
      </c>
      <c r="Q461" s="38">
        <f>IF($S460&lt;=0,0,ROUND($S460*Übersicht!$C$26,2))</f>
        <v>0</v>
      </c>
      <c r="R461" s="38">
        <f>IF($S460&lt;=0,0,MIN($S460,IF(Übersicht!$C$14="Annuitätendarlehen",MAX(0,Übersicht!$C$28-$Q461),IF(Übersicht!$C$14="Ratendarlehen",Übersicht!$C$29,IF($A461&gt;=Übersicht!$C$30,$S460,0)))))</f>
        <v>0</v>
      </c>
      <c r="S461" s="38">
        <f>IF($S460&lt;=0,0,ROUND($S460-$R461-IF($S460-$R461&lt;=0,0,IF(MOD($A461,Übersicht!$C$25)=0,MIN(Szenarien!$C$8,$S460-$R461),0)),2))</f>
        <v>0</v>
      </c>
      <c r="T461" s="38">
        <f>IF($V460&lt;=0,0,ROUND($V460*Übersicht!$C$26,2))</f>
        <v>0</v>
      </c>
      <c r="U461" s="38">
        <f>IF($V460&lt;=0,0,MIN($V460,IF(Übersicht!$C$14="Annuitätendarlehen",MAX(0,Übersicht!$C$28-$T461),IF(Übersicht!$C$14="Ratendarlehen",Übersicht!$C$29,IF($A461&gt;=Übersicht!$C$30,$V460,0)))))</f>
        <v>0</v>
      </c>
      <c r="V461" s="38">
        <f>IF($V460&lt;=0,0,ROUND($V460-$U461-IF($V460-$U461&lt;=0,0,IF(MOD($A461,Übersicht!$C$25)=0,MIN(Szenarien!$C$9,$V460-$U461),0)),2))</f>
        <v>0</v>
      </c>
      <c r="W461" s="38">
        <f>IF($Y460&lt;=0,0,ROUND($Y460*Übersicht!$C$26,2))</f>
        <v>0</v>
      </c>
      <c r="X461" s="38">
        <f>IF($Y460&lt;=0,0,MIN($Y460,IF(Übersicht!$C$14="Annuitätendarlehen",MAX(0,Übersicht!$C$28-$W461),IF(Übersicht!$C$14="Ratendarlehen",Übersicht!$C$29,IF($A461&gt;=Übersicht!$C$30,$Y460,0)))))</f>
        <v>0</v>
      </c>
      <c r="Y461" s="38">
        <f>IF($Y460&lt;=0,0,ROUND($Y460-$X461-IF($Y460-$X461&lt;=0,0,IF(MOD($A461,Übersicht!$C$25)=0,MIN(Szenarien!$C$10,$Y460-$X461),0)),2))</f>
        <v>0</v>
      </c>
      <c r="Z461" s="38">
        <f>IF($AB460&lt;=0,0,ROUND($AB460*Übersicht!$C$26,2))</f>
        <v>0</v>
      </c>
      <c r="AA461" s="38">
        <f>IF($AB460&lt;=0,0,MIN($AB460,IF(Übersicht!$C$14="Annuitätendarlehen",MAX(0,Übersicht!$C$28-$Z461),IF(Übersicht!$C$14="Ratendarlehen",Übersicht!$C$29,IF($A461&gt;=Übersicht!$C$30,$AB460,0)))))</f>
        <v>0</v>
      </c>
      <c r="AB461" s="38">
        <f>IF($AB460&lt;=0,0,ROUND($AB460-$AA461-IF($AB460-$AA461&lt;=0,0,IF(MOD($A461,Übersicht!$C$25)=0,MIN(Szenarien!$C$11,$AB460-$AA461),0)),2))</f>
        <v>0</v>
      </c>
      <c r="AC461" s="38">
        <f>IF($AE460&lt;=0,0,ROUND($AE460*Übersicht!$C$26,2))</f>
        <v>0</v>
      </c>
      <c r="AD461" s="38">
        <f>IF($AE460&lt;=0,0,MIN($AE460,IF(Übersicht!$C$14="Annuitätendarlehen",MAX(0,Übersicht!$C$28-$AC461),IF(Übersicht!$C$14="Ratendarlehen",Übersicht!$C$29,IF($A461&gt;=Übersicht!$C$30,$AE460,0)))))</f>
        <v>0</v>
      </c>
      <c r="AE461" s="38">
        <f>IF($AE460&lt;=0,0,ROUND($AE460-$AD461-IF($AE460-$AD461&lt;=0,0,IF(MOD($A461,Übersicht!$C$25)=0,MIN(Szenarien!$C$12,$AE460-$AD461),0)),2))</f>
        <v>0</v>
      </c>
    </row>
    <row r="462" spans="1:31" ht="15" customHeight="1" x14ac:dyDescent="0.25">
      <c r="A462" s="21">
        <v>455</v>
      </c>
      <c r="B462" s="36" t="str">
        <f>IF($D462&lt;=0,"",EDATE(Übersicht!$C$18,($A462-1)*12/Übersicht!$C$25))</f>
        <v/>
      </c>
      <c r="C462" s="21" t="str">
        <f t="shared" si="49"/>
        <v/>
      </c>
      <c r="D462" s="37">
        <f t="shared" si="53"/>
        <v>0</v>
      </c>
      <c r="E462" s="23">
        <f t="shared" si="50"/>
        <v>0</v>
      </c>
      <c r="F462" s="23">
        <f>IF($D462&lt;=0,0,ROUND($D462*Übersicht!$C$26,2))</f>
        <v>0</v>
      </c>
      <c r="G462" s="23">
        <f>IF($D462&lt;=0,0,MIN($D462,IF(Übersicht!$C$14="Annuitätendarlehen",MAX(0,Übersicht!$C$28-$F462),IF(Übersicht!$C$14="Ratendarlehen",Übersicht!$C$29,IF($A462&gt;=Übersicht!$C$30,$D462,0)))))</f>
        <v>0</v>
      </c>
      <c r="H462" s="23">
        <f>IF($D462-$G462&lt;=0,0,IF(MOD($A462,Übersicht!$C$25)=0,MIN(Übersicht!$C$31,$D462-$G462),0))</f>
        <v>0</v>
      </c>
      <c r="I462" s="23">
        <f t="shared" si="51"/>
        <v>0</v>
      </c>
      <c r="J462" s="23">
        <f t="shared" si="52"/>
        <v>0</v>
      </c>
      <c r="K462" s="23">
        <f t="shared" si="54"/>
        <v>80072.129999999961</v>
      </c>
      <c r="L462" s="23">
        <f t="shared" si="55"/>
        <v>250000</v>
      </c>
      <c r="M462" s="24" t="str">
        <f>IF($D462&lt;=0,"",IF(Übersicht!$C$11=0,0,$L462/Übersicht!$C$11))</f>
        <v/>
      </c>
      <c r="N462" s="25" t="str">
        <f>IF($D462&lt;=0,"",IF($J462&lt;=0.005,"Volltilgung erreicht",IF($A462=Übersicht!$C$19*Übersicht!$C$25,"Ende der Zinsbindung",IF($H462&gt;0,"Sondertilgung verrechnet",""))))</f>
        <v/>
      </c>
      <c r="Q462" s="38">
        <f>IF($S461&lt;=0,0,ROUND($S461*Übersicht!$C$26,2))</f>
        <v>0</v>
      </c>
      <c r="R462" s="38">
        <f>IF($S461&lt;=0,0,MIN($S461,IF(Übersicht!$C$14="Annuitätendarlehen",MAX(0,Übersicht!$C$28-$Q462),IF(Übersicht!$C$14="Ratendarlehen",Übersicht!$C$29,IF($A462&gt;=Übersicht!$C$30,$S461,0)))))</f>
        <v>0</v>
      </c>
      <c r="S462" s="38">
        <f>IF($S461&lt;=0,0,ROUND($S461-$R462-IF($S461-$R462&lt;=0,0,IF(MOD($A462,Übersicht!$C$25)=0,MIN(Szenarien!$C$8,$S461-$R462),0)),2))</f>
        <v>0</v>
      </c>
      <c r="T462" s="38">
        <f>IF($V461&lt;=0,0,ROUND($V461*Übersicht!$C$26,2))</f>
        <v>0</v>
      </c>
      <c r="U462" s="38">
        <f>IF($V461&lt;=0,0,MIN($V461,IF(Übersicht!$C$14="Annuitätendarlehen",MAX(0,Übersicht!$C$28-$T462),IF(Übersicht!$C$14="Ratendarlehen",Übersicht!$C$29,IF($A462&gt;=Übersicht!$C$30,$V461,0)))))</f>
        <v>0</v>
      </c>
      <c r="V462" s="38">
        <f>IF($V461&lt;=0,0,ROUND($V461-$U462-IF($V461-$U462&lt;=0,0,IF(MOD($A462,Übersicht!$C$25)=0,MIN(Szenarien!$C$9,$V461-$U462),0)),2))</f>
        <v>0</v>
      </c>
      <c r="W462" s="38">
        <f>IF($Y461&lt;=0,0,ROUND($Y461*Übersicht!$C$26,2))</f>
        <v>0</v>
      </c>
      <c r="X462" s="38">
        <f>IF($Y461&lt;=0,0,MIN($Y461,IF(Übersicht!$C$14="Annuitätendarlehen",MAX(0,Übersicht!$C$28-$W462),IF(Übersicht!$C$14="Ratendarlehen",Übersicht!$C$29,IF($A462&gt;=Übersicht!$C$30,$Y461,0)))))</f>
        <v>0</v>
      </c>
      <c r="Y462" s="38">
        <f>IF($Y461&lt;=0,0,ROUND($Y461-$X462-IF($Y461-$X462&lt;=0,0,IF(MOD($A462,Übersicht!$C$25)=0,MIN(Szenarien!$C$10,$Y461-$X462),0)),2))</f>
        <v>0</v>
      </c>
      <c r="Z462" s="38">
        <f>IF($AB461&lt;=0,0,ROUND($AB461*Übersicht!$C$26,2))</f>
        <v>0</v>
      </c>
      <c r="AA462" s="38">
        <f>IF($AB461&lt;=0,0,MIN($AB461,IF(Übersicht!$C$14="Annuitätendarlehen",MAX(0,Übersicht!$C$28-$Z462),IF(Übersicht!$C$14="Ratendarlehen",Übersicht!$C$29,IF($A462&gt;=Übersicht!$C$30,$AB461,0)))))</f>
        <v>0</v>
      </c>
      <c r="AB462" s="38">
        <f>IF($AB461&lt;=0,0,ROUND($AB461-$AA462-IF($AB461-$AA462&lt;=0,0,IF(MOD($A462,Übersicht!$C$25)=0,MIN(Szenarien!$C$11,$AB461-$AA462),0)),2))</f>
        <v>0</v>
      </c>
      <c r="AC462" s="38">
        <f>IF($AE461&lt;=0,0,ROUND($AE461*Übersicht!$C$26,2))</f>
        <v>0</v>
      </c>
      <c r="AD462" s="38">
        <f>IF($AE461&lt;=0,0,MIN($AE461,IF(Übersicht!$C$14="Annuitätendarlehen",MAX(0,Übersicht!$C$28-$AC462),IF(Übersicht!$C$14="Ratendarlehen",Übersicht!$C$29,IF($A462&gt;=Übersicht!$C$30,$AE461,0)))))</f>
        <v>0</v>
      </c>
      <c r="AE462" s="38">
        <f>IF($AE461&lt;=0,0,ROUND($AE461-$AD462-IF($AE461-$AD462&lt;=0,0,IF(MOD($A462,Übersicht!$C$25)=0,MIN(Szenarien!$C$12,$AE461-$AD462),0)),2))</f>
        <v>0</v>
      </c>
    </row>
    <row r="463" spans="1:31" ht="15" customHeight="1" x14ac:dyDescent="0.25">
      <c r="A463" s="26">
        <v>456</v>
      </c>
      <c r="B463" s="39" t="str">
        <f>IF($D463&lt;=0,"",EDATE(Übersicht!$C$18,($A463-1)*12/Übersicht!$C$25))</f>
        <v/>
      </c>
      <c r="C463" s="26" t="str">
        <f t="shared" si="49"/>
        <v/>
      </c>
      <c r="D463" s="40">
        <f t="shared" si="53"/>
        <v>0</v>
      </c>
      <c r="E463" s="28">
        <f t="shared" si="50"/>
        <v>0</v>
      </c>
      <c r="F463" s="28">
        <f>IF($D463&lt;=0,0,ROUND($D463*Übersicht!$C$26,2))</f>
        <v>0</v>
      </c>
      <c r="G463" s="28">
        <f>IF($D463&lt;=0,0,MIN($D463,IF(Übersicht!$C$14="Annuitätendarlehen",MAX(0,Übersicht!$C$28-$F463),IF(Übersicht!$C$14="Ratendarlehen",Übersicht!$C$29,IF($A463&gt;=Übersicht!$C$30,$D463,0)))))</f>
        <v>0</v>
      </c>
      <c r="H463" s="28">
        <f>IF($D463-$G463&lt;=0,0,IF(MOD($A463,Übersicht!$C$25)=0,MIN(Übersicht!$C$31,$D463-$G463),0))</f>
        <v>0</v>
      </c>
      <c r="I463" s="28">
        <f t="shared" si="51"/>
        <v>0</v>
      </c>
      <c r="J463" s="28">
        <f t="shared" si="52"/>
        <v>0</v>
      </c>
      <c r="K463" s="28">
        <f t="shared" si="54"/>
        <v>80072.129999999961</v>
      </c>
      <c r="L463" s="28">
        <f t="shared" si="55"/>
        <v>250000</v>
      </c>
      <c r="M463" s="29" t="str">
        <f>IF($D463&lt;=0,"",IF(Übersicht!$C$11=0,0,$L463/Übersicht!$C$11))</f>
        <v/>
      </c>
      <c r="N463" s="30" t="str">
        <f>IF($D463&lt;=0,"",IF($J463&lt;=0.005,"Volltilgung erreicht",IF($A463=Übersicht!$C$19*Übersicht!$C$25,"Ende der Zinsbindung",IF($H463&gt;0,"Sondertilgung verrechnet",""))))</f>
        <v/>
      </c>
      <c r="Q463" s="38">
        <f>IF($S462&lt;=0,0,ROUND($S462*Übersicht!$C$26,2))</f>
        <v>0</v>
      </c>
      <c r="R463" s="38">
        <f>IF($S462&lt;=0,0,MIN($S462,IF(Übersicht!$C$14="Annuitätendarlehen",MAX(0,Übersicht!$C$28-$Q463),IF(Übersicht!$C$14="Ratendarlehen",Übersicht!$C$29,IF($A463&gt;=Übersicht!$C$30,$S462,0)))))</f>
        <v>0</v>
      </c>
      <c r="S463" s="38">
        <f>IF($S462&lt;=0,0,ROUND($S462-$R463-IF($S462-$R463&lt;=0,0,IF(MOD($A463,Übersicht!$C$25)=0,MIN(Szenarien!$C$8,$S462-$R463),0)),2))</f>
        <v>0</v>
      </c>
      <c r="T463" s="38">
        <f>IF($V462&lt;=0,0,ROUND($V462*Übersicht!$C$26,2))</f>
        <v>0</v>
      </c>
      <c r="U463" s="38">
        <f>IF($V462&lt;=0,0,MIN($V462,IF(Übersicht!$C$14="Annuitätendarlehen",MAX(0,Übersicht!$C$28-$T463),IF(Übersicht!$C$14="Ratendarlehen",Übersicht!$C$29,IF($A463&gt;=Übersicht!$C$30,$V462,0)))))</f>
        <v>0</v>
      </c>
      <c r="V463" s="38">
        <f>IF($V462&lt;=0,0,ROUND($V462-$U463-IF($V462-$U463&lt;=0,0,IF(MOD($A463,Übersicht!$C$25)=0,MIN(Szenarien!$C$9,$V462-$U463),0)),2))</f>
        <v>0</v>
      </c>
      <c r="W463" s="38">
        <f>IF($Y462&lt;=0,0,ROUND($Y462*Übersicht!$C$26,2))</f>
        <v>0</v>
      </c>
      <c r="X463" s="38">
        <f>IF($Y462&lt;=0,0,MIN($Y462,IF(Übersicht!$C$14="Annuitätendarlehen",MAX(0,Übersicht!$C$28-$W463),IF(Übersicht!$C$14="Ratendarlehen",Übersicht!$C$29,IF($A463&gt;=Übersicht!$C$30,$Y462,0)))))</f>
        <v>0</v>
      </c>
      <c r="Y463" s="38">
        <f>IF($Y462&lt;=0,0,ROUND($Y462-$X463-IF($Y462-$X463&lt;=0,0,IF(MOD($A463,Übersicht!$C$25)=0,MIN(Szenarien!$C$10,$Y462-$X463),0)),2))</f>
        <v>0</v>
      </c>
      <c r="Z463" s="38">
        <f>IF($AB462&lt;=0,0,ROUND($AB462*Übersicht!$C$26,2))</f>
        <v>0</v>
      </c>
      <c r="AA463" s="38">
        <f>IF($AB462&lt;=0,0,MIN($AB462,IF(Übersicht!$C$14="Annuitätendarlehen",MAX(0,Übersicht!$C$28-$Z463),IF(Übersicht!$C$14="Ratendarlehen",Übersicht!$C$29,IF($A463&gt;=Übersicht!$C$30,$AB462,0)))))</f>
        <v>0</v>
      </c>
      <c r="AB463" s="38">
        <f>IF($AB462&lt;=0,0,ROUND($AB462-$AA463-IF($AB462-$AA463&lt;=0,0,IF(MOD($A463,Übersicht!$C$25)=0,MIN(Szenarien!$C$11,$AB462-$AA463),0)),2))</f>
        <v>0</v>
      </c>
      <c r="AC463" s="38">
        <f>IF($AE462&lt;=0,0,ROUND($AE462*Übersicht!$C$26,2))</f>
        <v>0</v>
      </c>
      <c r="AD463" s="38">
        <f>IF($AE462&lt;=0,0,MIN($AE462,IF(Übersicht!$C$14="Annuitätendarlehen",MAX(0,Übersicht!$C$28-$AC463),IF(Übersicht!$C$14="Ratendarlehen",Übersicht!$C$29,IF($A463&gt;=Übersicht!$C$30,$AE462,0)))))</f>
        <v>0</v>
      </c>
      <c r="AE463" s="38">
        <f>IF($AE462&lt;=0,0,ROUND($AE462-$AD463-IF($AE462-$AD463&lt;=0,0,IF(MOD($A463,Übersicht!$C$25)=0,MIN(Szenarien!$C$12,$AE462-$AD463),0)),2))</f>
        <v>0</v>
      </c>
    </row>
    <row r="464" spans="1:31" ht="15" customHeight="1" x14ac:dyDescent="0.25">
      <c r="A464" s="21">
        <v>457</v>
      </c>
      <c r="B464" s="36" t="str">
        <f>IF($D464&lt;=0,"",EDATE(Übersicht!$C$18,($A464-1)*12/Übersicht!$C$25))</f>
        <v/>
      </c>
      <c r="C464" s="21" t="str">
        <f t="shared" si="49"/>
        <v/>
      </c>
      <c r="D464" s="37">
        <f t="shared" si="53"/>
        <v>0</v>
      </c>
      <c r="E464" s="23">
        <f t="shared" si="50"/>
        <v>0</v>
      </c>
      <c r="F464" s="23">
        <f>IF($D464&lt;=0,0,ROUND($D464*Übersicht!$C$26,2))</f>
        <v>0</v>
      </c>
      <c r="G464" s="23">
        <f>IF($D464&lt;=0,0,MIN($D464,IF(Übersicht!$C$14="Annuitätendarlehen",MAX(0,Übersicht!$C$28-$F464),IF(Übersicht!$C$14="Ratendarlehen",Übersicht!$C$29,IF($A464&gt;=Übersicht!$C$30,$D464,0)))))</f>
        <v>0</v>
      </c>
      <c r="H464" s="23">
        <f>IF($D464-$G464&lt;=0,0,IF(MOD($A464,Übersicht!$C$25)=0,MIN(Übersicht!$C$31,$D464-$G464),0))</f>
        <v>0</v>
      </c>
      <c r="I464" s="23">
        <f t="shared" si="51"/>
        <v>0</v>
      </c>
      <c r="J464" s="23">
        <f t="shared" si="52"/>
        <v>0</v>
      </c>
      <c r="K464" s="23">
        <f t="shared" si="54"/>
        <v>80072.129999999961</v>
      </c>
      <c r="L464" s="23">
        <f t="shared" si="55"/>
        <v>250000</v>
      </c>
      <c r="M464" s="24" t="str">
        <f>IF($D464&lt;=0,"",IF(Übersicht!$C$11=0,0,$L464/Übersicht!$C$11))</f>
        <v/>
      </c>
      <c r="N464" s="25" t="str">
        <f>IF($D464&lt;=0,"",IF($J464&lt;=0.005,"Volltilgung erreicht",IF($A464=Übersicht!$C$19*Übersicht!$C$25,"Ende der Zinsbindung",IF($H464&gt;0,"Sondertilgung verrechnet",""))))</f>
        <v/>
      </c>
      <c r="Q464" s="38">
        <f>IF($S463&lt;=0,0,ROUND($S463*Übersicht!$C$26,2))</f>
        <v>0</v>
      </c>
      <c r="R464" s="38">
        <f>IF($S463&lt;=0,0,MIN($S463,IF(Übersicht!$C$14="Annuitätendarlehen",MAX(0,Übersicht!$C$28-$Q464),IF(Übersicht!$C$14="Ratendarlehen",Übersicht!$C$29,IF($A464&gt;=Übersicht!$C$30,$S463,0)))))</f>
        <v>0</v>
      </c>
      <c r="S464" s="38">
        <f>IF($S463&lt;=0,0,ROUND($S463-$R464-IF($S463-$R464&lt;=0,0,IF(MOD($A464,Übersicht!$C$25)=0,MIN(Szenarien!$C$8,$S463-$R464),0)),2))</f>
        <v>0</v>
      </c>
      <c r="T464" s="38">
        <f>IF($V463&lt;=0,0,ROUND($V463*Übersicht!$C$26,2))</f>
        <v>0</v>
      </c>
      <c r="U464" s="38">
        <f>IF($V463&lt;=0,0,MIN($V463,IF(Übersicht!$C$14="Annuitätendarlehen",MAX(0,Übersicht!$C$28-$T464),IF(Übersicht!$C$14="Ratendarlehen",Übersicht!$C$29,IF($A464&gt;=Übersicht!$C$30,$V463,0)))))</f>
        <v>0</v>
      </c>
      <c r="V464" s="38">
        <f>IF($V463&lt;=0,0,ROUND($V463-$U464-IF($V463-$U464&lt;=0,0,IF(MOD($A464,Übersicht!$C$25)=0,MIN(Szenarien!$C$9,$V463-$U464),0)),2))</f>
        <v>0</v>
      </c>
      <c r="W464" s="38">
        <f>IF($Y463&lt;=0,0,ROUND($Y463*Übersicht!$C$26,2))</f>
        <v>0</v>
      </c>
      <c r="X464" s="38">
        <f>IF($Y463&lt;=0,0,MIN($Y463,IF(Übersicht!$C$14="Annuitätendarlehen",MAX(0,Übersicht!$C$28-$W464),IF(Übersicht!$C$14="Ratendarlehen",Übersicht!$C$29,IF($A464&gt;=Übersicht!$C$30,$Y463,0)))))</f>
        <v>0</v>
      </c>
      <c r="Y464" s="38">
        <f>IF($Y463&lt;=0,0,ROUND($Y463-$X464-IF($Y463-$X464&lt;=0,0,IF(MOD($A464,Übersicht!$C$25)=0,MIN(Szenarien!$C$10,$Y463-$X464),0)),2))</f>
        <v>0</v>
      </c>
      <c r="Z464" s="38">
        <f>IF($AB463&lt;=0,0,ROUND($AB463*Übersicht!$C$26,2))</f>
        <v>0</v>
      </c>
      <c r="AA464" s="38">
        <f>IF($AB463&lt;=0,0,MIN($AB463,IF(Übersicht!$C$14="Annuitätendarlehen",MAX(0,Übersicht!$C$28-$Z464),IF(Übersicht!$C$14="Ratendarlehen",Übersicht!$C$29,IF($A464&gt;=Übersicht!$C$30,$AB463,0)))))</f>
        <v>0</v>
      </c>
      <c r="AB464" s="38">
        <f>IF($AB463&lt;=0,0,ROUND($AB463-$AA464-IF($AB463-$AA464&lt;=0,0,IF(MOD($A464,Übersicht!$C$25)=0,MIN(Szenarien!$C$11,$AB463-$AA464),0)),2))</f>
        <v>0</v>
      </c>
      <c r="AC464" s="38">
        <f>IF($AE463&lt;=0,0,ROUND($AE463*Übersicht!$C$26,2))</f>
        <v>0</v>
      </c>
      <c r="AD464" s="38">
        <f>IF($AE463&lt;=0,0,MIN($AE463,IF(Übersicht!$C$14="Annuitätendarlehen",MAX(0,Übersicht!$C$28-$AC464),IF(Übersicht!$C$14="Ratendarlehen",Übersicht!$C$29,IF($A464&gt;=Übersicht!$C$30,$AE463,0)))))</f>
        <v>0</v>
      </c>
      <c r="AE464" s="38">
        <f>IF($AE463&lt;=0,0,ROUND($AE463-$AD464-IF($AE463-$AD464&lt;=0,0,IF(MOD($A464,Übersicht!$C$25)=0,MIN(Szenarien!$C$12,$AE463-$AD464),0)),2))</f>
        <v>0</v>
      </c>
    </row>
    <row r="465" spans="1:31" ht="15" customHeight="1" x14ac:dyDescent="0.25">
      <c r="A465" s="26">
        <v>458</v>
      </c>
      <c r="B465" s="39" t="str">
        <f>IF($D465&lt;=0,"",EDATE(Übersicht!$C$18,($A465-1)*12/Übersicht!$C$25))</f>
        <v/>
      </c>
      <c r="C465" s="26" t="str">
        <f t="shared" si="49"/>
        <v/>
      </c>
      <c r="D465" s="40">
        <f t="shared" si="53"/>
        <v>0</v>
      </c>
      <c r="E465" s="28">
        <f t="shared" si="50"/>
        <v>0</v>
      </c>
      <c r="F465" s="28">
        <f>IF($D465&lt;=0,0,ROUND($D465*Übersicht!$C$26,2))</f>
        <v>0</v>
      </c>
      <c r="G465" s="28">
        <f>IF($D465&lt;=0,0,MIN($D465,IF(Übersicht!$C$14="Annuitätendarlehen",MAX(0,Übersicht!$C$28-$F465),IF(Übersicht!$C$14="Ratendarlehen",Übersicht!$C$29,IF($A465&gt;=Übersicht!$C$30,$D465,0)))))</f>
        <v>0</v>
      </c>
      <c r="H465" s="28">
        <f>IF($D465-$G465&lt;=0,0,IF(MOD($A465,Übersicht!$C$25)=0,MIN(Übersicht!$C$31,$D465-$G465),0))</f>
        <v>0</v>
      </c>
      <c r="I465" s="28">
        <f t="shared" si="51"/>
        <v>0</v>
      </c>
      <c r="J465" s="28">
        <f t="shared" si="52"/>
        <v>0</v>
      </c>
      <c r="K465" s="28">
        <f t="shared" si="54"/>
        <v>80072.129999999961</v>
      </c>
      <c r="L465" s="28">
        <f t="shared" si="55"/>
        <v>250000</v>
      </c>
      <c r="M465" s="29" t="str">
        <f>IF($D465&lt;=0,"",IF(Übersicht!$C$11=0,0,$L465/Übersicht!$C$11))</f>
        <v/>
      </c>
      <c r="N465" s="30" t="str">
        <f>IF($D465&lt;=0,"",IF($J465&lt;=0.005,"Volltilgung erreicht",IF($A465=Übersicht!$C$19*Übersicht!$C$25,"Ende der Zinsbindung",IF($H465&gt;0,"Sondertilgung verrechnet",""))))</f>
        <v/>
      </c>
      <c r="Q465" s="38">
        <f>IF($S464&lt;=0,0,ROUND($S464*Übersicht!$C$26,2))</f>
        <v>0</v>
      </c>
      <c r="R465" s="38">
        <f>IF($S464&lt;=0,0,MIN($S464,IF(Übersicht!$C$14="Annuitätendarlehen",MAX(0,Übersicht!$C$28-$Q465),IF(Übersicht!$C$14="Ratendarlehen",Übersicht!$C$29,IF($A465&gt;=Übersicht!$C$30,$S464,0)))))</f>
        <v>0</v>
      </c>
      <c r="S465" s="38">
        <f>IF($S464&lt;=0,0,ROUND($S464-$R465-IF($S464-$R465&lt;=0,0,IF(MOD($A465,Übersicht!$C$25)=0,MIN(Szenarien!$C$8,$S464-$R465),0)),2))</f>
        <v>0</v>
      </c>
      <c r="T465" s="38">
        <f>IF($V464&lt;=0,0,ROUND($V464*Übersicht!$C$26,2))</f>
        <v>0</v>
      </c>
      <c r="U465" s="38">
        <f>IF($V464&lt;=0,0,MIN($V464,IF(Übersicht!$C$14="Annuitätendarlehen",MAX(0,Übersicht!$C$28-$T465),IF(Übersicht!$C$14="Ratendarlehen",Übersicht!$C$29,IF($A465&gt;=Übersicht!$C$30,$V464,0)))))</f>
        <v>0</v>
      </c>
      <c r="V465" s="38">
        <f>IF($V464&lt;=0,0,ROUND($V464-$U465-IF($V464-$U465&lt;=0,0,IF(MOD($A465,Übersicht!$C$25)=0,MIN(Szenarien!$C$9,$V464-$U465),0)),2))</f>
        <v>0</v>
      </c>
      <c r="W465" s="38">
        <f>IF($Y464&lt;=0,0,ROUND($Y464*Übersicht!$C$26,2))</f>
        <v>0</v>
      </c>
      <c r="X465" s="38">
        <f>IF($Y464&lt;=0,0,MIN($Y464,IF(Übersicht!$C$14="Annuitätendarlehen",MAX(0,Übersicht!$C$28-$W465),IF(Übersicht!$C$14="Ratendarlehen",Übersicht!$C$29,IF($A465&gt;=Übersicht!$C$30,$Y464,0)))))</f>
        <v>0</v>
      </c>
      <c r="Y465" s="38">
        <f>IF($Y464&lt;=0,0,ROUND($Y464-$X465-IF($Y464-$X465&lt;=0,0,IF(MOD($A465,Übersicht!$C$25)=0,MIN(Szenarien!$C$10,$Y464-$X465),0)),2))</f>
        <v>0</v>
      </c>
      <c r="Z465" s="38">
        <f>IF($AB464&lt;=0,0,ROUND($AB464*Übersicht!$C$26,2))</f>
        <v>0</v>
      </c>
      <c r="AA465" s="38">
        <f>IF($AB464&lt;=0,0,MIN($AB464,IF(Übersicht!$C$14="Annuitätendarlehen",MAX(0,Übersicht!$C$28-$Z465),IF(Übersicht!$C$14="Ratendarlehen",Übersicht!$C$29,IF($A465&gt;=Übersicht!$C$30,$AB464,0)))))</f>
        <v>0</v>
      </c>
      <c r="AB465" s="38">
        <f>IF($AB464&lt;=0,0,ROUND($AB464-$AA465-IF($AB464-$AA465&lt;=0,0,IF(MOD($A465,Übersicht!$C$25)=0,MIN(Szenarien!$C$11,$AB464-$AA465),0)),2))</f>
        <v>0</v>
      </c>
      <c r="AC465" s="38">
        <f>IF($AE464&lt;=0,0,ROUND($AE464*Übersicht!$C$26,2))</f>
        <v>0</v>
      </c>
      <c r="AD465" s="38">
        <f>IF($AE464&lt;=0,0,MIN($AE464,IF(Übersicht!$C$14="Annuitätendarlehen",MAX(0,Übersicht!$C$28-$AC465),IF(Übersicht!$C$14="Ratendarlehen",Übersicht!$C$29,IF($A465&gt;=Übersicht!$C$30,$AE464,0)))))</f>
        <v>0</v>
      </c>
      <c r="AE465" s="38">
        <f>IF($AE464&lt;=0,0,ROUND($AE464-$AD465-IF($AE464-$AD465&lt;=0,0,IF(MOD($A465,Übersicht!$C$25)=0,MIN(Szenarien!$C$12,$AE464-$AD465),0)),2))</f>
        <v>0</v>
      </c>
    </row>
    <row r="466" spans="1:31" ht="15" customHeight="1" x14ac:dyDescent="0.25">
      <c r="A466" s="21">
        <v>459</v>
      </c>
      <c r="B466" s="36" t="str">
        <f>IF($D466&lt;=0,"",EDATE(Übersicht!$C$18,($A466-1)*12/Übersicht!$C$25))</f>
        <v/>
      </c>
      <c r="C466" s="21" t="str">
        <f t="shared" si="49"/>
        <v/>
      </c>
      <c r="D466" s="37">
        <f t="shared" si="53"/>
        <v>0</v>
      </c>
      <c r="E466" s="23">
        <f t="shared" si="50"/>
        <v>0</v>
      </c>
      <c r="F466" s="23">
        <f>IF($D466&lt;=0,0,ROUND($D466*Übersicht!$C$26,2))</f>
        <v>0</v>
      </c>
      <c r="G466" s="23">
        <f>IF($D466&lt;=0,0,MIN($D466,IF(Übersicht!$C$14="Annuitätendarlehen",MAX(0,Übersicht!$C$28-$F466),IF(Übersicht!$C$14="Ratendarlehen",Übersicht!$C$29,IF($A466&gt;=Übersicht!$C$30,$D466,0)))))</f>
        <v>0</v>
      </c>
      <c r="H466" s="23">
        <f>IF($D466-$G466&lt;=0,0,IF(MOD($A466,Übersicht!$C$25)=0,MIN(Übersicht!$C$31,$D466-$G466),0))</f>
        <v>0</v>
      </c>
      <c r="I466" s="23">
        <f t="shared" si="51"/>
        <v>0</v>
      </c>
      <c r="J466" s="23">
        <f t="shared" si="52"/>
        <v>0</v>
      </c>
      <c r="K466" s="23">
        <f t="shared" si="54"/>
        <v>80072.129999999961</v>
      </c>
      <c r="L466" s="23">
        <f t="shared" si="55"/>
        <v>250000</v>
      </c>
      <c r="M466" s="24" t="str">
        <f>IF($D466&lt;=0,"",IF(Übersicht!$C$11=0,0,$L466/Übersicht!$C$11))</f>
        <v/>
      </c>
      <c r="N466" s="25" t="str">
        <f>IF($D466&lt;=0,"",IF($J466&lt;=0.005,"Volltilgung erreicht",IF($A466=Übersicht!$C$19*Übersicht!$C$25,"Ende der Zinsbindung",IF($H466&gt;0,"Sondertilgung verrechnet",""))))</f>
        <v/>
      </c>
      <c r="Q466" s="38">
        <f>IF($S465&lt;=0,0,ROUND($S465*Übersicht!$C$26,2))</f>
        <v>0</v>
      </c>
      <c r="R466" s="38">
        <f>IF($S465&lt;=0,0,MIN($S465,IF(Übersicht!$C$14="Annuitätendarlehen",MAX(0,Übersicht!$C$28-$Q466),IF(Übersicht!$C$14="Ratendarlehen",Übersicht!$C$29,IF($A466&gt;=Übersicht!$C$30,$S465,0)))))</f>
        <v>0</v>
      </c>
      <c r="S466" s="38">
        <f>IF($S465&lt;=0,0,ROUND($S465-$R466-IF($S465-$R466&lt;=0,0,IF(MOD($A466,Übersicht!$C$25)=0,MIN(Szenarien!$C$8,$S465-$R466),0)),2))</f>
        <v>0</v>
      </c>
      <c r="T466" s="38">
        <f>IF($V465&lt;=0,0,ROUND($V465*Übersicht!$C$26,2))</f>
        <v>0</v>
      </c>
      <c r="U466" s="38">
        <f>IF($V465&lt;=0,0,MIN($V465,IF(Übersicht!$C$14="Annuitätendarlehen",MAX(0,Übersicht!$C$28-$T466),IF(Übersicht!$C$14="Ratendarlehen",Übersicht!$C$29,IF($A466&gt;=Übersicht!$C$30,$V465,0)))))</f>
        <v>0</v>
      </c>
      <c r="V466" s="38">
        <f>IF($V465&lt;=0,0,ROUND($V465-$U466-IF($V465-$U466&lt;=0,0,IF(MOD($A466,Übersicht!$C$25)=0,MIN(Szenarien!$C$9,$V465-$U466),0)),2))</f>
        <v>0</v>
      </c>
      <c r="W466" s="38">
        <f>IF($Y465&lt;=0,0,ROUND($Y465*Übersicht!$C$26,2))</f>
        <v>0</v>
      </c>
      <c r="X466" s="38">
        <f>IF($Y465&lt;=0,0,MIN($Y465,IF(Übersicht!$C$14="Annuitätendarlehen",MAX(0,Übersicht!$C$28-$W466),IF(Übersicht!$C$14="Ratendarlehen",Übersicht!$C$29,IF($A466&gt;=Übersicht!$C$30,$Y465,0)))))</f>
        <v>0</v>
      </c>
      <c r="Y466" s="38">
        <f>IF($Y465&lt;=0,0,ROUND($Y465-$X466-IF($Y465-$X466&lt;=0,0,IF(MOD($A466,Übersicht!$C$25)=0,MIN(Szenarien!$C$10,$Y465-$X466),0)),2))</f>
        <v>0</v>
      </c>
      <c r="Z466" s="38">
        <f>IF($AB465&lt;=0,0,ROUND($AB465*Übersicht!$C$26,2))</f>
        <v>0</v>
      </c>
      <c r="AA466" s="38">
        <f>IF($AB465&lt;=0,0,MIN($AB465,IF(Übersicht!$C$14="Annuitätendarlehen",MAX(0,Übersicht!$C$28-$Z466),IF(Übersicht!$C$14="Ratendarlehen",Übersicht!$C$29,IF($A466&gt;=Übersicht!$C$30,$AB465,0)))))</f>
        <v>0</v>
      </c>
      <c r="AB466" s="38">
        <f>IF($AB465&lt;=0,0,ROUND($AB465-$AA466-IF($AB465-$AA466&lt;=0,0,IF(MOD($A466,Übersicht!$C$25)=0,MIN(Szenarien!$C$11,$AB465-$AA466),0)),2))</f>
        <v>0</v>
      </c>
      <c r="AC466" s="38">
        <f>IF($AE465&lt;=0,0,ROUND($AE465*Übersicht!$C$26,2))</f>
        <v>0</v>
      </c>
      <c r="AD466" s="38">
        <f>IF($AE465&lt;=0,0,MIN($AE465,IF(Übersicht!$C$14="Annuitätendarlehen",MAX(0,Übersicht!$C$28-$AC466),IF(Übersicht!$C$14="Ratendarlehen",Übersicht!$C$29,IF($A466&gt;=Übersicht!$C$30,$AE465,0)))))</f>
        <v>0</v>
      </c>
      <c r="AE466" s="38">
        <f>IF($AE465&lt;=0,0,ROUND($AE465-$AD466-IF($AE465-$AD466&lt;=0,0,IF(MOD($A466,Übersicht!$C$25)=0,MIN(Szenarien!$C$12,$AE465-$AD466),0)),2))</f>
        <v>0</v>
      </c>
    </row>
    <row r="467" spans="1:31" ht="15" customHeight="1" x14ac:dyDescent="0.25">
      <c r="A467" s="26">
        <v>460</v>
      </c>
      <c r="B467" s="39" t="str">
        <f>IF($D467&lt;=0,"",EDATE(Übersicht!$C$18,($A467-1)*12/Übersicht!$C$25))</f>
        <v/>
      </c>
      <c r="C467" s="26" t="str">
        <f t="shared" si="49"/>
        <v/>
      </c>
      <c r="D467" s="40">
        <f t="shared" si="53"/>
        <v>0</v>
      </c>
      <c r="E467" s="28">
        <f t="shared" si="50"/>
        <v>0</v>
      </c>
      <c r="F467" s="28">
        <f>IF($D467&lt;=0,0,ROUND($D467*Übersicht!$C$26,2))</f>
        <v>0</v>
      </c>
      <c r="G467" s="28">
        <f>IF($D467&lt;=0,0,MIN($D467,IF(Übersicht!$C$14="Annuitätendarlehen",MAX(0,Übersicht!$C$28-$F467),IF(Übersicht!$C$14="Ratendarlehen",Übersicht!$C$29,IF($A467&gt;=Übersicht!$C$30,$D467,0)))))</f>
        <v>0</v>
      </c>
      <c r="H467" s="28">
        <f>IF($D467-$G467&lt;=0,0,IF(MOD($A467,Übersicht!$C$25)=0,MIN(Übersicht!$C$31,$D467-$G467),0))</f>
        <v>0</v>
      </c>
      <c r="I467" s="28">
        <f t="shared" si="51"/>
        <v>0</v>
      </c>
      <c r="J467" s="28">
        <f t="shared" si="52"/>
        <v>0</v>
      </c>
      <c r="K467" s="28">
        <f t="shared" si="54"/>
        <v>80072.129999999961</v>
      </c>
      <c r="L467" s="28">
        <f t="shared" si="55"/>
        <v>250000</v>
      </c>
      <c r="M467" s="29" t="str">
        <f>IF($D467&lt;=0,"",IF(Übersicht!$C$11=0,0,$L467/Übersicht!$C$11))</f>
        <v/>
      </c>
      <c r="N467" s="30" t="str">
        <f>IF($D467&lt;=0,"",IF($J467&lt;=0.005,"Volltilgung erreicht",IF($A467=Übersicht!$C$19*Übersicht!$C$25,"Ende der Zinsbindung",IF($H467&gt;0,"Sondertilgung verrechnet",""))))</f>
        <v/>
      </c>
      <c r="Q467" s="38">
        <f>IF($S466&lt;=0,0,ROUND($S466*Übersicht!$C$26,2))</f>
        <v>0</v>
      </c>
      <c r="R467" s="38">
        <f>IF($S466&lt;=0,0,MIN($S466,IF(Übersicht!$C$14="Annuitätendarlehen",MAX(0,Übersicht!$C$28-$Q467),IF(Übersicht!$C$14="Ratendarlehen",Übersicht!$C$29,IF($A467&gt;=Übersicht!$C$30,$S466,0)))))</f>
        <v>0</v>
      </c>
      <c r="S467" s="38">
        <f>IF($S466&lt;=0,0,ROUND($S466-$R467-IF($S466-$R467&lt;=0,0,IF(MOD($A467,Übersicht!$C$25)=0,MIN(Szenarien!$C$8,$S466-$R467),0)),2))</f>
        <v>0</v>
      </c>
      <c r="T467" s="38">
        <f>IF($V466&lt;=0,0,ROUND($V466*Übersicht!$C$26,2))</f>
        <v>0</v>
      </c>
      <c r="U467" s="38">
        <f>IF($V466&lt;=0,0,MIN($V466,IF(Übersicht!$C$14="Annuitätendarlehen",MAX(0,Übersicht!$C$28-$T467),IF(Übersicht!$C$14="Ratendarlehen",Übersicht!$C$29,IF($A467&gt;=Übersicht!$C$30,$V466,0)))))</f>
        <v>0</v>
      </c>
      <c r="V467" s="38">
        <f>IF($V466&lt;=0,0,ROUND($V466-$U467-IF($V466-$U467&lt;=0,0,IF(MOD($A467,Übersicht!$C$25)=0,MIN(Szenarien!$C$9,$V466-$U467),0)),2))</f>
        <v>0</v>
      </c>
      <c r="W467" s="38">
        <f>IF($Y466&lt;=0,0,ROUND($Y466*Übersicht!$C$26,2))</f>
        <v>0</v>
      </c>
      <c r="X467" s="38">
        <f>IF($Y466&lt;=0,0,MIN($Y466,IF(Übersicht!$C$14="Annuitätendarlehen",MAX(0,Übersicht!$C$28-$W467),IF(Übersicht!$C$14="Ratendarlehen",Übersicht!$C$29,IF($A467&gt;=Übersicht!$C$30,$Y466,0)))))</f>
        <v>0</v>
      </c>
      <c r="Y467" s="38">
        <f>IF($Y466&lt;=0,0,ROUND($Y466-$X467-IF($Y466-$X467&lt;=0,0,IF(MOD($A467,Übersicht!$C$25)=0,MIN(Szenarien!$C$10,$Y466-$X467),0)),2))</f>
        <v>0</v>
      </c>
      <c r="Z467" s="38">
        <f>IF($AB466&lt;=0,0,ROUND($AB466*Übersicht!$C$26,2))</f>
        <v>0</v>
      </c>
      <c r="AA467" s="38">
        <f>IF($AB466&lt;=0,0,MIN($AB466,IF(Übersicht!$C$14="Annuitätendarlehen",MAX(0,Übersicht!$C$28-$Z467),IF(Übersicht!$C$14="Ratendarlehen",Übersicht!$C$29,IF($A467&gt;=Übersicht!$C$30,$AB466,0)))))</f>
        <v>0</v>
      </c>
      <c r="AB467" s="38">
        <f>IF($AB466&lt;=0,0,ROUND($AB466-$AA467-IF($AB466-$AA467&lt;=0,0,IF(MOD($A467,Übersicht!$C$25)=0,MIN(Szenarien!$C$11,$AB466-$AA467),0)),2))</f>
        <v>0</v>
      </c>
      <c r="AC467" s="38">
        <f>IF($AE466&lt;=0,0,ROUND($AE466*Übersicht!$C$26,2))</f>
        <v>0</v>
      </c>
      <c r="AD467" s="38">
        <f>IF($AE466&lt;=0,0,MIN($AE466,IF(Übersicht!$C$14="Annuitätendarlehen",MAX(0,Übersicht!$C$28-$AC467),IF(Übersicht!$C$14="Ratendarlehen",Übersicht!$C$29,IF($A467&gt;=Übersicht!$C$30,$AE466,0)))))</f>
        <v>0</v>
      </c>
      <c r="AE467" s="38">
        <f>IF($AE466&lt;=0,0,ROUND($AE466-$AD467-IF($AE466-$AD467&lt;=0,0,IF(MOD($A467,Übersicht!$C$25)=0,MIN(Szenarien!$C$12,$AE466-$AD467),0)),2))</f>
        <v>0</v>
      </c>
    </row>
    <row r="468" spans="1:31" ht="15" customHeight="1" x14ac:dyDescent="0.25">
      <c r="A468" s="21">
        <v>461</v>
      </c>
      <c r="B468" s="36" t="str">
        <f>IF($D468&lt;=0,"",EDATE(Übersicht!$C$18,($A468-1)*12/Übersicht!$C$25))</f>
        <v/>
      </c>
      <c r="C468" s="21" t="str">
        <f t="shared" si="49"/>
        <v/>
      </c>
      <c r="D468" s="37">
        <f t="shared" si="53"/>
        <v>0</v>
      </c>
      <c r="E468" s="23">
        <f t="shared" si="50"/>
        <v>0</v>
      </c>
      <c r="F468" s="23">
        <f>IF($D468&lt;=0,0,ROUND($D468*Übersicht!$C$26,2))</f>
        <v>0</v>
      </c>
      <c r="G468" s="23">
        <f>IF($D468&lt;=0,0,MIN($D468,IF(Übersicht!$C$14="Annuitätendarlehen",MAX(0,Übersicht!$C$28-$F468),IF(Übersicht!$C$14="Ratendarlehen",Übersicht!$C$29,IF($A468&gt;=Übersicht!$C$30,$D468,0)))))</f>
        <v>0</v>
      </c>
      <c r="H468" s="23">
        <f>IF($D468-$G468&lt;=0,0,IF(MOD($A468,Übersicht!$C$25)=0,MIN(Übersicht!$C$31,$D468-$G468),0))</f>
        <v>0</v>
      </c>
      <c r="I468" s="23">
        <f t="shared" si="51"/>
        <v>0</v>
      </c>
      <c r="J468" s="23">
        <f t="shared" si="52"/>
        <v>0</v>
      </c>
      <c r="K468" s="23">
        <f t="shared" si="54"/>
        <v>80072.129999999961</v>
      </c>
      <c r="L468" s="23">
        <f t="shared" si="55"/>
        <v>250000</v>
      </c>
      <c r="M468" s="24" t="str">
        <f>IF($D468&lt;=0,"",IF(Übersicht!$C$11=0,0,$L468/Übersicht!$C$11))</f>
        <v/>
      </c>
      <c r="N468" s="25" t="str">
        <f>IF($D468&lt;=0,"",IF($J468&lt;=0.005,"Volltilgung erreicht",IF($A468=Übersicht!$C$19*Übersicht!$C$25,"Ende der Zinsbindung",IF($H468&gt;0,"Sondertilgung verrechnet",""))))</f>
        <v/>
      </c>
      <c r="Q468" s="38">
        <f>IF($S467&lt;=0,0,ROUND($S467*Übersicht!$C$26,2))</f>
        <v>0</v>
      </c>
      <c r="R468" s="38">
        <f>IF($S467&lt;=0,0,MIN($S467,IF(Übersicht!$C$14="Annuitätendarlehen",MAX(0,Übersicht!$C$28-$Q468),IF(Übersicht!$C$14="Ratendarlehen",Übersicht!$C$29,IF($A468&gt;=Übersicht!$C$30,$S467,0)))))</f>
        <v>0</v>
      </c>
      <c r="S468" s="38">
        <f>IF($S467&lt;=0,0,ROUND($S467-$R468-IF($S467-$R468&lt;=0,0,IF(MOD($A468,Übersicht!$C$25)=0,MIN(Szenarien!$C$8,$S467-$R468),0)),2))</f>
        <v>0</v>
      </c>
      <c r="T468" s="38">
        <f>IF($V467&lt;=0,0,ROUND($V467*Übersicht!$C$26,2))</f>
        <v>0</v>
      </c>
      <c r="U468" s="38">
        <f>IF($V467&lt;=0,0,MIN($V467,IF(Übersicht!$C$14="Annuitätendarlehen",MAX(0,Übersicht!$C$28-$T468),IF(Übersicht!$C$14="Ratendarlehen",Übersicht!$C$29,IF($A468&gt;=Übersicht!$C$30,$V467,0)))))</f>
        <v>0</v>
      </c>
      <c r="V468" s="38">
        <f>IF($V467&lt;=0,0,ROUND($V467-$U468-IF($V467-$U468&lt;=0,0,IF(MOD($A468,Übersicht!$C$25)=0,MIN(Szenarien!$C$9,$V467-$U468),0)),2))</f>
        <v>0</v>
      </c>
      <c r="W468" s="38">
        <f>IF($Y467&lt;=0,0,ROUND($Y467*Übersicht!$C$26,2))</f>
        <v>0</v>
      </c>
      <c r="X468" s="38">
        <f>IF($Y467&lt;=0,0,MIN($Y467,IF(Übersicht!$C$14="Annuitätendarlehen",MAX(0,Übersicht!$C$28-$W468),IF(Übersicht!$C$14="Ratendarlehen",Übersicht!$C$29,IF($A468&gt;=Übersicht!$C$30,$Y467,0)))))</f>
        <v>0</v>
      </c>
      <c r="Y468" s="38">
        <f>IF($Y467&lt;=0,0,ROUND($Y467-$X468-IF($Y467-$X468&lt;=0,0,IF(MOD($A468,Übersicht!$C$25)=0,MIN(Szenarien!$C$10,$Y467-$X468),0)),2))</f>
        <v>0</v>
      </c>
      <c r="Z468" s="38">
        <f>IF($AB467&lt;=0,0,ROUND($AB467*Übersicht!$C$26,2))</f>
        <v>0</v>
      </c>
      <c r="AA468" s="38">
        <f>IF($AB467&lt;=0,0,MIN($AB467,IF(Übersicht!$C$14="Annuitätendarlehen",MAX(0,Übersicht!$C$28-$Z468),IF(Übersicht!$C$14="Ratendarlehen",Übersicht!$C$29,IF($A468&gt;=Übersicht!$C$30,$AB467,0)))))</f>
        <v>0</v>
      </c>
      <c r="AB468" s="38">
        <f>IF($AB467&lt;=0,0,ROUND($AB467-$AA468-IF($AB467-$AA468&lt;=0,0,IF(MOD($A468,Übersicht!$C$25)=0,MIN(Szenarien!$C$11,$AB467-$AA468),0)),2))</f>
        <v>0</v>
      </c>
      <c r="AC468" s="38">
        <f>IF($AE467&lt;=0,0,ROUND($AE467*Übersicht!$C$26,2))</f>
        <v>0</v>
      </c>
      <c r="AD468" s="38">
        <f>IF($AE467&lt;=0,0,MIN($AE467,IF(Übersicht!$C$14="Annuitätendarlehen",MAX(0,Übersicht!$C$28-$AC468),IF(Übersicht!$C$14="Ratendarlehen",Übersicht!$C$29,IF($A468&gt;=Übersicht!$C$30,$AE467,0)))))</f>
        <v>0</v>
      </c>
      <c r="AE468" s="38">
        <f>IF($AE467&lt;=0,0,ROUND($AE467-$AD468-IF($AE467-$AD468&lt;=0,0,IF(MOD($A468,Übersicht!$C$25)=0,MIN(Szenarien!$C$12,$AE467-$AD468),0)),2))</f>
        <v>0</v>
      </c>
    </row>
    <row r="469" spans="1:31" ht="15" customHeight="1" x14ac:dyDescent="0.25">
      <c r="A469" s="26">
        <v>462</v>
      </c>
      <c r="B469" s="39" t="str">
        <f>IF($D469&lt;=0,"",EDATE(Übersicht!$C$18,($A469-1)*12/Übersicht!$C$25))</f>
        <v/>
      </c>
      <c r="C469" s="26" t="str">
        <f t="shared" si="49"/>
        <v/>
      </c>
      <c r="D469" s="40">
        <f t="shared" si="53"/>
        <v>0</v>
      </c>
      <c r="E469" s="28">
        <f t="shared" si="50"/>
        <v>0</v>
      </c>
      <c r="F469" s="28">
        <f>IF($D469&lt;=0,0,ROUND($D469*Übersicht!$C$26,2))</f>
        <v>0</v>
      </c>
      <c r="G469" s="28">
        <f>IF($D469&lt;=0,0,MIN($D469,IF(Übersicht!$C$14="Annuitätendarlehen",MAX(0,Übersicht!$C$28-$F469),IF(Übersicht!$C$14="Ratendarlehen",Übersicht!$C$29,IF($A469&gt;=Übersicht!$C$30,$D469,0)))))</f>
        <v>0</v>
      </c>
      <c r="H469" s="28">
        <f>IF($D469-$G469&lt;=0,0,IF(MOD($A469,Übersicht!$C$25)=0,MIN(Übersicht!$C$31,$D469-$G469),0))</f>
        <v>0</v>
      </c>
      <c r="I469" s="28">
        <f t="shared" si="51"/>
        <v>0</v>
      </c>
      <c r="J469" s="28">
        <f t="shared" si="52"/>
        <v>0</v>
      </c>
      <c r="K469" s="28">
        <f t="shared" si="54"/>
        <v>80072.129999999961</v>
      </c>
      <c r="L469" s="28">
        <f t="shared" si="55"/>
        <v>250000</v>
      </c>
      <c r="M469" s="29" t="str">
        <f>IF($D469&lt;=0,"",IF(Übersicht!$C$11=0,0,$L469/Übersicht!$C$11))</f>
        <v/>
      </c>
      <c r="N469" s="30" t="str">
        <f>IF($D469&lt;=0,"",IF($J469&lt;=0.005,"Volltilgung erreicht",IF($A469=Übersicht!$C$19*Übersicht!$C$25,"Ende der Zinsbindung",IF($H469&gt;0,"Sondertilgung verrechnet",""))))</f>
        <v/>
      </c>
      <c r="Q469" s="38">
        <f>IF($S468&lt;=0,0,ROUND($S468*Übersicht!$C$26,2))</f>
        <v>0</v>
      </c>
      <c r="R469" s="38">
        <f>IF($S468&lt;=0,0,MIN($S468,IF(Übersicht!$C$14="Annuitätendarlehen",MAX(0,Übersicht!$C$28-$Q469),IF(Übersicht!$C$14="Ratendarlehen",Übersicht!$C$29,IF($A469&gt;=Übersicht!$C$30,$S468,0)))))</f>
        <v>0</v>
      </c>
      <c r="S469" s="38">
        <f>IF($S468&lt;=0,0,ROUND($S468-$R469-IF($S468-$R469&lt;=0,0,IF(MOD($A469,Übersicht!$C$25)=0,MIN(Szenarien!$C$8,$S468-$R469),0)),2))</f>
        <v>0</v>
      </c>
      <c r="T469" s="38">
        <f>IF($V468&lt;=0,0,ROUND($V468*Übersicht!$C$26,2))</f>
        <v>0</v>
      </c>
      <c r="U469" s="38">
        <f>IF($V468&lt;=0,0,MIN($V468,IF(Übersicht!$C$14="Annuitätendarlehen",MAX(0,Übersicht!$C$28-$T469),IF(Übersicht!$C$14="Ratendarlehen",Übersicht!$C$29,IF($A469&gt;=Übersicht!$C$30,$V468,0)))))</f>
        <v>0</v>
      </c>
      <c r="V469" s="38">
        <f>IF($V468&lt;=0,0,ROUND($V468-$U469-IF($V468-$U469&lt;=0,0,IF(MOD($A469,Übersicht!$C$25)=0,MIN(Szenarien!$C$9,$V468-$U469),0)),2))</f>
        <v>0</v>
      </c>
      <c r="W469" s="38">
        <f>IF($Y468&lt;=0,0,ROUND($Y468*Übersicht!$C$26,2))</f>
        <v>0</v>
      </c>
      <c r="X469" s="38">
        <f>IF($Y468&lt;=0,0,MIN($Y468,IF(Übersicht!$C$14="Annuitätendarlehen",MAX(0,Übersicht!$C$28-$W469),IF(Übersicht!$C$14="Ratendarlehen",Übersicht!$C$29,IF($A469&gt;=Übersicht!$C$30,$Y468,0)))))</f>
        <v>0</v>
      </c>
      <c r="Y469" s="38">
        <f>IF($Y468&lt;=0,0,ROUND($Y468-$X469-IF($Y468-$X469&lt;=0,0,IF(MOD($A469,Übersicht!$C$25)=0,MIN(Szenarien!$C$10,$Y468-$X469),0)),2))</f>
        <v>0</v>
      </c>
      <c r="Z469" s="38">
        <f>IF($AB468&lt;=0,0,ROUND($AB468*Übersicht!$C$26,2))</f>
        <v>0</v>
      </c>
      <c r="AA469" s="38">
        <f>IF($AB468&lt;=0,0,MIN($AB468,IF(Übersicht!$C$14="Annuitätendarlehen",MAX(0,Übersicht!$C$28-$Z469),IF(Übersicht!$C$14="Ratendarlehen",Übersicht!$C$29,IF($A469&gt;=Übersicht!$C$30,$AB468,0)))))</f>
        <v>0</v>
      </c>
      <c r="AB469" s="38">
        <f>IF($AB468&lt;=0,0,ROUND($AB468-$AA469-IF($AB468-$AA469&lt;=0,0,IF(MOD($A469,Übersicht!$C$25)=0,MIN(Szenarien!$C$11,$AB468-$AA469),0)),2))</f>
        <v>0</v>
      </c>
      <c r="AC469" s="38">
        <f>IF($AE468&lt;=0,0,ROUND($AE468*Übersicht!$C$26,2))</f>
        <v>0</v>
      </c>
      <c r="AD469" s="38">
        <f>IF($AE468&lt;=0,0,MIN($AE468,IF(Übersicht!$C$14="Annuitätendarlehen",MAX(0,Übersicht!$C$28-$AC469),IF(Übersicht!$C$14="Ratendarlehen",Übersicht!$C$29,IF($A469&gt;=Übersicht!$C$30,$AE468,0)))))</f>
        <v>0</v>
      </c>
      <c r="AE469" s="38">
        <f>IF($AE468&lt;=0,0,ROUND($AE468-$AD469-IF($AE468-$AD469&lt;=0,0,IF(MOD($A469,Übersicht!$C$25)=0,MIN(Szenarien!$C$12,$AE468-$AD469),0)),2))</f>
        <v>0</v>
      </c>
    </row>
    <row r="470" spans="1:31" ht="15" customHeight="1" x14ac:dyDescent="0.25">
      <c r="A470" s="21">
        <v>463</v>
      </c>
      <c r="B470" s="36" t="str">
        <f>IF($D470&lt;=0,"",EDATE(Übersicht!$C$18,($A470-1)*12/Übersicht!$C$25))</f>
        <v/>
      </c>
      <c r="C470" s="21" t="str">
        <f t="shared" si="49"/>
        <v/>
      </c>
      <c r="D470" s="37">
        <f t="shared" si="53"/>
        <v>0</v>
      </c>
      <c r="E470" s="23">
        <f t="shared" si="50"/>
        <v>0</v>
      </c>
      <c r="F470" s="23">
        <f>IF($D470&lt;=0,0,ROUND($D470*Übersicht!$C$26,2))</f>
        <v>0</v>
      </c>
      <c r="G470" s="23">
        <f>IF($D470&lt;=0,0,MIN($D470,IF(Übersicht!$C$14="Annuitätendarlehen",MAX(0,Übersicht!$C$28-$F470),IF(Übersicht!$C$14="Ratendarlehen",Übersicht!$C$29,IF($A470&gt;=Übersicht!$C$30,$D470,0)))))</f>
        <v>0</v>
      </c>
      <c r="H470" s="23">
        <f>IF($D470-$G470&lt;=0,0,IF(MOD($A470,Übersicht!$C$25)=0,MIN(Übersicht!$C$31,$D470-$G470),0))</f>
        <v>0</v>
      </c>
      <c r="I470" s="23">
        <f t="shared" si="51"/>
        <v>0</v>
      </c>
      <c r="J470" s="23">
        <f t="shared" si="52"/>
        <v>0</v>
      </c>
      <c r="K470" s="23">
        <f t="shared" si="54"/>
        <v>80072.129999999961</v>
      </c>
      <c r="L470" s="23">
        <f t="shared" si="55"/>
        <v>250000</v>
      </c>
      <c r="M470" s="24" t="str">
        <f>IF($D470&lt;=0,"",IF(Übersicht!$C$11=0,0,$L470/Übersicht!$C$11))</f>
        <v/>
      </c>
      <c r="N470" s="25" t="str">
        <f>IF($D470&lt;=0,"",IF($J470&lt;=0.005,"Volltilgung erreicht",IF($A470=Übersicht!$C$19*Übersicht!$C$25,"Ende der Zinsbindung",IF($H470&gt;0,"Sondertilgung verrechnet",""))))</f>
        <v/>
      </c>
      <c r="Q470" s="38">
        <f>IF($S469&lt;=0,0,ROUND($S469*Übersicht!$C$26,2))</f>
        <v>0</v>
      </c>
      <c r="R470" s="38">
        <f>IF($S469&lt;=0,0,MIN($S469,IF(Übersicht!$C$14="Annuitätendarlehen",MAX(0,Übersicht!$C$28-$Q470),IF(Übersicht!$C$14="Ratendarlehen",Übersicht!$C$29,IF($A470&gt;=Übersicht!$C$30,$S469,0)))))</f>
        <v>0</v>
      </c>
      <c r="S470" s="38">
        <f>IF($S469&lt;=0,0,ROUND($S469-$R470-IF($S469-$R470&lt;=0,0,IF(MOD($A470,Übersicht!$C$25)=0,MIN(Szenarien!$C$8,$S469-$R470),0)),2))</f>
        <v>0</v>
      </c>
      <c r="T470" s="38">
        <f>IF($V469&lt;=0,0,ROUND($V469*Übersicht!$C$26,2))</f>
        <v>0</v>
      </c>
      <c r="U470" s="38">
        <f>IF($V469&lt;=0,0,MIN($V469,IF(Übersicht!$C$14="Annuitätendarlehen",MAX(0,Übersicht!$C$28-$T470),IF(Übersicht!$C$14="Ratendarlehen",Übersicht!$C$29,IF($A470&gt;=Übersicht!$C$30,$V469,0)))))</f>
        <v>0</v>
      </c>
      <c r="V470" s="38">
        <f>IF($V469&lt;=0,0,ROUND($V469-$U470-IF($V469-$U470&lt;=0,0,IF(MOD($A470,Übersicht!$C$25)=0,MIN(Szenarien!$C$9,$V469-$U470),0)),2))</f>
        <v>0</v>
      </c>
      <c r="W470" s="38">
        <f>IF($Y469&lt;=0,0,ROUND($Y469*Übersicht!$C$26,2))</f>
        <v>0</v>
      </c>
      <c r="X470" s="38">
        <f>IF($Y469&lt;=0,0,MIN($Y469,IF(Übersicht!$C$14="Annuitätendarlehen",MAX(0,Übersicht!$C$28-$W470),IF(Übersicht!$C$14="Ratendarlehen",Übersicht!$C$29,IF($A470&gt;=Übersicht!$C$30,$Y469,0)))))</f>
        <v>0</v>
      </c>
      <c r="Y470" s="38">
        <f>IF($Y469&lt;=0,0,ROUND($Y469-$X470-IF($Y469-$X470&lt;=0,0,IF(MOD($A470,Übersicht!$C$25)=0,MIN(Szenarien!$C$10,$Y469-$X470),0)),2))</f>
        <v>0</v>
      </c>
      <c r="Z470" s="38">
        <f>IF($AB469&lt;=0,0,ROUND($AB469*Übersicht!$C$26,2))</f>
        <v>0</v>
      </c>
      <c r="AA470" s="38">
        <f>IF($AB469&lt;=0,0,MIN($AB469,IF(Übersicht!$C$14="Annuitätendarlehen",MAX(0,Übersicht!$C$28-$Z470),IF(Übersicht!$C$14="Ratendarlehen",Übersicht!$C$29,IF($A470&gt;=Übersicht!$C$30,$AB469,0)))))</f>
        <v>0</v>
      </c>
      <c r="AB470" s="38">
        <f>IF($AB469&lt;=0,0,ROUND($AB469-$AA470-IF($AB469-$AA470&lt;=0,0,IF(MOD($A470,Übersicht!$C$25)=0,MIN(Szenarien!$C$11,$AB469-$AA470),0)),2))</f>
        <v>0</v>
      </c>
      <c r="AC470" s="38">
        <f>IF($AE469&lt;=0,0,ROUND($AE469*Übersicht!$C$26,2))</f>
        <v>0</v>
      </c>
      <c r="AD470" s="38">
        <f>IF($AE469&lt;=0,0,MIN($AE469,IF(Übersicht!$C$14="Annuitätendarlehen",MAX(0,Übersicht!$C$28-$AC470),IF(Übersicht!$C$14="Ratendarlehen",Übersicht!$C$29,IF($A470&gt;=Übersicht!$C$30,$AE469,0)))))</f>
        <v>0</v>
      </c>
      <c r="AE470" s="38">
        <f>IF($AE469&lt;=0,0,ROUND($AE469-$AD470-IF($AE469-$AD470&lt;=0,0,IF(MOD($A470,Übersicht!$C$25)=0,MIN(Szenarien!$C$12,$AE469-$AD470),0)),2))</f>
        <v>0</v>
      </c>
    </row>
    <row r="471" spans="1:31" ht="15" customHeight="1" x14ac:dyDescent="0.25">
      <c r="A471" s="26">
        <v>464</v>
      </c>
      <c r="B471" s="39" t="str">
        <f>IF($D471&lt;=0,"",EDATE(Übersicht!$C$18,($A471-1)*12/Übersicht!$C$25))</f>
        <v/>
      </c>
      <c r="C471" s="26" t="str">
        <f t="shared" si="49"/>
        <v/>
      </c>
      <c r="D471" s="40">
        <f t="shared" si="53"/>
        <v>0</v>
      </c>
      <c r="E471" s="28">
        <f t="shared" si="50"/>
        <v>0</v>
      </c>
      <c r="F471" s="28">
        <f>IF($D471&lt;=0,0,ROUND($D471*Übersicht!$C$26,2))</f>
        <v>0</v>
      </c>
      <c r="G471" s="28">
        <f>IF($D471&lt;=0,0,MIN($D471,IF(Übersicht!$C$14="Annuitätendarlehen",MAX(0,Übersicht!$C$28-$F471),IF(Übersicht!$C$14="Ratendarlehen",Übersicht!$C$29,IF($A471&gt;=Übersicht!$C$30,$D471,0)))))</f>
        <v>0</v>
      </c>
      <c r="H471" s="28">
        <f>IF($D471-$G471&lt;=0,0,IF(MOD($A471,Übersicht!$C$25)=0,MIN(Übersicht!$C$31,$D471-$G471),0))</f>
        <v>0</v>
      </c>
      <c r="I471" s="28">
        <f t="shared" si="51"/>
        <v>0</v>
      </c>
      <c r="J471" s="28">
        <f t="shared" si="52"/>
        <v>0</v>
      </c>
      <c r="K471" s="28">
        <f t="shared" si="54"/>
        <v>80072.129999999961</v>
      </c>
      <c r="L471" s="28">
        <f t="shared" si="55"/>
        <v>250000</v>
      </c>
      <c r="M471" s="29" t="str">
        <f>IF($D471&lt;=0,"",IF(Übersicht!$C$11=0,0,$L471/Übersicht!$C$11))</f>
        <v/>
      </c>
      <c r="N471" s="30" t="str">
        <f>IF($D471&lt;=0,"",IF($J471&lt;=0.005,"Volltilgung erreicht",IF($A471=Übersicht!$C$19*Übersicht!$C$25,"Ende der Zinsbindung",IF($H471&gt;0,"Sondertilgung verrechnet",""))))</f>
        <v/>
      </c>
      <c r="Q471" s="38">
        <f>IF($S470&lt;=0,0,ROUND($S470*Übersicht!$C$26,2))</f>
        <v>0</v>
      </c>
      <c r="R471" s="38">
        <f>IF($S470&lt;=0,0,MIN($S470,IF(Übersicht!$C$14="Annuitätendarlehen",MAX(0,Übersicht!$C$28-$Q471),IF(Übersicht!$C$14="Ratendarlehen",Übersicht!$C$29,IF($A471&gt;=Übersicht!$C$30,$S470,0)))))</f>
        <v>0</v>
      </c>
      <c r="S471" s="38">
        <f>IF($S470&lt;=0,0,ROUND($S470-$R471-IF($S470-$R471&lt;=0,0,IF(MOD($A471,Übersicht!$C$25)=0,MIN(Szenarien!$C$8,$S470-$R471),0)),2))</f>
        <v>0</v>
      </c>
      <c r="T471" s="38">
        <f>IF($V470&lt;=0,0,ROUND($V470*Übersicht!$C$26,2))</f>
        <v>0</v>
      </c>
      <c r="U471" s="38">
        <f>IF($V470&lt;=0,0,MIN($V470,IF(Übersicht!$C$14="Annuitätendarlehen",MAX(0,Übersicht!$C$28-$T471),IF(Übersicht!$C$14="Ratendarlehen",Übersicht!$C$29,IF($A471&gt;=Übersicht!$C$30,$V470,0)))))</f>
        <v>0</v>
      </c>
      <c r="V471" s="38">
        <f>IF($V470&lt;=0,0,ROUND($V470-$U471-IF($V470-$U471&lt;=0,0,IF(MOD($A471,Übersicht!$C$25)=0,MIN(Szenarien!$C$9,$V470-$U471),0)),2))</f>
        <v>0</v>
      </c>
      <c r="W471" s="38">
        <f>IF($Y470&lt;=0,0,ROUND($Y470*Übersicht!$C$26,2))</f>
        <v>0</v>
      </c>
      <c r="X471" s="38">
        <f>IF($Y470&lt;=0,0,MIN($Y470,IF(Übersicht!$C$14="Annuitätendarlehen",MAX(0,Übersicht!$C$28-$W471),IF(Übersicht!$C$14="Ratendarlehen",Übersicht!$C$29,IF($A471&gt;=Übersicht!$C$30,$Y470,0)))))</f>
        <v>0</v>
      </c>
      <c r="Y471" s="38">
        <f>IF($Y470&lt;=0,0,ROUND($Y470-$X471-IF($Y470-$X471&lt;=0,0,IF(MOD($A471,Übersicht!$C$25)=0,MIN(Szenarien!$C$10,$Y470-$X471),0)),2))</f>
        <v>0</v>
      </c>
      <c r="Z471" s="38">
        <f>IF($AB470&lt;=0,0,ROUND($AB470*Übersicht!$C$26,2))</f>
        <v>0</v>
      </c>
      <c r="AA471" s="38">
        <f>IF($AB470&lt;=0,0,MIN($AB470,IF(Übersicht!$C$14="Annuitätendarlehen",MAX(0,Übersicht!$C$28-$Z471),IF(Übersicht!$C$14="Ratendarlehen",Übersicht!$C$29,IF($A471&gt;=Übersicht!$C$30,$AB470,0)))))</f>
        <v>0</v>
      </c>
      <c r="AB471" s="38">
        <f>IF($AB470&lt;=0,0,ROUND($AB470-$AA471-IF($AB470-$AA471&lt;=0,0,IF(MOD($A471,Übersicht!$C$25)=0,MIN(Szenarien!$C$11,$AB470-$AA471),0)),2))</f>
        <v>0</v>
      </c>
      <c r="AC471" s="38">
        <f>IF($AE470&lt;=0,0,ROUND($AE470*Übersicht!$C$26,2))</f>
        <v>0</v>
      </c>
      <c r="AD471" s="38">
        <f>IF($AE470&lt;=0,0,MIN($AE470,IF(Übersicht!$C$14="Annuitätendarlehen",MAX(0,Übersicht!$C$28-$AC471),IF(Übersicht!$C$14="Ratendarlehen",Übersicht!$C$29,IF($A471&gt;=Übersicht!$C$30,$AE470,0)))))</f>
        <v>0</v>
      </c>
      <c r="AE471" s="38">
        <f>IF($AE470&lt;=0,0,ROUND($AE470-$AD471-IF($AE470-$AD471&lt;=0,0,IF(MOD($A471,Übersicht!$C$25)=0,MIN(Szenarien!$C$12,$AE470-$AD471),0)),2))</f>
        <v>0</v>
      </c>
    </row>
    <row r="472" spans="1:31" ht="15" customHeight="1" x14ac:dyDescent="0.25">
      <c r="A472" s="21">
        <v>465</v>
      </c>
      <c r="B472" s="36" t="str">
        <f>IF($D472&lt;=0,"",EDATE(Übersicht!$C$18,($A472-1)*12/Übersicht!$C$25))</f>
        <v/>
      </c>
      <c r="C472" s="21" t="str">
        <f t="shared" si="49"/>
        <v/>
      </c>
      <c r="D472" s="37">
        <f t="shared" si="53"/>
        <v>0</v>
      </c>
      <c r="E472" s="23">
        <f t="shared" si="50"/>
        <v>0</v>
      </c>
      <c r="F472" s="23">
        <f>IF($D472&lt;=0,0,ROUND($D472*Übersicht!$C$26,2))</f>
        <v>0</v>
      </c>
      <c r="G472" s="23">
        <f>IF($D472&lt;=0,0,MIN($D472,IF(Übersicht!$C$14="Annuitätendarlehen",MAX(0,Übersicht!$C$28-$F472),IF(Übersicht!$C$14="Ratendarlehen",Übersicht!$C$29,IF($A472&gt;=Übersicht!$C$30,$D472,0)))))</f>
        <v>0</v>
      </c>
      <c r="H472" s="23">
        <f>IF($D472-$G472&lt;=0,0,IF(MOD($A472,Übersicht!$C$25)=0,MIN(Übersicht!$C$31,$D472-$G472),0))</f>
        <v>0</v>
      </c>
      <c r="I472" s="23">
        <f t="shared" si="51"/>
        <v>0</v>
      </c>
      <c r="J472" s="23">
        <f t="shared" si="52"/>
        <v>0</v>
      </c>
      <c r="K472" s="23">
        <f t="shared" si="54"/>
        <v>80072.129999999961</v>
      </c>
      <c r="L472" s="23">
        <f t="shared" si="55"/>
        <v>250000</v>
      </c>
      <c r="M472" s="24" t="str">
        <f>IF($D472&lt;=0,"",IF(Übersicht!$C$11=0,0,$L472/Übersicht!$C$11))</f>
        <v/>
      </c>
      <c r="N472" s="25" t="str">
        <f>IF($D472&lt;=0,"",IF($J472&lt;=0.005,"Volltilgung erreicht",IF($A472=Übersicht!$C$19*Übersicht!$C$25,"Ende der Zinsbindung",IF($H472&gt;0,"Sondertilgung verrechnet",""))))</f>
        <v/>
      </c>
      <c r="Q472" s="38">
        <f>IF($S471&lt;=0,0,ROUND($S471*Übersicht!$C$26,2))</f>
        <v>0</v>
      </c>
      <c r="R472" s="38">
        <f>IF($S471&lt;=0,0,MIN($S471,IF(Übersicht!$C$14="Annuitätendarlehen",MAX(0,Übersicht!$C$28-$Q472),IF(Übersicht!$C$14="Ratendarlehen",Übersicht!$C$29,IF($A472&gt;=Übersicht!$C$30,$S471,0)))))</f>
        <v>0</v>
      </c>
      <c r="S472" s="38">
        <f>IF($S471&lt;=0,0,ROUND($S471-$R472-IF($S471-$R472&lt;=0,0,IF(MOD($A472,Übersicht!$C$25)=0,MIN(Szenarien!$C$8,$S471-$R472),0)),2))</f>
        <v>0</v>
      </c>
      <c r="T472" s="38">
        <f>IF($V471&lt;=0,0,ROUND($V471*Übersicht!$C$26,2))</f>
        <v>0</v>
      </c>
      <c r="U472" s="38">
        <f>IF($V471&lt;=0,0,MIN($V471,IF(Übersicht!$C$14="Annuitätendarlehen",MAX(0,Übersicht!$C$28-$T472),IF(Übersicht!$C$14="Ratendarlehen",Übersicht!$C$29,IF($A472&gt;=Übersicht!$C$30,$V471,0)))))</f>
        <v>0</v>
      </c>
      <c r="V472" s="38">
        <f>IF($V471&lt;=0,0,ROUND($V471-$U472-IF($V471-$U472&lt;=0,0,IF(MOD($A472,Übersicht!$C$25)=0,MIN(Szenarien!$C$9,$V471-$U472),0)),2))</f>
        <v>0</v>
      </c>
      <c r="W472" s="38">
        <f>IF($Y471&lt;=0,0,ROUND($Y471*Übersicht!$C$26,2))</f>
        <v>0</v>
      </c>
      <c r="X472" s="38">
        <f>IF($Y471&lt;=0,0,MIN($Y471,IF(Übersicht!$C$14="Annuitätendarlehen",MAX(0,Übersicht!$C$28-$W472),IF(Übersicht!$C$14="Ratendarlehen",Übersicht!$C$29,IF($A472&gt;=Übersicht!$C$30,$Y471,0)))))</f>
        <v>0</v>
      </c>
      <c r="Y472" s="38">
        <f>IF($Y471&lt;=0,0,ROUND($Y471-$X472-IF($Y471-$X472&lt;=0,0,IF(MOD($A472,Übersicht!$C$25)=0,MIN(Szenarien!$C$10,$Y471-$X472),0)),2))</f>
        <v>0</v>
      </c>
      <c r="Z472" s="38">
        <f>IF($AB471&lt;=0,0,ROUND($AB471*Übersicht!$C$26,2))</f>
        <v>0</v>
      </c>
      <c r="AA472" s="38">
        <f>IF($AB471&lt;=0,0,MIN($AB471,IF(Übersicht!$C$14="Annuitätendarlehen",MAX(0,Übersicht!$C$28-$Z472),IF(Übersicht!$C$14="Ratendarlehen",Übersicht!$C$29,IF($A472&gt;=Übersicht!$C$30,$AB471,0)))))</f>
        <v>0</v>
      </c>
      <c r="AB472" s="38">
        <f>IF($AB471&lt;=0,0,ROUND($AB471-$AA472-IF($AB471-$AA472&lt;=0,0,IF(MOD($A472,Übersicht!$C$25)=0,MIN(Szenarien!$C$11,$AB471-$AA472),0)),2))</f>
        <v>0</v>
      </c>
      <c r="AC472" s="38">
        <f>IF($AE471&lt;=0,0,ROUND($AE471*Übersicht!$C$26,2))</f>
        <v>0</v>
      </c>
      <c r="AD472" s="38">
        <f>IF($AE471&lt;=0,0,MIN($AE471,IF(Übersicht!$C$14="Annuitätendarlehen",MAX(0,Übersicht!$C$28-$AC472),IF(Übersicht!$C$14="Ratendarlehen",Übersicht!$C$29,IF($A472&gt;=Übersicht!$C$30,$AE471,0)))))</f>
        <v>0</v>
      </c>
      <c r="AE472" s="38">
        <f>IF($AE471&lt;=0,0,ROUND($AE471-$AD472-IF($AE471-$AD472&lt;=0,0,IF(MOD($A472,Übersicht!$C$25)=0,MIN(Szenarien!$C$12,$AE471-$AD472),0)),2))</f>
        <v>0</v>
      </c>
    </row>
    <row r="473" spans="1:31" ht="15" customHeight="1" x14ac:dyDescent="0.25">
      <c r="A473" s="26">
        <v>466</v>
      </c>
      <c r="B473" s="39" t="str">
        <f>IF($D473&lt;=0,"",EDATE(Übersicht!$C$18,($A473-1)*12/Übersicht!$C$25))</f>
        <v/>
      </c>
      <c r="C473" s="26" t="str">
        <f t="shared" si="49"/>
        <v/>
      </c>
      <c r="D473" s="40">
        <f t="shared" si="53"/>
        <v>0</v>
      </c>
      <c r="E473" s="28">
        <f t="shared" si="50"/>
        <v>0</v>
      </c>
      <c r="F473" s="28">
        <f>IF($D473&lt;=0,0,ROUND($D473*Übersicht!$C$26,2))</f>
        <v>0</v>
      </c>
      <c r="G473" s="28">
        <f>IF($D473&lt;=0,0,MIN($D473,IF(Übersicht!$C$14="Annuitätendarlehen",MAX(0,Übersicht!$C$28-$F473),IF(Übersicht!$C$14="Ratendarlehen",Übersicht!$C$29,IF($A473&gt;=Übersicht!$C$30,$D473,0)))))</f>
        <v>0</v>
      </c>
      <c r="H473" s="28">
        <f>IF($D473-$G473&lt;=0,0,IF(MOD($A473,Übersicht!$C$25)=0,MIN(Übersicht!$C$31,$D473-$G473),0))</f>
        <v>0</v>
      </c>
      <c r="I473" s="28">
        <f t="shared" si="51"/>
        <v>0</v>
      </c>
      <c r="J473" s="28">
        <f t="shared" si="52"/>
        <v>0</v>
      </c>
      <c r="K473" s="28">
        <f t="shared" si="54"/>
        <v>80072.129999999961</v>
      </c>
      <c r="L473" s="28">
        <f t="shared" si="55"/>
        <v>250000</v>
      </c>
      <c r="M473" s="29" t="str">
        <f>IF($D473&lt;=0,"",IF(Übersicht!$C$11=0,0,$L473/Übersicht!$C$11))</f>
        <v/>
      </c>
      <c r="N473" s="30" t="str">
        <f>IF($D473&lt;=0,"",IF($J473&lt;=0.005,"Volltilgung erreicht",IF($A473=Übersicht!$C$19*Übersicht!$C$25,"Ende der Zinsbindung",IF($H473&gt;0,"Sondertilgung verrechnet",""))))</f>
        <v/>
      </c>
      <c r="Q473" s="38">
        <f>IF($S472&lt;=0,0,ROUND($S472*Übersicht!$C$26,2))</f>
        <v>0</v>
      </c>
      <c r="R473" s="38">
        <f>IF($S472&lt;=0,0,MIN($S472,IF(Übersicht!$C$14="Annuitätendarlehen",MAX(0,Übersicht!$C$28-$Q473),IF(Übersicht!$C$14="Ratendarlehen",Übersicht!$C$29,IF($A473&gt;=Übersicht!$C$30,$S472,0)))))</f>
        <v>0</v>
      </c>
      <c r="S473" s="38">
        <f>IF($S472&lt;=0,0,ROUND($S472-$R473-IF($S472-$R473&lt;=0,0,IF(MOD($A473,Übersicht!$C$25)=0,MIN(Szenarien!$C$8,$S472-$R473),0)),2))</f>
        <v>0</v>
      </c>
      <c r="T473" s="38">
        <f>IF($V472&lt;=0,0,ROUND($V472*Übersicht!$C$26,2))</f>
        <v>0</v>
      </c>
      <c r="U473" s="38">
        <f>IF($V472&lt;=0,0,MIN($V472,IF(Übersicht!$C$14="Annuitätendarlehen",MAX(0,Übersicht!$C$28-$T473),IF(Übersicht!$C$14="Ratendarlehen",Übersicht!$C$29,IF($A473&gt;=Übersicht!$C$30,$V472,0)))))</f>
        <v>0</v>
      </c>
      <c r="V473" s="38">
        <f>IF($V472&lt;=0,0,ROUND($V472-$U473-IF($V472-$U473&lt;=0,0,IF(MOD($A473,Übersicht!$C$25)=0,MIN(Szenarien!$C$9,$V472-$U473),0)),2))</f>
        <v>0</v>
      </c>
      <c r="W473" s="38">
        <f>IF($Y472&lt;=0,0,ROUND($Y472*Übersicht!$C$26,2))</f>
        <v>0</v>
      </c>
      <c r="X473" s="38">
        <f>IF($Y472&lt;=0,0,MIN($Y472,IF(Übersicht!$C$14="Annuitätendarlehen",MAX(0,Übersicht!$C$28-$W473),IF(Übersicht!$C$14="Ratendarlehen",Übersicht!$C$29,IF($A473&gt;=Übersicht!$C$30,$Y472,0)))))</f>
        <v>0</v>
      </c>
      <c r="Y473" s="38">
        <f>IF($Y472&lt;=0,0,ROUND($Y472-$X473-IF($Y472-$X473&lt;=0,0,IF(MOD($A473,Übersicht!$C$25)=0,MIN(Szenarien!$C$10,$Y472-$X473),0)),2))</f>
        <v>0</v>
      </c>
      <c r="Z473" s="38">
        <f>IF($AB472&lt;=0,0,ROUND($AB472*Übersicht!$C$26,2))</f>
        <v>0</v>
      </c>
      <c r="AA473" s="38">
        <f>IF($AB472&lt;=0,0,MIN($AB472,IF(Übersicht!$C$14="Annuitätendarlehen",MAX(0,Übersicht!$C$28-$Z473),IF(Übersicht!$C$14="Ratendarlehen",Übersicht!$C$29,IF($A473&gt;=Übersicht!$C$30,$AB472,0)))))</f>
        <v>0</v>
      </c>
      <c r="AB473" s="38">
        <f>IF($AB472&lt;=0,0,ROUND($AB472-$AA473-IF($AB472-$AA473&lt;=0,0,IF(MOD($A473,Übersicht!$C$25)=0,MIN(Szenarien!$C$11,$AB472-$AA473),0)),2))</f>
        <v>0</v>
      </c>
      <c r="AC473" s="38">
        <f>IF($AE472&lt;=0,0,ROUND($AE472*Übersicht!$C$26,2))</f>
        <v>0</v>
      </c>
      <c r="AD473" s="38">
        <f>IF($AE472&lt;=0,0,MIN($AE472,IF(Übersicht!$C$14="Annuitätendarlehen",MAX(0,Übersicht!$C$28-$AC473),IF(Übersicht!$C$14="Ratendarlehen",Übersicht!$C$29,IF($A473&gt;=Übersicht!$C$30,$AE472,0)))))</f>
        <v>0</v>
      </c>
      <c r="AE473" s="38">
        <f>IF($AE472&lt;=0,0,ROUND($AE472-$AD473-IF($AE472-$AD473&lt;=0,0,IF(MOD($A473,Übersicht!$C$25)=0,MIN(Szenarien!$C$12,$AE472-$AD473),0)),2))</f>
        <v>0</v>
      </c>
    </row>
    <row r="474" spans="1:31" ht="15" customHeight="1" x14ac:dyDescent="0.25">
      <c r="A474" s="21">
        <v>467</v>
      </c>
      <c r="B474" s="36" t="str">
        <f>IF($D474&lt;=0,"",EDATE(Übersicht!$C$18,($A474-1)*12/Übersicht!$C$25))</f>
        <v/>
      </c>
      <c r="C474" s="21" t="str">
        <f t="shared" si="49"/>
        <v/>
      </c>
      <c r="D474" s="37">
        <f t="shared" si="53"/>
        <v>0</v>
      </c>
      <c r="E474" s="23">
        <f t="shared" si="50"/>
        <v>0</v>
      </c>
      <c r="F474" s="23">
        <f>IF($D474&lt;=0,0,ROUND($D474*Übersicht!$C$26,2))</f>
        <v>0</v>
      </c>
      <c r="G474" s="23">
        <f>IF($D474&lt;=0,0,MIN($D474,IF(Übersicht!$C$14="Annuitätendarlehen",MAX(0,Übersicht!$C$28-$F474),IF(Übersicht!$C$14="Ratendarlehen",Übersicht!$C$29,IF($A474&gt;=Übersicht!$C$30,$D474,0)))))</f>
        <v>0</v>
      </c>
      <c r="H474" s="23">
        <f>IF($D474-$G474&lt;=0,0,IF(MOD($A474,Übersicht!$C$25)=0,MIN(Übersicht!$C$31,$D474-$G474),0))</f>
        <v>0</v>
      </c>
      <c r="I474" s="23">
        <f t="shared" si="51"/>
        <v>0</v>
      </c>
      <c r="J474" s="23">
        <f t="shared" si="52"/>
        <v>0</v>
      </c>
      <c r="K474" s="23">
        <f t="shared" si="54"/>
        <v>80072.129999999961</v>
      </c>
      <c r="L474" s="23">
        <f t="shared" si="55"/>
        <v>250000</v>
      </c>
      <c r="M474" s="24" t="str">
        <f>IF($D474&lt;=0,"",IF(Übersicht!$C$11=0,0,$L474/Übersicht!$C$11))</f>
        <v/>
      </c>
      <c r="N474" s="25" t="str">
        <f>IF($D474&lt;=0,"",IF($J474&lt;=0.005,"Volltilgung erreicht",IF($A474=Übersicht!$C$19*Übersicht!$C$25,"Ende der Zinsbindung",IF($H474&gt;0,"Sondertilgung verrechnet",""))))</f>
        <v/>
      </c>
      <c r="Q474" s="38">
        <f>IF($S473&lt;=0,0,ROUND($S473*Übersicht!$C$26,2))</f>
        <v>0</v>
      </c>
      <c r="R474" s="38">
        <f>IF($S473&lt;=0,0,MIN($S473,IF(Übersicht!$C$14="Annuitätendarlehen",MAX(0,Übersicht!$C$28-$Q474),IF(Übersicht!$C$14="Ratendarlehen",Übersicht!$C$29,IF($A474&gt;=Übersicht!$C$30,$S473,0)))))</f>
        <v>0</v>
      </c>
      <c r="S474" s="38">
        <f>IF($S473&lt;=0,0,ROUND($S473-$R474-IF($S473-$R474&lt;=0,0,IF(MOD($A474,Übersicht!$C$25)=0,MIN(Szenarien!$C$8,$S473-$R474),0)),2))</f>
        <v>0</v>
      </c>
      <c r="T474" s="38">
        <f>IF($V473&lt;=0,0,ROUND($V473*Übersicht!$C$26,2))</f>
        <v>0</v>
      </c>
      <c r="U474" s="38">
        <f>IF($V473&lt;=0,0,MIN($V473,IF(Übersicht!$C$14="Annuitätendarlehen",MAX(0,Übersicht!$C$28-$T474),IF(Übersicht!$C$14="Ratendarlehen",Übersicht!$C$29,IF($A474&gt;=Übersicht!$C$30,$V473,0)))))</f>
        <v>0</v>
      </c>
      <c r="V474" s="38">
        <f>IF($V473&lt;=0,0,ROUND($V473-$U474-IF($V473-$U474&lt;=0,0,IF(MOD($A474,Übersicht!$C$25)=0,MIN(Szenarien!$C$9,$V473-$U474),0)),2))</f>
        <v>0</v>
      </c>
      <c r="W474" s="38">
        <f>IF($Y473&lt;=0,0,ROUND($Y473*Übersicht!$C$26,2))</f>
        <v>0</v>
      </c>
      <c r="X474" s="38">
        <f>IF($Y473&lt;=0,0,MIN($Y473,IF(Übersicht!$C$14="Annuitätendarlehen",MAX(0,Übersicht!$C$28-$W474),IF(Übersicht!$C$14="Ratendarlehen",Übersicht!$C$29,IF($A474&gt;=Übersicht!$C$30,$Y473,0)))))</f>
        <v>0</v>
      </c>
      <c r="Y474" s="38">
        <f>IF($Y473&lt;=0,0,ROUND($Y473-$X474-IF($Y473-$X474&lt;=0,0,IF(MOD($A474,Übersicht!$C$25)=0,MIN(Szenarien!$C$10,$Y473-$X474),0)),2))</f>
        <v>0</v>
      </c>
      <c r="Z474" s="38">
        <f>IF($AB473&lt;=0,0,ROUND($AB473*Übersicht!$C$26,2))</f>
        <v>0</v>
      </c>
      <c r="AA474" s="38">
        <f>IF($AB473&lt;=0,0,MIN($AB473,IF(Übersicht!$C$14="Annuitätendarlehen",MAX(0,Übersicht!$C$28-$Z474),IF(Übersicht!$C$14="Ratendarlehen",Übersicht!$C$29,IF($A474&gt;=Übersicht!$C$30,$AB473,0)))))</f>
        <v>0</v>
      </c>
      <c r="AB474" s="38">
        <f>IF($AB473&lt;=0,0,ROUND($AB473-$AA474-IF($AB473-$AA474&lt;=0,0,IF(MOD($A474,Übersicht!$C$25)=0,MIN(Szenarien!$C$11,$AB473-$AA474),0)),2))</f>
        <v>0</v>
      </c>
      <c r="AC474" s="38">
        <f>IF($AE473&lt;=0,0,ROUND($AE473*Übersicht!$C$26,2))</f>
        <v>0</v>
      </c>
      <c r="AD474" s="38">
        <f>IF($AE473&lt;=0,0,MIN($AE473,IF(Übersicht!$C$14="Annuitätendarlehen",MAX(0,Übersicht!$C$28-$AC474),IF(Übersicht!$C$14="Ratendarlehen",Übersicht!$C$29,IF($A474&gt;=Übersicht!$C$30,$AE473,0)))))</f>
        <v>0</v>
      </c>
      <c r="AE474" s="38">
        <f>IF($AE473&lt;=0,0,ROUND($AE473-$AD474-IF($AE473-$AD474&lt;=0,0,IF(MOD($A474,Übersicht!$C$25)=0,MIN(Szenarien!$C$12,$AE473-$AD474),0)),2))</f>
        <v>0</v>
      </c>
    </row>
    <row r="475" spans="1:31" ht="15" customHeight="1" x14ac:dyDescent="0.25">
      <c r="A475" s="26">
        <v>468</v>
      </c>
      <c r="B475" s="39" t="str">
        <f>IF($D475&lt;=0,"",EDATE(Übersicht!$C$18,($A475-1)*12/Übersicht!$C$25))</f>
        <v/>
      </c>
      <c r="C475" s="26" t="str">
        <f t="shared" si="49"/>
        <v/>
      </c>
      <c r="D475" s="40">
        <f t="shared" si="53"/>
        <v>0</v>
      </c>
      <c r="E475" s="28">
        <f t="shared" si="50"/>
        <v>0</v>
      </c>
      <c r="F475" s="28">
        <f>IF($D475&lt;=0,0,ROUND($D475*Übersicht!$C$26,2))</f>
        <v>0</v>
      </c>
      <c r="G475" s="28">
        <f>IF($D475&lt;=0,0,MIN($D475,IF(Übersicht!$C$14="Annuitätendarlehen",MAX(0,Übersicht!$C$28-$F475),IF(Übersicht!$C$14="Ratendarlehen",Übersicht!$C$29,IF($A475&gt;=Übersicht!$C$30,$D475,0)))))</f>
        <v>0</v>
      </c>
      <c r="H475" s="28">
        <f>IF($D475-$G475&lt;=0,0,IF(MOD($A475,Übersicht!$C$25)=0,MIN(Übersicht!$C$31,$D475-$G475),0))</f>
        <v>0</v>
      </c>
      <c r="I475" s="28">
        <f t="shared" si="51"/>
        <v>0</v>
      </c>
      <c r="J475" s="28">
        <f t="shared" si="52"/>
        <v>0</v>
      </c>
      <c r="K475" s="28">
        <f t="shared" si="54"/>
        <v>80072.129999999961</v>
      </c>
      <c r="L475" s="28">
        <f t="shared" si="55"/>
        <v>250000</v>
      </c>
      <c r="M475" s="29" t="str">
        <f>IF($D475&lt;=0,"",IF(Übersicht!$C$11=0,0,$L475/Übersicht!$C$11))</f>
        <v/>
      </c>
      <c r="N475" s="30" t="str">
        <f>IF($D475&lt;=0,"",IF($J475&lt;=0.005,"Volltilgung erreicht",IF($A475=Übersicht!$C$19*Übersicht!$C$25,"Ende der Zinsbindung",IF($H475&gt;0,"Sondertilgung verrechnet",""))))</f>
        <v/>
      </c>
      <c r="Q475" s="38">
        <f>IF($S474&lt;=0,0,ROUND($S474*Übersicht!$C$26,2))</f>
        <v>0</v>
      </c>
      <c r="R475" s="38">
        <f>IF($S474&lt;=0,0,MIN($S474,IF(Übersicht!$C$14="Annuitätendarlehen",MAX(0,Übersicht!$C$28-$Q475),IF(Übersicht!$C$14="Ratendarlehen",Übersicht!$C$29,IF($A475&gt;=Übersicht!$C$30,$S474,0)))))</f>
        <v>0</v>
      </c>
      <c r="S475" s="38">
        <f>IF($S474&lt;=0,0,ROUND($S474-$R475-IF($S474-$R475&lt;=0,0,IF(MOD($A475,Übersicht!$C$25)=0,MIN(Szenarien!$C$8,$S474-$R475),0)),2))</f>
        <v>0</v>
      </c>
      <c r="T475" s="38">
        <f>IF($V474&lt;=0,0,ROUND($V474*Übersicht!$C$26,2))</f>
        <v>0</v>
      </c>
      <c r="U475" s="38">
        <f>IF($V474&lt;=0,0,MIN($V474,IF(Übersicht!$C$14="Annuitätendarlehen",MAX(0,Übersicht!$C$28-$T475),IF(Übersicht!$C$14="Ratendarlehen",Übersicht!$C$29,IF($A475&gt;=Übersicht!$C$30,$V474,0)))))</f>
        <v>0</v>
      </c>
      <c r="V475" s="38">
        <f>IF($V474&lt;=0,0,ROUND($V474-$U475-IF($V474-$U475&lt;=0,0,IF(MOD($A475,Übersicht!$C$25)=0,MIN(Szenarien!$C$9,$V474-$U475),0)),2))</f>
        <v>0</v>
      </c>
      <c r="W475" s="38">
        <f>IF($Y474&lt;=0,0,ROUND($Y474*Übersicht!$C$26,2))</f>
        <v>0</v>
      </c>
      <c r="X475" s="38">
        <f>IF($Y474&lt;=0,0,MIN($Y474,IF(Übersicht!$C$14="Annuitätendarlehen",MAX(0,Übersicht!$C$28-$W475),IF(Übersicht!$C$14="Ratendarlehen",Übersicht!$C$29,IF($A475&gt;=Übersicht!$C$30,$Y474,0)))))</f>
        <v>0</v>
      </c>
      <c r="Y475" s="38">
        <f>IF($Y474&lt;=0,0,ROUND($Y474-$X475-IF($Y474-$X475&lt;=0,0,IF(MOD($A475,Übersicht!$C$25)=0,MIN(Szenarien!$C$10,$Y474-$X475),0)),2))</f>
        <v>0</v>
      </c>
      <c r="Z475" s="38">
        <f>IF($AB474&lt;=0,0,ROUND($AB474*Übersicht!$C$26,2))</f>
        <v>0</v>
      </c>
      <c r="AA475" s="38">
        <f>IF($AB474&lt;=0,0,MIN($AB474,IF(Übersicht!$C$14="Annuitätendarlehen",MAX(0,Übersicht!$C$28-$Z475),IF(Übersicht!$C$14="Ratendarlehen",Übersicht!$C$29,IF($A475&gt;=Übersicht!$C$30,$AB474,0)))))</f>
        <v>0</v>
      </c>
      <c r="AB475" s="38">
        <f>IF($AB474&lt;=0,0,ROUND($AB474-$AA475-IF($AB474-$AA475&lt;=0,0,IF(MOD($A475,Übersicht!$C$25)=0,MIN(Szenarien!$C$11,$AB474-$AA475),0)),2))</f>
        <v>0</v>
      </c>
      <c r="AC475" s="38">
        <f>IF($AE474&lt;=0,0,ROUND($AE474*Übersicht!$C$26,2))</f>
        <v>0</v>
      </c>
      <c r="AD475" s="38">
        <f>IF($AE474&lt;=0,0,MIN($AE474,IF(Übersicht!$C$14="Annuitätendarlehen",MAX(0,Übersicht!$C$28-$AC475),IF(Übersicht!$C$14="Ratendarlehen",Übersicht!$C$29,IF($A475&gt;=Übersicht!$C$30,$AE474,0)))))</f>
        <v>0</v>
      </c>
      <c r="AE475" s="38">
        <f>IF($AE474&lt;=0,0,ROUND($AE474-$AD475-IF($AE474-$AD475&lt;=0,0,IF(MOD($A475,Übersicht!$C$25)=0,MIN(Szenarien!$C$12,$AE474-$AD475),0)),2))</f>
        <v>0</v>
      </c>
    </row>
    <row r="476" spans="1:31" ht="15" customHeight="1" x14ac:dyDescent="0.25">
      <c r="A476" s="21">
        <v>469</v>
      </c>
      <c r="B476" s="36" t="str">
        <f>IF($D476&lt;=0,"",EDATE(Übersicht!$C$18,($A476-1)*12/Übersicht!$C$25))</f>
        <v/>
      </c>
      <c r="C476" s="21" t="str">
        <f t="shared" si="49"/>
        <v/>
      </c>
      <c r="D476" s="37">
        <f t="shared" si="53"/>
        <v>0</v>
      </c>
      <c r="E476" s="23">
        <f t="shared" si="50"/>
        <v>0</v>
      </c>
      <c r="F476" s="23">
        <f>IF($D476&lt;=0,0,ROUND($D476*Übersicht!$C$26,2))</f>
        <v>0</v>
      </c>
      <c r="G476" s="23">
        <f>IF($D476&lt;=0,0,MIN($D476,IF(Übersicht!$C$14="Annuitätendarlehen",MAX(0,Übersicht!$C$28-$F476),IF(Übersicht!$C$14="Ratendarlehen",Übersicht!$C$29,IF($A476&gt;=Übersicht!$C$30,$D476,0)))))</f>
        <v>0</v>
      </c>
      <c r="H476" s="23">
        <f>IF($D476-$G476&lt;=0,0,IF(MOD($A476,Übersicht!$C$25)=0,MIN(Übersicht!$C$31,$D476-$G476),0))</f>
        <v>0</v>
      </c>
      <c r="I476" s="23">
        <f t="shared" si="51"/>
        <v>0</v>
      </c>
      <c r="J476" s="23">
        <f t="shared" si="52"/>
        <v>0</v>
      </c>
      <c r="K476" s="23">
        <f t="shared" si="54"/>
        <v>80072.129999999961</v>
      </c>
      <c r="L476" s="23">
        <f t="shared" si="55"/>
        <v>250000</v>
      </c>
      <c r="M476" s="24" t="str">
        <f>IF($D476&lt;=0,"",IF(Übersicht!$C$11=0,0,$L476/Übersicht!$C$11))</f>
        <v/>
      </c>
      <c r="N476" s="25" t="str">
        <f>IF($D476&lt;=0,"",IF($J476&lt;=0.005,"Volltilgung erreicht",IF($A476=Übersicht!$C$19*Übersicht!$C$25,"Ende der Zinsbindung",IF($H476&gt;0,"Sondertilgung verrechnet",""))))</f>
        <v/>
      </c>
      <c r="Q476" s="38">
        <f>IF($S475&lt;=0,0,ROUND($S475*Übersicht!$C$26,2))</f>
        <v>0</v>
      </c>
      <c r="R476" s="38">
        <f>IF($S475&lt;=0,0,MIN($S475,IF(Übersicht!$C$14="Annuitätendarlehen",MAX(0,Übersicht!$C$28-$Q476),IF(Übersicht!$C$14="Ratendarlehen",Übersicht!$C$29,IF($A476&gt;=Übersicht!$C$30,$S475,0)))))</f>
        <v>0</v>
      </c>
      <c r="S476" s="38">
        <f>IF($S475&lt;=0,0,ROUND($S475-$R476-IF($S475-$R476&lt;=0,0,IF(MOD($A476,Übersicht!$C$25)=0,MIN(Szenarien!$C$8,$S475-$R476),0)),2))</f>
        <v>0</v>
      </c>
      <c r="T476" s="38">
        <f>IF($V475&lt;=0,0,ROUND($V475*Übersicht!$C$26,2))</f>
        <v>0</v>
      </c>
      <c r="U476" s="38">
        <f>IF($V475&lt;=0,0,MIN($V475,IF(Übersicht!$C$14="Annuitätendarlehen",MAX(0,Übersicht!$C$28-$T476),IF(Übersicht!$C$14="Ratendarlehen",Übersicht!$C$29,IF($A476&gt;=Übersicht!$C$30,$V475,0)))))</f>
        <v>0</v>
      </c>
      <c r="V476" s="38">
        <f>IF($V475&lt;=0,0,ROUND($V475-$U476-IF($V475-$U476&lt;=0,0,IF(MOD($A476,Übersicht!$C$25)=0,MIN(Szenarien!$C$9,$V475-$U476),0)),2))</f>
        <v>0</v>
      </c>
      <c r="W476" s="38">
        <f>IF($Y475&lt;=0,0,ROUND($Y475*Übersicht!$C$26,2))</f>
        <v>0</v>
      </c>
      <c r="X476" s="38">
        <f>IF($Y475&lt;=0,0,MIN($Y475,IF(Übersicht!$C$14="Annuitätendarlehen",MAX(0,Übersicht!$C$28-$W476),IF(Übersicht!$C$14="Ratendarlehen",Übersicht!$C$29,IF($A476&gt;=Übersicht!$C$30,$Y475,0)))))</f>
        <v>0</v>
      </c>
      <c r="Y476" s="38">
        <f>IF($Y475&lt;=0,0,ROUND($Y475-$X476-IF($Y475-$X476&lt;=0,0,IF(MOD($A476,Übersicht!$C$25)=0,MIN(Szenarien!$C$10,$Y475-$X476),0)),2))</f>
        <v>0</v>
      </c>
      <c r="Z476" s="38">
        <f>IF($AB475&lt;=0,0,ROUND($AB475*Übersicht!$C$26,2))</f>
        <v>0</v>
      </c>
      <c r="AA476" s="38">
        <f>IF($AB475&lt;=0,0,MIN($AB475,IF(Übersicht!$C$14="Annuitätendarlehen",MAX(0,Übersicht!$C$28-$Z476),IF(Übersicht!$C$14="Ratendarlehen",Übersicht!$C$29,IF($A476&gt;=Übersicht!$C$30,$AB475,0)))))</f>
        <v>0</v>
      </c>
      <c r="AB476" s="38">
        <f>IF($AB475&lt;=0,0,ROUND($AB475-$AA476-IF($AB475-$AA476&lt;=0,0,IF(MOD($A476,Übersicht!$C$25)=0,MIN(Szenarien!$C$11,$AB475-$AA476),0)),2))</f>
        <v>0</v>
      </c>
      <c r="AC476" s="38">
        <f>IF($AE475&lt;=0,0,ROUND($AE475*Übersicht!$C$26,2))</f>
        <v>0</v>
      </c>
      <c r="AD476" s="38">
        <f>IF($AE475&lt;=0,0,MIN($AE475,IF(Übersicht!$C$14="Annuitätendarlehen",MAX(0,Übersicht!$C$28-$AC476),IF(Übersicht!$C$14="Ratendarlehen",Übersicht!$C$29,IF($A476&gt;=Übersicht!$C$30,$AE475,0)))))</f>
        <v>0</v>
      </c>
      <c r="AE476" s="38">
        <f>IF($AE475&lt;=0,0,ROUND($AE475-$AD476-IF($AE475-$AD476&lt;=0,0,IF(MOD($A476,Übersicht!$C$25)=0,MIN(Szenarien!$C$12,$AE475-$AD476),0)),2))</f>
        <v>0</v>
      </c>
    </row>
    <row r="477" spans="1:31" ht="15" customHeight="1" x14ac:dyDescent="0.25">
      <c r="A477" s="26">
        <v>470</v>
      </c>
      <c r="B477" s="39" t="str">
        <f>IF($D477&lt;=0,"",EDATE(Übersicht!$C$18,($A477-1)*12/Übersicht!$C$25))</f>
        <v/>
      </c>
      <c r="C477" s="26" t="str">
        <f t="shared" si="49"/>
        <v/>
      </c>
      <c r="D477" s="40">
        <f t="shared" si="53"/>
        <v>0</v>
      </c>
      <c r="E477" s="28">
        <f t="shared" si="50"/>
        <v>0</v>
      </c>
      <c r="F477" s="28">
        <f>IF($D477&lt;=0,0,ROUND($D477*Übersicht!$C$26,2))</f>
        <v>0</v>
      </c>
      <c r="G477" s="28">
        <f>IF($D477&lt;=0,0,MIN($D477,IF(Übersicht!$C$14="Annuitätendarlehen",MAX(0,Übersicht!$C$28-$F477),IF(Übersicht!$C$14="Ratendarlehen",Übersicht!$C$29,IF($A477&gt;=Übersicht!$C$30,$D477,0)))))</f>
        <v>0</v>
      </c>
      <c r="H477" s="28">
        <f>IF($D477-$G477&lt;=0,0,IF(MOD($A477,Übersicht!$C$25)=0,MIN(Übersicht!$C$31,$D477-$G477),0))</f>
        <v>0</v>
      </c>
      <c r="I477" s="28">
        <f t="shared" si="51"/>
        <v>0</v>
      </c>
      <c r="J477" s="28">
        <f t="shared" si="52"/>
        <v>0</v>
      </c>
      <c r="K477" s="28">
        <f t="shared" si="54"/>
        <v>80072.129999999961</v>
      </c>
      <c r="L477" s="28">
        <f t="shared" si="55"/>
        <v>250000</v>
      </c>
      <c r="M477" s="29" t="str">
        <f>IF($D477&lt;=0,"",IF(Übersicht!$C$11=0,0,$L477/Übersicht!$C$11))</f>
        <v/>
      </c>
      <c r="N477" s="30" t="str">
        <f>IF($D477&lt;=0,"",IF($J477&lt;=0.005,"Volltilgung erreicht",IF($A477=Übersicht!$C$19*Übersicht!$C$25,"Ende der Zinsbindung",IF($H477&gt;0,"Sondertilgung verrechnet",""))))</f>
        <v/>
      </c>
      <c r="Q477" s="38">
        <f>IF($S476&lt;=0,0,ROUND($S476*Übersicht!$C$26,2))</f>
        <v>0</v>
      </c>
      <c r="R477" s="38">
        <f>IF($S476&lt;=0,0,MIN($S476,IF(Übersicht!$C$14="Annuitätendarlehen",MAX(0,Übersicht!$C$28-$Q477),IF(Übersicht!$C$14="Ratendarlehen",Übersicht!$C$29,IF($A477&gt;=Übersicht!$C$30,$S476,0)))))</f>
        <v>0</v>
      </c>
      <c r="S477" s="38">
        <f>IF($S476&lt;=0,0,ROUND($S476-$R477-IF($S476-$R477&lt;=0,0,IF(MOD($A477,Übersicht!$C$25)=0,MIN(Szenarien!$C$8,$S476-$R477),0)),2))</f>
        <v>0</v>
      </c>
      <c r="T477" s="38">
        <f>IF($V476&lt;=0,0,ROUND($V476*Übersicht!$C$26,2))</f>
        <v>0</v>
      </c>
      <c r="U477" s="38">
        <f>IF($V476&lt;=0,0,MIN($V476,IF(Übersicht!$C$14="Annuitätendarlehen",MAX(0,Übersicht!$C$28-$T477),IF(Übersicht!$C$14="Ratendarlehen",Übersicht!$C$29,IF($A477&gt;=Übersicht!$C$30,$V476,0)))))</f>
        <v>0</v>
      </c>
      <c r="V477" s="38">
        <f>IF($V476&lt;=0,0,ROUND($V476-$U477-IF($V476-$U477&lt;=0,0,IF(MOD($A477,Übersicht!$C$25)=0,MIN(Szenarien!$C$9,$V476-$U477),0)),2))</f>
        <v>0</v>
      </c>
      <c r="W477" s="38">
        <f>IF($Y476&lt;=0,0,ROUND($Y476*Übersicht!$C$26,2))</f>
        <v>0</v>
      </c>
      <c r="X477" s="38">
        <f>IF($Y476&lt;=0,0,MIN($Y476,IF(Übersicht!$C$14="Annuitätendarlehen",MAX(0,Übersicht!$C$28-$W477),IF(Übersicht!$C$14="Ratendarlehen",Übersicht!$C$29,IF($A477&gt;=Übersicht!$C$30,$Y476,0)))))</f>
        <v>0</v>
      </c>
      <c r="Y477" s="38">
        <f>IF($Y476&lt;=0,0,ROUND($Y476-$X477-IF($Y476-$X477&lt;=0,0,IF(MOD($A477,Übersicht!$C$25)=0,MIN(Szenarien!$C$10,$Y476-$X477),0)),2))</f>
        <v>0</v>
      </c>
      <c r="Z477" s="38">
        <f>IF($AB476&lt;=0,0,ROUND($AB476*Übersicht!$C$26,2))</f>
        <v>0</v>
      </c>
      <c r="AA477" s="38">
        <f>IF($AB476&lt;=0,0,MIN($AB476,IF(Übersicht!$C$14="Annuitätendarlehen",MAX(0,Übersicht!$C$28-$Z477),IF(Übersicht!$C$14="Ratendarlehen",Übersicht!$C$29,IF($A477&gt;=Übersicht!$C$30,$AB476,0)))))</f>
        <v>0</v>
      </c>
      <c r="AB477" s="38">
        <f>IF($AB476&lt;=0,0,ROUND($AB476-$AA477-IF($AB476-$AA477&lt;=0,0,IF(MOD($A477,Übersicht!$C$25)=0,MIN(Szenarien!$C$11,$AB476-$AA477),0)),2))</f>
        <v>0</v>
      </c>
      <c r="AC477" s="38">
        <f>IF($AE476&lt;=0,0,ROUND($AE476*Übersicht!$C$26,2))</f>
        <v>0</v>
      </c>
      <c r="AD477" s="38">
        <f>IF($AE476&lt;=0,0,MIN($AE476,IF(Übersicht!$C$14="Annuitätendarlehen",MAX(0,Übersicht!$C$28-$AC477),IF(Übersicht!$C$14="Ratendarlehen",Übersicht!$C$29,IF($A477&gt;=Übersicht!$C$30,$AE476,0)))))</f>
        <v>0</v>
      </c>
      <c r="AE477" s="38">
        <f>IF($AE476&lt;=0,0,ROUND($AE476-$AD477-IF($AE476-$AD477&lt;=0,0,IF(MOD($A477,Übersicht!$C$25)=0,MIN(Szenarien!$C$12,$AE476-$AD477),0)),2))</f>
        <v>0</v>
      </c>
    </row>
    <row r="478" spans="1:31" ht="15" customHeight="1" x14ac:dyDescent="0.25">
      <c r="A478" s="21">
        <v>471</v>
      </c>
      <c r="B478" s="36" t="str">
        <f>IF($D478&lt;=0,"",EDATE(Übersicht!$C$18,($A478-1)*12/Übersicht!$C$25))</f>
        <v/>
      </c>
      <c r="C478" s="21" t="str">
        <f t="shared" si="49"/>
        <v/>
      </c>
      <c r="D478" s="37">
        <f t="shared" si="53"/>
        <v>0</v>
      </c>
      <c r="E478" s="23">
        <f t="shared" si="50"/>
        <v>0</v>
      </c>
      <c r="F478" s="23">
        <f>IF($D478&lt;=0,0,ROUND($D478*Übersicht!$C$26,2))</f>
        <v>0</v>
      </c>
      <c r="G478" s="23">
        <f>IF($D478&lt;=0,0,MIN($D478,IF(Übersicht!$C$14="Annuitätendarlehen",MAX(0,Übersicht!$C$28-$F478),IF(Übersicht!$C$14="Ratendarlehen",Übersicht!$C$29,IF($A478&gt;=Übersicht!$C$30,$D478,0)))))</f>
        <v>0</v>
      </c>
      <c r="H478" s="23">
        <f>IF($D478-$G478&lt;=0,0,IF(MOD($A478,Übersicht!$C$25)=0,MIN(Übersicht!$C$31,$D478-$G478),0))</f>
        <v>0</v>
      </c>
      <c r="I478" s="23">
        <f t="shared" si="51"/>
        <v>0</v>
      </c>
      <c r="J478" s="23">
        <f t="shared" si="52"/>
        <v>0</v>
      </c>
      <c r="K478" s="23">
        <f t="shared" si="54"/>
        <v>80072.129999999961</v>
      </c>
      <c r="L478" s="23">
        <f t="shared" si="55"/>
        <v>250000</v>
      </c>
      <c r="M478" s="24" t="str">
        <f>IF($D478&lt;=0,"",IF(Übersicht!$C$11=0,0,$L478/Übersicht!$C$11))</f>
        <v/>
      </c>
      <c r="N478" s="25" t="str">
        <f>IF($D478&lt;=0,"",IF($J478&lt;=0.005,"Volltilgung erreicht",IF($A478=Übersicht!$C$19*Übersicht!$C$25,"Ende der Zinsbindung",IF($H478&gt;0,"Sondertilgung verrechnet",""))))</f>
        <v/>
      </c>
      <c r="Q478" s="38">
        <f>IF($S477&lt;=0,0,ROUND($S477*Übersicht!$C$26,2))</f>
        <v>0</v>
      </c>
      <c r="R478" s="38">
        <f>IF($S477&lt;=0,0,MIN($S477,IF(Übersicht!$C$14="Annuitätendarlehen",MAX(0,Übersicht!$C$28-$Q478),IF(Übersicht!$C$14="Ratendarlehen",Übersicht!$C$29,IF($A478&gt;=Übersicht!$C$30,$S477,0)))))</f>
        <v>0</v>
      </c>
      <c r="S478" s="38">
        <f>IF($S477&lt;=0,0,ROUND($S477-$R478-IF($S477-$R478&lt;=0,0,IF(MOD($A478,Übersicht!$C$25)=0,MIN(Szenarien!$C$8,$S477-$R478),0)),2))</f>
        <v>0</v>
      </c>
      <c r="T478" s="38">
        <f>IF($V477&lt;=0,0,ROUND($V477*Übersicht!$C$26,2))</f>
        <v>0</v>
      </c>
      <c r="U478" s="38">
        <f>IF($V477&lt;=0,0,MIN($V477,IF(Übersicht!$C$14="Annuitätendarlehen",MAX(0,Übersicht!$C$28-$T478),IF(Übersicht!$C$14="Ratendarlehen",Übersicht!$C$29,IF($A478&gt;=Übersicht!$C$30,$V477,0)))))</f>
        <v>0</v>
      </c>
      <c r="V478" s="38">
        <f>IF($V477&lt;=0,0,ROUND($V477-$U478-IF($V477-$U478&lt;=0,0,IF(MOD($A478,Übersicht!$C$25)=0,MIN(Szenarien!$C$9,$V477-$U478),0)),2))</f>
        <v>0</v>
      </c>
      <c r="W478" s="38">
        <f>IF($Y477&lt;=0,0,ROUND($Y477*Übersicht!$C$26,2))</f>
        <v>0</v>
      </c>
      <c r="X478" s="38">
        <f>IF($Y477&lt;=0,0,MIN($Y477,IF(Übersicht!$C$14="Annuitätendarlehen",MAX(0,Übersicht!$C$28-$W478),IF(Übersicht!$C$14="Ratendarlehen",Übersicht!$C$29,IF($A478&gt;=Übersicht!$C$30,$Y477,0)))))</f>
        <v>0</v>
      </c>
      <c r="Y478" s="38">
        <f>IF($Y477&lt;=0,0,ROUND($Y477-$X478-IF($Y477-$X478&lt;=0,0,IF(MOD($A478,Übersicht!$C$25)=0,MIN(Szenarien!$C$10,$Y477-$X478),0)),2))</f>
        <v>0</v>
      </c>
      <c r="Z478" s="38">
        <f>IF($AB477&lt;=0,0,ROUND($AB477*Übersicht!$C$26,2))</f>
        <v>0</v>
      </c>
      <c r="AA478" s="38">
        <f>IF($AB477&lt;=0,0,MIN($AB477,IF(Übersicht!$C$14="Annuitätendarlehen",MAX(0,Übersicht!$C$28-$Z478),IF(Übersicht!$C$14="Ratendarlehen",Übersicht!$C$29,IF($A478&gt;=Übersicht!$C$30,$AB477,0)))))</f>
        <v>0</v>
      </c>
      <c r="AB478" s="38">
        <f>IF($AB477&lt;=0,0,ROUND($AB477-$AA478-IF($AB477-$AA478&lt;=0,0,IF(MOD($A478,Übersicht!$C$25)=0,MIN(Szenarien!$C$11,$AB477-$AA478),0)),2))</f>
        <v>0</v>
      </c>
      <c r="AC478" s="38">
        <f>IF($AE477&lt;=0,0,ROUND($AE477*Übersicht!$C$26,2))</f>
        <v>0</v>
      </c>
      <c r="AD478" s="38">
        <f>IF($AE477&lt;=0,0,MIN($AE477,IF(Übersicht!$C$14="Annuitätendarlehen",MAX(0,Übersicht!$C$28-$AC478),IF(Übersicht!$C$14="Ratendarlehen",Übersicht!$C$29,IF($A478&gt;=Übersicht!$C$30,$AE477,0)))))</f>
        <v>0</v>
      </c>
      <c r="AE478" s="38">
        <f>IF($AE477&lt;=0,0,ROUND($AE477-$AD478-IF($AE477-$AD478&lt;=0,0,IF(MOD($A478,Übersicht!$C$25)=0,MIN(Szenarien!$C$12,$AE477-$AD478),0)),2))</f>
        <v>0</v>
      </c>
    </row>
    <row r="479" spans="1:31" ht="15" customHeight="1" x14ac:dyDescent="0.25">
      <c r="A479" s="26">
        <v>472</v>
      </c>
      <c r="B479" s="39" t="str">
        <f>IF($D479&lt;=0,"",EDATE(Übersicht!$C$18,($A479-1)*12/Übersicht!$C$25))</f>
        <v/>
      </c>
      <c r="C479" s="26" t="str">
        <f t="shared" si="49"/>
        <v/>
      </c>
      <c r="D479" s="40">
        <f t="shared" si="53"/>
        <v>0</v>
      </c>
      <c r="E479" s="28">
        <f t="shared" si="50"/>
        <v>0</v>
      </c>
      <c r="F479" s="28">
        <f>IF($D479&lt;=0,0,ROUND($D479*Übersicht!$C$26,2))</f>
        <v>0</v>
      </c>
      <c r="G479" s="28">
        <f>IF($D479&lt;=0,0,MIN($D479,IF(Übersicht!$C$14="Annuitätendarlehen",MAX(0,Übersicht!$C$28-$F479),IF(Übersicht!$C$14="Ratendarlehen",Übersicht!$C$29,IF($A479&gt;=Übersicht!$C$30,$D479,0)))))</f>
        <v>0</v>
      </c>
      <c r="H479" s="28">
        <f>IF($D479-$G479&lt;=0,0,IF(MOD($A479,Übersicht!$C$25)=0,MIN(Übersicht!$C$31,$D479-$G479),0))</f>
        <v>0</v>
      </c>
      <c r="I479" s="28">
        <f t="shared" si="51"/>
        <v>0</v>
      </c>
      <c r="J479" s="28">
        <f t="shared" si="52"/>
        <v>0</v>
      </c>
      <c r="K479" s="28">
        <f t="shared" si="54"/>
        <v>80072.129999999961</v>
      </c>
      <c r="L479" s="28">
        <f t="shared" si="55"/>
        <v>250000</v>
      </c>
      <c r="M479" s="29" t="str">
        <f>IF($D479&lt;=0,"",IF(Übersicht!$C$11=0,0,$L479/Übersicht!$C$11))</f>
        <v/>
      </c>
      <c r="N479" s="30" t="str">
        <f>IF($D479&lt;=0,"",IF($J479&lt;=0.005,"Volltilgung erreicht",IF($A479=Übersicht!$C$19*Übersicht!$C$25,"Ende der Zinsbindung",IF($H479&gt;0,"Sondertilgung verrechnet",""))))</f>
        <v/>
      </c>
      <c r="Q479" s="38">
        <f>IF($S478&lt;=0,0,ROUND($S478*Übersicht!$C$26,2))</f>
        <v>0</v>
      </c>
      <c r="R479" s="38">
        <f>IF($S478&lt;=0,0,MIN($S478,IF(Übersicht!$C$14="Annuitätendarlehen",MAX(0,Übersicht!$C$28-$Q479),IF(Übersicht!$C$14="Ratendarlehen",Übersicht!$C$29,IF($A479&gt;=Übersicht!$C$30,$S478,0)))))</f>
        <v>0</v>
      </c>
      <c r="S479" s="38">
        <f>IF($S478&lt;=0,0,ROUND($S478-$R479-IF($S478-$R479&lt;=0,0,IF(MOD($A479,Übersicht!$C$25)=0,MIN(Szenarien!$C$8,$S478-$R479),0)),2))</f>
        <v>0</v>
      </c>
      <c r="T479" s="38">
        <f>IF($V478&lt;=0,0,ROUND($V478*Übersicht!$C$26,2))</f>
        <v>0</v>
      </c>
      <c r="U479" s="38">
        <f>IF($V478&lt;=0,0,MIN($V478,IF(Übersicht!$C$14="Annuitätendarlehen",MAX(0,Übersicht!$C$28-$T479),IF(Übersicht!$C$14="Ratendarlehen",Übersicht!$C$29,IF($A479&gt;=Übersicht!$C$30,$V478,0)))))</f>
        <v>0</v>
      </c>
      <c r="V479" s="38">
        <f>IF($V478&lt;=0,0,ROUND($V478-$U479-IF($V478-$U479&lt;=0,0,IF(MOD($A479,Übersicht!$C$25)=0,MIN(Szenarien!$C$9,$V478-$U479),0)),2))</f>
        <v>0</v>
      </c>
      <c r="W479" s="38">
        <f>IF($Y478&lt;=0,0,ROUND($Y478*Übersicht!$C$26,2))</f>
        <v>0</v>
      </c>
      <c r="X479" s="38">
        <f>IF($Y478&lt;=0,0,MIN($Y478,IF(Übersicht!$C$14="Annuitätendarlehen",MAX(0,Übersicht!$C$28-$W479),IF(Übersicht!$C$14="Ratendarlehen",Übersicht!$C$29,IF($A479&gt;=Übersicht!$C$30,$Y478,0)))))</f>
        <v>0</v>
      </c>
      <c r="Y479" s="38">
        <f>IF($Y478&lt;=0,0,ROUND($Y478-$X479-IF($Y478-$X479&lt;=0,0,IF(MOD($A479,Übersicht!$C$25)=0,MIN(Szenarien!$C$10,$Y478-$X479),0)),2))</f>
        <v>0</v>
      </c>
      <c r="Z479" s="38">
        <f>IF($AB478&lt;=0,0,ROUND($AB478*Übersicht!$C$26,2))</f>
        <v>0</v>
      </c>
      <c r="AA479" s="38">
        <f>IF($AB478&lt;=0,0,MIN($AB478,IF(Übersicht!$C$14="Annuitätendarlehen",MAX(0,Übersicht!$C$28-$Z479),IF(Übersicht!$C$14="Ratendarlehen",Übersicht!$C$29,IF($A479&gt;=Übersicht!$C$30,$AB478,0)))))</f>
        <v>0</v>
      </c>
      <c r="AB479" s="38">
        <f>IF($AB478&lt;=0,0,ROUND($AB478-$AA479-IF($AB478-$AA479&lt;=0,0,IF(MOD($A479,Übersicht!$C$25)=0,MIN(Szenarien!$C$11,$AB478-$AA479),0)),2))</f>
        <v>0</v>
      </c>
      <c r="AC479" s="38">
        <f>IF($AE478&lt;=0,0,ROUND($AE478*Übersicht!$C$26,2))</f>
        <v>0</v>
      </c>
      <c r="AD479" s="38">
        <f>IF($AE478&lt;=0,0,MIN($AE478,IF(Übersicht!$C$14="Annuitätendarlehen",MAX(0,Übersicht!$C$28-$AC479),IF(Übersicht!$C$14="Ratendarlehen",Übersicht!$C$29,IF($A479&gt;=Übersicht!$C$30,$AE478,0)))))</f>
        <v>0</v>
      </c>
      <c r="AE479" s="38">
        <f>IF($AE478&lt;=0,0,ROUND($AE478-$AD479-IF($AE478-$AD479&lt;=0,0,IF(MOD($A479,Übersicht!$C$25)=0,MIN(Szenarien!$C$12,$AE478-$AD479),0)),2))</f>
        <v>0</v>
      </c>
    </row>
    <row r="480" spans="1:31" ht="15" customHeight="1" x14ac:dyDescent="0.25">
      <c r="A480" s="21">
        <v>473</v>
      </c>
      <c r="B480" s="36" t="str">
        <f>IF($D480&lt;=0,"",EDATE(Übersicht!$C$18,($A480-1)*12/Übersicht!$C$25))</f>
        <v/>
      </c>
      <c r="C480" s="21" t="str">
        <f t="shared" si="49"/>
        <v/>
      </c>
      <c r="D480" s="37">
        <f t="shared" si="53"/>
        <v>0</v>
      </c>
      <c r="E480" s="23">
        <f t="shared" si="50"/>
        <v>0</v>
      </c>
      <c r="F480" s="23">
        <f>IF($D480&lt;=0,0,ROUND($D480*Übersicht!$C$26,2))</f>
        <v>0</v>
      </c>
      <c r="G480" s="23">
        <f>IF($D480&lt;=0,0,MIN($D480,IF(Übersicht!$C$14="Annuitätendarlehen",MAX(0,Übersicht!$C$28-$F480),IF(Übersicht!$C$14="Ratendarlehen",Übersicht!$C$29,IF($A480&gt;=Übersicht!$C$30,$D480,0)))))</f>
        <v>0</v>
      </c>
      <c r="H480" s="23">
        <f>IF($D480-$G480&lt;=0,0,IF(MOD($A480,Übersicht!$C$25)=0,MIN(Übersicht!$C$31,$D480-$G480),0))</f>
        <v>0</v>
      </c>
      <c r="I480" s="23">
        <f t="shared" si="51"/>
        <v>0</v>
      </c>
      <c r="J480" s="23">
        <f t="shared" si="52"/>
        <v>0</v>
      </c>
      <c r="K480" s="23">
        <f t="shared" si="54"/>
        <v>80072.129999999961</v>
      </c>
      <c r="L480" s="23">
        <f t="shared" si="55"/>
        <v>250000</v>
      </c>
      <c r="M480" s="24" t="str">
        <f>IF($D480&lt;=0,"",IF(Übersicht!$C$11=0,0,$L480/Übersicht!$C$11))</f>
        <v/>
      </c>
      <c r="N480" s="25" t="str">
        <f>IF($D480&lt;=0,"",IF($J480&lt;=0.005,"Volltilgung erreicht",IF($A480=Übersicht!$C$19*Übersicht!$C$25,"Ende der Zinsbindung",IF($H480&gt;0,"Sondertilgung verrechnet",""))))</f>
        <v/>
      </c>
      <c r="Q480" s="38">
        <f>IF($S479&lt;=0,0,ROUND($S479*Übersicht!$C$26,2))</f>
        <v>0</v>
      </c>
      <c r="R480" s="38">
        <f>IF($S479&lt;=0,0,MIN($S479,IF(Übersicht!$C$14="Annuitätendarlehen",MAX(0,Übersicht!$C$28-$Q480),IF(Übersicht!$C$14="Ratendarlehen",Übersicht!$C$29,IF($A480&gt;=Übersicht!$C$30,$S479,0)))))</f>
        <v>0</v>
      </c>
      <c r="S480" s="38">
        <f>IF($S479&lt;=0,0,ROUND($S479-$R480-IF($S479-$R480&lt;=0,0,IF(MOD($A480,Übersicht!$C$25)=0,MIN(Szenarien!$C$8,$S479-$R480),0)),2))</f>
        <v>0</v>
      </c>
      <c r="T480" s="38">
        <f>IF($V479&lt;=0,0,ROUND($V479*Übersicht!$C$26,2))</f>
        <v>0</v>
      </c>
      <c r="U480" s="38">
        <f>IF($V479&lt;=0,0,MIN($V479,IF(Übersicht!$C$14="Annuitätendarlehen",MAX(0,Übersicht!$C$28-$T480),IF(Übersicht!$C$14="Ratendarlehen",Übersicht!$C$29,IF($A480&gt;=Übersicht!$C$30,$V479,0)))))</f>
        <v>0</v>
      </c>
      <c r="V480" s="38">
        <f>IF($V479&lt;=0,0,ROUND($V479-$U480-IF($V479-$U480&lt;=0,0,IF(MOD($A480,Übersicht!$C$25)=0,MIN(Szenarien!$C$9,$V479-$U480),0)),2))</f>
        <v>0</v>
      </c>
      <c r="W480" s="38">
        <f>IF($Y479&lt;=0,0,ROUND($Y479*Übersicht!$C$26,2))</f>
        <v>0</v>
      </c>
      <c r="X480" s="38">
        <f>IF($Y479&lt;=0,0,MIN($Y479,IF(Übersicht!$C$14="Annuitätendarlehen",MAX(0,Übersicht!$C$28-$W480),IF(Übersicht!$C$14="Ratendarlehen",Übersicht!$C$29,IF($A480&gt;=Übersicht!$C$30,$Y479,0)))))</f>
        <v>0</v>
      </c>
      <c r="Y480" s="38">
        <f>IF($Y479&lt;=0,0,ROUND($Y479-$X480-IF($Y479-$X480&lt;=0,0,IF(MOD($A480,Übersicht!$C$25)=0,MIN(Szenarien!$C$10,$Y479-$X480),0)),2))</f>
        <v>0</v>
      </c>
      <c r="Z480" s="38">
        <f>IF($AB479&lt;=0,0,ROUND($AB479*Übersicht!$C$26,2))</f>
        <v>0</v>
      </c>
      <c r="AA480" s="38">
        <f>IF($AB479&lt;=0,0,MIN($AB479,IF(Übersicht!$C$14="Annuitätendarlehen",MAX(0,Übersicht!$C$28-$Z480),IF(Übersicht!$C$14="Ratendarlehen",Übersicht!$C$29,IF($A480&gt;=Übersicht!$C$30,$AB479,0)))))</f>
        <v>0</v>
      </c>
      <c r="AB480" s="38">
        <f>IF($AB479&lt;=0,0,ROUND($AB479-$AA480-IF($AB479-$AA480&lt;=0,0,IF(MOD($A480,Übersicht!$C$25)=0,MIN(Szenarien!$C$11,$AB479-$AA480),0)),2))</f>
        <v>0</v>
      </c>
      <c r="AC480" s="38">
        <f>IF($AE479&lt;=0,0,ROUND($AE479*Übersicht!$C$26,2))</f>
        <v>0</v>
      </c>
      <c r="AD480" s="38">
        <f>IF($AE479&lt;=0,0,MIN($AE479,IF(Übersicht!$C$14="Annuitätendarlehen",MAX(0,Übersicht!$C$28-$AC480),IF(Übersicht!$C$14="Ratendarlehen",Übersicht!$C$29,IF($A480&gt;=Übersicht!$C$30,$AE479,0)))))</f>
        <v>0</v>
      </c>
      <c r="AE480" s="38">
        <f>IF($AE479&lt;=0,0,ROUND($AE479-$AD480-IF($AE479-$AD480&lt;=0,0,IF(MOD($A480,Übersicht!$C$25)=0,MIN(Szenarien!$C$12,$AE479-$AD480),0)),2))</f>
        <v>0</v>
      </c>
    </row>
    <row r="481" spans="1:31" ht="15" customHeight="1" x14ac:dyDescent="0.25">
      <c r="A481" s="26">
        <v>474</v>
      </c>
      <c r="B481" s="39" t="str">
        <f>IF($D481&lt;=0,"",EDATE(Übersicht!$C$18,($A481-1)*12/Übersicht!$C$25))</f>
        <v/>
      </c>
      <c r="C481" s="26" t="str">
        <f t="shared" si="49"/>
        <v/>
      </c>
      <c r="D481" s="40">
        <f t="shared" si="53"/>
        <v>0</v>
      </c>
      <c r="E481" s="28">
        <f t="shared" si="50"/>
        <v>0</v>
      </c>
      <c r="F481" s="28">
        <f>IF($D481&lt;=0,0,ROUND($D481*Übersicht!$C$26,2))</f>
        <v>0</v>
      </c>
      <c r="G481" s="28">
        <f>IF($D481&lt;=0,0,MIN($D481,IF(Übersicht!$C$14="Annuitätendarlehen",MAX(0,Übersicht!$C$28-$F481),IF(Übersicht!$C$14="Ratendarlehen",Übersicht!$C$29,IF($A481&gt;=Übersicht!$C$30,$D481,0)))))</f>
        <v>0</v>
      </c>
      <c r="H481" s="28">
        <f>IF($D481-$G481&lt;=0,0,IF(MOD($A481,Übersicht!$C$25)=0,MIN(Übersicht!$C$31,$D481-$G481),0))</f>
        <v>0</v>
      </c>
      <c r="I481" s="28">
        <f t="shared" si="51"/>
        <v>0</v>
      </c>
      <c r="J481" s="28">
        <f t="shared" si="52"/>
        <v>0</v>
      </c>
      <c r="K481" s="28">
        <f t="shared" si="54"/>
        <v>80072.129999999961</v>
      </c>
      <c r="L481" s="28">
        <f t="shared" si="55"/>
        <v>250000</v>
      </c>
      <c r="M481" s="29" t="str">
        <f>IF($D481&lt;=0,"",IF(Übersicht!$C$11=0,0,$L481/Übersicht!$C$11))</f>
        <v/>
      </c>
      <c r="N481" s="30" t="str">
        <f>IF($D481&lt;=0,"",IF($J481&lt;=0.005,"Volltilgung erreicht",IF($A481=Übersicht!$C$19*Übersicht!$C$25,"Ende der Zinsbindung",IF($H481&gt;0,"Sondertilgung verrechnet",""))))</f>
        <v/>
      </c>
      <c r="Q481" s="38">
        <f>IF($S480&lt;=0,0,ROUND($S480*Übersicht!$C$26,2))</f>
        <v>0</v>
      </c>
      <c r="R481" s="38">
        <f>IF($S480&lt;=0,0,MIN($S480,IF(Übersicht!$C$14="Annuitätendarlehen",MAX(0,Übersicht!$C$28-$Q481),IF(Übersicht!$C$14="Ratendarlehen",Übersicht!$C$29,IF($A481&gt;=Übersicht!$C$30,$S480,0)))))</f>
        <v>0</v>
      </c>
      <c r="S481" s="38">
        <f>IF($S480&lt;=0,0,ROUND($S480-$R481-IF($S480-$R481&lt;=0,0,IF(MOD($A481,Übersicht!$C$25)=0,MIN(Szenarien!$C$8,$S480-$R481),0)),2))</f>
        <v>0</v>
      </c>
      <c r="T481" s="38">
        <f>IF($V480&lt;=0,0,ROUND($V480*Übersicht!$C$26,2))</f>
        <v>0</v>
      </c>
      <c r="U481" s="38">
        <f>IF($V480&lt;=0,0,MIN($V480,IF(Übersicht!$C$14="Annuitätendarlehen",MAX(0,Übersicht!$C$28-$T481),IF(Übersicht!$C$14="Ratendarlehen",Übersicht!$C$29,IF($A481&gt;=Übersicht!$C$30,$V480,0)))))</f>
        <v>0</v>
      </c>
      <c r="V481" s="38">
        <f>IF($V480&lt;=0,0,ROUND($V480-$U481-IF($V480-$U481&lt;=0,0,IF(MOD($A481,Übersicht!$C$25)=0,MIN(Szenarien!$C$9,$V480-$U481),0)),2))</f>
        <v>0</v>
      </c>
      <c r="W481" s="38">
        <f>IF($Y480&lt;=0,0,ROUND($Y480*Übersicht!$C$26,2))</f>
        <v>0</v>
      </c>
      <c r="X481" s="38">
        <f>IF($Y480&lt;=0,0,MIN($Y480,IF(Übersicht!$C$14="Annuitätendarlehen",MAX(0,Übersicht!$C$28-$W481),IF(Übersicht!$C$14="Ratendarlehen",Übersicht!$C$29,IF($A481&gt;=Übersicht!$C$30,$Y480,0)))))</f>
        <v>0</v>
      </c>
      <c r="Y481" s="38">
        <f>IF($Y480&lt;=0,0,ROUND($Y480-$X481-IF($Y480-$X481&lt;=0,0,IF(MOD($A481,Übersicht!$C$25)=0,MIN(Szenarien!$C$10,$Y480-$X481),0)),2))</f>
        <v>0</v>
      </c>
      <c r="Z481" s="38">
        <f>IF($AB480&lt;=0,0,ROUND($AB480*Übersicht!$C$26,2))</f>
        <v>0</v>
      </c>
      <c r="AA481" s="38">
        <f>IF($AB480&lt;=0,0,MIN($AB480,IF(Übersicht!$C$14="Annuitätendarlehen",MAX(0,Übersicht!$C$28-$Z481),IF(Übersicht!$C$14="Ratendarlehen",Übersicht!$C$29,IF($A481&gt;=Übersicht!$C$30,$AB480,0)))))</f>
        <v>0</v>
      </c>
      <c r="AB481" s="38">
        <f>IF($AB480&lt;=0,0,ROUND($AB480-$AA481-IF($AB480-$AA481&lt;=0,0,IF(MOD($A481,Übersicht!$C$25)=0,MIN(Szenarien!$C$11,$AB480-$AA481),0)),2))</f>
        <v>0</v>
      </c>
      <c r="AC481" s="38">
        <f>IF($AE480&lt;=0,0,ROUND($AE480*Übersicht!$C$26,2))</f>
        <v>0</v>
      </c>
      <c r="AD481" s="38">
        <f>IF($AE480&lt;=0,0,MIN($AE480,IF(Übersicht!$C$14="Annuitätendarlehen",MAX(0,Übersicht!$C$28-$AC481),IF(Übersicht!$C$14="Ratendarlehen",Übersicht!$C$29,IF($A481&gt;=Übersicht!$C$30,$AE480,0)))))</f>
        <v>0</v>
      </c>
      <c r="AE481" s="38">
        <f>IF($AE480&lt;=0,0,ROUND($AE480-$AD481-IF($AE480-$AD481&lt;=0,0,IF(MOD($A481,Übersicht!$C$25)=0,MIN(Szenarien!$C$12,$AE480-$AD481),0)),2))</f>
        <v>0</v>
      </c>
    </row>
    <row r="482" spans="1:31" ht="15" customHeight="1" x14ac:dyDescent="0.25">
      <c r="A482" s="21">
        <v>475</v>
      </c>
      <c r="B482" s="36" t="str">
        <f>IF($D482&lt;=0,"",EDATE(Übersicht!$C$18,($A482-1)*12/Übersicht!$C$25))</f>
        <v/>
      </c>
      <c r="C482" s="21" t="str">
        <f t="shared" si="49"/>
        <v/>
      </c>
      <c r="D482" s="37">
        <f t="shared" si="53"/>
        <v>0</v>
      </c>
      <c r="E482" s="23">
        <f t="shared" si="50"/>
        <v>0</v>
      </c>
      <c r="F482" s="23">
        <f>IF($D482&lt;=0,0,ROUND($D482*Übersicht!$C$26,2))</f>
        <v>0</v>
      </c>
      <c r="G482" s="23">
        <f>IF($D482&lt;=0,0,MIN($D482,IF(Übersicht!$C$14="Annuitätendarlehen",MAX(0,Übersicht!$C$28-$F482),IF(Übersicht!$C$14="Ratendarlehen",Übersicht!$C$29,IF($A482&gt;=Übersicht!$C$30,$D482,0)))))</f>
        <v>0</v>
      </c>
      <c r="H482" s="23">
        <f>IF($D482-$G482&lt;=0,0,IF(MOD($A482,Übersicht!$C$25)=0,MIN(Übersicht!$C$31,$D482-$G482),0))</f>
        <v>0</v>
      </c>
      <c r="I482" s="23">
        <f t="shared" si="51"/>
        <v>0</v>
      </c>
      <c r="J482" s="23">
        <f t="shared" si="52"/>
        <v>0</v>
      </c>
      <c r="K482" s="23">
        <f t="shared" si="54"/>
        <v>80072.129999999961</v>
      </c>
      <c r="L482" s="23">
        <f t="shared" si="55"/>
        <v>250000</v>
      </c>
      <c r="M482" s="24" t="str">
        <f>IF($D482&lt;=0,"",IF(Übersicht!$C$11=0,0,$L482/Übersicht!$C$11))</f>
        <v/>
      </c>
      <c r="N482" s="25" t="str">
        <f>IF($D482&lt;=0,"",IF($J482&lt;=0.005,"Volltilgung erreicht",IF($A482=Übersicht!$C$19*Übersicht!$C$25,"Ende der Zinsbindung",IF($H482&gt;0,"Sondertilgung verrechnet",""))))</f>
        <v/>
      </c>
      <c r="Q482" s="38">
        <f>IF($S481&lt;=0,0,ROUND($S481*Übersicht!$C$26,2))</f>
        <v>0</v>
      </c>
      <c r="R482" s="38">
        <f>IF($S481&lt;=0,0,MIN($S481,IF(Übersicht!$C$14="Annuitätendarlehen",MAX(0,Übersicht!$C$28-$Q482),IF(Übersicht!$C$14="Ratendarlehen",Übersicht!$C$29,IF($A482&gt;=Übersicht!$C$30,$S481,0)))))</f>
        <v>0</v>
      </c>
      <c r="S482" s="38">
        <f>IF($S481&lt;=0,0,ROUND($S481-$R482-IF($S481-$R482&lt;=0,0,IF(MOD($A482,Übersicht!$C$25)=0,MIN(Szenarien!$C$8,$S481-$R482),0)),2))</f>
        <v>0</v>
      </c>
      <c r="T482" s="38">
        <f>IF($V481&lt;=0,0,ROUND($V481*Übersicht!$C$26,2))</f>
        <v>0</v>
      </c>
      <c r="U482" s="38">
        <f>IF($V481&lt;=0,0,MIN($V481,IF(Übersicht!$C$14="Annuitätendarlehen",MAX(0,Übersicht!$C$28-$T482),IF(Übersicht!$C$14="Ratendarlehen",Übersicht!$C$29,IF($A482&gt;=Übersicht!$C$30,$V481,0)))))</f>
        <v>0</v>
      </c>
      <c r="V482" s="38">
        <f>IF($V481&lt;=0,0,ROUND($V481-$U482-IF($V481-$U482&lt;=0,0,IF(MOD($A482,Übersicht!$C$25)=0,MIN(Szenarien!$C$9,$V481-$U482),0)),2))</f>
        <v>0</v>
      </c>
      <c r="W482" s="38">
        <f>IF($Y481&lt;=0,0,ROUND($Y481*Übersicht!$C$26,2))</f>
        <v>0</v>
      </c>
      <c r="X482" s="38">
        <f>IF($Y481&lt;=0,0,MIN($Y481,IF(Übersicht!$C$14="Annuitätendarlehen",MAX(0,Übersicht!$C$28-$W482),IF(Übersicht!$C$14="Ratendarlehen",Übersicht!$C$29,IF($A482&gt;=Übersicht!$C$30,$Y481,0)))))</f>
        <v>0</v>
      </c>
      <c r="Y482" s="38">
        <f>IF($Y481&lt;=0,0,ROUND($Y481-$X482-IF($Y481-$X482&lt;=0,0,IF(MOD($A482,Übersicht!$C$25)=0,MIN(Szenarien!$C$10,$Y481-$X482),0)),2))</f>
        <v>0</v>
      </c>
      <c r="Z482" s="38">
        <f>IF($AB481&lt;=0,0,ROUND($AB481*Übersicht!$C$26,2))</f>
        <v>0</v>
      </c>
      <c r="AA482" s="38">
        <f>IF($AB481&lt;=0,0,MIN($AB481,IF(Übersicht!$C$14="Annuitätendarlehen",MAX(0,Übersicht!$C$28-$Z482),IF(Übersicht!$C$14="Ratendarlehen",Übersicht!$C$29,IF($A482&gt;=Übersicht!$C$30,$AB481,0)))))</f>
        <v>0</v>
      </c>
      <c r="AB482" s="38">
        <f>IF($AB481&lt;=0,0,ROUND($AB481-$AA482-IF($AB481-$AA482&lt;=0,0,IF(MOD($A482,Übersicht!$C$25)=0,MIN(Szenarien!$C$11,$AB481-$AA482),0)),2))</f>
        <v>0</v>
      </c>
      <c r="AC482" s="38">
        <f>IF($AE481&lt;=0,0,ROUND($AE481*Übersicht!$C$26,2))</f>
        <v>0</v>
      </c>
      <c r="AD482" s="38">
        <f>IF($AE481&lt;=0,0,MIN($AE481,IF(Übersicht!$C$14="Annuitätendarlehen",MAX(0,Übersicht!$C$28-$AC482),IF(Übersicht!$C$14="Ratendarlehen",Übersicht!$C$29,IF($A482&gt;=Übersicht!$C$30,$AE481,0)))))</f>
        <v>0</v>
      </c>
      <c r="AE482" s="38">
        <f>IF($AE481&lt;=0,0,ROUND($AE481-$AD482-IF($AE481-$AD482&lt;=0,0,IF(MOD($A482,Übersicht!$C$25)=0,MIN(Szenarien!$C$12,$AE481-$AD482),0)),2))</f>
        <v>0</v>
      </c>
    </row>
    <row r="483" spans="1:31" ht="15" customHeight="1" x14ac:dyDescent="0.25">
      <c r="A483" s="26">
        <v>476</v>
      </c>
      <c r="B483" s="39" t="str">
        <f>IF($D483&lt;=0,"",EDATE(Übersicht!$C$18,($A483-1)*12/Übersicht!$C$25))</f>
        <v/>
      </c>
      <c r="C483" s="26" t="str">
        <f t="shared" si="49"/>
        <v/>
      </c>
      <c r="D483" s="40">
        <f t="shared" si="53"/>
        <v>0</v>
      </c>
      <c r="E483" s="28">
        <f t="shared" si="50"/>
        <v>0</v>
      </c>
      <c r="F483" s="28">
        <f>IF($D483&lt;=0,0,ROUND($D483*Übersicht!$C$26,2))</f>
        <v>0</v>
      </c>
      <c r="G483" s="28">
        <f>IF($D483&lt;=0,0,MIN($D483,IF(Übersicht!$C$14="Annuitätendarlehen",MAX(0,Übersicht!$C$28-$F483),IF(Übersicht!$C$14="Ratendarlehen",Übersicht!$C$29,IF($A483&gt;=Übersicht!$C$30,$D483,0)))))</f>
        <v>0</v>
      </c>
      <c r="H483" s="28">
        <f>IF($D483-$G483&lt;=0,0,IF(MOD($A483,Übersicht!$C$25)=0,MIN(Übersicht!$C$31,$D483-$G483),0))</f>
        <v>0</v>
      </c>
      <c r="I483" s="28">
        <f t="shared" si="51"/>
        <v>0</v>
      </c>
      <c r="J483" s="28">
        <f t="shared" si="52"/>
        <v>0</v>
      </c>
      <c r="K483" s="28">
        <f t="shared" si="54"/>
        <v>80072.129999999961</v>
      </c>
      <c r="L483" s="28">
        <f t="shared" si="55"/>
        <v>250000</v>
      </c>
      <c r="M483" s="29" t="str">
        <f>IF($D483&lt;=0,"",IF(Übersicht!$C$11=0,0,$L483/Übersicht!$C$11))</f>
        <v/>
      </c>
      <c r="N483" s="30" t="str">
        <f>IF($D483&lt;=0,"",IF($J483&lt;=0.005,"Volltilgung erreicht",IF($A483=Übersicht!$C$19*Übersicht!$C$25,"Ende der Zinsbindung",IF($H483&gt;0,"Sondertilgung verrechnet",""))))</f>
        <v/>
      </c>
      <c r="Q483" s="38">
        <f>IF($S482&lt;=0,0,ROUND($S482*Übersicht!$C$26,2))</f>
        <v>0</v>
      </c>
      <c r="R483" s="38">
        <f>IF($S482&lt;=0,0,MIN($S482,IF(Übersicht!$C$14="Annuitätendarlehen",MAX(0,Übersicht!$C$28-$Q483),IF(Übersicht!$C$14="Ratendarlehen",Übersicht!$C$29,IF($A483&gt;=Übersicht!$C$30,$S482,0)))))</f>
        <v>0</v>
      </c>
      <c r="S483" s="38">
        <f>IF($S482&lt;=0,0,ROUND($S482-$R483-IF($S482-$R483&lt;=0,0,IF(MOD($A483,Übersicht!$C$25)=0,MIN(Szenarien!$C$8,$S482-$R483),0)),2))</f>
        <v>0</v>
      </c>
      <c r="T483" s="38">
        <f>IF($V482&lt;=0,0,ROUND($V482*Übersicht!$C$26,2))</f>
        <v>0</v>
      </c>
      <c r="U483" s="38">
        <f>IF($V482&lt;=0,0,MIN($V482,IF(Übersicht!$C$14="Annuitätendarlehen",MAX(0,Übersicht!$C$28-$T483),IF(Übersicht!$C$14="Ratendarlehen",Übersicht!$C$29,IF($A483&gt;=Übersicht!$C$30,$V482,0)))))</f>
        <v>0</v>
      </c>
      <c r="V483" s="38">
        <f>IF($V482&lt;=0,0,ROUND($V482-$U483-IF($V482-$U483&lt;=0,0,IF(MOD($A483,Übersicht!$C$25)=0,MIN(Szenarien!$C$9,$V482-$U483),0)),2))</f>
        <v>0</v>
      </c>
      <c r="W483" s="38">
        <f>IF($Y482&lt;=0,0,ROUND($Y482*Übersicht!$C$26,2))</f>
        <v>0</v>
      </c>
      <c r="X483" s="38">
        <f>IF($Y482&lt;=0,0,MIN($Y482,IF(Übersicht!$C$14="Annuitätendarlehen",MAX(0,Übersicht!$C$28-$W483),IF(Übersicht!$C$14="Ratendarlehen",Übersicht!$C$29,IF($A483&gt;=Übersicht!$C$30,$Y482,0)))))</f>
        <v>0</v>
      </c>
      <c r="Y483" s="38">
        <f>IF($Y482&lt;=0,0,ROUND($Y482-$X483-IF($Y482-$X483&lt;=0,0,IF(MOD($A483,Übersicht!$C$25)=0,MIN(Szenarien!$C$10,$Y482-$X483),0)),2))</f>
        <v>0</v>
      </c>
      <c r="Z483" s="38">
        <f>IF($AB482&lt;=0,0,ROUND($AB482*Übersicht!$C$26,2))</f>
        <v>0</v>
      </c>
      <c r="AA483" s="38">
        <f>IF($AB482&lt;=0,0,MIN($AB482,IF(Übersicht!$C$14="Annuitätendarlehen",MAX(0,Übersicht!$C$28-$Z483),IF(Übersicht!$C$14="Ratendarlehen",Übersicht!$C$29,IF($A483&gt;=Übersicht!$C$30,$AB482,0)))))</f>
        <v>0</v>
      </c>
      <c r="AB483" s="38">
        <f>IF($AB482&lt;=0,0,ROUND($AB482-$AA483-IF($AB482-$AA483&lt;=0,0,IF(MOD($A483,Übersicht!$C$25)=0,MIN(Szenarien!$C$11,$AB482-$AA483),0)),2))</f>
        <v>0</v>
      </c>
      <c r="AC483" s="38">
        <f>IF($AE482&lt;=0,0,ROUND($AE482*Übersicht!$C$26,2))</f>
        <v>0</v>
      </c>
      <c r="AD483" s="38">
        <f>IF($AE482&lt;=0,0,MIN($AE482,IF(Übersicht!$C$14="Annuitätendarlehen",MAX(0,Übersicht!$C$28-$AC483),IF(Übersicht!$C$14="Ratendarlehen",Übersicht!$C$29,IF($A483&gt;=Übersicht!$C$30,$AE482,0)))))</f>
        <v>0</v>
      </c>
      <c r="AE483" s="38">
        <f>IF($AE482&lt;=0,0,ROUND($AE482-$AD483-IF($AE482-$AD483&lt;=0,0,IF(MOD($A483,Übersicht!$C$25)=0,MIN(Szenarien!$C$12,$AE482-$AD483),0)),2))</f>
        <v>0</v>
      </c>
    </row>
    <row r="484" spans="1:31" ht="15" customHeight="1" x14ac:dyDescent="0.25">
      <c r="A484" s="21">
        <v>477</v>
      </c>
      <c r="B484" s="36" t="str">
        <f>IF($D484&lt;=0,"",EDATE(Übersicht!$C$18,($A484-1)*12/Übersicht!$C$25))</f>
        <v/>
      </c>
      <c r="C484" s="21" t="str">
        <f t="shared" si="49"/>
        <v/>
      </c>
      <c r="D484" s="37">
        <f t="shared" si="53"/>
        <v>0</v>
      </c>
      <c r="E484" s="23">
        <f t="shared" si="50"/>
        <v>0</v>
      </c>
      <c r="F484" s="23">
        <f>IF($D484&lt;=0,0,ROUND($D484*Übersicht!$C$26,2))</f>
        <v>0</v>
      </c>
      <c r="G484" s="23">
        <f>IF($D484&lt;=0,0,MIN($D484,IF(Übersicht!$C$14="Annuitätendarlehen",MAX(0,Übersicht!$C$28-$F484),IF(Übersicht!$C$14="Ratendarlehen",Übersicht!$C$29,IF($A484&gt;=Übersicht!$C$30,$D484,0)))))</f>
        <v>0</v>
      </c>
      <c r="H484" s="23">
        <f>IF($D484-$G484&lt;=0,0,IF(MOD($A484,Übersicht!$C$25)=0,MIN(Übersicht!$C$31,$D484-$G484),0))</f>
        <v>0</v>
      </c>
      <c r="I484" s="23">
        <f t="shared" si="51"/>
        <v>0</v>
      </c>
      <c r="J484" s="23">
        <f t="shared" si="52"/>
        <v>0</v>
      </c>
      <c r="K484" s="23">
        <f t="shared" si="54"/>
        <v>80072.129999999961</v>
      </c>
      <c r="L484" s="23">
        <f t="shared" si="55"/>
        <v>250000</v>
      </c>
      <c r="M484" s="24" t="str">
        <f>IF($D484&lt;=0,"",IF(Übersicht!$C$11=0,0,$L484/Übersicht!$C$11))</f>
        <v/>
      </c>
      <c r="N484" s="25" t="str">
        <f>IF($D484&lt;=0,"",IF($J484&lt;=0.005,"Volltilgung erreicht",IF($A484=Übersicht!$C$19*Übersicht!$C$25,"Ende der Zinsbindung",IF($H484&gt;0,"Sondertilgung verrechnet",""))))</f>
        <v/>
      </c>
      <c r="Q484" s="38">
        <f>IF($S483&lt;=0,0,ROUND($S483*Übersicht!$C$26,2))</f>
        <v>0</v>
      </c>
      <c r="R484" s="38">
        <f>IF($S483&lt;=0,0,MIN($S483,IF(Übersicht!$C$14="Annuitätendarlehen",MAX(0,Übersicht!$C$28-$Q484),IF(Übersicht!$C$14="Ratendarlehen",Übersicht!$C$29,IF($A484&gt;=Übersicht!$C$30,$S483,0)))))</f>
        <v>0</v>
      </c>
      <c r="S484" s="38">
        <f>IF($S483&lt;=0,0,ROUND($S483-$R484-IF($S483-$R484&lt;=0,0,IF(MOD($A484,Übersicht!$C$25)=0,MIN(Szenarien!$C$8,$S483-$R484),0)),2))</f>
        <v>0</v>
      </c>
      <c r="T484" s="38">
        <f>IF($V483&lt;=0,0,ROUND($V483*Übersicht!$C$26,2))</f>
        <v>0</v>
      </c>
      <c r="U484" s="38">
        <f>IF($V483&lt;=0,0,MIN($V483,IF(Übersicht!$C$14="Annuitätendarlehen",MAX(0,Übersicht!$C$28-$T484),IF(Übersicht!$C$14="Ratendarlehen",Übersicht!$C$29,IF($A484&gt;=Übersicht!$C$30,$V483,0)))))</f>
        <v>0</v>
      </c>
      <c r="V484" s="38">
        <f>IF($V483&lt;=0,0,ROUND($V483-$U484-IF($V483-$U484&lt;=0,0,IF(MOD($A484,Übersicht!$C$25)=0,MIN(Szenarien!$C$9,$V483-$U484),0)),2))</f>
        <v>0</v>
      </c>
      <c r="W484" s="38">
        <f>IF($Y483&lt;=0,0,ROUND($Y483*Übersicht!$C$26,2))</f>
        <v>0</v>
      </c>
      <c r="X484" s="38">
        <f>IF($Y483&lt;=0,0,MIN($Y483,IF(Übersicht!$C$14="Annuitätendarlehen",MAX(0,Übersicht!$C$28-$W484),IF(Übersicht!$C$14="Ratendarlehen",Übersicht!$C$29,IF($A484&gt;=Übersicht!$C$30,$Y483,0)))))</f>
        <v>0</v>
      </c>
      <c r="Y484" s="38">
        <f>IF($Y483&lt;=0,0,ROUND($Y483-$X484-IF($Y483-$X484&lt;=0,0,IF(MOD($A484,Übersicht!$C$25)=0,MIN(Szenarien!$C$10,$Y483-$X484),0)),2))</f>
        <v>0</v>
      </c>
      <c r="Z484" s="38">
        <f>IF($AB483&lt;=0,0,ROUND($AB483*Übersicht!$C$26,2))</f>
        <v>0</v>
      </c>
      <c r="AA484" s="38">
        <f>IF($AB483&lt;=0,0,MIN($AB483,IF(Übersicht!$C$14="Annuitätendarlehen",MAX(0,Übersicht!$C$28-$Z484),IF(Übersicht!$C$14="Ratendarlehen",Übersicht!$C$29,IF($A484&gt;=Übersicht!$C$30,$AB483,0)))))</f>
        <v>0</v>
      </c>
      <c r="AB484" s="38">
        <f>IF($AB483&lt;=0,0,ROUND($AB483-$AA484-IF($AB483-$AA484&lt;=0,0,IF(MOD($A484,Übersicht!$C$25)=0,MIN(Szenarien!$C$11,$AB483-$AA484),0)),2))</f>
        <v>0</v>
      </c>
      <c r="AC484" s="38">
        <f>IF($AE483&lt;=0,0,ROUND($AE483*Übersicht!$C$26,2))</f>
        <v>0</v>
      </c>
      <c r="AD484" s="38">
        <f>IF($AE483&lt;=0,0,MIN($AE483,IF(Übersicht!$C$14="Annuitätendarlehen",MAX(0,Übersicht!$C$28-$AC484),IF(Übersicht!$C$14="Ratendarlehen",Übersicht!$C$29,IF($A484&gt;=Übersicht!$C$30,$AE483,0)))))</f>
        <v>0</v>
      </c>
      <c r="AE484" s="38">
        <f>IF($AE483&lt;=0,0,ROUND($AE483-$AD484-IF($AE483-$AD484&lt;=0,0,IF(MOD($A484,Übersicht!$C$25)=0,MIN(Szenarien!$C$12,$AE483-$AD484),0)),2))</f>
        <v>0</v>
      </c>
    </row>
    <row r="485" spans="1:31" ht="15" customHeight="1" x14ac:dyDescent="0.25">
      <c r="A485" s="26">
        <v>478</v>
      </c>
      <c r="B485" s="39" t="str">
        <f>IF($D485&lt;=0,"",EDATE(Übersicht!$C$18,($A485-1)*12/Übersicht!$C$25))</f>
        <v/>
      </c>
      <c r="C485" s="26" t="str">
        <f t="shared" si="49"/>
        <v/>
      </c>
      <c r="D485" s="40">
        <f t="shared" si="53"/>
        <v>0</v>
      </c>
      <c r="E485" s="28">
        <f t="shared" si="50"/>
        <v>0</v>
      </c>
      <c r="F485" s="28">
        <f>IF($D485&lt;=0,0,ROUND($D485*Übersicht!$C$26,2))</f>
        <v>0</v>
      </c>
      <c r="G485" s="28">
        <f>IF($D485&lt;=0,0,MIN($D485,IF(Übersicht!$C$14="Annuitätendarlehen",MAX(0,Übersicht!$C$28-$F485),IF(Übersicht!$C$14="Ratendarlehen",Übersicht!$C$29,IF($A485&gt;=Übersicht!$C$30,$D485,0)))))</f>
        <v>0</v>
      </c>
      <c r="H485" s="28">
        <f>IF($D485-$G485&lt;=0,0,IF(MOD($A485,Übersicht!$C$25)=0,MIN(Übersicht!$C$31,$D485-$G485),0))</f>
        <v>0</v>
      </c>
      <c r="I485" s="28">
        <f t="shared" si="51"/>
        <v>0</v>
      </c>
      <c r="J485" s="28">
        <f t="shared" si="52"/>
        <v>0</v>
      </c>
      <c r="K485" s="28">
        <f t="shared" si="54"/>
        <v>80072.129999999961</v>
      </c>
      <c r="L485" s="28">
        <f t="shared" si="55"/>
        <v>250000</v>
      </c>
      <c r="M485" s="29" t="str">
        <f>IF($D485&lt;=0,"",IF(Übersicht!$C$11=0,0,$L485/Übersicht!$C$11))</f>
        <v/>
      </c>
      <c r="N485" s="30" t="str">
        <f>IF($D485&lt;=0,"",IF($J485&lt;=0.005,"Volltilgung erreicht",IF($A485=Übersicht!$C$19*Übersicht!$C$25,"Ende der Zinsbindung",IF($H485&gt;0,"Sondertilgung verrechnet",""))))</f>
        <v/>
      </c>
      <c r="Q485" s="38">
        <f>IF($S484&lt;=0,0,ROUND($S484*Übersicht!$C$26,2))</f>
        <v>0</v>
      </c>
      <c r="R485" s="38">
        <f>IF($S484&lt;=0,0,MIN($S484,IF(Übersicht!$C$14="Annuitätendarlehen",MAX(0,Übersicht!$C$28-$Q485),IF(Übersicht!$C$14="Ratendarlehen",Übersicht!$C$29,IF($A485&gt;=Übersicht!$C$30,$S484,0)))))</f>
        <v>0</v>
      </c>
      <c r="S485" s="38">
        <f>IF($S484&lt;=0,0,ROUND($S484-$R485-IF($S484-$R485&lt;=0,0,IF(MOD($A485,Übersicht!$C$25)=0,MIN(Szenarien!$C$8,$S484-$R485),0)),2))</f>
        <v>0</v>
      </c>
      <c r="T485" s="38">
        <f>IF($V484&lt;=0,0,ROUND($V484*Übersicht!$C$26,2))</f>
        <v>0</v>
      </c>
      <c r="U485" s="38">
        <f>IF($V484&lt;=0,0,MIN($V484,IF(Übersicht!$C$14="Annuitätendarlehen",MAX(0,Übersicht!$C$28-$T485),IF(Übersicht!$C$14="Ratendarlehen",Übersicht!$C$29,IF($A485&gt;=Übersicht!$C$30,$V484,0)))))</f>
        <v>0</v>
      </c>
      <c r="V485" s="38">
        <f>IF($V484&lt;=0,0,ROUND($V484-$U485-IF($V484-$U485&lt;=0,0,IF(MOD($A485,Übersicht!$C$25)=0,MIN(Szenarien!$C$9,$V484-$U485),0)),2))</f>
        <v>0</v>
      </c>
      <c r="W485" s="38">
        <f>IF($Y484&lt;=0,0,ROUND($Y484*Übersicht!$C$26,2))</f>
        <v>0</v>
      </c>
      <c r="X485" s="38">
        <f>IF($Y484&lt;=0,0,MIN($Y484,IF(Übersicht!$C$14="Annuitätendarlehen",MAX(0,Übersicht!$C$28-$W485),IF(Übersicht!$C$14="Ratendarlehen",Übersicht!$C$29,IF($A485&gt;=Übersicht!$C$30,$Y484,0)))))</f>
        <v>0</v>
      </c>
      <c r="Y485" s="38">
        <f>IF($Y484&lt;=0,0,ROUND($Y484-$X485-IF($Y484-$X485&lt;=0,0,IF(MOD($A485,Übersicht!$C$25)=0,MIN(Szenarien!$C$10,$Y484-$X485),0)),2))</f>
        <v>0</v>
      </c>
      <c r="Z485" s="38">
        <f>IF($AB484&lt;=0,0,ROUND($AB484*Übersicht!$C$26,2))</f>
        <v>0</v>
      </c>
      <c r="AA485" s="38">
        <f>IF($AB484&lt;=0,0,MIN($AB484,IF(Übersicht!$C$14="Annuitätendarlehen",MAX(0,Übersicht!$C$28-$Z485),IF(Übersicht!$C$14="Ratendarlehen",Übersicht!$C$29,IF($A485&gt;=Übersicht!$C$30,$AB484,0)))))</f>
        <v>0</v>
      </c>
      <c r="AB485" s="38">
        <f>IF($AB484&lt;=0,0,ROUND($AB484-$AA485-IF($AB484-$AA485&lt;=0,0,IF(MOD($A485,Übersicht!$C$25)=0,MIN(Szenarien!$C$11,$AB484-$AA485),0)),2))</f>
        <v>0</v>
      </c>
      <c r="AC485" s="38">
        <f>IF($AE484&lt;=0,0,ROUND($AE484*Übersicht!$C$26,2))</f>
        <v>0</v>
      </c>
      <c r="AD485" s="38">
        <f>IF($AE484&lt;=0,0,MIN($AE484,IF(Übersicht!$C$14="Annuitätendarlehen",MAX(0,Übersicht!$C$28-$AC485),IF(Übersicht!$C$14="Ratendarlehen",Übersicht!$C$29,IF($A485&gt;=Übersicht!$C$30,$AE484,0)))))</f>
        <v>0</v>
      </c>
      <c r="AE485" s="38">
        <f>IF($AE484&lt;=0,0,ROUND($AE484-$AD485-IF($AE484-$AD485&lt;=0,0,IF(MOD($A485,Übersicht!$C$25)=0,MIN(Szenarien!$C$12,$AE484-$AD485),0)),2))</f>
        <v>0</v>
      </c>
    </row>
    <row r="486" spans="1:31" ht="15" customHeight="1" x14ac:dyDescent="0.25">
      <c r="A486" s="21">
        <v>479</v>
      </c>
      <c r="B486" s="36" t="str">
        <f>IF($D486&lt;=0,"",EDATE(Übersicht!$C$18,($A486-1)*12/Übersicht!$C$25))</f>
        <v/>
      </c>
      <c r="C486" s="21" t="str">
        <f t="shared" si="49"/>
        <v/>
      </c>
      <c r="D486" s="37">
        <f t="shared" si="53"/>
        <v>0</v>
      </c>
      <c r="E486" s="23">
        <f t="shared" si="50"/>
        <v>0</v>
      </c>
      <c r="F486" s="23">
        <f>IF($D486&lt;=0,0,ROUND($D486*Übersicht!$C$26,2))</f>
        <v>0</v>
      </c>
      <c r="G486" s="23">
        <f>IF($D486&lt;=0,0,MIN($D486,IF(Übersicht!$C$14="Annuitätendarlehen",MAX(0,Übersicht!$C$28-$F486),IF(Übersicht!$C$14="Ratendarlehen",Übersicht!$C$29,IF($A486&gt;=Übersicht!$C$30,$D486,0)))))</f>
        <v>0</v>
      </c>
      <c r="H486" s="23">
        <f>IF($D486-$G486&lt;=0,0,IF(MOD($A486,Übersicht!$C$25)=0,MIN(Übersicht!$C$31,$D486-$G486),0))</f>
        <v>0</v>
      </c>
      <c r="I486" s="23">
        <f t="shared" si="51"/>
        <v>0</v>
      </c>
      <c r="J486" s="23">
        <f t="shared" si="52"/>
        <v>0</v>
      </c>
      <c r="K486" s="23">
        <f t="shared" si="54"/>
        <v>80072.129999999961</v>
      </c>
      <c r="L486" s="23">
        <f t="shared" si="55"/>
        <v>250000</v>
      </c>
      <c r="M486" s="24" t="str">
        <f>IF($D486&lt;=0,"",IF(Übersicht!$C$11=0,0,$L486/Übersicht!$C$11))</f>
        <v/>
      </c>
      <c r="N486" s="25" t="str">
        <f>IF($D486&lt;=0,"",IF($J486&lt;=0.005,"Volltilgung erreicht",IF($A486=Übersicht!$C$19*Übersicht!$C$25,"Ende der Zinsbindung",IF($H486&gt;0,"Sondertilgung verrechnet",""))))</f>
        <v/>
      </c>
      <c r="Q486" s="38">
        <f>IF($S485&lt;=0,0,ROUND($S485*Übersicht!$C$26,2))</f>
        <v>0</v>
      </c>
      <c r="R486" s="38">
        <f>IF($S485&lt;=0,0,MIN($S485,IF(Übersicht!$C$14="Annuitätendarlehen",MAX(0,Übersicht!$C$28-$Q486),IF(Übersicht!$C$14="Ratendarlehen",Übersicht!$C$29,IF($A486&gt;=Übersicht!$C$30,$S485,0)))))</f>
        <v>0</v>
      </c>
      <c r="S486" s="38">
        <f>IF($S485&lt;=0,0,ROUND($S485-$R486-IF($S485-$R486&lt;=0,0,IF(MOD($A486,Übersicht!$C$25)=0,MIN(Szenarien!$C$8,$S485-$R486),0)),2))</f>
        <v>0</v>
      </c>
      <c r="T486" s="38">
        <f>IF($V485&lt;=0,0,ROUND($V485*Übersicht!$C$26,2))</f>
        <v>0</v>
      </c>
      <c r="U486" s="38">
        <f>IF($V485&lt;=0,0,MIN($V485,IF(Übersicht!$C$14="Annuitätendarlehen",MAX(0,Übersicht!$C$28-$T486),IF(Übersicht!$C$14="Ratendarlehen",Übersicht!$C$29,IF($A486&gt;=Übersicht!$C$30,$V485,0)))))</f>
        <v>0</v>
      </c>
      <c r="V486" s="38">
        <f>IF($V485&lt;=0,0,ROUND($V485-$U486-IF($V485-$U486&lt;=0,0,IF(MOD($A486,Übersicht!$C$25)=0,MIN(Szenarien!$C$9,$V485-$U486),0)),2))</f>
        <v>0</v>
      </c>
      <c r="W486" s="38">
        <f>IF($Y485&lt;=0,0,ROUND($Y485*Übersicht!$C$26,2))</f>
        <v>0</v>
      </c>
      <c r="X486" s="38">
        <f>IF($Y485&lt;=0,0,MIN($Y485,IF(Übersicht!$C$14="Annuitätendarlehen",MAX(0,Übersicht!$C$28-$W486),IF(Übersicht!$C$14="Ratendarlehen",Übersicht!$C$29,IF($A486&gt;=Übersicht!$C$30,$Y485,0)))))</f>
        <v>0</v>
      </c>
      <c r="Y486" s="38">
        <f>IF($Y485&lt;=0,0,ROUND($Y485-$X486-IF($Y485-$X486&lt;=0,0,IF(MOD($A486,Übersicht!$C$25)=0,MIN(Szenarien!$C$10,$Y485-$X486),0)),2))</f>
        <v>0</v>
      </c>
      <c r="Z486" s="38">
        <f>IF($AB485&lt;=0,0,ROUND($AB485*Übersicht!$C$26,2))</f>
        <v>0</v>
      </c>
      <c r="AA486" s="38">
        <f>IF($AB485&lt;=0,0,MIN($AB485,IF(Übersicht!$C$14="Annuitätendarlehen",MAX(0,Übersicht!$C$28-$Z486),IF(Übersicht!$C$14="Ratendarlehen",Übersicht!$C$29,IF($A486&gt;=Übersicht!$C$30,$AB485,0)))))</f>
        <v>0</v>
      </c>
      <c r="AB486" s="38">
        <f>IF($AB485&lt;=0,0,ROUND($AB485-$AA486-IF($AB485-$AA486&lt;=0,0,IF(MOD($A486,Übersicht!$C$25)=0,MIN(Szenarien!$C$11,$AB485-$AA486),0)),2))</f>
        <v>0</v>
      </c>
      <c r="AC486" s="38">
        <f>IF($AE485&lt;=0,0,ROUND($AE485*Übersicht!$C$26,2))</f>
        <v>0</v>
      </c>
      <c r="AD486" s="38">
        <f>IF($AE485&lt;=0,0,MIN($AE485,IF(Übersicht!$C$14="Annuitätendarlehen",MAX(0,Übersicht!$C$28-$AC486),IF(Übersicht!$C$14="Ratendarlehen",Übersicht!$C$29,IF($A486&gt;=Übersicht!$C$30,$AE485,0)))))</f>
        <v>0</v>
      </c>
      <c r="AE486" s="38">
        <f>IF($AE485&lt;=0,0,ROUND($AE485-$AD486-IF($AE485-$AD486&lt;=0,0,IF(MOD($A486,Übersicht!$C$25)=0,MIN(Szenarien!$C$12,$AE485-$AD486),0)),2))</f>
        <v>0</v>
      </c>
    </row>
    <row r="487" spans="1:31" ht="15" customHeight="1" x14ac:dyDescent="0.25">
      <c r="A487" s="26">
        <v>480</v>
      </c>
      <c r="B487" s="39" t="str">
        <f>IF($D487&lt;=0,"",EDATE(Übersicht!$C$18,($A487-1)*12/Übersicht!$C$25))</f>
        <v/>
      </c>
      <c r="C487" s="26" t="str">
        <f t="shared" si="49"/>
        <v/>
      </c>
      <c r="D487" s="40">
        <f t="shared" si="53"/>
        <v>0</v>
      </c>
      <c r="E487" s="28">
        <f t="shared" si="50"/>
        <v>0</v>
      </c>
      <c r="F487" s="28">
        <f>IF($D487&lt;=0,0,ROUND($D487*Übersicht!$C$26,2))</f>
        <v>0</v>
      </c>
      <c r="G487" s="28">
        <f>IF($D487&lt;=0,0,MIN($D487,IF(Übersicht!$C$14="Annuitätendarlehen",MAX(0,Übersicht!$C$28-$F487),IF(Übersicht!$C$14="Ratendarlehen",Übersicht!$C$29,IF($A487&gt;=Übersicht!$C$30,$D487,0)))))</f>
        <v>0</v>
      </c>
      <c r="H487" s="28">
        <f>IF($D487-$G487&lt;=0,0,IF(MOD($A487,Übersicht!$C$25)=0,MIN(Übersicht!$C$31,$D487-$G487),0))</f>
        <v>0</v>
      </c>
      <c r="I487" s="28">
        <f t="shared" si="51"/>
        <v>0</v>
      </c>
      <c r="J487" s="28">
        <f t="shared" si="52"/>
        <v>0</v>
      </c>
      <c r="K487" s="28">
        <f t="shared" si="54"/>
        <v>80072.129999999961</v>
      </c>
      <c r="L487" s="28">
        <f t="shared" si="55"/>
        <v>250000</v>
      </c>
      <c r="M487" s="29" t="str">
        <f>IF($D487&lt;=0,"",IF(Übersicht!$C$11=0,0,$L487/Übersicht!$C$11))</f>
        <v/>
      </c>
      <c r="N487" s="30" t="str">
        <f>IF($D487&lt;=0,"",IF($J487&lt;=0.005,"Volltilgung erreicht",IF($A487=Übersicht!$C$19*Übersicht!$C$25,"Ende der Zinsbindung",IF($H487&gt;0,"Sondertilgung verrechnet",""))))</f>
        <v/>
      </c>
      <c r="Q487" s="38">
        <f>IF($S486&lt;=0,0,ROUND($S486*Übersicht!$C$26,2))</f>
        <v>0</v>
      </c>
      <c r="R487" s="38">
        <f>IF($S486&lt;=0,0,MIN($S486,IF(Übersicht!$C$14="Annuitätendarlehen",MAX(0,Übersicht!$C$28-$Q487),IF(Übersicht!$C$14="Ratendarlehen",Übersicht!$C$29,IF($A487&gt;=Übersicht!$C$30,$S486,0)))))</f>
        <v>0</v>
      </c>
      <c r="S487" s="38">
        <f>IF($S486&lt;=0,0,ROUND($S486-$R487-IF($S486-$R487&lt;=0,0,IF(MOD($A487,Übersicht!$C$25)=0,MIN(Szenarien!$C$8,$S486-$R487),0)),2))</f>
        <v>0</v>
      </c>
      <c r="T487" s="38">
        <f>IF($V486&lt;=0,0,ROUND($V486*Übersicht!$C$26,2))</f>
        <v>0</v>
      </c>
      <c r="U487" s="38">
        <f>IF($V486&lt;=0,0,MIN($V486,IF(Übersicht!$C$14="Annuitätendarlehen",MAX(0,Übersicht!$C$28-$T487),IF(Übersicht!$C$14="Ratendarlehen",Übersicht!$C$29,IF($A487&gt;=Übersicht!$C$30,$V486,0)))))</f>
        <v>0</v>
      </c>
      <c r="V487" s="38">
        <f>IF($V486&lt;=0,0,ROUND($V486-$U487-IF($V486-$U487&lt;=0,0,IF(MOD($A487,Übersicht!$C$25)=0,MIN(Szenarien!$C$9,$V486-$U487),0)),2))</f>
        <v>0</v>
      </c>
      <c r="W487" s="38">
        <f>IF($Y486&lt;=0,0,ROUND($Y486*Übersicht!$C$26,2))</f>
        <v>0</v>
      </c>
      <c r="X487" s="38">
        <f>IF($Y486&lt;=0,0,MIN($Y486,IF(Übersicht!$C$14="Annuitätendarlehen",MAX(0,Übersicht!$C$28-$W487),IF(Übersicht!$C$14="Ratendarlehen",Übersicht!$C$29,IF($A487&gt;=Übersicht!$C$30,$Y486,0)))))</f>
        <v>0</v>
      </c>
      <c r="Y487" s="38">
        <f>IF($Y486&lt;=0,0,ROUND($Y486-$X487-IF($Y486-$X487&lt;=0,0,IF(MOD($A487,Übersicht!$C$25)=0,MIN(Szenarien!$C$10,$Y486-$X487),0)),2))</f>
        <v>0</v>
      </c>
      <c r="Z487" s="38">
        <f>IF($AB486&lt;=0,0,ROUND($AB486*Übersicht!$C$26,2))</f>
        <v>0</v>
      </c>
      <c r="AA487" s="38">
        <f>IF($AB486&lt;=0,0,MIN($AB486,IF(Übersicht!$C$14="Annuitätendarlehen",MAX(0,Übersicht!$C$28-$Z487),IF(Übersicht!$C$14="Ratendarlehen",Übersicht!$C$29,IF($A487&gt;=Übersicht!$C$30,$AB486,0)))))</f>
        <v>0</v>
      </c>
      <c r="AB487" s="38">
        <f>IF($AB486&lt;=0,0,ROUND($AB486-$AA487-IF($AB486-$AA487&lt;=0,0,IF(MOD($A487,Übersicht!$C$25)=0,MIN(Szenarien!$C$11,$AB486-$AA487),0)),2))</f>
        <v>0</v>
      </c>
      <c r="AC487" s="38">
        <f>IF($AE486&lt;=0,0,ROUND($AE486*Übersicht!$C$26,2))</f>
        <v>0</v>
      </c>
      <c r="AD487" s="38">
        <f>IF($AE486&lt;=0,0,MIN($AE486,IF(Übersicht!$C$14="Annuitätendarlehen",MAX(0,Übersicht!$C$28-$AC487),IF(Übersicht!$C$14="Ratendarlehen",Übersicht!$C$29,IF($A487&gt;=Übersicht!$C$30,$AE486,0)))))</f>
        <v>0</v>
      </c>
      <c r="AE487" s="38">
        <f>IF($AE486&lt;=0,0,ROUND($AE486-$AD487-IF($AE486-$AD487&lt;=0,0,IF(MOD($A487,Übersicht!$C$25)=0,MIN(Szenarien!$C$12,$AE486-$AD487),0)),2))</f>
        <v>0</v>
      </c>
    </row>
  </sheetData>
  <autoFilter ref="A7:N487" xr:uid="{00000000-0009-0000-0000-000001000000}"/>
  <mergeCells count="13">
    <mergeCell ref="A1:N1"/>
    <mergeCell ref="A2:N2"/>
    <mergeCell ref="A4:C5"/>
    <mergeCell ref="D4:E4"/>
    <mergeCell ref="F4:G4"/>
    <mergeCell ref="H4:I4"/>
    <mergeCell ref="J4:K4"/>
    <mergeCell ref="L4:M4"/>
    <mergeCell ref="D5:E5"/>
    <mergeCell ref="F5:G5"/>
    <mergeCell ref="H5:I5"/>
    <mergeCell ref="J5:K5"/>
    <mergeCell ref="L5:M5"/>
  </mergeCells>
  <conditionalFormatting sqref="A8:N487">
    <cfRule type="expression" dxfId="4" priority="2">
      <formula>$N8="Ende der Zinsbindung"</formula>
    </cfRule>
    <cfRule type="expression" dxfId="3" priority="3">
      <formula>$N8="Volltilgung erreicht"</formula>
    </cfRule>
  </conditionalFormatting>
  <conditionalFormatting sqref="H8:H487">
    <cfRule type="expression" dxfId="2" priority="4">
      <formula>$H8&gt;0</formula>
    </cfRule>
  </conditionalFormatting>
  <conditionalFormatting sqref="M8:M487">
    <cfRule type="dataBar" priority="5">
      <dataBar>
        <cfvo type="num" val="0"/>
        <cfvo type="num" val="1"/>
        <color rgb="FF17636B"/>
      </dataBar>
      <extLst>
        <ext xmlns:x14="http://schemas.microsoft.com/office/spreadsheetml/2009/9/main" uri="{B025F937-C7B1-47D3-B67F-A62EFF666E3E}">
          <x14:id>{97E68B90-7DFA-4154-8A67-745299553CBB}</x14:id>
        </ext>
      </extLst>
    </cfRule>
  </conditionalFormatting>
  <printOptions horizontalCentered="1"/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E68B90-7DFA-4154-8A67-745299553CBB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7636B"/>
            </x14:dataBar>
          </x14:cfRule>
          <xm:sqref>M8:M487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54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2.140625" customWidth="1"/>
    <col min="2" max="2" width="30" customWidth="1"/>
    <col min="3" max="3" width="18" customWidth="1"/>
    <col min="4" max="4" width="15" customWidth="1"/>
    <col min="5" max="5" width="20" customWidth="1"/>
    <col min="6" max="6" width="17" customWidth="1"/>
    <col min="7" max="7" width="19" customWidth="1"/>
    <col min="8" max="8" width="21" customWidth="1"/>
    <col min="9" max="9" width="20" customWidth="1"/>
    <col min="10" max="10" width="2.140625" customWidth="1"/>
  </cols>
  <sheetData>
    <row r="1" spans="2:9" ht="7.5" customHeight="1" x14ac:dyDescent="0.25"/>
    <row r="2" spans="2:9" ht="33.75" customHeight="1" x14ac:dyDescent="0.25">
      <c r="B2" s="56" t="s">
        <v>119</v>
      </c>
      <c r="C2" s="56"/>
      <c r="D2" s="56"/>
      <c r="E2" s="56"/>
      <c r="F2" s="56"/>
      <c r="G2" s="56"/>
      <c r="H2" s="56"/>
      <c r="I2" s="56"/>
    </row>
    <row r="3" spans="2:9" ht="19.5" customHeight="1" x14ac:dyDescent="0.25">
      <c r="B3" s="57" t="s">
        <v>120</v>
      </c>
      <c r="C3" s="57"/>
      <c r="D3" s="57"/>
      <c r="E3" s="57"/>
      <c r="F3" s="57"/>
      <c r="G3" s="57"/>
      <c r="H3" s="57"/>
      <c r="I3" s="57"/>
    </row>
    <row r="4" spans="2:9" ht="7.5" customHeight="1" x14ac:dyDescent="0.25"/>
    <row r="5" spans="2:9" ht="21.75" customHeight="1" x14ac:dyDescent="0.25">
      <c r="B5" s="11" t="s">
        <v>121</v>
      </c>
      <c r="C5" s="11"/>
      <c r="D5" s="11"/>
      <c r="E5" s="11"/>
      <c r="F5" s="11"/>
      <c r="G5" s="11"/>
      <c r="H5" s="11"/>
      <c r="I5" s="11"/>
    </row>
    <row r="7" spans="2:9" ht="31.5" customHeight="1" x14ac:dyDescent="0.25">
      <c r="B7" s="19" t="s">
        <v>122</v>
      </c>
      <c r="C7" s="20" t="s">
        <v>46</v>
      </c>
      <c r="D7" s="20" t="s">
        <v>66</v>
      </c>
      <c r="E7" s="20" t="s">
        <v>123</v>
      </c>
      <c r="F7" s="20" t="s">
        <v>124</v>
      </c>
      <c r="G7" s="20" t="s">
        <v>125</v>
      </c>
      <c r="H7" s="20" t="s">
        <v>126</v>
      </c>
      <c r="I7" s="20" t="s">
        <v>127</v>
      </c>
    </row>
    <row r="8" spans="2:9" ht="18.75" customHeight="1" x14ac:dyDescent="0.25">
      <c r="B8" s="41" t="s">
        <v>128</v>
      </c>
      <c r="C8" s="42">
        <v>0</v>
      </c>
      <c r="D8" s="22">
        <f>MIN(480,COUNTIF(Tilgungsplan!$S$8:$S$487,"&gt;0")+1)</f>
        <v>303</v>
      </c>
      <c r="E8" s="43" t="str">
        <f>INT($D8*12/Übersicht!$C$25/12)&amp;" J. "&amp;MOD($D8*12/Übersicht!$C$25,12)&amp;" Mon."</f>
        <v>25 J. 3 Mon.</v>
      </c>
      <c r="F8" s="23">
        <f>SUM(Tilgungsplan!$Q$8:$Q$487)</f>
        <v>124396.29000000005</v>
      </c>
      <c r="G8" s="23">
        <f>IF(1=1,0,$F$8-$F8)</f>
        <v>0</v>
      </c>
      <c r="H8" s="23">
        <f>IF(Übersicht!$C$19=0,0,INDEX(Tilgungsplan!$S$8:$S$487,MIN(Übersicht!$C$19*Übersicht!$C$25,480)))</f>
        <v>175491.20000000001</v>
      </c>
      <c r="I8" s="44">
        <f>IF(1=1,0,($D$8-$D8)*12/Übersicht!$C$25)</f>
        <v>0</v>
      </c>
    </row>
    <row r="9" spans="2:9" ht="18.75" customHeight="1" x14ac:dyDescent="0.25">
      <c r="B9" s="41" t="s">
        <v>129</v>
      </c>
      <c r="C9" s="42">
        <v>2500</v>
      </c>
      <c r="D9" s="22">
        <f>MIN(480,COUNTIF(Tilgungsplan!$V$8:$V$487,"&gt;0")+1)</f>
        <v>240</v>
      </c>
      <c r="E9" s="43" t="str">
        <f>INT($D9*12/Übersicht!$C$25/12)&amp;" J. "&amp;MOD($D9*12/Übersicht!$C$25,12)&amp;" Mon."</f>
        <v>20 J. 0 Mon.</v>
      </c>
      <c r="F9" s="23">
        <f>SUM(Tilgungsplan!$T$8:$T$487)</f>
        <v>97100.769999999946</v>
      </c>
      <c r="G9" s="23">
        <f>IF(2=1,0,$F$8-$F9)</f>
        <v>27295.520000000106</v>
      </c>
      <c r="H9" s="23">
        <f>IF(Übersicht!$C$19=0,0,INDEX(Tilgungsplan!$V$8:$V$487,MIN(Übersicht!$C$19*Übersicht!$C$25,480)))</f>
        <v>146155.89000000001</v>
      </c>
      <c r="I9" s="44">
        <f>IF(2=1,0,($D$8-$D9)*12/Übersicht!$C$25)</f>
        <v>63</v>
      </c>
    </row>
    <row r="10" spans="2:9" ht="18.75" customHeight="1" x14ac:dyDescent="0.25">
      <c r="B10" s="45" t="s">
        <v>130</v>
      </c>
      <c r="C10" s="42">
        <v>5000</v>
      </c>
      <c r="D10" s="46">
        <f>MIN(480,COUNTIF(Tilgungsplan!$Y$8:$Y$487,"&gt;0")+1)</f>
        <v>202</v>
      </c>
      <c r="E10" s="47" t="str">
        <f>INT($D10*12/Übersicht!$C$25/12)&amp;" J. "&amp;MOD($D10*12/Übersicht!$C$25,12)&amp;" Mon."</f>
        <v>16 J. 10 Mon.</v>
      </c>
      <c r="F10" s="48">
        <f>SUM(Tilgungsplan!$W$8:$W$487)</f>
        <v>80072.129999999961</v>
      </c>
      <c r="G10" s="48">
        <f>IF(3=1,0,$F$8-$F10)</f>
        <v>44324.160000000091</v>
      </c>
      <c r="H10" s="48">
        <f>IF(Übersicht!$C$19=0,0,INDEX(Tilgungsplan!$Y$8:$Y$487,MIN(Übersicht!$C$19*Übersicht!$C$25,480)))</f>
        <v>116820.46</v>
      </c>
      <c r="I10" s="49">
        <f>IF(3=1,0,($D$8-$D10)*12/Übersicht!$C$25)</f>
        <v>101</v>
      </c>
    </row>
    <row r="11" spans="2:9" ht="18.75" customHeight="1" x14ac:dyDescent="0.25">
      <c r="B11" s="41" t="s">
        <v>131</v>
      </c>
      <c r="C11" s="42">
        <v>7500</v>
      </c>
      <c r="D11" s="22">
        <f>MIN(480,COUNTIF(Tilgungsplan!$AB$8:$AB$487,"&gt;0")+1)</f>
        <v>173</v>
      </c>
      <c r="E11" s="43" t="str">
        <f>INT($D11*12/Übersicht!$C$25/12)&amp;" J. "&amp;MOD($D11*12/Übersicht!$C$25,12)&amp;" Mon."</f>
        <v>14 J. 5 Mon.</v>
      </c>
      <c r="F11" s="23">
        <f>SUM(Tilgungsplan!$Z$8:$Z$487)</f>
        <v>68380.819999999992</v>
      </c>
      <c r="G11" s="23">
        <f>IF(4=1,0,$F$8-$F11)</f>
        <v>56015.470000000059</v>
      </c>
      <c r="H11" s="23">
        <f>IF(Übersicht!$C$19=0,0,INDEX(Tilgungsplan!$AB$8:$AB$487,MIN(Übersicht!$C$19*Übersicht!$C$25,480)))</f>
        <v>87485.09</v>
      </c>
      <c r="I11" s="44">
        <f>IF(4=1,0,($D$8-$D11)*12/Übersicht!$C$25)</f>
        <v>130</v>
      </c>
    </row>
    <row r="12" spans="2:9" ht="18.75" customHeight="1" x14ac:dyDescent="0.25">
      <c r="B12" s="41" t="s">
        <v>132</v>
      </c>
      <c r="C12" s="42">
        <v>12500</v>
      </c>
      <c r="D12" s="22">
        <f>MIN(480,COUNTIF(Tilgungsplan!$AE$8:$AE$487,"&gt;0")+1)</f>
        <v>134</v>
      </c>
      <c r="E12" s="43" t="str">
        <f>INT($D12*12/Übersicht!$C$25/12)&amp;" J. "&amp;MOD($D12*12/Übersicht!$C$25,12)&amp;" Mon."</f>
        <v>11 J. 2 Mon.</v>
      </c>
      <c r="F12" s="23">
        <f>SUM(Tilgungsplan!$AC$8:$AC$487)</f>
        <v>53345.60000000002</v>
      </c>
      <c r="G12" s="23">
        <f>IF(5=1,0,$F$8-$F12)</f>
        <v>71050.690000000031</v>
      </c>
      <c r="H12" s="23">
        <f>IF(Übersicht!$C$19=0,0,INDEX(Tilgungsplan!$AE$8:$AE$487,MIN(Übersicht!$C$19*Übersicht!$C$25,480)))</f>
        <v>28814.34</v>
      </c>
      <c r="I12" s="44">
        <f>IF(5=1,0,($D$8-$D12)*12/Übersicht!$C$25)</f>
        <v>169</v>
      </c>
    </row>
    <row r="14" spans="2:9" ht="19.5" customHeight="1" x14ac:dyDescent="0.25">
      <c r="B14" s="10" t="s">
        <v>133</v>
      </c>
      <c r="C14" s="10"/>
      <c r="D14" s="10"/>
      <c r="E14" s="10"/>
      <c r="F14" s="10"/>
      <c r="G14" s="10"/>
      <c r="H14" s="10"/>
      <c r="I14" s="10"/>
    </row>
    <row r="15" spans="2:9" ht="9.75" customHeight="1" x14ac:dyDescent="0.25"/>
    <row r="16" spans="2:9" ht="21.75" customHeight="1" x14ac:dyDescent="0.25">
      <c r="B16" s="11" t="s">
        <v>134</v>
      </c>
      <c r="C16" s="11"/>
      <c r="D16" s="11"/>
      <c r="E16" s="11"/>
      <c r="F16" s="11"/>
      <c r="G16" s="11"/>
      <c r="H16" s="11"/>
      <c r="I16" s="11"/>
    </row>
    <row r="18" spans="2:9" ht="31.5" customHeight="1" x14ac:dyDescent="0.25">
      <c r="B18" s="19" t="s">
        <v>135</v>
      </c>
      <c r="C18" s="20" t="s">
        <v>136</v>
      </c>
      <c r="D18" s="20" t="s">
        <v>66</v>
      </c>
      <c r="E18" s="20" t="s">
        <v>123</v>
      </c>
      <c r="F18" s="20" t="s">
        <v>124</v>
      </c>
      <c r="G18" s="20" t="s">
        <v>126</v>
      </c>
      <c r="H18" s="20" t="s">
        <v>137</v>
      </c>
    </row>
    <row r="19" spans="2:9" ht="18.75" customHeight="1" x14ac:dyDescent="0.25">
      <c r="B19" s="50">
        <v>0.01</v>
      </c>
      <c r="C19" s="23">
        <f>ROUND(Übersicht!$C$11*(Übersicht!$C$13+$B19)/Übersicht!$C$25,2)</f>
        <v>927.08</v>
      </c>
      <c r="D19" s="22">
        <f>IFERROR(ROUNDUP(NPER(Übersicht!$C$26,-$C19,Übersicht!$C$11),0),0)</f>
        <v>521</v>
      </c>
      <c r="E19" s="43" t="str">
        <f>IF($D19=0,"–",INT($D19*12/Übersicht!$C$25/12)&amp;" J. "&amp;MOD($D19*12/Übersicht!$C$25,12)&amp;" Mon.")</f>
        <v>43 J. 5 Mon.</v>
      </c>
      <c r="F19" s="23">
        <f>IF($D19=0,0,$D19*$C19-Übersicht!$C$11)</f>
        <v>233008.68</v>
      </c>
      <c r="G19" s="23">
        <f>IF(Übersicht!$C$19=0,0,MAX(0,-FV(Übersicht!$C$26,MIN(Übersicht!$C$19*Übersicht!$C$25,$D19),-$C19,Übersicht!$C$11)))</f>
        <v>220196.76866061613</v>
      </c>
      <c r="H19" s="23">
        <f>$C19*Übersicht!$C$25</f>
        <v>11124.960000000001</v>
      </c>
      <c r="I19" s="51"/>
    </row>
    <row r="20" spans="2:9" ht="18.75" customHeight="1" x14ac:dyDescent="0.25">
      <c r="B20" s="50">
        <v>1.4999999999999999E-2</v>
      </c>
      <c r="C20" s="23">
        <f>ROUND(Übersicht!$C$11*(Übersicht!$C$13+$B20)/Übersicht!$C$25,2)</f>
        <v>1031.25</v>
      </c>
      <c r="D20" s="22">
        <f>IFERROR(ROUNDUP(NPER(Übersicht!$C$26,-$C20,Übersicht!$C$11),0),0)</f>
        <v>416</v>
      </c>
      <c r="E20" s="43" t="str">
        <f>IF($D20=0,"–",INT($D20*12/Übersicht!$C$25/12)&amp;" J. "&amp;MOD($D20*12/Übersicht!$C$25,12)&amp;" Mon.")</f>
        <v>34 J. 8 Mon.</v>
      </c>
      <c r="F20" s="23">
        <f>IF($D20=0,0,$D20*$C20-Übersicht!$C$11)</f>
        <v>179000</v>
      </c>
      <c r="G20" s="23">
        <f>IF(Übersicht!$C$19=0,0,MAX(0,-FV(Übersicht!$C$26,MIN(Übersicht!$C$19*Übersicht!$C$25,$D20),-$C20,Übersicht!$C$11)))</f>
        <v>205294.43770192747</v>
      </c>
      <c r="H20" s="23">
        <f>$C20*Übersicht!$C$25</f>
        <v>12375</v>
      </c>
      <c r="I20" s="51"/>
    </row>
    <row r="21" spans="2:9" ht="18.75" customHeight="1" x14ac:dyDescent="0.25">
      <c r="B21" s="50">
        <v>0.02</v>
      </c>
      <c r="C21" s="23">
        <f>ROUND(Übersicht!$C$11*(Übersicht!$C$13+$B21)/Übersicht!$C$25,2)</f>
        <v>1135.42</v>
      </c>
      <c r="D21" s="22">
        <f>IFERROR(ROUNDUP(NPER(Übersicht!$C$26,-$C21,Übersicht!$C$11),0),0)</f>
        <v>350</v>
      </c>
      <c r="E21" s="43" t="str">
        <f>IF($D21=0,"–",INT($D21*12/Übersicht!$C$25/12)&amp;" J. "&amp;MOD($D21*12/Übersicht!$C$25,12)&amp;" Mon.")</f>
        <v>29 J. 2 Mon.</v>
      </c>
      <c r="F21" s="23">
        <f>IF($D21=0,0,$D21*$C21-Übersicht!$C$11)</f>
        <v>147397</v>
      </c>
      <c r="G21" s="23">
        <f>IF(Übersicht!$C$19=0,0,MAX(0,-FV(Übersicht!$C$26,MIN(Übersicht!$C$19*Übersicht!$C$25,$D21),-$C21,Übersicht!$C$11)))</f>
        <v>190392.10674323875</v>
      </c>
      <c r="H21" s="23">
        <f>$C21*Übersicht!$C$25</f>
        <v>13625.04</v>
      </c>
      <c r="I21" s="51"/>
    </row>
    <row r="22" spans="2:9" ht="18.75" customHeight="1" x14ac:dyDescent="0.25">
      <c r="B22" s="50">
        <v>2.5000000000000001E-2</v>
      </c>
      <c r="C22" s="23">
        <f>ROUND(Übersicht!$C$11*(Übersicht!$C$13+$B22)/Übersicht!$C$25,2)</f>
        <v>1239.58</v>
      </c>
      <c r="D22" s="22">
        <f>IFERROR(ROUNDUP(NPER(Übersicht!$C$26,-$C22,Übersicht!$C$11),0),0)</f>
        <v>303</v>
      </c>
      <c r="E22" s="43" t="str">
        <f>IF($D22=0,"–",INT($D22*12/Übersicht!$C$25/12)&amp;" J. "&amp;MOD($D22*12/Übersicht!$C$25,12)&amp;" Mon.")</f>
        <v>25 J. 3 Mon.</v>
      </c>
      <c r="F22" s="23">
        <f>IF($D22=0,0,$D22*$C22-Übersicht!$C$11)</f>
        <v>125592.73999999999</v>
      </c>
      <c r="G22" s="23">
        <f>IF(Übersicht!$C$19=0,0,MAX(0,-FV(Übersicht!$C$26,MIN(Übersicht!$C$19*Übersicht!$C$25,$D22),-$C22,Übersicht!$C$11)))</f>
        <v>175491.20636254363</v>
      </c>
      <c r="H22" s="23">
        <f>$C22*Übersicht!$C$25</f>
        <v>14874.96</v>
      </c>
      <c r="I22" s="51"/>
    </row>
    <row r="23" spans="2:9" ht="18.75" customHeight="1" x14ac:dyDescent="0.25">
      <c r="B23" s="50">
        <v>0.03</v>
      </c>
      <c r="C23" s="23">
        <f>ROUND(Übersicht!$C$11*(Übersicht!$C$13+$B23)/Übersicht!$C$25,2)</f>
        <v>1343.75</v>
      </c>
      <c r="D23" s="22">
        <f>IFERROR(ROUNDUP(NPER(Übersicht!$C$26,-$C23,Übersicht!$C$11),0),0)</f>
        <v>267</v>
      </c>
      <c r="E23" s="43" t="str">
        <f>IF($D23=0,"–",INT($D23*12/Übersicht!$C$25/12)&amp;" J. "&amp;MOD($D23*12/Übersicht!$C$25,12)&amp;" Mon.")</f>
        <v>22 J. 3 Mon.</v>
      </c>
      <c r="F23" s="23">
        <f>IF($D23=0,0,$D23*$C23-Übersicht!$C$11)</f>
        <v>108781.25</v>
      </c>
      <c r="G23" s="23">
        <f>IF(Übersicht!$C$19=0,0,MAX(0,-FV(Übersicht!$C$26,MIN(Übersicht!$C$19*Übersicht!$C$25,$D23),-$C23,Übersicht!$C$11)))</f>
        <v>160588.87540385491</v>
      </c>
      <c r="H23" s="23">
        <f>$C23*Übersicht!$C$25</f>
        <v>16125</v>
      </c>
      <c r="I23" s="51"/>
    </row>
    <row r="24" spans="2:9" ht="18.75" customHeight="1" x14ac:dyDescent="0.25">
      <c r="B24" s="50">
        <v>0.04</v>
      </c>
      <c r="C24" s="23">
        <f>ROUND(Übersicht!$C$11*(Übersicht!$C$13+$B24)/Übersicht!$C$25,2)</f>
        <v>1552.08</v>
      </c>
      <c r="D24" s="22">
        <f>IFERROR(ROUNDUP(NPER(Übersicht!$C$26,-$C24,Übersicht!$C$11),0),0)</f>
        <v>217</v>
      </c>
      <c r="E24" s="43" t="str">
        <f>IF($D24=0,"–",INT($D24*12/Übersicht!$C$25/12)&amp;" J. "&amp;MOD($D24*12/Übersicht!$C$25,12)&amp;" Mon.")</f>
        <v>18 J. 1 Mon.</v>
      </c>
      <c r="F24" s="23">
        <f>IF($D24=0,0,$D24*$C24-Übersicht!$C$11)</f>
        <v>86801.359999999986</v>
      </c>
      <c r="G24" s="23">
        <f>IF(Übersicht!$C$19=0,0,MAX(0,-FV(Übersicht!$C$26,MIN(Übersicht!$C$19*Übersicht!$C$25,$D24),-$C24,Übersicht!$C$11)))</f>
        <v>130785.64406447107</v>
      </c>
      <c r="H24" s="23">
        <f>$C24*Übersicht!$C$25</f>
        <v>18624.96</v>
      </c>
      <c r="I24" s="51"/>
    </row>
    <row r="25" spans="2:9" ht="18.75" customHeight="1" x14ac:dyDescent="0.25">
      <c r="B25" s="50">
        <v>0.05</v>
      </c>
      <c r="C25" s="23">
        <f>ROUND(Übersicht!$C$11*(Übersicht!$C$13+$B25)/Übersicht!$C$25,2)</f>
        <v>1760.42</v>
      </c>
      <c r="D25" s="22">
        <f>IFERROR(ROUNDUP(NPER(Übersicht!$C$26,-$C25,Übersicht!$C$11),0),0)</f>
        <v>183</v>
      </c>
      <c r="E25" s="43" t="str">
        <f>IF($D25=0,"–",INT($D25*12/Übersicht!$C$25/12)&amp;" J. "&amp;MOD($D25*12/Übersicht!$C$25,12)&amp;" Mon.")</f>
        <v>15 J. 3 Mon.</v>
      </c>
      <c r="F25" s="23">
        <f>IF($D25=0,0,$D25*$C25-Übersicht!$C$11)</f>
        <v>72156.859999999986</v>
      </c>
      <c r="G25" s="23">
        <f>IF(Übersicht!$C$19=0,0,MAX(0,-FV(Übersicht!$C$26,MIN(Übersicht!$C$19*Übersicht!$C$25,$D25),-$C25,Übersicht!$C$11)))</f>
        <v>100980.98214709366</v>
      </c>
      <c r="H25" s="23">
        <f>$C25*Übersicht!$C$25</f>
        <v>21125.040000000001</v>
      </c>
      <c r="I25" s="51"/>
    </row>
    <row r="26" spans="2:9" ht="19.5" customHeight="1" x14ac:dyDescent="0.25">
      <c r="B26" s="10" t="s">
        <v>138</v>
      </c>
      <c r="C26" s="10"/>
      <c r="D26" s="10"/>
      <c r="E26" s="10"/>
      <c r="F26" s="10"/>
      <c r="G26" s="10"/>
      <c r="H26" s="10"/>
      <c r="I26" s="10"/>
    </row>
    <row r="27" spans="2:9" ht="9.75" customHeight="1" x14ac:dyDescent="0.25"/>
    <row r="28" spans="2:9" ht="21.75" customHeight="1" x14ac:dyDescent="0.25">
      <c r="B28" s="11" t="s">
        <v>139</v>
      </c>
      <c r="C28" s="11"/>
      <c r="D28" s="11"/>
      <c r="E28" s="11"/>
      <c r="F28" s="11"/>
      <c r="G28" s="11"/>
      <c r="H28" s="11"/>
      <c r="I28" s="11"/>
    </row>
    <row r="30" spans="2:9" ht="18.75" customHeight="1" x14ac:dyDescent="0.25">
      <c r="B30" s="14" t="s">
        <v>140</v>
      </c>
      <c r="C30" s="16">
        <f>Übersicht!$H$20</f>
        <v>116820.46</v>
      </c>
    </row>
    <row r="31" spans="2:9" ht="18.75" customHeight="1" x14ac:dyDescent="0.25">
      <c r="B31" s="14" t="s">
        <v>141</v>
      </c>
      <c r="C31" s="15">
        <v>15</v>
      </c>
    </row>
    <row r="32" spans="2:9" ht="18.75" customHeight="1" x14ac:dyDescent="0.25">
      <c r="B32" s="14" t="s">
        <v>142</v>
      </c>
      <c r="C32" s="16">
        <f>Übersicht!$C$28</f>
        <v>1239.58</v>
      </c>
    </row>
    <row r="34" spans="2:9" ht="31.5" customHeight="1" x14ac:dyDescent="0.25">
      <c r="B34" s="19" t="s">
        <v>143</v>
      </c>
      <c r="C34" s="20" t="s">
        <v>136</v>
      </c>
      <c r="D34" s="20" t="s">
        <v>144</v>
      </c>
      <c r="E34" s="20" t="s">
        <v>145</v>
      </c>
      <c r="F34" s="20" t="s">
        <v>146</v>
      </c>
    </row>
    <row r="35" spans="2:9" ht="18.75" customHeight="1" x14ac:dyDescent="0.25">
      <c r="B35" s="50">
        <v>0.02</v>
      </c>
      <c r="C35" s="23">
        <f>IF($C$30&lt;=0,0,-PMT($B35/Übersicht!$C$25,$C$31*Übersicht!$C$25,$C$30))</f>
        <v>751.74982413155772</v>
      </c>
      <c r="D35" s="52">
        <f t="shared" ref="D35:D42" si="0">$C35-$C$32</f>
        <v>-487.83017586844221</v>
      </c>
      <c r="E35" s="23">
        <f>IF($C$30&lt;=0,0,$C35*$C$31*Übersicht!$C$25-$C$30)</f>
        <v>18494.508343680398</v>
      </c>
      <c r="F35" s="23">
        <f>IF($C$30&lt;=0,0,$C35*$C$31*Übersicht!$C$25)</f>
        <v>135314.9683436804</v>
      </c>
      <c r="G35" s="51"/>
      <c r="H35" s="51"/>
      <c r="I35" s="51"/>
    </row>
    <row r="36" spans="2:9" ht="18.75" customHeight="1" x14ac:dyDescent="0.25">
      <c r="B36" s="50">
        <v>2.5000000000000001E-2</v>
      </c>
      <c r="C36" s="23">
        <f>IF($C$30&lt;=0,0,-PMT($B36/Übersicht!$C$25,$C$31*Übersicht!$C$25,$C$30))</f>
        <v>778.9462211946593</v>
      </c>
      <c r="D36" s="52">
        <f t="shared" si="0"/>
        <v>-460.63377880534063</v>
      </c>
      <c r="E36" s="23">
        <f>IF($C$30&lt;=0,0,$C36*$C$31*Übersicht!$C$25-$C$30)</f>
        <v>23389.859815038668</v>
      </c>
      <c r="F36" s="23">
        <f>IF($C$30&lt;=0,0,$C36*$C$31*Übersicht!$C$25)</f>
        <v>140210.31981503867</v>
      </c>
      <c r="G36" s="51"/>
      <c r="H36" s="51"/>
      <c r="I36" s="51"/>
    </row>
    <row r="37" spans="2:9" ht="18.75" customHeight="1" x14ac:dyDescent="0.25">
      <c r="B37" s="50">
        <v>0.03</v>
      </c>
      <c r="C37" s="23">
        <f>IF($C$30&lt;=0,0,-PMT($B37/Übersicht!$C$25,$C$31*Übersicht!$C$25,$C$30))</f>
        <v>806.7406488482934</v>
      </c>
      <c r="D37" s="52">
        <f t="shared" si="0"/>
        <v>-432.83935115170652</v>
      </c>
      <c r="E37" s="23">
        <f>IF($C$30&lt;=0,0,$C37*$C$31*Übersicht!$C$25-$C$30)</f>
        <v>28392.856792692808</v>
      </c>
      <c r="F37" s="23">
        <f>IF($C$30&lt;=0,0,$C37*$C$31*Übersicht!$C$25)</f>
        <v>145213.31679269281</v>
      </c>
      <c r="G37" s="51"/>
      <c r="H37" s="51"/>
      <c r="I37" s="51"/>
    </row>
    <row r="38" spans="2:9" ht="18.75" customHeight="1" x14ac:dyDescent="0.25">
      <c r="B38" s="50">
        <v>3.5000000000000003E-2</v>
      </c>
      <c r="C38" s="23">
        <f>IF($C$30&lt;=0,0,-PMT($B38/Übersicht!$C$25,$C$31*Übersicht!$C$25,$C$30))</f>
        <v>835.12907325678736</v>
      </c>
      <c r="D38" s="52">
        <f t="shared" si="0"/>
        <v>-404.45092674321256</v>
      </c>
      <c r="E38" s="23">
        <f>IF($C$30&lt;=0,0,$C38*$C$31*Übersicht!$C$25-$C$30)</f>
        <v>33502.773186221733</v>
      </c>
      <c r="F38" s="23">
        <f>IF($C$30&lt;=0,0,$C38*$C$31*Übersicht!$C$25)</f>
        <v>150323.23318622174</v>
      </c>
      <c r="G38" s="51"/>
      <c r="H38" s="51"/>
      <c r="I38" s="51"/>
    </row>
    <row r="39" spans="2:9" ht="18.75" customHeight="1" x14ac:dyDescent="0.25">
      <c r="B39" s="50">
        <v>0.04</v>
      </c>
      <c r="C39" s="23">
        <f>IF($C$30&lt;=0,0,-PMT($B39/Übersicht!$C$25,$C$31*Übersicht!$C$25,$C$30))</f>
        <v>864.10683726120726</v>
      </c>
      <c r="D39" s="52">
        <f t="shared" si="0"/>
        <v>-375.47316273879267</v>
      </c>
      <c r="E39" s="23">
        <f>IF($C$30&lt;=0,0,$C39*$C$31*Übersicht!$C$25-$C$30)</f>
        <v>38718.770707017291</v>
      </c>
      <c r="F39" s="23">
        <f>IF($C$30&lt;=0,0,$C39*$C$31*Übersicht!$C$25)</f>
        <v>155539.2307070173</v>
      </c>
      <c r="G39" s="51"/>
      <c r="H39" s="51"/>
      <c r="I39" s="51"/>
    </row>
    <row r="40" spans="2:9" ht="18.75" customHeight="1" x14ac:dyDescent="0.25">
      <c r="B40" s="50">
        <v>4.4999999999999998E-2</v>
      </c>
      <c r="C40" s="23">
        <f>IF($C$30&lt;=0,0,-PMT($B40/Übersicht!$C$25,$C$31*Übersicht!$C$25,$C$30))</f>
        <v>893.66867896100291</v>
      </c>
      <c r="D40" s="52">
        <f t="shared" si="0"/>
        <v>-345.91132103899702</v>
      </c>
      <c r="E40" s="23">
        <f>IF($C$30&lt;=0,0,$C40*$C$31*Übersicht!$C$25-$C$30)</f>
        <v>44039.902212980509</v>
      </c>
      <c r="F40" s="23">
        <f>IF($C$30&lt;=0,0,$C40*$C$31*Übersicht!$C$25)</f>
        <v>160860.36221298052</v>
      </c>
      <c r="G40" s="51"/>
      <c r="H40" s="51"/>
      <c r="I40" s="51"/>
    </row>
    <row r="41" spans="2:9" ht="18.75" customHeight="1" x14ac:dyDescent="0.25">
      <c r="B41" s="50">
        <v>0.05</v>
      </c>
      <c r="C41" s="23">
        <f>IF($C$30&lt;=0,0,-PMT($B41/Übersicht!$C$25,$C$31*Übersicht!$C$25,$C$30))</f>
        <v>923.80875241015542</v>
      </c>
      <c r="D41" s="52">
        <f t="shared" si="0"/>
        <v>-315.77124758984451</v>
      </c>
      <c r="E41" s="23">
        <f>IF($C$30&lt;=0,0,$C41*$C$31*Übersicht!$C$25-$C$30)</f>
        <v>49465.115433827959</v>
      </c>
      <c r="F41" s="23">
        <f>IF($C$30&lt;=0,0,$C41*$C$31*Übersicht!$C$25)</f>
        <v>166285.57543382797</v>
      </c>
      <c r="G41" s="51"/>
      <c r="H41" s="51"/>
      <c r="I41" s="51"/>
    </row>
    <row r="42" spans="2:9" ht="18.75" customHeight="1" x14ac:dyDescent="0.25">
      <c r="B42" s="50">
        <v>0.06</v>
      </c>
      <c r="C42" s="23">
        <f>IF($C$30&lt;=0,0,-PMT($B42/Übersicht!$C$25,$C$31*Übersicht!$C$25,$C$30))</f>
        <v>985.7974282676098</v>
      </c>
      <c r="D42" s="52">
        <f t="shared" si="0"/>
        <v>-253.78257173239012</v>
      </c>
      <c r="E42" s="23">
        <f>IF($C$30&lt;=0,0,$C42*$C$31*Übersicht!$C$25-$C$30)</f>
        <v>60623.077088169768</v>
      </c>
      <c r="F42" s="23">
        <f>IF($C$30&lt;=0,0,$C42*$C$31*Übersicht!$C$25)</f>
        <v>177443.53708816977</v>
      </c>
      <c r="G42" s="51"/>
      <c r="H42" s="51"/>
      <c r="I42" s="51"/>
    </row>
    <row r="43" spans="2:9" ht="19.5" customHeight="1" x14ac:dyDescent="0.25">
      <c r="B43" s="10" t="s">
        <v>147</v>
      </c>
      <c r="C43" s="10"/>
      <c r="D43" s="10"/>
      <c r="E43" s="10"/>
      <c r="F43" s="10"/>
      <c r="G43" s="10"/>
      <c r="H43" s="10"/>
      <c r="I43" s="10"/>
    </row>
    <row r="44" spans="2:9" ht="9.75" customHeight="1" x14ac:dyDescent="0.25"/>
    <row r="45" spans="2:9" ht="21.75" customHeight="1" x14ac:dyDescent="0.25">
      <c r="B45" s="11" t="s">
        <v>148</v>
      </c>
      <c r="C45" s="11"/>
      <c r="D45" s="11"/>
      <c r="E45" s="11"/>
      <c r="F45" s="11"/>
      <c r="G45" s="11"/>
      <c r="H45" s="11"/>
      <c r="I45" s="11"/>
    </row>
    <row r="47" spans="2:9" ht="25.5" customHeight="1" x14ac:dyDescent="0.25">
      <c r="B47" s="19" t="s">
        <v>149</v>
      </c>
      <c r="C47" s="20" t="s">
        <v>150</v>
      </c>
      <c r="D47" s="20" t="s">
        <v>73</v>
      </c>
      <c r="E47" s="20" t="s">
        <v>102</v>
      </c>
      <c r="F47" s="20" t="s">
        <v>74</v>
      </c>
    </row>
    <row r="48" spans="2:9" ht="18" customHeight="1" x14ac:dyDescent="0.25">
      <c r="B48" s="41" t="s">
        <v>151</v>
      </c>
      <c r="C48" s="23">
        <f>INDEX(Tilgungsplan!$J$8:$J$487,MIN(1*Übersicht!$C$25,480))</f>
        <v>238650.25</v>
      </c>
      <c r="D48" s="23">
        <f>INDEX(Tilgungsplan!$K$8:$K$487,MIN(1*Übersicht!$C$25,480))</f>
        <v>8525.2099999999991</v>
      </c>
      <c r="E48" s="23">
        <f>INDEX(Tilgungsplan!$L$8:$L$487,MIN(1*Übersicht!$C$25,480))</f>
        <v>11349.75</v>
      </c>
      <c r="F48" s="24">
        <f>IF(Übersicht!$C$11=0,0,$E48/Übersicht!$C$11)</f>
        <v>4.5399000000000002E-2</v>
      </c>
      <c r="G48" s="51"/>
      <c r="H48" s="51"/>
      <c r="I48" s="51"/>
    </row>
    <row r="49" spans="2:9" ht="18" customHeight="1" x14ac:dyDescent="0.25">
      <c r="B49" s="53" t="s">
        <v>152</v>
      </c>
      <c r="C49" s="28">
        <f>INDEX(Tilgungsplan!$J$8:$J$487,MIN(3*Übersicht!$C$25,480))</f>
        <v>214743.35</v>
      </c>
      <c r="D49" s="28">
        <f>INDEX(Tilgungsplan!$K$8:$K$487,MIN(3*Übersicht!$C$25,480))</f>
        <v>24368.23</v>
      </c>
      <c r="E49" s="28">
        <f>INDEX(Tilgungsplan!$L$8:$L$487,MIN(3*Übersicht!$C$25,480))</f>
        <v>35256.65</v>
      </c>
      <c r="F49" s="29">
        <f>IF(Übersicht!$C$11=0,0,$E49/Übersicht!$C$11)</f>
        <v>0.1410266</v>
      </c>
      <c r="G49" s="54"/>
      <c r="H49" s="54"/>
      <c r="I49" s="54"/>
    </row>
    <row r="50" spans="2:9" ht="18" customHeight="1" x14ac:dyDescent="0.25">
      <c r="B50" s="41" t="s">
        <v>153</v>
      </c>
      <c r="C50" s="23">
        <f>INDEX(Tilgungsplan!$J$8:$J$487,MIN(5*Übersicht!$C$25,480))</f>
        <v>189131.2</v>
      </c>
      <c r="D50" s="23">
        <f>INDEX(Tilgungsplan!$K$8:$K$487,MIN(5*Übersicht!$C$25,480))</f>
        <v>38506.000000000007</v>
      </c>
      <c r="E50" s="23">
        <f>INDEX(Tilgungsplan!$L$8:$L$487,MIN(5*Übersicht!$C$25,480))</f>
        <v>60868.800000000003</v>
      </c>
      <c r="F50" s="24">
        <f>IF(Übersicht!$C$11=0,0,$E50/Übersicht!$C$11)</f>
        <v>0.2434752</v>
      </c>
      <c r="G50" s="51"/>
      <c r="H50" s="51"/>
      <c r="I50" s="51"/>
    </row>
    <row r="51" spans="2:9" ht="18" customHeight="1" x14ac:dyDescent="0.25">
      <c r="B51" s="53" t="s">
        <v>154</v>
      </c>
      <c r="C51" s="28">
        <f>INDEX(Tilgungsplan!$J$8:$J$487,MIN(10*Übersicht!$C$25,480))</f>
        <v>116820.46</v>
      </c>
      <c r="D51" s="28">
        <f>INDEX(Tilgungsplan!$K$8:$K$487,MIN(10*Übersicht!$C$25,480))</f>
        <v>65570.060000000012</v>
      </c>
      <c r="E51" s="28">
        <f>INDEX(Tilgungsplan!$L$8:$L$487,MIN(10*Übersicht!$C$25,480))</f>
        <v>133179.54</v>
      </c>
      <c r="F51" s="29">
        <f>IF(Übersicht!$C$11=0,0,$E51/Übersicht!$C$11)</f>
        <v>0.53271816000000005</v>
      </c>
      <c r="G51" s="54"/>
      <c r="H51" s="54"/>
      <c r="I51" s="54"/>
    </row>
    <row r="52" spans="2:9" ht="18" customHeight="1" x14ac:dyDescent="0.25">
      <c r="B52" s="41" t="s">
        <v>155</v>
      </c>
      <c r="C52" s="23">
        <f>INDEX(Tilgungsplan!$J$8:$J$487,MIN(15*Übersicht!$C$25,480))</f>
        <v>30916.9</v>
      </c>
      <c r="D52" s="23">
        <f>INDEX(Tilgungsplan!$K$8:$K$487,MIN(15*Übersicht!$C$25,480))</f>
        <v>79041.299999999959</v>
      </c>
      <c r="E52" s="23">
        <f>INDEX(Tilgungsplan!$L$8:$L$487,MIN(15*Übersicht!$C$25,480))</f>
        <v>219083.1</v>
      </c>
      <c r="F52" s="24">
        <f>IF(Übersicht!$C$11=0,0,$E52/Übersicht!$C$11)</f>
        <v>0.87633240000000001</v>
      </c>
      <c r="G52" s="51"/>
      <c r="H52" s="51"/>
      <c r="I52" s="51"/>
    </row>
    <row r="53" spans="2:9" ht="18" customHeight="1" x14ac:dyDescent="0.25">
      <c r="B53" s="53" t="s">
        <v>156</v>
      </c>
      <c r="C53" s="28">
        <f>INDEX(Tilgungsplan!$J$8:$J$487,MIN(20*Übersicht!$C$25,480))</f>
        <v>0</v>
      </c>
      <c r="D53" s="28">
        <f>INDEX(Tilgungsplan!$K$8:$K$487,MIN(20*Übersicht!$C$25,480))</f>
        <v>80072.129999999961</v>
      </c>
      <c r="E53" s="28">
        <f>INDEX(Tilgungsplan!$L$8:$L$487,MIN(20*Übersicht!$C$25,480))</f>
        <v>250000</v>
      </c>
      <c r="F53" s="29">
        <f>IF(Übersicht!$C$11=0,0,$E53/Übersicht!$C$11)</f>
        <v>1</v>
      </c>
      <c r="G53" s="54"/>
      <c r="H53" s="54"/>
      <c r="I53" s="54"/>
    </row>
    <row r="54" spans="2:9" ht="18" customHeight="1" x14ac:dyDescent="0.25">
      <c r="B54" s="41" t="s">
        <v>157</v>
      </c>
      <c r="C54" s="23">
        <f>INDEX(Tilgungsplan!$J$8:$J$487,MIN(25*Übersicht!$C$25,480))</f>
        <v>0</v>
      </c>
      <c r="D54" s="23">
        <f>INDEX(Tilgungsplan!$K$8:$K$487,MIN(25*Übersicht!$C$25,480))</f>
        <v>80072.129999999961</v>
      </c>
      <c r="E54" s="23">
        <f>INDEX(Tilgungsplan!$L$8:$L$487,MIN(25*Übersicht!$C$25,480))</f>
        <v>250000</v>
      </c>
      <c r="F54" s="24">
        <f>IF(Übersicht!$C$11=0,0,$E54/Übersicht!$C$11)</f>
        <v>1</v>
      </c>
      <c r="G54" s="51"/>
      <c r="H54" s="51"/>
      <c r="I54" s="51"/>
    </row>
  </sheetData>
  <mergeCells count="9">
    <mergeCell ref="B26:I26"/>
    <mergeCell ref="B28:I28"/>
    <mergeCell ref="B43:I43"/>
    <mergeCell ref="B45:I45"/>
    <mergeCell ref="B2:I2"/>
    <mergeCell ref="B3:I3"/>
    <mergeCell ref="B5:I5"/>
    <mergeCell ref="B14:I14"/>
    <mergeCell ref="B16:I16"/>
  </mergeCells>
  <conditionalFormatting sqref="D35:D42">
    <cfRule type="expression" dxfId="1" priority="2">
      <formula>$D35&gt;0</formula>
    </cfRule>
    <cfRule type="expression" dxfId="0" priority="3">
      <formula>$D35&lt;0</formula>
    </cfRule>
  </conditionalFormatting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Übersicht</vt:lpstr>
      <vt:lpstr>Tilgungsplan</vt:lpstr>
      <vt:lpstr>Szenarien</vt:lpstr>
      <vt:lpstr>Tilgungsplan!Drucktitel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2026-08-12T05:40:25Z</dcterms:created>
  <dcterms:modified xsi:type="dcterms:W3CDTF">2026-08-12T06:19:24Z</dcterms:modified>
  <dc:language>en-US</dc:language>
</cp:coreProperties>
</file>