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0E94F5A4-8355-4536-A579-680966ABB120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ielplan" sheetId="1" r:id="rId1"/>
    <sheet name="Tabelle" sheetId="2" r:id="rId2"/>
    <sheet name="Kreuztabelle" sheetId="3" r:id="rId3"/>
  </sheets>
  <definedNames>
    <definedName name="_xlnm.Print_Area" localSheetId="2">Kreuztabelle!$A$1:$L$15</definedName>
    <definedName name="_xlnm.Print_Area" localSheetId="0">Spielplan!$A$1:$M$71</definedName>
    <definedName name="_xlnm.Print_Area" localSheetId="1">Tabelle!$A$1:$K$29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3" l="1"/>
  <c r="B12" i="3"/>
  <c r="B11" i="3"/>
  <c r="B10" i="3"/>
  <c r="B9" i="3"/>
  <c r="B8" i="3"/>
  <c r="B7" i="3"/>
  <c r="B6" i="3"/>
  <c r="B5" i="3"/>
  <c r="K4" i="3"/>
  <c r="J4" i="3"/>
  <c r="I4" i="3"/>
  <c r="H4" i="3"/>
  <c r="G4" i="3"/>
  <c r="F4" i="3"/>
  <c r="E4" i="3"/>
  <c r="D4" i="3"/>
  <c r="C4" i="3"/>
  <c r="B27" i="2"/>
  <c r="C27" i="2" s="1"/>
  <c r="B26" i="2"/>
  <c r="D26" i="2" s="1"/>
  <c r="B25" i="2"/>
  <c r="J25" i="2" s="1"/>
  <c r="B24" i="2"/>
  <c r="D24" i="2" s="1"/>
  <c r="B23" i="2"/>
  <c r="J23" i="2" s="1"/>
  <c r="E22" i="2"/>
  <c r="B22" i="2"/>
  <c r="D22" i="2" s="1"/>
  <c r="B21" i="2"/>
  <c r="C21" i="2" s="1"/>
  <c r="E20" i="2"/>
  <c r="B20" i="2"/>
  <c r="D20" i="2" s="1"/>
  <c r="B19" i="2"/>
  <c r="C19" i="2" s="1"/>
  <c r="K14" i="2"/>
  <c r="K13" i="2"/>
  <c r="K12" i="2"/>
  <c r="K11" i="2"/>
  <c r="K10" i="2"/>
  <c r="K9" i="2"/>
  <c r="K8" i="2"/>
  <c r="K7" i="2"/>
  <c r="K6" i="2"/>
  <c r="A69" i="1"/>
  <c r="N68" i="1"/>
  <c r="M68" i="1"/>
  <c r="L68" i="1"/>
  <c r="K68" i="1"/>
  <c r="I68" i="1"/>
  <c r="E68" i="1"/>
  <c r="N67" i="1"/>
  <c r="M67" i="1"/>
  <c r="L67" i="1"/>
  <c r="K67" i="1"/>
  <c r="I67" i="1"/>
  <c r="E67" i="1"/>
  <c r="N66" i="1"/>
  <c r="M66" i="1"/>
  <c r="L66" i="1"/>
  <c r="K66" i="1"/>
  <c r="I66" i="1"/>
  <c r="E66" i="1"/>
  <c r="N65" i="1"/>
  <c r="M65" i="1"/>
  <c r="L65" i="1"/>
  <c r="K65" i="1"/>
  <c r="I65" i="1"/>
  <c r="E65" i="1"/>
  <c r="A64" i="1"/>
  <c r="N63" i="1"/>
  <c r="L63" i="1"/>
  <c r="K63" i="1"/>
  <c r="I63" i="1"/>
  <c r="M63" i="1" s="1"/>
  <c r="E63" i="1"/>
  <c r="N62" i="1"/>
  <c r="M62" i="1"/>
  <c r="L62" i="1"/>
  <c r="K62" i="1"/>
  <c r="I62" i="1"/>
  <c r="E62" i="1"/>
  <c r="N61" i="1"/>
  <c r="L61" i="1"/>
  <c r="K61" i="1"/>
  <c r="I61" i="1"/>
  <c r="E61" i="1"/>
  <c r="M61" i="1" s="1"/>
  <c r="N60" i="1"/>
  <c r="M60" i="1"/>
  <c r="L60" i="1"/>
  <c r="K60" i="1"/>
  <c r="I60" i="1"/>
  <c r="E60" i="1"/>
  <c r="A59" i="1"/>
  <c r="N58" i="1"/>
  <c r="M58" i="1"/>
  <c r="L58" i="1"/>
  <c r="K58" i="1"/>
  <c r="I58" i="1"/>
  <c r="E58" i="1"/>
  <c r="N57" i="1"/>
  <c r="M57" i="1"/>
  <c r="L57" i="1"/>
  <c r="K57" i="1"/>
  <c r="I57" i="1"/>
  <c r="E57" i="1"/>
  <c r="N56" i="1"/>
  <c r="M56" i="1"/>
  <c r="L56" i="1"/>
  <c r="K56" i="1"/>
  <c r="I56" i="1"/>
  <c r="E56" i="1"/>
  <c r="N55" i="1"/>
  <c r="L55" i="1"/>
  <c r="K55" i="1"/>
  <c r="I55" i="1"/>
  <c r="E55" i="1"/>
  <c r="M55" i="1" s="1"/>
  <c r="A54" i="1"/>
  <c r="N53" i="1"/>
  <c r="M53" i="1"/>
  <c r="L53" i="1"/>
  <c r="K53" i="1"/>
  <c r="I53" i="1"/>
  <c r="E53" i="1"/>
  <c r="N52" i="1"/>
  <c r="M52" i="1"/>
  <c r="L52" i="1"/>
  <c r="K52" i="1"/>
  <c r="I52" i="1"/>
  <c r="E52" i="1"/>
  <c r="N51" i="1"/>
  <c r="M51" i="1"/>
  <c r="L51" i="1"/>
  <c r="K51" i="1"/>
  <c r="I51" i="1"/>
  <c r="E51" i="1"/>
  <c r="N50" i="1"/>
  <c r="M50" i="1"/>
  <c r="L50" i="1"/>
  <c r="K50" i="1"/>
  <c r="I50" i="1"/>
  <c r="E50" i="1"/>
  <c r="A49" i="1"/>
  <c r="N48" i="1"/>
  <c r="M48" i="1"/>
  <c r="L48" i="1"/>
  <c r="K48" i="1"/>
  <c r="I48" i="1"/>
  <c r="E48" i="1"/>
  <c r="N47" i="1"/>
  <c r="M47" i="1"/>
  <c r="L47" i="1"/>
  <c r="K47" i="1"/>
  <c r="I47" i="1"/>
  <c r="E47" i="1"/>
  <c r="N46" i="1"/>
  <c r="M46" i="1"/>
  <c r="L46" i="1"/>
  <c r="K46" i="1"/>
  <c r="I46" i="1"/>
  <c r="E46" i="1"/>
  <c r="N45" i="1"/>
  <c r="M45" i="1"/>
  <c r="L45" i="1"/>
  <c r="K45" i="1"/>
  <c r="I45" i="1"/>
  <c r="E45" i="1"/>
  <c r="A44" i="1"/>
  <c r="N43" i="1"/>
  <c r="L43" i="1"/>
  <c r="K43" i="1"/>
  <c r="I43" i="1"/>
  <c r="M43" i="1" s="1"/>
  <c r="E43" i="1"/>
  <c r="N42" i="1"/>
  <c r="L42" i="1"/>
  <c r="K42" i="1"/>
  <c r="I42" i="1"/>
  <c r="M42" i="1" s="1"/>
  <c r="E42" i="1"/>
  <c r="N41" i="1"/>
  <c r="L41" i="1"/>
  <c r="K41" i="1"/>
  <c r="I41" i="1"/>
  <c r="E41" i="1"/>
  <c r="M41" i="1" s="1"/>
  <c r="N40" i="1"/>
  <c r="L40" i="1"/>
  <c r="K40" i="1"/>
  <c r="I40" i="1"/>
  <c r="E40" i="1"/>
  <c r="M40" i="1" s="1"/>
  <c r="A39" i="1"/>
  <c r="N38" i="1"/>
  <c r="L38" i="1"/>
  <c r="K38" i="1"/>
  <c r="I38" i="1"/>
  <c r="M38" i="1" s="1"/>
  <c r="E38" i="1"/>
  <c r="F22" i="2" s="1"/>
  <c r="N37" i="1"/>
  <c r="M37" i="1"/>
  <c r="L37" i="1"/>
  <c r="K37" i="1"/>
  <c r="I37" i="1"/>
  <c r="E37" i="1"/>
  <c r="N36" i="1"/>
  <c r="M36" i="1"/>
  <c r="L36" i="1"/>
  <c r="K36" i="1"/>
  <c r="I36" i="1"/>
  <c r="E36" i="1"/>
  <c r="N35" i="1"/>
  <c r="L35" i="1"/>
  <c r="K35" i="1"/>
  <c r="I35" i="1"/>
  <c r="E35" i="1"/>
  <c r="M35" i="1" s="1"/>
  <c r="A34" i="1"/>
  <c r="N33" i="1"/>
  <c r="L33" i="1"/>
  <c r="K33" i="1"/>
  <c r="I33" i="1"/>
  <c r="E33" i="1"/>
  <c r="M33" i="1" s="1"/>
  <c r="N32" i="1"/>
  <c r="M32" i="1"/>
  <c r="L32" i="1"/>
  <c r="K32" i="1"/>
  <c r="I32" i="1"/>
  <c r="E32" i="1"/>
  <c r="N31" i="1"/>
  <c r="M31" i="1"/>
  <c r="L31" i="1"/>
  <c r="K31" i="1"/>
  <c r="I31" i="1"/>
  <c r="E31" i="1"/>
  <c r="N30" i="1"/>
  <c r="M30" i="1"/>
  <c r="L30" i="1"/>
  <c r="K30" i="1"/>
  <c r="I30" i="1"/>
  <c r="E30" i="1"/>
  <c r="A29" i="1"/>
  <c r="N28" i="1"/>
  <c r="M28" i="1"/>
  <c r="L28" i="1"/>
  <c r="K28" i="1"/>
  <c r="I28" i="1"/>
  <c r="E28" i="1"/>
  <c r="N27" i="1"/>
  <c r="L27" i="1"/>
  <c r="K27" i="1"/>
  <c r="I27" i="1"/>
  <c r="M27" i="1" s="1"/>
  <c r="E27" i="1"/>
  <c r="N26" i="1"/>
  <c r="C11" i="3" s="1"/>
  <c r="M26" i="1"/>
  <c r="L26" i="1"/>
  <c r="K26" i="1"/>
  <c r="I26" i="1"/>
  <c r="E26" i="1"/>
  <c r="H26" i="2" s="1"/>
  <c r="N25" i="1"/>
  <c r="J13" i="3" s="1"/>
  <c r="L25" i="1"/>
  <c r="K25" i="1"/>
  <c r="I25" i="1"/>
  <c r="E25" i="1"/>
  <c r="M25" i="1" s="1"/>
  <c r="E19" i="1"/>
  <c r="E18" i="1"/>
  <c r="E17" i="1"/>
  <c r="E16" i="1"/>
  <c r="E15" i="1"/>
  <c r="E14" i="1"/>
  <c r="E13" i="1"/>
  <c r="E12" i="1"/>
  <c r="E11" i="1"/>
  <c r="J24" i="2" l="1"/>
  <c r="J11" i="3"/>
  <c r="J26" i="2"/>
  <c r="G11" i="3"/>
  <c r="K11" i="3"/>
  <c r="D19" i="2"/>
  <c r="D21" i="2"/>
  <c r="D23" i="2"/>
  <c r="D25" i="2"/>
  <c r="D27" i="2"/>
  <c r="F5" i="3"/>
  <c r="H7" i="3"/>
  <c r="J9" i="3"/>
  <c r="E19" i="2"/>
  <c r="E21" i="2"/>
  <c r="E23" i="2"/>
  <c r="E25" i="2"/>
  <c r="E27" i="2"/>
  <c r="G5" i="3"/>
  <c r="I7" i="3"/>
  <c r="K9" i="3"/>
  <c r="C12" i="3"/>
  <c r="F19" i="2"/>
  <c r="F21" i="2"/>
  <c r="F23" i="2"/>
  <c r="F25" i="2"/>
  <c r="F27" i="2"/>
  <c r="H5" i="3"/>
  <c r="J7" i="3"/>
  <c r="D12" i="3"/>
  <c r="H22" i="2"/>
  <c r="G19" i="2"/>
  <c r="I19" i="2" s="1"/>
  <c r="G21" i="2"/>
  <c r="I21" i="2" s="1"/>
  <c r="G23" i="2"/>
  <c r="I23" i="2" s="1"/>
  <c r="K23" i="2" s="1"/>
  <c r="G25" i="2"/>
  <c r="I25" i="2" s="1"/>
  <c r="K25" i="2" s="1"/>
  <c r="G27" i="2"/>
  <c r="I27" i="2" s="1"/>
  <c r="I5" i="3"/>
  <c r="K7" i="3"/>
  <c r="C10" i="3"/>
  <c r="E12" i="3"/>
  <c r="F20" i="2"/>
  <c r="G24" i="2"/>
  <c r="J20" i="2"/>
  <c r="C7" i="3"/>
  <c r="D5" i="3"/>
  <c r="G7" i="3"/>
  <c r="H19" i="2"/>
  <c r="H21" i="2"/>
  <c r="H23" i="2"/>
  <c r="H25" i="2"/>
  <c r="H27" i="2"/>
  <c r="J5" i="3"/>
  <c r="D10" i="3"/>
  <c r="F12" i="3"/>
  <c r="J22" i="2"/>
  <c r="E9" i="3"/>
  <c r="H9" i="3"/>
  <c r="C25" i="2"/>
  <c r="G12" i="3"/>
  <c r="H20" i="2"/>
  <c r="H24" i="2"/>
  <c r="H12" i="3"/>
  <c r="F7" i="3"/>
  <c r="C23" i="2"/>
  <c r="E5" i="3"/>
  <c r="C8" i="3"/>
  <c r="J19" i="2"/>
  <c r="J21" i="2"/>
  <c r="J27" i="2"/>
  <c r="D8" i="3"/>
  <c r="C6" i="3"/>
  <c r="E8" i="3"/>
  <c r="G10" i="3"/>
  <c r="I12" i="3"/>
  <c r="I9" i="3"/>
  <c r="K5" i="3"/>
  <c r="E10" i="3"/>
  <c r="F10" i="3"/>
  <c r="E6" i="3"/>
  <c r="G8" i="3"/>
  <c r="I10" i="3"/>
  <c r="K12" i="3"/>
  <c r="E24" i="2"/>
  <c r="G22" i="2"/>
  <c r="C20" i="2"/>
  <c r="C24" i="2"/>
  <c r="J10" i="3"/>
  <c r="G20" i="2"/>
  <c r="I20" i="2" s="1"/>
  <c r="C22" i="2"/>
  <c r="C26" i="2"/>
  <c r="F6" i="3"/>
  <c r="H8" i="3"/>
  <c r="G6" i="3"/>
  <c r="I8" i="3"/>
  <c r="K10" i="3"/>
  <c r="C13" i="3"/>
  <c r="E26" i="2"/>
  <c r="H6" i="3"/>
  <c r="J8" i="3"/>
  <c r="D13" i="3"/>
  <c r="F24" i="2"/>
  <c r="F26" i="2"/>
  <c r="I6" i="3"/>
  <c r="K8" i="3"/>
  <c r="E13" i="3"/>
  <c r="G26" i="2"/>
  <c r="I26" i="2" s="1"/>
  <c r="J6" i="3"/>
  <c r="D11" i="3"/>
  <c r="F13" i="3"/>
  <c r="K6" i="3"/>
  <c r="C9" i="3"/>
  <c r="E11" i="3"/>
  <c r="G13" i="3"/>
  <c r="D9" i="3"/>
  <c r="F11" i="3"/>
  <c r="H13" i="3"/>
  <c r="I13" i="3"/>
  <c r="D7" i="3"/>
  <c r="F9" i="3"/>
  <c r="H11" i="3"/>
  <c r="K27" i="2" l="1"/>
  <c r="K21" i="2"/>
  <c r="I22" i="2"/>
  <c r="K22" i="2" s="1"/>
  <c r="K19" i="2"/>
  <c r="K20" i="2"/>
  <c r="K26" i="2"/>
  <c r="I24" i="2"/>
  <c r="K24" i="2"/>
  <c r="J10" i="2" l="1"/>
  <c r="I14" i="2"/>
  <c r="I12" i="2"/>
  <c r="I10" i="2"/>
  <c r="I8" i="2"/>
  <c r="I6" i="2"/>
  <c r="F8" i="2"/>
  <c r="E14" i="2"/>
  <c r="D14" i="2"/>
  <c r="D12" i="2"/>
  <c r="D10" i="2"/>
  <c r="D8" i="2"/>
  <c r="D6" i="2"/>
  <c r="C14" i="2"/>
  <c r="C12" i="2"/>
  <c r="C10" i="2"/>
  <c r="C8" i="2"/>
  <c r="C6" i="2"/>
  <c r="F14" i="2"/>
  <c r="F10" i="2"/>
  <c r="F6" i="2"/>
  <c r="F12" i="2"/>
  <c r="B14" i="2"/>
  <c r="B12" i="2"/>
  <c r="B10" i="2"/>
  <c r="B8" i="2"/>
  <c r="B6" i="2"/>
  <c r="J11" i="2"/>
  <c r="I13" i="2"/>
  <c r="I11" i="2"/>
  <c r="I9" i="2"/>
  <c r="I7" i="2"/>
  <c r="C13" i="2"/>
  <c r="C11" i="2"/>
  <c r="C7" i="2"/>
  <c r="J13" i="2"/>
  <c r="J9" i="2"/>
  <c r="J7" i="2"/>
  <c r="B13" i="2"/>
  <c r="B11" i="2"/>
  <c r="B9" i="2"/>
  <c r="B7" i="2"/>
  <c r="J12" i="2"/>
  <c r="C9" i="2"/>
  <c r="H13" i="2"/>
  <c r="H11" i="2"/>
  <c r="H9" i="2"/>
  <c r="H7" i="2"/>
  <c r="H14" i="2"/>
  <c r="H10" i="2"/>
  <c r="H8" i="2"/>
  <c r="H6" i="2"/>
  <c r="G14" i="2"/>
  <c r="G12" i="2"/>
  <c r="G10" i="2"/>
  <c r="G8" i="2"/>
  <c r="G6" i="2"/>
  <c r="E10" i="2"/>
  <c r="E8" i="2"/>
  <c r="E6" i="2"/>
  <c r="G13" i="2"/>
  <c r="G11" i="2"/>
  <c r="G9" i="2"/>
  <c r="G7" i="2"/>
  <c r="J14" i="2"/>
  <c r="J8" i="2"/>
  <c r="J6" i="2"/>
  <c r="H12" i="2"/>
  <c r="F13" i="2"/>
  <c r="F11" i="2"/>
  <c r="F9" i="2"/>
  <c r="F7" i="2"/>
  <c r="E13" i="2"/>
  <c r="E11" i="2"/>
  <c r="E9" i="2"/>
  <c r="E7" i="2"/>
  <c r="D13" i="2"/>
  <c r="D11" i="2"/>
  <c r="D9" i="2"/>
  <c r="D7" i="2"/>
  <c r="E12" i="2"/>
</calcChain>
</file>

<file path=xl/sharedStrings.xml><?xml version="1.0" encoding="utf-8"?>
<sst xmlns="http://schemas.openxmlformats.org/spreadsheetml/2006/main" count="200" uniqueCount="87">
  <si>
    <t>9 Mannschaften  ·  jede Mannschaft spielt einmal gegen jede andere  ·  36 Begegnungen an 9 Spieltagen</t>
  </si>
  <si>
    <t>TURNIERDATEN</t>
  </si>
  <si>
    <t>Turniername:</t>
  </si>
  <si>
    <t>Vereinsturnier 2026</t>
  </si>
  <si>
    <t>Spielort / Feld:</t>
  </si>
  <si>
    <t>Sportplatz Nord</t>
  </si>
  <si>
    <t>Veranstalter:</t>
  </si>
  <si>
    <t>Musterorganisation e. V.</t>
  </si>
  <si>
    <t>Modus:</t>
  </si>
  <si>
    <t>Jeder gegen jeden (einfache Runde)</t>
  </si>
  <si>
    <t>Turnierleitung:</t>
  </si>
  <si>
    <t>K. Sommer</t>
  </si>
  <si>
    <t>Wertung:</t>
  </si>
  <si>
    <t>Sieg 3 · Unentschieden 1 · Niederlage 0</t>
  </si>
  <si>
    <t>MANNSCHAFTEN  ·  hier die 9 Namen eintragen — sie erscheinen automatisch im Spielplan, in der Tabelle und in der Kreuztabelle</t>
  </si>
  <si>
    <t>Nr.</t>
  </si>
  <si>
    <t>Mannschaft</t>
  </si>
  <si>
    <t>Kürzel</t>
  </si>
  <si>
    <t>Ansprechpartner</t>
  </si>
  <si>
    <t>FC Falkenberg</t>
  </si>
  <si>
    <t>H. Ostermann</t>
  </si>
  <si>
    <t>SV Morgenrot</t>
  </si>
  <si>
    <t>P. Lindqvist</t>
  </si>
  <si>
    <t>TSV Seehafen</t>
  </si>
  <si>
    <t>M. Kellner</t>
  </si>
  <si>
    <t>Blau-Weiß Auental</t>
  </si>
  <si>
    <t>D. Sauer</t>
  </si>
  <si>
    <t>SC Lindenhof</t>
  </si>
  <si>
    <t>T. Reimann</t>
  </si>
  <si>
    <t>FC Sturmvogel</t>
  </si>
  <si>
    <t>F. Vogl</t>
  </si>
  <si>
    <t>SV Eichkamp</t>
  </si>
  <si>
    <t>A. Brenner</t>
  </si>
  <si>
    <t>TSV Rosental</t>
  </si>
  <si>
    <t>J. Wieland</t>
  </si>
  <si>
    <t>SC Wellenbach</t>
  </si>
  <si>
    <t>S. Marek</t>
  </si>
  <si>
    <t>LEGENDE:   ▨ sandfarbene Felder = Eingabe (Namen, Datum, Uhrzeit, Ergebnisse)      ·   weiße Felder mit Formeln nicht überschreiben   ·   Ergebnisse als Zahl je Feld eintragen</t>
  </si>
  <si>
    <t>SPIELPLAN  ·  36 BEGEGNUNGEN</t>
  </si>
  <si>
    <t>Spieltag</t>
  </si>
  <si>
    <t>Datum</t>
  </si>
  <si>
    <t>Uhrzeit</t>
  </si>
  <si>
    <t>Nr A</t>
  </si>
  <si>
    <t>Mannschaft A</t>
  </si>
  <si>
    <t>Erg. A</t>
  </si>
  <si>
    <t>Erg. B</t>
  </si>
  <si>
    <t>Mannschaft B</t>
  </si>
  <si>
    <t>Nr B</t>
  </si>
  <si>
    <t>Pkt A</t>
  </si>
  <si>
    <t>Pkt B</t>
  </si>
  <si>
    <t>Sieger</t>
  </si>
  <si>
    <t>1. Spieltag</t>
  </si>
  <si>
    <t>10:00</t>
  </si>
  <si>
    <t>:</t>
  </si>
  <si>
    <t>11:00</t>
  </si>
  <si>
    <t>12:00</t>
  </si>
  <si>
    <t>13:00</t>
  </si>
  <si>
    <t>2. Spieltag</t>
  </si>
  <si>
    <t>3. Spieltag</t>
  </si>
  <si>
    <t>4. Spieltag</t>
  </si>
  <si>
    <t>5. Spieltag</t>
  </si>
  <si>
    <t>6. Spieltag</t>
  </si>
  <si>
    <t>7. Spieltag</t>
  </si>
  <si>
    <t>8. Spieltag</t>
  </si>
  <si>
    <t>9. Spieltag</t>
  </si>
  <si>
    <t>Formeln: Punkte je Spiel = WENN(Erg. A &gt; Erg. B; 3; WENN(Erg. A = Erg. B; 1; 0)).  Mannschaftsnamen werden über die Nummer automatisch eingesetzt.  Bei 9 Mannschaften ist pro Spieltag genau eine Mannschaft spielfrei (Freilos).</t>
  </si>
  <si>
    <t>TURNIER 2026  ·  TABELLE / ABSCHLUSSTABELLE</t>
  </si>
  <si>
    <t>Automatische Auswertung — sortiert nach Punkten, dann Tordifferenz, dann erzielten Toren. Nichts eintragen; alles rechnet aus dem Spielplan.</t>
  </si>
  <si>
    <t>ABSCHLUSSTABELLE</t>
  </si>
  <si>
    <t>Platz</t>
  </si>
  <si>
    <t>Sp.</t>
  </si>
  <si>
    <t>S</t>
  </si>
  <si>
    <t>U</t>
  </si>
  <si>
    <t>N</t>
  </si>
  <si>
    <t>Tore +</t>
  </si>
  <si>
    <t>Tore −</t>
  </si>
  <si>
    <t>Diff.</t>
  </si>
  <si>
    <t>Punkte</t>
  </si>
  <si>
    <t>DETAILAUSWERTUNG JE MANNSCHAFT  ·  Grundlage der Sortierung (automatisch)</t>
  </si>
  <si>
    <t>Sortierwert</t>
  </si>
  <si>
    <t>Bei Punktgleichheit entscheidet die Tordifferenz, danach die erzielten Tore. Der Sortierwert fasst diese Kriterien zu einer eindeutigen Reihung zusammen.</t>
  </si>
  <si>
    <t>TURNIER 2026  ·  KREUZTABELLE</t>
  </si>
  <si>
    <t>Ergebnis-Matrix aus Sicht der Zeile: „Zeile gegen Spalte“. Werte kommen automatisch aus dem Spielplan.</t>
  </si>
  <si>
    <t>Zeile ▼  gegen  Spalte ▶</t>
  </si>
  <si>
    <t>—</t>
  </si>
  <si>
    <t>Lesehilfe: In der Zelle steht das Ergebnis aus Sicht der Zeilen-Mannschaft (eigene Tore : gegnerische Tore). „–“ = noch nicht gespielt · „—“ = kein Spiel gegen sich selbst.</t>
  </si>
  <si>
    <t>TURNIER VORLAGE  ·  SPIELPLAN  ·  9 JEDER GEGEN JEDEN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</si>
</sst>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.5"/>
      <color rgb="FFFFFFFF"/>
      <name val="Calibri"/>
      <charset val="1"/>
    </font>
    <font>
      <b/>
      <sz val="11"/>
      <color rgb="FF23303B"/>
      <name val="Calibri"/>
      <charset val="1"/>
    </font>
    <font>
      <b/>
      <sz val="10"/>
      <color rgb="FF6C7A89"/>
      <name val="Calibri"/>
      <charset val="1"/>
    </font>
    <font>
      <sz val="10"/>
      <color rgb="FFA85320"/>
      <name val="Calibri"/>
      <charset val="1"/>
    </font>
    <font>
      <sz val="10"/>
      <color rgb="FF1C2833"/>
      <name val="Calibri"/>
      <charset val="1"/>
    </font>
    <font>
      <b/>
      <sz val="10"/>
      <color rgb="FFFFFFFF"/>
      <name val="Calibri"/>
      <charset val="1"/>
    </font>
    <font>
      <b/>
      <sz val="10"/>
      <color rgb="FF23303B"/>
      <name val="Calibri"/>
      <charset val="1"/>
    </font>
    <font>
      <sz val="10"/>
      <color rgb="FF6C7A89"/>
      <name val="Calibri"/>
      <charset val="1"/>
    </font>
    <font>
      <i/>
      <sz val="9"/>
      <color rgb="FF6C7A89"/>
      <name val="Calibri"/>
      <charset val="1"/>
    </font>
    <font>
      <b/>
      <sz val="12"/>
      <color rgb="FF23303B"/>
      <name val="Calibri"/>
      <charset val="1"/>
    </font>
    <font>
      <b/>
      <sz val="9.5"/>
      <color rgb="FFFFFFFF"/>
      <name val="Calibri"/>
      <charset val="1"/>
    </font>
    <font>
      <b/>
      <sz val="9.5"/>
      <color rgb="FF23303B"/>
      <name val="Calibri"/>
      <charset val="1"/>
    </font>
    <font>
      <sz val="9"/>
      <color rgb="FF6C7A89"/>
      <name val="Calibri"/>
      <charset val="1"/>
    </font>
    <font>
      <b/>
      <sz val="10"/>
      <color rgb="FF1C2833"/>
      <name val="Calibri"/>
      <charset val="1"/>
    </font>
    <font>
      <b/>
      <sz val="10.5"/>
      <color rgb="FFA85320"/>
      <name val="Calibri"/>
      <charset val="1"/>
    </font>
    <font>
      <sz val="10"/>
      <color rgb="FF3A4B59"/>
      <name val="Calibri"/>
      <charset val="1"/>
    </font>
    <font>
      <sz val="9.5"/>
      <color rgb="FF1C2833"/>
      <name val="Calibri"/>
      <charset val="1"/>
    </font>
    <font>
      <i/>
      <sz val="9"/>
      <color rgb="FFE4572E"/>
      <name val="Calibri"/>
      <charset val="1"/>
    </font>
    <font>
      <b/>
      <sz val="13"/>
      <color rgb="FF23303B"/>
      <name val="Calibri"/>
      <charset val="1"/>
    </font>
    <font>
      <b/>
      <sz val="11"/>
      <color rgb="FF1C2833"/>
      <name val="Calibri"/>
      <charset val="1"/>
    </font>
    <font>
      <sz val="10.5"/>
      <color rgb="FF1C2833"/>
      <name val="Calibri"/>
      <charset val="1"/>
    </font>
    <font>
      <b/>
      <sz val="9.5"/>
      <color rgb="FFE4572E"/>
      <name val="Calibri"/>
      <charset val="1"/>
    </font>
    <font>
      <b/>
      <sz val="9.5"/>
      <color rgb="FF6C7A89"/>
      <name val="Calibri"/>
      <charset val="1"/>
    </font>
    <font>
      <b/>
      <sz val="10.5"/>
      <color rgb="FF23303B"/>
      <name val="Calibri"/>
      <charset val="1"/>
    </font>
    <font>
      <b/>
      <sz val="9"/>
      <color rgb="FFFFFFFF"/>
      <name val="Calibri"/>
      <charset val="1"/>
    </font>
    <font>
      <b/>
      <sz val="9.5"/>
      <color rgb="FF1C2833"/>
      <name val="Calibri"/>
      <charset val="1"/>
    </font>
    <font>
      <b/>
      <sz val="11"/>
      <color rgb="FF6C7A89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23303B"/>
        <bgColor rgb="FF1C2833"/>
      </patternFill>
    </fill>
    <fill>
      <patternFill patternType="solid">
        <fgColor rgb="FFE4572E"/>
        <bgColor rgb="FFA85320"/>
      </patternFill>
    </fill>
    <fill>
      <patternFill patternType="solid">
        <fgColor rgb="FFFFF4E6"/>
        <bgColor rgb="FFF4F6F8"/>
      </patternFill>
    </fill>
    <fill>
      <patternFill patternType="solid">
        <fgColor rgb="FF3A4B59"/>
        <bgColor rgb="FF23303B"/>
      </patternFill>
    </fill>
    <fill>
      <patternFill patternType="solid">
        <fgColor rgb="FFFBE3D8"/>
        <bgColor rgb="FFFFF4E6"/>
      </patternFill>
    </fill>
    <fill>
      <patternFill patternType="solid">
        <fgColor rgb="FFFFFFFF"/>
        <bgColor rgb="FFF4F6F8"/>
      </patternFill>
    </fill>
    <fill>
      <patternFill patternType="solid">
        <fgColor rgb="FFF4F6F8"/>
        <bgColor rgb="FFFFF4E6"/>
      </patternFill>
    </fill>
    <fill>
      <patternFill patternType="solid">
        <fgColor rgb="FFF1D486"/>
        <bgColor rgb="FFE8C6A0"/>
      </patternFill>
    </fill>
    <fill>
      <patternFill patternType="solid">
        <fgColor rgb="FFDDE1E3"/>
        <bgColor rgb="FFCBD5DC"/>
      </patternFill>
    </fill>
    <fill>
      <patternFill patternType="solid">
        <fgColor rgb="FFE8C6A0"/>
        <bgColor rgb="FFF1D486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4572E"/>
      </bottom>
      <diagonal/>
    </border>
    <border>
      <left style="thin">
        <color rgb="FFE4572E"/>
      </left>
      <right style="thin">
        <color rgb="FFE4572E"/>
      </right>
      <top style="thin">
        <color rgb="FFE4572E"/>
      </top>
      <bottom style="thin">
        <color rgb="FFE4572E"/>
      </bottom>
      <diagonal/>
    </border>
    <border>
      <left style="thin">
        <color rgb="FFCBD5DC"/>
      </left>
      <right style="thin">
        <color rgb="FFCBD5DC"/>
      </right>
      <top style="thin">
        <color rgb="FFCBD5DC"/>
      </top>
      <bottom style="thin">
        <color rgb="FFCBD5D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6" fillId="2" borderId="5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10" fillId="0" borderId="0" xfId="0" applyFont="1" applyAlignment="1">
      <alignment horizontal="left" vertical="center" wrapText="1"/>
    </xf>
    <xf numFmtId="0" fontId="19" fillId="6" borderId="0" xfId="0" applyFont="1" applyFill="1" applyAlignment="1">
      <alignment horizontal="left" vertical="center" indent="1"/>
    </xf>
    <xf numFmtId="0" fontId="11" fillId="0" borderId="1" xfId="0" applyFont="1" applyBorder="1"/>
    <xf numFmtId="0" fontId="10" fillId="0" borderId="0" xfId="0" applyFont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7" fillId="5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left" vertical="center"/>
    </xf>
    <xf numFmtId="0" fontId="22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left" vertical="center"/>
    </xf>
    <xf numFmtId="0" fontId="11" fillId="10" borderId="3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left" vertical="center"/>
    </xf>
    <xf numFmtId="0" fontId="22" fillId="10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left" vertical="center"/>
    </xf>
    <xf numFmtId="0" fontId="11" fillId="11" borderId="3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left" vertical="center"/>
    </xf>
    <xf numFmtId="0" fontId="22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left" vertical="center"/>
    </xf>
    <xf numFmtId="0" fontId="22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left" vertical="center"/>
    </xf>
    <xf numFmtId="0" fontId="28" fillId="10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8C6A0"/>
      <rgbColor rgb="FF6C7A89"/>
      <rgbColor rgb="FF9999FF"/>
      <rgbColor rgb="FF993366"/>
      <rgbColor rgb="FFFFF4E6"/>
      <rgbColor rgb="FFF4F6F8"/>
      <rgbColor rgb="FF660066"/>
      <rgbColor rgb="FFFF8080"/>
      <rgbColor rgb="FF0066CC"/>
      <rgbColor rgb="FFCBD5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1E3"/>
      <rgbColor rgb="FFFBE3D8"/>
      <rgbColor rgb="FF99CCFF"/>
      <rgbColor rgb="FFFF99CC"/>
      <rgbColor rgb="FFCC99FF"/>
      <rgbColor rgb="FFF1D486"/>
      <rgbColor rgb="FF3366FF"/>
      <rgbColor rgb="FF33CCCC"/>
      <rgbColor rgb="FF99CC00"/>
      <rgbColor rgb="FFFFCC00"/>
      <rgbColor rgb="FFFF9900"/>
      <rgbColor rgb="FFE4572E"/>
      <rgbColor rgb="FF666699"/>
      <rgbColor rgb="FF969696"/>
      <rgbColor rgb="FF003366"/>
      <rgbColor rgb="FF339966"/>
      <rgbColor rgb="FF003300"/>
      <rgbColor rgb="FF1C2833"/>
      <rgbColor rgb="FFA85320"/>
      <rgbColor rgb="FF993366"/>
      <rgbColor rgb="FF3A4B59"/>
      <rgbColor rgb="FF2330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303B"/>
    <pageSetUpPr fitToPage="1"/>
  </sheetPr>
  <dimension ref="A1:N71"/>
  <sheetViews>
    <sheetView showGridLines="0" tabSelected="1" zoomScaleNormal="100" workbookViewId="0">
      <selection activeCell="T46" sqref="T46"/>
    </sheetView>
  </sheetViews>
  <sheetFormatPr baseColWidth="10" defaultColWidth="8.7109375" defaultRowHeight="15" x14ac:dyDescent="0.25"/>
  <cols>
    <col min="1" max="1" width="7" customWidth="1"/>
    <col min="2" max="2" width="13" customWidth="1"/>
    <col min="3" max="3" width="10" customWidth="1"/>
    <col min="4" max="4" width="7" customWidth="1"/>
    <col min="5" max="5" width="15.5703125" bestFit="1" customWidth="1"/>
    <col min="6" max="6" width="11" customWidth="1"/>
    <col min="7" max="7" width="1.5703125" bestFit="1" customWidth="1"/>
    <col min="8" max="8" width="11" customWidth="1"/>
    <col min="9" max="9" width="15.5703125" bestFit="1" customWidth="1"/>
    <col min="10" max="10" width="4.42578125" bestFit="1" customWidth="1"/>
    <col min="11" max="11" width="5.140625" bestFit="1" customWidth="1"/>
    <col min="12" max="12" width="5" bestFit="1" customWidth="1"/>
    <col min="13" max="13" width="15" customWidth="1"/>
    <col min="14" max="14" width="3.7109375" bestFit="1" customWidth="1"/>
  </cols>
  <sheetData>
    <row r="1" spans="1:13" ht="39.75" customHeight="1" x14ac:dyDescent="0.25">
      <c r="A1" s="13" t="s">
        <v>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9.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ht="19.5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8" customHeight="1" x14ac:dyDescent="0.25">
      <c r="A5" s="10" t="s">
        <v>2</v>
      </c>
      <c r="B5" s="10"/>
      <c r="C5" s="9" t="s">
        <v>3</v>
      </c>
      <c r="D5" s="9"/>
      <c r="E5" s="9"/>
      <c r="F5" s="10" t="s">
        <v>4</v>
      </c>
      <c r="G5" s="10"/>
      <c r="H5" s="8" t="s">
        <v>5</v>
      </c>
      <c r="I5" s="8"/>
      <c r="J5" s="8"/>
      <c r="K5" s="8"/>
      <c r="L5" s="8"/>
      <c r="M5" s="8"/>
    </row>
    <row r="6" spans="1:13" ht="18" customHeight="1" x14ac:dyDescent="0.25">
      <c r="A6" s="10" t="s">
        <v>6</v>
      </c>
      <c r="B6" s="10"/>
      <c r="C6" s="9" t="s">
        <v>7</v>
      </c>
      <c r="D6" s="9"/>
      <c r="E6" s="9"/>
      <c r="F6" s="10" t="s">
        <v>8</v>
      </c>
      <c r="G6" s="10"/>
      <c r="H6" s="8" t="s">
        <v>9</v>
      </c>
      <c r="I6" s="8"/>
      <c r="J6" s="8"/>
      <c r="K6" s="8"/>
      <c r="L6" s="8"/>
      <c r="M6" s="8"/>
    </row>
    <row r="7" spans="1:13" ht="18" customHeight="1" x14ac:dyDescent="0.25">
      <c r="A7" s="10" t="s">
        <v>10</v>
      </c>
      <c r="B7" s="10"/>
      <c r="C7" s="9" t="s">
        <v>11</v>
      </c>
      <c r="D7" s="9"/>
      <c r="E7" s="9"/>
      <c r="F7" s="10" t="s">
        <v>12</v>
      </c>
      <c r="G7" s="10"/>
      <c r="H7" s="8" t="s">
        <v>13</v>
      </c>
      <c r="I7" s="8"/>
      <c r="J7" s="8"/>
      <c r="K7" s="8"/>
      <c r="L7" s="8"/>
      <c r="M7" s="8"/>
    </row>
    <row r="9" spans="1:13" ht="19.5" customHeight="1" x14ac:dyDescent="0.25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4" t="s">
        <v>15</v>
      </c>
      <c r="B10" s="7" t="s">
        <v>16</v>
      </c>
      <c r="C10" s="7"/>
      <c r="D10" s="7"/>
      <c r="E10" s="14" t="s">
        <v>17</v>
      </c>
      <c r="F10" s="7" t="s">
        <v>18</v>
      </c>
      <c r="G10" s="7"/>
      <c r="H10" s="7"/>
      <c r="I10" s="7"/>
    </row>
    <row r="11" spans="1:13" ht="18" customHeight="1" x14ac:dyDescent="0.25">
      <c r="A11" s="15">
        <v>1</v>
      </c>
      <c r="B11" s="9" t="s">
        <v>19</v>
      </c>
      <c r="C11" s="9"/>
      <c r="D11" s="9"/>
      <c r="E11" s="16" t="str">
        <f t="shared" ref="E11:E19" si="0">IF(B11="","",UPPER(LEFT(TRIM(MID(B11&amp;" ",FIND(" ",B11&amp;" ")+1,99))&amp;LEFT(B11,1),3)))</f>
        <v>FAL</v>
      </c>
      <c r="F11" s="9" t="s">
        <v>20</v>
      </c>
      <c r="G11" s="9"/>
      <c r="H11" s="9"/>
      <c r="I11" s="9"/>
    </row>
    <row r="12" spans="1:13" ht="18" customHeight="1" x14ac:dyDescent="0.25">
      <c r="A12" s="15">
        <v>2</v>
      </c>
      <c r="B12" s="9" t="s">
        <v>21</v>
      </c>
      <c r="C12" s="9"/>
      <c r="D12" s="9"/>
      <c r="E12" s="16" t="str">
        <f t="shared" si="0"/>
        <v>MOR</v>
      </c>
      <c r="F12" s="9" t="s">
        <v>22</v>
      </c>
      <c r="G12" s="9"/>
      <c r="H12" s="9"/>
      <c r="I12" s="9"/>
    </row>
    <row r="13" spans="1:13" ht="18" customHeight="1" x14ac:dyDescent="0.25">
      <c r="A13" s="15">
        <v>3</v>
      </c>
      <c r="B13" s="9" t="s">
        <v>23</v>
      </c>
      <c r="C13" s="9"/>
      <c r="D13" s="9"/>
      <c r="E13" s="16" t="str">
        <f t="shared" si="0"/>
        <v>SEE</v>
      </c>
      <c r="F13" s="9" t="s">
        <v>24</v>
      </c>
      <c r="G13" s="9"/>
      <c r="H13" s="9"/>
      <c r="I13" s="9"/>
    </row>
    <row r="14" spans="1:13" ht="18" customHeight="1" x14ac:dyDescent="0.25">
      <c r="A14" s="15">
        <v>4</v>
      </c>
      <c r="B14" s="9" t="s">
        <v>25</v>
      </c>
      <c r="C14" s="9"/>
      <c r="D14" s="9"/>
      <c r="E14" s="16" t="str">
        <f t="shared" si="0"/>
        <v>AUE</v>
      </c>
      <c r="F14" s="9" t="s">
        <v>26</v>
      </c>
      <c r="G14" s="9"/>
      <c r="H14" s="9"/>
      <c r="I14" s="9"/>
    </row>
    <row r="15" spans="1:13" ht="18" customHeight="1" x14ac:dyDescent="0.25">
      <c r="A15" s="15">
        <v>5</v>
      </c>
      <c r="B15" s="9" t="s">
        <v>27</v>
      </c>
      <c r="C15" s="9"/>
      <c r="D15" s="9"/>
      <c r="E15" s="16" t="str">
        <f t="shared" si="0"/>
        <v>LIN</v>
      </c>
      <c r="F15" s="9" t="s">
        <v>28</v>
      </c>
      <c r="G15" s="9"/>
      <c r="H15" s="9"/>
      <c r="I15" s="9"/>
    </row>
    <row r="16" spans="1:13" ht="18" customHeight="1" x14ac:dyDescent="0.25">
      <c r="A16" s="15">
        <v>6</v>
      </c>
      <c r="B16" s="9" t="s">
        <v>29</v>
      </c>
      <c r="C16" s="9"/>
      <c r="D16" s="9"/>
      <c r="E16" s="16" t="str">
        <f t="shared" si="0"/>
        <v>STU</v>
      </c>
      <c r="F16" s="9" t="s">
        <v>30</v>
      </c>
      <c r="G16" s="9"/>
      <c r="H16" s="9"/>
      <c r="I16" s="9"/>
    </row>
    <row r="17" spans="1:14" ht="18" customHeight="1" x14ac:dyDescent="0.25">
      <c r="A17" s="15">
        <v>7</v>
      </c>
      <c r="B17" s="9" t="s">
        <v>31</v>
      </c>
      <c r="C17" s="9"/>
      <c r="D17" s="9"/>
      <c r="E17" s="16" t="str">
        <f t="shared" si="0"/>
        <v>EIC</v>
      </c>
      <c r="F17" s="9" t="s">
        <v>32</v>
      </c>
      <c r="G17" s="9"/>
      <c r="H17" s="9"/>
      <c r="I17" s="9"/>
    </row>
    <row r="18" spans="1:14" ht="18" customHeight="1" x14ac:dyDescent="0.25">
      <c r="A18" s="15">
        <v>8</v>
      </c>
      <c r="B18" s="9" t="s">
        <v>33</v>
      </c>
      <c r="C18" s="9"/>
      <c r="D18" s="9"/>
      <c r="E18" s="16" t="str">
        <f t="shared" si="0"/>
        <v>ROS</v>
      </c>
      <c r="F18" s="9" t="s">
        <v>34</v>
      </c>
      <c r="G18" s="9"/>
      <c r="H18" s="9"/>
      <c r="I18" s="9"/>
    </row>
    <row r="19" spans="1:14" ht="18" customHeight="1" x14ac:dyDescent="0.25">
      <c r="A19" s="15">
        <v>9</v>
      </c>
      <c r="B19" s="9" t="s">
        <v>35</v>
      </c>
      <c r="C19" s="9"/>
      <c r="D19" s="9"/>
      <c r="E19" s="16" t="str">
        <f t="shared" si="0"/>
        <v>WEL</v>
      </c>
      <c r="F19" s="9" t="s">
        <v>36</v>
      </c>
      <c r="G19" s="9"/>
      <c r="H19" s="9"/>
      <c r="I19" s="9"/>
    </row>
    <row r="21" spans="1:14" ht="15.75" customHeight="1" x14ac:dyDescent="0.25">
      <c r="A21" s="6" t="s">
        <v>37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3" spans="1:14" ht="21.75" customHeight="1" x14ac:dyDescent="0.25">
      <c r="A23" s="5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4" ht="25.5" customHeight="1" x14ac:dyDescent="0.25">
      <c r="A24" s="17" t="s">
        <v>39</v>
      </c>
      <c r="B24" s="17" t="s">
        <v>40</v>
      </c>
      <c r="C24" s="17" t="s">
        <v>41</v>
      </c>
      <c r="D24" s="17" t="s">
        <v>42</v>
      </c>
      <c r="E24" s="17" t="s">
        <v>43</v>
      </c>
      <c r="F24" s="17" t="s">
        <v>44</v>
      </c>
      <c r="G24" s="17"/>
      <c r="H24" s="17" t="s">
        <v>45</v>
      </c>
      <c r="I24" s="17" t="s">
        <v>46</v>
      </c>
      <c r="J24" s="17" t="s">
        <v>47</v>
      </c>
      <c r="K24" s="17" t="s">
        <v>48</v>
      </c>
      <c r="L24" s="17" t="s">
        <v>49</v>
      </c>
      <c r="M24" s="17" t="s">
        <v>50</v>
      </c>
    </row>
    <row r="25" spans="1:14" ht="18.75" customHeight="1" x14ac:dyDescent="0.25">
      <c r="A25" s="18" t="s">
        <v>51</v>
      </c>
      <c r="B25" s="19">
        <v>46088</v>
      </c>
      <c r="C25" s="20" t="s">
        <v>52</v>
      </c>
      <c r="D25" s="21">
        <v>2</v>
      </c>
      <c r="E25" s="22" t="str">
        <f>IFERROR(INDEX(Spielplan!$B$11:$B$19,D25),"")</f>
        <v>SV Morgenrot</v>
      </c>
      <c r="F25" s="23">
        <v>2</v>
      </c>
      <c r="G25" s="24" t="s">
        <v>53</v>
      </c>
      <c r="H25" s="23">
        <v>1</v>
      </c>
      <c r="I25" s="25" t="str">
        <f>IFERROR(INDEX(Spielplan!$B$11:$B$19,J25),"")</f>
        <v>SC Wellenbach</v>
      </c>
      <c r="J25" s="21">
        <v>9</v>
      </c>
      <c r="K25" s="26">
        <f>IF(AND(F25&lt;&gt;"",H25&lt;&gt;""),IF(F25&gt;H25,3,IF(F25=H25,1,0)),"")</f>
        <v>3</v>
      </c>
      <c r="L25" s="26">
        <f>IF(AND(F25&lt;&gt;"",H25&lt;&gt;""),IF(H25&gt;F25,3,IF(H25=F25,1,0)),"")</f>
        <v>0</v>
      </c>
      <c r="M25" s="27" t="str">
        <f>IF(AND(F25&lt;&gt;"",H25&lt;&gt;""),IF(F25=H25,"Unentschieden",IF(F25&gt;H25,E25,I25)),"—")</f>
        <v>SV Morgenrot</v>
      </c>
      <c r="N25" t="str">
        <f>D25&amp;"-"&amp;J25</f>
        <v>2-9</v>
      </c>
    </row>
    <row r="26" spans="1:14" ht="18.75" customHeight="1" x14ac:dyDescent="0.25">
      <c r="A26" s="28" t="s">
        <v>51</v>
      </c>
      <c r="B26" s="29">
        <v>46088</v>
      </c>
      <c r="C26" s="30" t="s">
        <v>54</v>
      </c>
      <c r="D26" s="31">
        <v>3</v>
      </c>
      <c r="E26" s="32" t="str">
        <f>IFERROR(INDEX(Spielplan!$B$11:$B$19,D26),"")</f>
        <v>TSV Seehafen</v>
      </c>
      <c r="F26" s="23">
        <v>1</v>
      </c>
      <c r="G26" s="33" t="s">
        <v>53</v>
      </c>
      <c r="H26" s="23">
        <v>1</v>
      </c>
      <c r="I26" s="34" t="str">
        <f>IFERROR(INDEX(Spielplan!$B$11:$B$19,J26),"")</f>
        <v>TSV Rosental</v>
      </c>
      <c r="J26" s="31">
        <v>8</v>
      </c>
      <c r="K26" s="35">
        <f>IF(AND(F26&lt;&gt;"",H26&lt;&gt;""),IF(F26&gt;H26,3,IF(F26=H26,1,0)),"")</f>
        <v>1</v>
      </c>
      <c r="L26" s="35">
        <f>IF(AND(F26&lt;&gt;"",H26&lt;&gt;""),IF(H26&gt;F26,3,IF(H26=F26,1,0)),"")</f>
        <v>1</v>
      </c>
      <c r="M26" s="36" t="str">
        <f>IF(AND(F26&lt;&gt;"",H26&lt;&gt;""),IF(F26=H26,"Unentschieden",IF(F26&gt;H26,E26,I26)),"—")</f>
        <v>Unentschieden</v>
      </c>
      <c r="N26" t="str">
        <f>D26&amp;"-"&amp;J26</f>
        <v>3-8</v>
      </c>
    </row>
    <row r="27" spans="1:14" ht="18.75" customHeight="1" x14ac:dyDescent="0.25">
      <c r="A27" s="18" t="s">
        <v>51</v>
      </c>
      <c r="B27" s="19">
        <v>46088</v>
      </c>
      <c r="C27" s="20" t="s">
        <v>55</v>
      </c>
      <c r="D27" s="21">
        <v>4</v>
      </c>
      <c r="E27" s="22" t="str">
        <f>IFERROR(INDEX(Spielplan!$B$11:$B$19,D27),"")</f>
        <v>Blau-Weiß Auental</v>
      </c>
      <c r="F27" s="23">
        <v>0</v>
      </c>
      <c r="G27" s="24" t="s">
        <v>53</v>
      </c>
      <c r="H27" s="23">
        <v>2</v>
      </c>
      <c r="I27" s="25" t="str">
        <f>IFERROR(INDEX(Spielplan!$B$11:$B$19,J27),"")</f>
        <v>SV Eichkamp</v>
      </c>
      <c r="J27" s="21">
        <v>7</v>
      </c>
      <c r="K27" s="26">
        <f>IF(AND(F27&lt;&gt;"",H27&lt;&gt;""),IF(F27&gt;H27,3,IF(F27=H27,1,0)),"")</f>
        <v>0</v>
      </c>
      <c r="L27" s="26">
        <f>IF(AND(F27&lt;&gt;"",H27&lt;&gt;""),IF(H27&gt;F27,3,IF(H27=F27,1,0)),"")</f>
        <v>3</v>
      </c>
      <c r="M27" s="27" t="str">
        <f>IF(AND(F27&lt;&gt;"",H27&lt;&gt;""),IF(F27=H27,"Unentschieden",IF(F27&gt;H27,E27,I27)),"—")</f>
        <v>SV Eichkamp</v>
      </c>
      <c r="N27" t="str">
        <f>D27&amp;"-"&amp;J27</f>
        <v>4-7</v>
      </c>
    </row>
    <row r="28" spans="1:14" ht="18.75" customHeight="1" x14ac:dyDescent="0.25">
      <c r="A28" s="28" t="s">
        <v>51</v>
      </c>
      <c r="B28" s="29">
        <v>46088</v>
      </c>
      <c r="C28" s="30" t="s">
        <v>56</v>
      </c>
      <c r="D28" s="31">
        <v>5</v>
      </c>
      <c r="E28" s="32" t="str">
        <f>IFERROR(INDEX(Spielplan!$B$11:$B$19,D28),"")</f>
        <v>SC Lindenhof</v>
      </c>
      <c r="F28" s="23">
        <v>3</v>
      </c>
      <c r="G28" s="33" t="s">
        <v>53</v>
      </c>
      <c r="H28" s="23">
        <v>1</v>
      </c>
      <c r="I28" s="34" t="str">
        <f>IFERROR(INDEX(Spielplan!$B$11:$B$19,J28),"")</f>
        <v>FC Sturmvogel</v>
      </c>
      <c r="J28" s="31">
        <v>6</v>
      </c>
      <c r="K28" s="35">
        <f>IF(AND(F28&lt;&gt;"",H28&lt;&gt;""),IF(F28&gt;H28,3,IF(F28=H28,1,0)),"")</f>
        <v>3</v>
      </c>
      <c r="L28" s="35">
        <f>IF(AND(F28&lt;&gt;"",H28&lt;&gt;""),IF(H28&gt;F28,3,IF(H28=F28,1,0)),"")</f>
        <v>0</v>
      </c>
      <c r="M28" s="36" t="str">
        <f>IF(AND(F28&lt;&gt;"",H28&lt;&gt;""),IF(F28=H28,"Unentschieden",IF(F28&gt;H28,E28,I28)),"—")</f>
        <v>SC Lindenhof</v>
      </c>
      <c r="N28" t="str">
        <f>D28&amp;"-"&amp;J28</f>
        <v>5-6</v>
      </c>
    </row>
    <row r="29" spans="1:14" x14ac:dyDescent="0.25">
      <c r="A29" s="4" t="str">
        <f>IF(INDEX(Spielplan!$B$11:$B$19,1)="","","1. Spieltag — spielfrei (Freilos): "&amp;INDEX(Spielplan!$B$11:$B$19,1))</f>
        <v>1. Spieltag — spielfrei (Freilos): FC Falkenberg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4" ht="18.75" customHeight="1" x14ac:dyDescent="0.25">
      <c r="A30" s="18" t="s">
        <v>57</v>
      </c>
      <c r="B30" s="19">
        <v>46095</v>
      </c>
      <c r="C30" s="20" t="s">
        <v>52</v>
      </c>
      <c r="D30" s="21">
        <v>1</v>
      </c>
      <c r="E30" s="22" t="str">
        <f>IFERROR(INDEX(Spielplan!$B$11:$B$19,D30),"")</f>
        <v>FC Falkenberg</v>
      </c>
      <c r="F30" s="23">
        <v>2</v>
      </c>
      <c r="G30" s="24" t="s">
        <v>53</v>
      </c>
      <c r="H30" s="23">
        <v>0</v>
      </c>
      <c r="I30" s="25" t="str">
        <f>IFERROR(INDEX(Spielplan!$B$11:$B$19,J30),"")</f>
        <v>SC Wellenbach</v>
      </c>
      <c r="J30" s="21">
        <v>9</v>
      </c>
      <c r="K30" s="26">
        <f>IF(AND(F30&lt;&gt;"",H30&lt;&gt;""),IF(F30&gt;H30,3,IF(F30=H30,1,0)),"")</f>
        <v>3</v>
      </c>
      <c r="L30" s="26">
        <f>IF(AND(F30&lt;&gt;"",H30&lt;&gt;""),IF(H30&gt;F30,3,IF(H30=F30,1,0)),"")</f>
        <v>0</v>
      </c>
      <c r="M30" s="27" t="str">
        <f>IF(AND(F30&lt;&gt;"",H30&lt;&gt;""),IF(F30=H30,"Unentschieden",IF(F30&gt;H30,E30,I30)),"—")</f>
        <v>FC Falkenberg</v>
      </c>
      <c r="N30" t="str">
        <f>D30&amp;"-"&amp;J30</f>
        <v>1-9</v>
      </c>
    </row>
    <row r="31" spans="1:14" ht="18.75" customHeight="1" x14ac:dyDescent="0.25">
      <c r="A31" s="28" t="s">
        <v>57</v>
      </c>
      <c r="B31" s="29">
        <v>46095</v>
      </c>
      <c r="C31" s="30" t="s">
        <v>54</v>
      </c>
      <c r="D31" s="31">
        <v>2</v>
      </c>
      <c r="E31" s="32" t="str">
        <f>IFERROR(INDEX(Spielplan!$B$11:$B$19,D31),"")</f>
        <v>SV Morgenrot</v>
      </c>
      <c r="F31" s="23">
        <v>1</v>
      </c>
      <c r="G31" s="33" t="s">
        <v>53</v>
      </c>
      <c r="H31" s="23">
        <v>1</v>
      </c>
      <c r="I31" s="34" t="str">
        <f>IFERROR(INDEX(Spielplan!$B$11:$B$19,J31),"")</f>
        <v>SV Eichkamp</v>
      </c>
      <c r="J31" s="31">
        <v>7</v>
      </c>
      <c r="K31" s="35">
        <f>IF(AND(F31&lt;&gt;"",H31&lt;&gt;""),IF(F31&gt;H31,3,IF(F31=H31,1,0)),"")</f>
        <v>1</v>
      </c>
      <c r="L31" s="35">
        <f>IF(AND(F31&lt;&gt;"",H31&lt;&gt;""),IF(H31&gt;F31,3,IF(H31=F31,1,0)),"")</f>
        <v>1</v>
      </c>
      <c r="M31" s="36" t="str">
        <f>IF(AND(F31&lt;&gt;"",H31&lt;&gt;""),IF(F31=H31,"Unentschieden",IF(F31&gt;H31,E31,I31)),"—")</f>
        <v>Unentschieden</v>
      </c>
      <c r="N31" t="str">
        <f>D31&amp;"-"&amp;J31</f>
        <v>2-7</v>
      </c>
    </row>
    <row r="32" spans="1:14" ht="18.75" customHeight="1" x14ac:dyDescent="0.25">
      <c r="A32" s="18" t="s">
        <v>57</v>
      </c>
      <c r="B32" s="19">
        <v>46095</v>
      </c>
      <c r="C32" s="20" t="s">
        <v>55</v>
      </c>
      <c r="D32" s="21">
        <v>3</v>
      </c>
      <c r="E32" s="22" t="str">
        <f>IFERROR(INDEX(Spielplan!$B$11:$B$19,D32),"")</f>
        <v>TSV Seehafen</v>
      </c>
      <c r="F32" s="23">
        <v>2</v>
      </c>
      <c r="G32" s="24" t="s">
        <v>53</v>
      </c>
      <c r="H32" s="23">
        <v>3</v>
      </c>
      <c r="I32" s="25" t="str">
        <f>IFERROR(INDEX(Spielplan!$B$11:$B$19,J32),"")</f>
        <v>FC Sturmvogel</v>
      </c>
      <c r="J32" s="21">
        <v>6</v>
      </c>
      <c r="K32" s="26">
        <f>IF(AND(F32&lt;&gt;"",H32&lt;&gt;""),IF(F32&gt;H32,3,IF(F32=H32,1,0)),"")</f>
        <v>0</v>
      </c>
      <c r="L32" s="26">
        <f>IF(AND(F32&lt;&gt;"",H32&lt;&gt;""),IF(H32&gt;F32,3,IF(H32=F32,1,0)),"")</f>
        <v>3</v>
      </c>
      <c r="M32" s="27" t="str">
        <f>IF(AND(F32&lt;&gt;"",H32&lt;&gt;""),IF(F32=H32,"Unentschieden",IF(F32&gt;H32,E32,I32)),"—")</f>
        <v>FC Sturmvogel</v>
      </c>
      <c r="N32" t="str">
        <f>D32&amp;"-"&amp;J32</f>
        <v>3-6</v>
      </c>
    </row>
    <row r="33" spans="1:14" ht="18.75" customHeight="1" x14ac:dyDescent="0.25">
      <c r="A33" s="28" t="s">
        <v>57</v>
      </c>
      <c r="B33" s="29">
        <v>46095</v>
      </c>
      <c r="C33" s="30" t="s">
        <v>56</v>
      </c>
      <c r="D33" s="31">
        <v>4</v>
      </c>
      <c r="E33" s="32" t="str">
        <f>IFERROR(INDEX(Spielplan!$B$11:$B$19,D33),"")</f>
        <v>Blau-Weiß Auental</v>
      </c>
      <c r="F33" s="23">
        <v>1</v>
      </c>
      <c r="G33" s="33" t="s">
        <v>53</v>
      </c>
      <c r="H33" s="23">
        <v>0</v>
      </c>
      <c r="I33" s="34" t="str">
        <f>IFERROR(INDEX(Spielplan!$B$11:$B$19,J33),"")</f>
        <v>SC Lindenhof</v>
      </c>
      <c r="J33" s="31">
        <v>5</v>
      </c>
      <c r="K33" s="35">
        <f>IF(AND(F33&lt;&gt;"",H33&lt;&gt;""),IF(F33&gt;H33,3,IF(F33=H33,1,0)),"")</f>
        <v>3</v>
      </c>
      <c r="L33" s="35">
        <f>IF(AND(F33&lt;&gt;"",H33&lt;&gt;""),IF(H33&gt;F33,3,IF(H33=F33,1,0)),"")</f>
        <v>0</v>
      </c>
      <c r="M33" s="36" t="str">
        <f>IF(AND(F33&lt;&gt;"",H33&lt;&gt;""),IF(F33=H33,"Unentschieden",IF(F33&gt;H33,E33,I33)),"—")</f>
        <v>Blau-Weiß Auental</v>
      </c>
      <c r="N33" t="str">
        <f>D33&amp;"-"&amp;J33</f>
        <v>4-5</v>
      </c>
    </row>
    <row r="34" spans="1:14" x14ac:dyDescent="0.25">
      <c r="A34" s="4" t="str">
        <f>IF(INDEX(Spielplan!$B$11:$B$19,8)="","","2. Spieltag — spielfrei (Freilos): "&amp;INDEX(Spielplan!$B$11:$B$19,8))</f>
        <v>2. Spieltag — spielfrei (Freilos): TSV Rosental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4" ht="18.75" customHeight="1" x14ac:dyDescent="0.25">
      <c r="A35" s="18" t="s">
        <v>58</v>
      </c>
      <c r="B35" s="19">
        <v>46102</v>
      </c>
      <c r="C35" s="20" t="s">
        <v>52</v>
      </c>
      <c r="D35" s="21">
        <v>1</v>
      </c>
      <c r="E35" s="22" t="str">
        <f>IFERROR(INDEX(Spielplan!$B$11:$B$19,D35),"")</f>
        <v>FC Falkenberg</v>
      </c>
      <c r="F35" s="23">
        <v>3</v>
      </c>
      <c r="G35" s="24" t="s">
        <v>53</v>
      </c>
      <c r="H35" s="23">
        <v>2</v>
      </c>
      <c r="I35" s="25" t="str">
        <f>IFERROR(INDEX(Spielplan!$B$11:$B$19,J35),"")</f>
        <v>TSV Rosental</v>
      </c>
      <c r="J35" s="21">
        <v>8</v>
      </c>
      <c r="K35" s="26">
        <f>IF(AND(F35&lt;&gt;"",H35&lt;&gt;""),IF(F35&gt;H35,3,IF(F35=H35,1,0)),"")</f>
        <v>3</v>
      </c>
      <c r="L35" s="26">
        <f>IF(AND(F35&lt;&gt;"",H35&lt;&gt;""),IF(H35&gt;F35,3,IF(H35=F35,1,0)),"")</f>
        <v>0</v>
      </c>
      <c r="M35" s="27" t="str">
        <f>IF(AND(F35&lt;&gt;"",H35&lt;&gt;""),IF(F35=H35,"Unentschieden",IF(F35&gt;H35,E35,I35)),"—")</f>
        <v>FC Falkenberg</v>
      </c>
      <c r="N35" t="str">
        <f>D35&amp;"-"&amp;J35</f>
        <v>1-8</v>
      </c>
    </row>
    <row r="36" spans="1:14" ht="18.75" customHeight="1" x14ac:dyDescent="0.25">
      <c r="A36" s="28" t="s">
        <v>58</v>
      </c>
      <c r="B36" s="29">
        <v>46102</v>
      </c>
      <c r="C36" s="30" t="s">
        <v>54</v>
      </c>
      <c r="D36" s="31">
        <v>9</v>
      </c>
      <c r="E36" s="32" t="str">
        <f>IFERROR(INDEX(Spielplan!$B$11:$B$19,D36),"")</f>
        <v>SC Wellenbach</v>
      </c>
      <c r="F36" s="23">
        <v>0</v>
      </c>
      <c r="G36" s="33" t="s">
        <v>53</v>
      </c>
      <c r="H36" s="23">
        <v>0</v>
      </c>
      <c r="I36" s="34" t="str">
        <f>IFERROR(INDEX(Spielplan!$B$11:$B$19,J36),"")</f>
        <v>SV Eichkamp</v>
      </c>
      <c r="J36" s="31">
        <v>7</v>
      </c>
      <c r="K36" s="35">
        <f>IF(AND(F36&lt;&gt;"",H36&lt;&gt;""),IF(F36&gt;H36,3,IF(F36=H36,1,0)),"")</f>
        <v>1</v>
      </c>
      <c r="L36" s="35">
        <f>IF(AND(F36&lt;&gt;"",H36&lt;&gt;""),IF(H36&gt;F36,3,IF(H36=F36,1,0)),"")</f>
        <v>1</v>
      </c>
      <c r="M36" s="36" t="str">
        <f>IF(AND(F36&lt;&gt;"",H36&lt;&gt;""),IF(F36=H36,"Unentschieden",IF(F36&gt;H36,E36,I36)),"—")</f>
        <v>Unentschieden</v>
      </c>
      <c r="N36" t="str">
        <f>D36&amp;"-"&amp;J36</f>
        <v>9-7</v>
      </c>
    </row>
    <row r="37" spans="1:14" ht="18.75" customHeight="1" x14ac:dyDescent="0.25">
      <c r="A37" s="18" t="s">
        <v>58</v>
      </c>
      <c r="B37" s="19">
        <v>46102</v>
      </c>
      <c r="C37" s="20" t="s">
        <v>55</v>
      </c>
      <c r="D37" s="21">
        <v>2</v>
      </c>
      <c r="E37" s="22" t="str">
        <f>IFERROR(INDEX(Spielplan!$B$11:$B$19,D37),"")</f>
        <v>SV Morgenrot</v>
      </c>
      <c r="F37" s="23">
        <v>2</v>
      </c>
      <c r="G37" s="24" t="s">
        <v>53</v>
      </c>
      <c r="H37" s="23">
        <v>2</v>
      </c>
      <c r="I37" s="25" t="str">
        <f>IFERROR(INDEX(Spielplan!$B$11:$B$19,J37),"")</f>
        <v>SC Lindenhof</v>
      </c>
      <c r="J37" s="21">
        <v>5</v>
      </c>
      <c r="K37" s="26">
        <f>IF(AND(F37&lt;&gt;"",H37&lt;&gt;""),IF(F37&gt;H37,3,IF(F37=H37,1,0)),"")</f>
        <v>1</v>
      </c>
      <c r="L37" s="26">
        <f>IF(AND(F37&lt;&gt;"",H37&lt;&gt;""),IF(H37&gt;F37,3,IF(H37=F37,1,0)),"")</f>
        <v>1</v>
      </c>
      <c r="M37" s="27" t="str">
        <f>IF(AND(F37&lt;&gt;"",H37&lt;&gt;""),IF(F37=H37,"Unentschieden",IF(F37&gt;H37,E37,I37)),"—")</f>
        <v>Unentschieden</v>
      </c>
      <c r="N37" t="str">
        <f>D37&amp;"-"&amp;J37</f>
        <v>2-5</v>
      </c>
    </row>
    <row r="38" spans="1:14" ht="18.75" customHeight="1" x14ac:dyDescent="0.25">
      <c r="A38" s="28" t="s">
        <v>58</v>
      </c>
      <c r="B38" s="29">
        <v>46102</v>
      </c>
      <c r="C38" s="30" t="s">
        <v>56</v>
      </c>
      <c r="D38" s="31">
        <v>3</v>
      </c>
      <c r="E38" s="32" t="str">
        <f>IFERROR(INDEX(Spielplan!$B$11:$B$19,D38),"")</f>
        <v>TSV Seehafen</v>
      </c>
      <c r="F38" s="23">
        <v>1</v>
      </c>
      <c r="G38" s="33" t="s">
        <v>53</v>
      </c>
      <c r="H38" s="23">
        <v>2</v>
      </c>
      <c r="I38" s="34" t="str">
        <f>IFERROR(INDEX(Spielplan!$B$11:$B$19,J38),"")</f>
        <v>Blau-Weiß Auental</v>
      </c>
      <c r="J38" s="31">
        <v>4</v>
      </c>
      <c r="K38" s="35">
        <f>IF(AND(F38&lt;&gt;"",H38&lt;&gt;""),IF(F38&gt;H38,3,IF(F38=H38,1,0)),"")</f>
        <v>0</v>
      </c>
      <c r="L38" s="35">
        <f>IF(AND(F38&lt;&gt;"",H38&lt;&gt;""),IF(H38&gt;F38,3,IF(H38=F38,1,0)),"")</f>
        <v>3</v>
      </c>
      <c r="M38" s="36" t="str">
        <f>IF(AND(F38&lt;&gt;"",H38&lt;&gt;""),IF(F38=H38,"Unentschieden",IF(F38&gt;H38,E38,I38)),"—")</f>
        <v>Blau-Weiß Auental</v>
      </c>
      <c r="N38" t="str">
        <f>D38&amp;"-"&amp;J38</f>
        <v>3-4</v>
      </c>
    </row>
    <row r="39" spans="1:14" x14ac:dyDescent="0.25">
      <c r="A39" s="4" t="str">
        <f>IF(INDEX(Spielplan!$B$11:$B$19,6)="","","3. Spieltag — spielfrei (Freilos): "&amp;INDEX(Spielplan!$B$11:$B$19,6))</f>
        <v>3. Spieltag — spielfrei (Freilos): FC Sturmvogel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4" ht="18.75" customHeight="1" x14ac:dyDescent="0.25">
      <c r="A40" s="18" t="s">
        <v>59</v>
      </c>
      <c r="B40" s="19">
        <v>46109</v>
      </c>
      <c r="C40" s="20" t="s">
        <v>52</v>
      </c>
      <c r="D40" s="21">
        <v>1</v>
      </c>
      <c r="E40" s="22" t="str">
        <f>IFERROR(INDEX(Spielplan!$B$11:$B$19,D40),"")</f>
        <v>FC Falkenberg</v>
      </c>
      <c r="F40" s="23">
        <v>1</v>
      </c>
      <c r="G40" s="24" t="s">
        <v>53</v>
      </c>
      <c r="H40" s="23">
        <v>0</v>
      </c>
      <c r="I40" s="25" t="str">
        <f>IFERROR(INDEX(Spielplan!$B$11:$B$19,J40),"")</f>
        <v>SV Eichkamp</v>
      </c>
      <c r="J40" s="21">
        <v>7</v>
      </c>
      <c r="K40" s="26">
        <f>IF(AND(F40&lt;&gt;"",H40&lt;&gt;""),IF(F40&gt;H40,3,IF(F40=H40,1,0)),"")</f>
        <v>3</v>
      </c>
      <c r="L40" s="26">
        <f>IF(AND(F40&lt;&gt;"",H40&lt;&gt;""),IF(H40&gt;F40,3,IF(H40=F40,1,0)),"")</f>
        <v>0</v>
      </c>
      <c r="M40" s="27" t="str">
        <f>IF(AND(F40&lt;&gt;"",H40&lt;&gt;""),IF(F40=H40,"Unentschieden",IF(F40&gt;H40,E40,I40)),"—")</f>
        <v>FC Falkenberg</v>
      </c>
      <c r="N40" t="str">
        <f>D40&amp;"-"&amp;J40</f>
        <v>1-7</v>
      </c>
    </row>
    <row r="41" spans="1:14" ht="18.75" customHeight="1" x14ac:dyDescent="0.25">
      <c r="A41" s="28" t="s">
        <v>59</v>
      </c>
      <c r="B41" s="29">
        <v>46109</v>
      </c>
      <c r="C41" s="30" t="s">
        <v>54</v>
      </c>
      <c r="D41" s="31">
        <v>8</v>
      </c>
      <c r="E41" s="32" t="str">
        <f>IFERROR(INDEX(Spielplan!$B$11:$B$19,D41),"")</f>
        <v>TSV Rosental</v>
      </c>
      <c r="F41" s="23">
        <v>2</v>
      </c>
      <c r="G41" s="33" t="s">
        <v>53</v>
      </c>
      <c r="H41" s="23">
        <v>1</v>
      </c>
      <c r="I41" s="34" t="str">
        <f>IFERROR(INDEX(Spielplan!$B$11:$B$19,J41),"")</f>
        <v>FC Sturmvogel</v>
      </c>
      <c r="J41" s="31">
        <v>6</v>
      </c>
      <c r="K41" s="35">
        <f>IF(AND(F41&lt;&gt;"",H41&lt;&gt;""),IF(F41&gt;H41,3,IF(F41=H41,1,0)),"")</f>
        <v>3</v>
      </c>
      <c r="L41" s="35">
        <f>IF(AND(F41&lt;&gt;"",H41&lt;&gt;""),IF(H41&gt;F41,3,IF(H41=F41,1,0)),"")</f>
        <v>0</v>
      </c>
      <c r="M41" s="36" t="str">
        <f>IF(AND(F41&lt;&gt;"",H41&lt;&gt;""),IF(F41=H41,"Unentschieden",IF(F41&gt;H41,E41,I41)),"—")</f>
        <v>TSV Rosental</v>
      </c>
      <c r="N41" t="str">
        <f>D41&amp;"-"&amp;J41</f>
        <v>8-6</v>
      </c>
    </row>
    <row r="42" spans="1:14" ht="18.75" customHeight="1" x14ac:dyDescent="0.25">
      <c r="A42" s="18" t="s">
        <v>59</v>
      </c>
      <c r="B42" s="19">
        <v>46109</v>
      </c>
      <c r="C42" s="20" t="s">
        <v>55</v>
      </c>
      <c r="D42" s="21">
        <v>9</v>
      </c>
      <c r="E42" s="22" t="str">
        <f>IFERROR(INDEX(Spielplan!$B$11:$B$19,D42),"")</f>
        <v>SC Wellenbach</v>
      </c>
      <c r="F42" s="23">
        <v>1</v>
      </c>
      <c r="G42" s="24" t="s">
        <v>53</v>
      </c>
      <c r="H42" s="23">
        <v>3</v>
      </c>
      <c r="I42" s="25" t="str">
        <f>IFERROR(INDEX(Spielplan!$B$11:$B$19,J42),"")</f>
        <v>SC Lindenhof</v>
      </c>
      <c r="J42" s="21">
        <v>5</v>
      </c>
      <c r="K42" s="26">
        <f>IF(AND(F42&lt;&gt;"",H42&lt;&gt;""),IF(F42&gt;H42,3,IF(F42=H42,1,0)),"")</f>
        <v>0</v>
      </c>
      <c r="L42" s="26">
        <f>IF(AND(F42&lt;&gt;"",H42&lt;&gt;""),IF(H42&gt;F42,3,IF(H42=F42,1,0)),"")</f>
        <v>3</v>
      </c>
      <c r="M42" s="27" t="str">
        <f>IF(AND(F42&lt;&gt;"",H42&lt;&gt;""),IF(F42=H42,"Unentschieden",IF(F42&gt;H42,E42,I42)),"—")</f>
        <v>SC Lindenhof</v>
      </c>
      <c r="N42" t="str">
        <f>D42&amp;"-"&amp;J42</f>
        <v>9-5</v>
      </c>
    </row>
    <row r="43" spans="1:14" ht="18.75" customHeight="1" x14ac:dyDescent="0.25">
      <c r="A43" s="28" t="s">
        <v>59</v>
      </c>
      <c r="B43" s="29">
        <v>46109</v>
      </c>
      <c r="C43" s="30" t="s">
        <v>56</v>
      </c>
      <c r="D43" s="31">
        <v>2</v>
      </c>
      <c r="E43" s="32" t="str">
        <f>IFERROR(INDEX(Spielplan!$B$11:$B$19,D43),"")</f>
        <v>SV Morgenrot</v>
      </c>
      <c r="F43" s="23">
        <v>0</v>
      </c>
      <c r="G43" s="33" t="s">
        <v>53</v>
      </c>
      <c r="H43" s="23">
        <v>1</v>
      </c>
      <c r="I43" s="34" t="str">
        <f>IFERROR(INDEX(Spielplan!$B$11:$B$19,J43),"")</f>
        <v>TSV Seehafen</v>
      </c>
      <c r="J43" s="31">
        <v>3</v>
      </c>
      <c r="K43" s="35">
        <f>IF(AND(F43&lt;&gt;"",H43&lt;&gt;""),IF(F43&gt;H43,3,IF(F43=H43,1,0)),"")</f>
        <v>0</v>
      </c>
      <c r="L43" s="35">
        <f>IF(AND(F43&lt;&gt;"",H43&lt;&gt;""),IF(H43&gt;F43,3,IF(H43=F43,1,0)),"")</f>
        <v>3</v>
      </c>
      <c r="M43" s="36" t="str">
        <f>IF(AND(F43&lt;&gt;"",H43&lt;&gt;""),IF(F43=H43,"Unentschieden",IF(F43&gt;H43,E43,I43)),"—")</f>
        <v>TSV Seehafen</v>
      </c>
      <c r="N43" t="str">
        <f>D43&amp;"-"&amp;J43</f>
        <v>2-3</v>
      </c>
    </row>
    <row r="44" spans="1:14" x14ac:dyDescent="0.25">
      <c r="A44" s="4" t="str">
        <f>IF(INDEX(Spielplan!$B$11:$B$19,4)="","","4. Spieltag — spielfrei (Freilos): "&amp;INDEX(Spielplan!$B$11:$B$19,4))</f>
        <v>4. Spieltag — spielfrei (Freilos): Blau-Weiß Auental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4" ht="18.75" customHeight="1" x14ac:dyDescent="0.25">
      <c r="A45" s="18" t="s">
        <v>60</v>
      </c>
      <c r="B45" s="19">
        <v>46116</v>
      </c>
      <c r="C45" s="20" t="s">
        <v>52</v>
      </c>
      <c r="D45" s="21">
        <v>1</v>
      </c>
      <c r="E45" s="22" t="str">
        <f>IFERROR(INDEX(Spielplan!$B$11:$B$19,D45),"")</f>
        <v>FC Falkenberg</v>
      </c>
      <c r="F45" s="23">
        <v>2</v>
      </c>
      <c r="G45" s="24" t="s">
        <v>53</v>
      </c>
      <c r="H45" s="23">
        <v>2</v>
      </c>
      <c r="I45" s="25" t="str">
        <f>IFERROR(INDEX(Spielplan!$B$11:$B$19,J45),"")</f>
        <v>FC Sturmvogel</v>
      </c>
      <c r="J45" s="21">
        <v>6</v>
      </c>
      <c r="K45" s="26">
        <f>IF(AND(F45&lt;&gt;"",H45&lt;&gt;""),IF(F45&gt;H45,3,IF(F45=H45,1,0)),"")</f>
        <v>1</v>
      </c>
      <c r="L45" s="26">
        <f>IF(AND(F45&lt;&gt;"",H45&lt;&gt;""),IF(H45&gt;F45,3,IF(H45=F45,1,0)),"")</f>
        <v>1</v>
      </c>
      <c r="M45" s="27" t="str">
        <f>IF(AND(F45&lt;&gt;"",H45&lt;&gt;""),IF(F45=H45,"Unentschieden",IF(F45&gt;H45,E45,I45)),"—")</f>
        <v>Unentschieden</v>
      </c>
      <c r="N45" t="str">
        <f>D45&amp;"-"&amp;J45</f>
        <v>1-6</v>
      </c>
    </row>
    <row r="46" spans="1:14" ht="18.75" customHeight="1" x14ac:dyDescent="0.25">
      <c r="A46" s="28" t="s">
        <v>60</v>
      </c>
      <c r="B46" s="29">
        <v>46116</v>
      </c>
      <c r="C46" s="30" t="s">
        <v>54</v>
      </c>
      <c r="D46" s="31">
        <v>7</v>
      </c>
      <c r="E46" s="32" t="str">
        <f>IFERROR(INDEX(Spielplan!$B$11:$B$19,D46),"")</f>
        <v>SV Eichkamp</v>
      </c>
      <c r="F46" s="23">
        <v>1</v>
      </c>
      <c r="G46" s="33" t="s">
        <v>53</v>
      </c>
      <c r="H46" s="23">
        <v>1</v>
      </c>
      <c r="I46" s="34" t="str">
        <f>IFERROR(INDEX(Spielplan!$B$11:$B$19,J46),"")</f>
        <v>SC Lindenhof</v>
      </c>
      <c r="J46" s="31">
        <v>5</v>
      </c>
      <c r="K46" s="35">
        <f>IF(AND(F46&lt;&gt;"",H46&lt;&gt;""),IF(F46&gt;H46,3,IF(F46=H46,1,0)),"")</f>
        <v>1</v>
      </c>
      <c r="L46" s="35">
        <f>IF(AND(F46&lt;&gt;"",H46&lt;&gt;""),IF(H46&gt;F46,3,IF(H46=F46,1,0)),"")</f>
        <v>1</v>
      </c>
      <c r="M46" s="36" t="str">
        <f>IF(AND(F46&lt;&gt;"",H46&lt;&gt;""),IF(F46=H46,"Unentschieden",IF(F46&gt;H46,E46,I46)),"—")</f>
        <v>Unentschieden</v>
      </c>
      <c r="N46" t="str">
        <f>D46&amp;"-"&amp;J46</f>
        <v>7-5</v>
      </c>
    </row>
    <row r="47" spans="1:14" ht="18.75" customHeight="1" x14ac:dyDescent="0.25">
      <c r="A47" s="18" t="s">
        <v>60</v>
      </c>
      <c r="B47" s="19">
        <v>46116</v>
      </c>
      <c r="C47" s="20" t="s">
        <v>55</v>
      </c>
      <c r="D47" s="21">
        <v>8</v>
      </c>
      <c r="E47" s="22" t="str">
        <f>IFERROR(INDEX(Spielplan!$B$11:$B$19,D47),"")</f>
        <v>TSV Rosental</v>
      </c>
      <c r="F47" s="23">
        <v>3</v>
      </c>
      <c r="G47" s="24" t="s">
        <v>53</v>
      </c>
      <c r="H47" s="23">
        <v>0</v>
      </c>
      <c r="I47" s="25" t="str">
        <f>IFERROR(INDEX(Spielplan!$B$11:$B$19,J47),"")</f>
        <v>Blau-Weiß Auental</v>
      </c>
      <c r="J47" s="21">
        <v>4</v>
      </c>
      <c r="K47" s="26">
        <f>IF(AND(F47&lt;&gt;"",H47&lt;&gt;""),IF(F47&gt;H47,3,IF(F47=H47,1,0)),"")</f>
        <v>3</v>
      </c>
      <c r="L47" s="26">
        <f>IF(AND(F47&lt;&gt;"",H47&lt;&gt;""),IF(H47&gt;F47,3,IF(H47=F47,1,0)),"")</f>
        <v>0</v>
      </c>
      <c r="M47" s="27" t="str">
        <f>IF(AND(F47&lt;&gt;"",H47&lt;&gt;""),IF(F47=H47,"Unentschieden",IF(F47&gt;H47,E47,I47)),"—")</f>
        <v>TSV Rosental</v>
      </c>
      <c r="N47" t="str">
        <f>D47&amp;"-"&amp;J47</f>
        <v>8-4</v>
      </c>
    </row>
    <row r="48" spans="1:14" ht="18.75" customHeight="1" x14ac:dyDescent="0.25">
      <c r="A48" s="28" t="s">
        <v>60</v>
      </c>
      <c r="B48" s="29">
        <v>46116</v>
      </c>
      <c r="C48" s="30" t="s">
        <v>56</v>
      </c>
      <c r="D48" s="31">
        <v>9</v>
      </c>
      <c r="E48" s="32" t="str">
        <f>IFERROR(INDEX(Spielplan!$B$11:$B$19,D48),"")</f>
        <v>SC Wellenbach</v>
      </c>
      <c r="F48" s="23">
        <v>2</v>
      </c>
      <c r="G48" s="33" t="s">
        <v>53</v>
      </c>
      <c r="H48" s="23">
        <v>2</v>
      </c>
      <c r="I48" s="34" t="str">
        <f>IFERROR(INDEX(Spielplan!$B$11:$B$19,J48),"")</f>
        <v>TSV Seehafen</v>
      </c>
      <c r="J48" s="31">
        <v>3</v>
      </c>
      <c r="K48" s="35">
        <f>IF(AND(F48&lt;&gt;"",H48&lt;&gt;""),IF(F48&gt;H48,3,IF(F48=H48,1,0)),"")</f>
        <v>1</v>
      </c>
      <c r="L48" s="35">
        <f>IF(AND(F48&lt;&gt;"",H48&lt;&gt;""),IF(H48&gt;F48,3,IF(H48=F48,1,0)),"")</f>
        <v>1</v>
      </c>
      <c r="M48" s="36" t="str">
        <f>IF(AND(F48&lt;&gt;"",H48&lt;&gt;""),IF(F48=H48,"Unentschieden",IF(F48&gt;H48,E48,I48)),"—")</f>
        <v>Unentschieden</v>
      </c>
      <c r="N48" t="str">
        <f>D48&amp;"-"&amp;J48</f>
        <v>9-3</v>
      </c>
    </row>
    <row r="49" spans="1:14" x14ac:dyDescent="0.25">
      <c r="A49" s="4" t="str">
        <f>IF(INDEX(Spielplan!$B$11:$B$19,2)="","","5. Spieltag — spielfrei (Freilos): "&amp;INDEX(Spielplan!$B$11:$B$19,2))</f>
        <v>5. Spieltag — spielfrei (Freilos): SV Morgenrot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4" ht="18.75" customHeight="1" x14ac:dyDescent="0.25">
      <c r="A50" s="18" t="s">
        <v>61</v>
      </c>
      <c r="B50" s="19">
        <v>46123</v>
      </c>
      <c r="C50" s="20" t="s">
        <v>52</v>
      </c>
      <c r="D50" s="21">
        <v>1</v>
      </c>
      <c r="E50" s="22" t="str">
        <f>IFERROR(INDEX(Spielplan!$B$11:$B$19,D50),"")</f>
        <v>FC Falkenberg</v>
      </c>
      <c r="F50" s="23">
        <v>4</v>
      </c>
      <c r="G50" s="24" t="s">
        <v>53</v>
      </c>
      <c r="H50" s="23">
        <v>1</v>
      </c>
      <c r="I50" s="25" t="str">
        <f>IFERROR(INDEX(Spielplan!$B$11:$B$19,J50),"")</f>
        <v>SC Lindenhof</v>
      </c>
      <c r="J50" s="21">
        <v>5</v>
      </c>
      <c r="K50" s="26">
        <f>IF(AND(F50&lt;&gt;"",H50&lt;&gt;""),IF(F50&gt;H50,3,IF(F50=H50,1,0)),"")</f>
        <v>3</v>
      </c>
      <c r="L50" s="26">
        <f>IF(AND(F50&lt;&gt;"",H50&lt;&gt;""),IF(H50&gt;F50,3,IF(H50=F50,1,0)),"")</f>
        <v>0</v>
      </c>
      <c r="M50" s="27" t="str">
        <f>IF(AND(F50&lt;&gt;"",H50&lt;&gt;""),IF(F50=H50,"Unentschieden",IF(F50&gt;H50,E50,I50)),"—")</f>
        <v>FC Falkenberg</v>
      </c>
      <c r="N50" t="str">
        <f>D50&amp;"-"&amp;J50</f>
        <v>1-5</v>
      </c>
    </row>
    <row r="51" spans="1:14" ht="18.75" customHeight="1" x14ac:dyDescent="0.25">
      <c r="A51" s="28" t="s">
        <v>61</v>
      </c>
      <c r="B51" s="29">
        <v>46123</v>
      </c>
      <c r="C51" s="30" t="s">
        <v>54</v>
      </c>
      <c r="D51" s="31">
        <v>6</v>
      </c>
      <c r="E51" s="32" t="str">
        <f>IFERROR(INDEX(Spielplan!$B$11:$B$19,D51),"")</f>
        <v>FC Sturmvogel</v>
      </c>
      <c r="F51" s="23">
        <v>0</v>
      </c>
      <c r="G51" s="33" t="s">
        <v>53</v>
      </c>
      <c r="H51" s="23">
        <v>1</v>
      </c>
      <c r="I51" s="34" t="str">
        <f>IFERROR(INDEX(Spielplan!$B$11:$B$19,J51),"")</f>
        <v>Blau-Weiß Auental</v>
      </c>
      <c r="J51" s="31">
        <v>4</v>
      </c>
      <c r="K51" s="35">
        <f>IF(AND(F51&lt;&gt;"",H51&lt;&gt;""),IF(F51&gt;H51,3,IF(F51=H51,1,0)),"")</f>
        <v>0</v>
      </c>
      <c r="L51" s="35">
        <f>IF(AND(F51&lt;&gt;"",H51&lt;&gt;""),IF(H51&gt;F51,3,IF(H51=F51,1,0)),"")</f>
        <v>3</v>
      </c>
      <c r="M51" s="36" t="str">
        <f>IF(AND(F51&lt;&gt;"",H51&lt;&gt;""),IF(F51=H51,"Unentschieden",IF(F51&gt;H51,E51,I51)),"—")</f>
        <v>Blau-Weiß Auental</v>
      </c>
      <c r="N51" t="str">
        <f>D51&amp;"-"&amp;J51</f>
        <v>6-4</v>
      </c>
    </row>
    <row r="52" spans="1:14" ht="18.75" customHeight="1" x14ac:dyDescent="0.25">
      <c r="A52" s="18" t="s">
        <v>61</v>
      </c>
      <c r="B52" s="19">
        <v>46123</v>
      </c>
      <c r="C52" s="20" t="s">
        <v>55</v>
      </c>
      <c r="D52" s="21">
        <v>7</v>
      </c>
      <c r="E52" s="22" t="str">
        <f>IFERROR(INDEX(Spielplan!$B$11:$B$19,D52),"")</f>
        <v>SV Eichkamp</v>
      </c>
      <c r="F52" s="23">
        <v>2</v>
      </c>
      <c r="G52" s="24" t="s">
        <v>53</v>
      </c>
      <c r="H52" s="23">
        <v>0</v>
      </c>
      <c r="I52" s="25" t="str">
        <f>IFERROR(INDEX(Spielplan!$B$11:$B$19,J52),"")</f>
        <v>TSV Seehafen</v>
      </c>
      <c r="J52" s="21">
        <v>3</v>
      </c>
      <c r="K52" s="26">
        <f>IF(AND(F52&lt;&gt;"",H52&lt;&gt;""),IF(F52&gt;H52,3,IF(F52=H52,1,0)),"")</f>
        <v>3</v>
      </c>
      <c r="L52" s="26">
        <f>IF(AND(F52&lt;&gt;"",H52&lt;&gt;""),IF(H52&gt;F52,3,IF(H52=F52,1,0)),"")</f>
        <v>0</v>
      </c>
      <c r="M52" s="27" t="str">
        <f>IF(AND(F52&lt;&gt;"",H52&lt;&gt;""),IF(F52=H52,"Unentschieden",IF(F52&gt;H52,E52,I52)),"—")</f>
        <v>SV Eichkamp</v>
      </c>
      <c r="N52" t="str">
        <f>D52&amp;"-"&amp;J52</f>
        <v>7-3</v>
      </c>
    </row>
    <row r="53" spans="1:14" ht="18.75" customHeight="1" x14ac:dyDescent="0.25">
      <c r="A53" s="28" t="s">
        <v>61</v>
      </c>
      <c r="B53" s="29">
        <v>46123</v>
      </c>
      <c r="C53" s="30" t="s">
        <v>56</v>
      </c>
      <c r="D53" s="31">
        <v>8</v>
      </c>
      <c r="E53" s="32" t="str">
        <f>IFERROR(INDEX(Spielplan!$B$11:$B$19,D53),"")</f>
        <v>TSV Rosental</v>
      </c>
      <c r="F53" s="23">
        <v>1</v>
      </c>
      <c r="G53" s="33" t="s">
        <v>53</v>
      </c>
      <c r="H53" s="23">
        <v>1</v>
      </c>
      <c r="I53" s="34" t="str">
        <f>IFERROR(INDEX(Spielplan!$B$11:$B$19,J53),"")</f>
        <v>SV Morgenrot</v>
      </c>
      <c r="J53" s="31">
        <v>2</v>
      </c>
      <c r="K53" s="35">
        <f>IF(AND(F53&lt;&gt;"",H53&lt;&gt;""),IF(F53&gt;H53,3,IF(F53=H53,1,0)),"")</f>
        <v>1</v>
      </c>
      <c r="L53" s="35">
        <f>IF(AND(F53&lt;&gt;"",H53&lt;&gt;""),IF(H53&gt;F53,3,IF(H53=F53,1,0)),"")</f>
        <v>1</v>
      </c>
      <c r="M53" s="36" t="str">
        <f>IF(AND(F53&lt;&gt;"",H53&lt;&gt;""),IF(F53=H53,"Unentschieden",IF(F53&gt;H53,E53,I53)),"—")</f>
        <v>Unentschieden</v>
      </c>
      <c r="N53" t="str">
        <f>D53&amp;"-"&amp;J53</f>
        <v>8-2</v>
      </c>
    </row>
    <row r="54" spans="1:14" x14ac:dyDescent="0.25">
      <c r="A54" s="4" t="str">
        <f>IF(INDEX(Spielplan!$B$11:$B$19,9)="","","6. Spieltag — spielfrei (Freilos): "&amp;INDEX(Spielplan!$B$11:$B$19,9))</f>
        <v>6. Spieltag — spielfrei (Freilos): SC Wellenbach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4" ht="18.75" customHeight="1" x14ac:dyDescent="0.25">
      <c r="A55" s="18" t="s">
        <v>62</v>
      </c>
      <c r="B55" s="19">
        <v>46130</v>
      </c>
      <c r="C55" s="20" t="s">
        <v>52</v>
      </c>
      <c r="D55" s="21">
        <v>1</v>
      </c>
      <c r="E55" s="22" t="str">
        <f>IFERROR(INDEX(Spielplan!$B$11:$B$19,D55),"")</f>
        <v>FC Falkenberg</v>
      </c>
      <c r="F55" s="23">
        <v>2</v>
      </c>
      <c r="G55" s="24" t="s">
        <v>53</v>
      </c>
      <c r="H55" s="23">
        <v>1</v>
      </c>
      <c r="I55" s="25" t="str">
        <f>IFERROR(INDEX(Spielplan!$B$11:$B$19,J55),"")</f>
        <v>Blau-Weiß Auental</v>
      </c>
      <c r="J55" s="21">
        <v>4</v>
      </c>
      <c r="K55" s="26">
        <f>IF(AND(F55&lt;&gt;"",H55&lt;&gt;""),IF(F55&gt;H55,3,IF(F55=H55,1,0)),"")</f>
        <v>3</v>
      </c>
      <c r="L55" s="26">
        <f>IF(AND(F55&lt;&gt;"",H55&lt;&gt;""),IF(H55&gt;F55,3,IF(H55=F55,1,0)),"")</f>
        <v>0</v>
      </c>
      <c r="M55" s="27" t="str">
        <f>IF(AND(F55&lt;&gt;"",H55&lt;&gt;""),IF(F55=H55,"Unentschieden",IF(F55&gt;H55,E55,I55)),"—")</f>
        <v>FC Falkenberg</v>
      </c>
      <c r="N55" t="str">
        <f>D55&amp;"-"&amp;J55</f>
        <v>1-4</v>
      </c>
    </row>
    <row r="56" spans="1:14" ht="18.75" customHeight="1" x14ac:dyDescent="0.25">
      <c r="A56" s="28" t="s">
        <v>62</v>
      </c>
      <c r="B56" s="29">
        <v>46130</v>
      </c>
      <c r="C56" s="30" t="s">
        <v>54</v>
      </c>
      <c r="D56" s="31">
        <v>5</v>
      </c>
      <c r="E56" s="32" t="str">
        <f>IFERROR(INDEX(Spielplan!$B$11:$B$19,D56),"")</f>
        <v>SC Lindenhof</v>
      </c>
      <c r="F56" s="23">
        <v>1</v>
      </c>
      <c r="G56" s="33" t="s">
        <v>53</v>
      </c>
      <c r="H56" s="23">
        <v>1</v>
      </c>
      <c r="I56" s="34" t="str">
        <f>IFERROR(INDEX(Spielplan!$B$11:$B$19,J56),"")</f>
        <v>TSV Seehafen</v>
      </c>
      <c r="J56" s="31">
        <v>3</v>
      </c>
      <c r="K56" s="35">
        <f>IF(AND(F56&lt;&gt;"",H56&lt;&gt;""),IF(F56&gt;H56,3,IF(F56=H56,1,0)),"")</f>
        <v>1</v>
      </c>
      <c r="L56" s="35">
        <f>IF(AND(F56&lt;&gt;"",H56&lt;&gt;""),IF(H56&gt;F56,3,IF(H56=F56,1,0)),"")</f>
        <v>1</v>
      </c>
      <c r="M56" s="36" t="str">
        <f>IF(AND(F56&lt;&gt;"",H56&lt;&gt;""),IF(F56=H56,"Unentschieden",IF(F56&gt;H56,E56,I56)),"—")</f>
        <v>Unentschieden</v>
      </c>
      <c r="N56" t="str">
        <f>D56&amp;"-"&amp;J56</f>
        <v>5-3</v>
      </c>
    </row>
    <row r="57" spans="1:14" ht="18.75" customHeight="1" x14ac:dyDescent="0.25">
      <c r="A57" s="18" t="s">
        <v>62</v>
      </c>
      <c r="B57" s="19">
        <v>46130</v>
      </c>
      <c r="C57" s="20" t="s">
        <v>55</v>
      </c>
      <c r="D57" s="21">
        <v>6</v>
      </c>
      <c r="E57" s="22" t="str">
        <f>IFERROR(INDEX(Spielplan!$B$11:$B$19,D57),"")</f>
        <v>FC Sturmvogel</v>
      </c>
      <c r="F57" s="23">
        <v>3</v>
      </c>
      <c r="G57" s="24" t="s">
        <v>53</v>
      </c>
      <c r="H57" s="23">
        <v>2</v>
      </c>
      <c r="I57" s="25" t="str">
        <f>IFERROR(INDEX(Spielplan!$B$11:$B$19,J57),"")</f>
        <v>SV Morgenrot</v>
      </c>
      <c r="J57" s="21">
        <v>2</v>
      </c>
      <c r="K57" s="26">
        <f>IF(AND(F57&lt;&gt;"",H57&lt;&gt;""),IF(F57&gt;H57,3,IF(F57=H57,1,0)),"")</f>
        <v>3</v>
      </c>
      <c r="L57" s="26">
        <f>IF(AND(F57&lt;&gt;"",H57&lt;&gt;""),IF(H57&gt;F57,3,IF(H57=F57,1,0)),"")</f>
        <v>0</v>
      </c>
      <c r="M57" s="27" t="str">
        <f>IF(AND(F57&lt;&gt;"",H57&lt;&gt;""),IF(F57=H57,"Unentschieden",IF(F57&gt;H57,E57,I57)),"—")</f>
        <v>FC Sturmvogel</v>
      </c>
      <c r="N57" t="str">
        <f>D57&amp;"-"&amp;J57</f>
        <v>6-2</v>
      </c>
    </row>
    <row r="58" spans="1:14" ht="18.75" customHeight="1" x14ac:dyDescent="0.25">
      <c r="A58" s="28" t="s">
        <v>62</v>
      </c>
      <c r="B58" s="29">
        <v>46130</v>
      </c>
      <c r="C58" s="30" t="s">
        <v>56</v>
      </c>
      <c r="D58" s="31">
        <v>8</v>
      </c>
      <c r="E58" s="32" t="str">
        <f>IFERROR(INDEX(Spielplan!$B$11:$B$19,D58),"")</f>
        <v>TSV Rosental</v>
      </c>
      <c r="F58" s="23">
        <v>2</v>
      </c>
      <c r="G58" s="33" t="s">
        <v>53</v>
      </c>
      <c r="H58" s="23">
        <v>2</v>
      </c>
      <c r="I58" s="34" t="str">
        <f>IFERROR(INDEX(Spielplan!$B$11:$B$19,J58),"")</f>
        <v>SC Wellenbach</v>
      </c>
      <c r="J58" s="31">
        <v>9</v>
      </c>
      <c r="K58" s="35">
        <f>IF(AND(F58&lt;&gt;"",H58&lt;&gt;""),IF(F58&gt;H58,3,IF(F58=H58,1,0)),"")</f>
        <v>1</v>
      </c>
      <c r="L58" s="35">
        <f>IF(AND(F58&lt;&gt;"",H58&lt;&gt;""),IF(H58&gt;F58,3,IF(H58=F58,1,0)),"")</f>
        <v>1</v>
      </c>
      <c r="M58" s="36" t="str">
        <f>IF(AND(F58&lt;&gt;"",H58&lt;&gt;""),IF(F58=H58,"Unentschieden",IF(F58&gt;H58,E58,I58)),"—")</f>
        <v>Unentschieden</v>
      </c>
      <c r="N58" t="str">
        <f>D58&amp;"-"&amp;J58</f>
        <v>8-9</v>
      </c>
    </row>
    <row r="59" spans="1:14" x14ac:dyDescent="0.25">
      <c r="A59" s="4" t="str">
        <f>IF(INDEX(Spielplan!$B$11:$B$19,7)="","","7. Spieltag — spielfrei (Freilos): "&amp;INDEX(Spielplan!$B$11:$B$19,7))</f>
        <v>7. Spieltag — spielfrei (Freilos): SV Eichkamp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4" ht="18.75" customHeight="1" x14ac:dyDescent="0.25">
      <c r="A60" s="18" t="s">
        <v>63</v>
      </c>
      <c r="B60" s="19">
        <v>46137</v>
      </c>
      <c r="C60" s="20" t="s">
        <v>52</v>
      </c>
      <c r="D60" s="21">
        <v>1</v>
      </c>
      <c r="E60" s="22" t="str">
        <f>IFERROR(INDEX(Spielplan!$B$11:$B$19,D60),"")</f>
        <v>FC Falkenberg</v>
      </c>
      <c r="F60" s="23">
        <v>1</v>
      </c>
      <c r="G60" s="24" t="s">
        <v>53</v>
      </c>
      <c r="H60" s="23">
        <v>1</v>
      </c>
      <c r="I60" s="25" t="str">
        <f>IFERROR(INDEX(Spielplan!$B$11:$B$19,J60),"")</f>
        <v>TSV Seehafen</v>
      </c>
      <c r="J60" s="21">
        <v>3</v>
      </c>
      <c r="K60" s="26">
        <f>IF(AND(F60&lt;&gt;"",H60&lt;&gt;""),IF(F60&gt;H60,3,IF(F60=H60,1,0)),"")</f>
        <v>1</v>
      </c>
      <c r="L60" s="26">
        <f>IF(AND(F60&lt;&gt;"",H60&lt;&gt;""),IF(H60&gt;F60,3,IF(H60=F60,1,0)),"")</f>
        <v>1</v>
      </c>
      <c r="M60" s="27" t="str">
        <f>IF(AND(F60&lt;&gt;"",H60&lt;&gt;""),IF(F60=H60,"Unentschieden",IF(F60&gt;H60,E60,I60)),"—")</f>
        <v>Unentschieden</v>
      </c>
      <c r="N60" t="str">
        <f>D60&amp;"-"&amp;J60</f>
        <v>1-3</v>
      </c>
    </row>
    <row r="61" spans="1:14" ht="18.75" customHeight="1" x14ac:dyDescent="0.25">
      <c r="A61" s="28" t="s">
        <v>63</v>
      </c>
      <c r="B61" s="29">
        <v>46137</v>
      </c>
      <c r="C61" s="30" t="s">
        <v>54</v>
      </c>
      <c r="D61" s="31">
        <v>4</v>
      </c>
      <c r="E61" s="32" t="str">
        <f>IFERROR(INDEX(Spielplan!$B$11:$B$19,D61),"")</f>
        <v>Blau-Weiß Auental</v>
      </c>
      <c r="F61" s="23">
        <v>2</v>
      </c>
      <c r="G61" s="33" t="s">
        <v>53</v>
      </c>
      <c r="H61" s="23">
        <v>0</v>
      </c>
      <c r="I61" s="34" t="str">
        <f>IFERROR(INDEX(Spielplan!$B$11:$B$19,J61),"")</f>
        <v>SV Morgenrot</v>
      </c>
      <c r="J61" s="31">
        <v>2</v>
      </c>
      <c r="K61" s="35">
        <f>IF(AND(F61&lt;&gt;"",H61&lt;&gt;""),IF(F61&gt;H61,3,IF(F61=H61,1,0)),"")</f>
        <v>3</v>
      </c>
      <c r="L61" s="35">
        <f>IF(AND(F61&lt;&gt;"",H61&lt;&gt;""),IF(H61&gt;F61,3,IF(H61=F61,1,0)),"")</f>
        <v>0</v>
      </c>
      <c r="M61" s="36" t="str">
        <f>IF(AND(F61&lt;&gt;"",H61&lt;&gt;""),IF(F61=H61,"Unentschieden",IF(F61&gt;H61,E61,I61)),"—")</f>
        <v>Blau-Weiß Auental</v>
      </c>
      <c r="N61" t="str">
        <f>D61&amp;"-"&amp;J61</f>
        <v>4-2</v>
      </c>
    </row>
    <row r="62" spans="1:14" ht="18.75" customHeight="1" x14ac:dyDescent="0.25">
      <c r="A62" s="18" t="s">
        <v>63</v>
      </c>
      <c r="B62" s="19">
        <v>46137</v>
      </c>
      <c r="C62" s="20" t="s">
        <v>55</v>
      </c>
      <c r="D62" s="21">
        <v>6</v>
      </c>
      <c r="E62" s="22" t="str">
        <f>IFERROR(INDEX(Spielplan!$B$11:$B$19,D62),"")</f>
        <v>FC Sturmvogel</v>
      </c>
      <c r="F62" s="23">
        <v>1</v>
      </c>
      <c r="G62" s="24" t="s">
        <v>53</v>
      </c>
      <c r="H62" s="23">
        <v>0</v>
      </c>
      <c r="I62" s="25" t="str">
        <f>IFERROR(INDEX(Spielplan!$B$11:$B$19,J62),"")</f>
        <v>SC Wellenbach</v>
      </c>
      <c r="J62" s="21">
        <v>9</v>
      </c>
      <c r="K62" s="26">
        <f>IF(AND(F62&lt;&gt;"",H62&lt;&gt;""),IF(F62&gt;H62,3,IF(F62=H62,1,0)),"")</f>
        <v>3</v>
      </c>
      <c r="L62" s="26">
        <f>IF(AND(F62&lt;&gt;"",H62&lt;&gt;""),IF(H62&gt;F62,3,IF(H62=F62,1,0)),"")</f>
        <v>0</v>
      </c>
      <c r="M62" s="27" t="str">
        <f>IF(AND(F62&lt;&gt;"",H62&lt;&gt;""),IF(F62=H62,"Unentschieden",IF(F62&gt;H62,E62,I62)),"—")</f>
        <v>FC Sturmvogel</v>
      </c>
      <c r="N62" t="str">
        <f>D62&amp;"-"&amp;J62</f>
        <v>6-9</v>
      </c>
    </row>
    <row r="63" spans="1:14" ht="18.75" customHeight="1" x14ac:dyDescent="0.25">
      <c r="A63" s="28" t="s">
        <v>63</v>
      </c>
      <c r="B63" s="29">
        <v>46137</v>
      </c>
      <c r="C63" s="30" t="s">
        <v>56</v>
      </c>
      <c r="D63" s="31">
        <v>7</v>
      </c>
      <c r="E63" s="32" t="str">
        <f>IFERROR(INDEX(Spielplan!$B$11:$B$19,D63),"")</f>
        <v>SV Eichkamp</v>
      </c>
      <c r="F63" s="23">
        <v>0</v>
      </c>
      <c r="G63" s="33" t="s">
        <v>53</v>
      </c>
      <c r="H63" s="23">
        <v>1</v>
      </c>
      <c r="I63" s="34" t="str">
        <f>IFERROR(INDEX(Spielplan!$B$11:$B$19,J63),"")</f>
        <v>TSV Rosental</v>
      </c>
      <c r="J63" s="31">
        <v>8</v>
      </c>
      <c r="K63" s="35">
        <f>IF(AND(F63&lt;&gt;"",H63&lt;&gt;""),IF(F63&gt;H63,3,IF(F63=H63,1,0)),"")</f>
        <v>0</v>
      </c>
      <c r="L63" s="35">
        <f>IF(AND(F63&lt;&gt;"",H63&lt;&gt;""),IF(H63&gt;F63,3,IF(H63=F63,1,0)),"")</f>
        <v>3</v>
      </c>
      <c r="M63" s="36" t="str">
        <f>IF(AND(F63&lt;&gt;"",H63&lt;&gt;""),IF(F63=H63,"Unentschieden",IF(F63&gt;H63,E63,I63)),"—")</f>
        <v>TSV Rosental</v>
      </c>
      <c r="N63" t="str">
        <f>D63&amp;"-"&amp;J63</f>
        <v>7-8</v>
      </c>
    </row>
    <row r="64" spans="1:14" x14ac:dyDescent="0.25">
      <c r="A64" s="4" t="str">
        <f>IF(INDEX(Spielplan!$B$11:$B$19,5)="","","8. Spieltag — spielfrei (Freilos): "&amp;INDEX(Spielplan!$B$11:$B$19,5))</f>
        <v>8. Spieltag — spielfrei (Freilos): SC Lindenhof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4" ht="18.75" customHeight="1" x14ac:dyDescent="0.25">
      <c r="A65" s="18" t="s">
        <v>64</v>
      </c>
      <c r="B65" s="19">
        <v>46144</v>
      </c>
      <c r="C65" s="20" t="s">
        <v>52</v>
      </c>
      <c r="D65" s="21">
        <v>1</v>
      </c>
      <c r="E65" s="22" t="str">
        <f>IFERROR(INDEX(Spielplan!$B$11:$B$19,D65),"")</f>
        <v>FC Falkenberg</v>
      </c>
      <c r="F65" s="23"/>
      <c r="G65" s="24" t="s">
        <v>53</v>
      </c>
      <c r="H65" s="23"/>
      <c r="I65" s="25" t="str">
        <f>IFERROR(INDEX(Spielplan!$B$11:$B$19,J65),"")</f>
        <v>SV Morgenrot</v>
      </c>
      <c r="J65" s="21">
        <v>2</v>
      </c>
      <c r="K65" s="26" t="str">
        <f>IF(AND(F65&lt;&gt;"",H65&lt;&gt;""),IF(F65&gt;H65,3,IF(F65=H65,1,0)),"")</f>
        <v/>
      </c>
      <c r="L65" s="26" t="str">
        <f>IF(AND(F65&lt;&gt;"",H65&lt;&gt;""),IF(H65&gt;F65,3,IF(H65=F65,1,0)),"")</f>
        <v/>
      </c>
      <c r="M65" s="27" t="str">
        <f>IF(AND(F65&lt;&gt;"",H65&lt;&gt;""),IF(F65=H65,"Unentschieden",IF(F65&gt;H65,E65,I65)),"—")</f>
        <v>—</v>
      </c>
      <c r="N65" t="str">
        <f>D65&amp;"-"&amp;J65</f>
        <v>1-2</v>
      </c>
    </row>
    <row r="66" spans="1:14" ht="18.75" customHeight="1" x14ac:dyDescent="0.25">
      <c r="A66" s="28" t="s">
        <v>64</v>
      </c>
      <c r="B66" s="29">
        <v>46144</v>
      </c>
      <c r="C66" s="30" t="s">
        <v>54</v>
      </c>
      <c r="D66" s="31">
        <v>4</v>
      </c>
      <c r="E66" s="32" t="str">
        <f>IFERROR(INDEX(Spielplan!$B$11:$B$19,D66),"")</f>
        <v>Blau-Weiß Auental</v>
      </c>
      <c r="F66" s="23"/>
      <c r="G66" s="33" t="s">
        <v>53</v>
      </c>
      <c r="H66" s="23"/>
      <c r="I66" s="34" t="str">
        <f>IFERROR(INDEX(Spielplan!$B$11:$B$19,J66),"")</f>
        <v>SC Wellenbach</v>
      </c>
      <c r="J66" s="31">
        <v>9</v>
      </c>
      <c r="K66" s="35" t="str">
        <f>IF(AND(F66&lt;&gt;"",H66&lt;&gt;""),IF(F66&gt;H66,3,IF(F66=H66,1,0)),"")</f>
        <v/>
      </c>
      <c r="L66" s="35" t="str">
        <f>IF(AND(F66&lt;&gt;"",H66&lt;&gt;""),IF(H66&gt;F66,3,IF(H66=F66,1,0)),"")</f>
        <v/>
      </c>
      <c r="M66" s="36" t="str">
        <f>IF(AND(F66&lt;&gt;"",H66&lt;&gt;""),IF(F66=H66,"Unentschieden",IF(F66&gt;H66,E66,I66)),"—")</f>
        <v>—</v>
      </c>
      <c r="N66" t="str">
        <f>D66&amp;"-"&amp;J66</f>
        <v>4-9</v>
      </c>
    </row>
    <row r="67" spans="1:14" ht="18.75" customHeight="1" x14ac:dyDescent="0.25">
      <c r="A67" s="18" t="s">
        <v>64</v>
      </c>
      <c r="B67" s="19">
        <v>46144</v>
      </c>
      <c r="C67" s="20" t="s">
        <v>55</v>
      </c>
      <c r="D67" s="21">
        <v>5</v>
      </c>
      <c r="E67" s="22" t="str">
        <f>IFERROR(INDEX(Spielplan!$B$11:$B$19,D67),"")</f>
        <v>SC Lindenhof</v>
      </c>
      <c r="F67" s="23"/>
      <c r="G67" s="24" t="s">
        <v>53</v>
      </c>
      <c r="H67" s="23"/>
      <c r="I67" s="25" t="str">
        <f>IFERROR(INDEX(Spielplan!$B$11:$B$19,J67),"")</f>
        <v>TSV Rosental</v>
      </c>
      <c r="J67" s="21">
        <v>8</v>
      </c>
      <c r="K67" s="26" t="str">
        <f>IF(AND(F67&lt;&gt;"",H67&lt;&gt;""),IF(F67&gt;H67,3,IF(F67=H67,1,0)),"")</f>
        <v/>
      </c>
      <c r="L67" s="26" t="str">
        <f>IF(AND(F67&lt;&gt;"",H67&lt;&gt;""),IF(H67&gt;F67,3,IF(H67=F67,1,0)),"")</f>
        <v/>
      </c>
      <c r="M67" s="27" t="str">
        <f>IF(AND(F67&lt;&gt;"",H67&lt;&gt;""),IF(F67=H67,"Unentschieden",IF(F67&gt;H67,E67,I67)),"—")</f>
        <v>—</v>
      </c>
      <c r="N67" t="str">
        <f>D67&amp;"-"&amp;J67</f>
        <v>5-8</v>
      </c>
    </row>
    <row r="68" spans="1:14" ht="18.75" customHeight="1" x14ac:dyDescent="0.25">
      <c r="A68" s="28" t="s">
        <v>64</v>
      </c>
      <c r="B68" s="29">
        <v>46144</v>
      </c>
      <c r="C68" s="30" t="s">
        <v>56</v>
      </c>
      <c r="D68" s="31">
        <v>6</v>
      </c>
      <c r="E68" s="32" t="str">
        <f>IFERROR(INDEX(Spielplan!$B$11:$B$19,D68),"")</f>
        <v>FC Sturmvogel</v>
      </c>
      <c r="F68" s="23"/>
      <c r="G68" s="33" t="s">
        <v>53</v>
      </c>
      <c r="H68" s="23"/>
      <c r="I68" s="34" t="str">
        <f>IFERROR(INDEX(Spielplan!$B$11:$B$19,J68),"")</f>
        <v>SV Eichkamp</v>
      </c>
      <c r="J68" s="31">
        <v>7</v>
      </c>
      <c r="K68" s="35" t="str">
        <f>IF(AND(F68&lt;&gt;"",H68&lt;&gt;""),IF(F68&gt;H68,3,IF(F68=H68,1,0)),"")</f>
        <v/>
      </c>
      <c r="L68" s="35" t="str">
        <f>IF(AND(F68&lt;&gt;"",H68&lt;&gt;""),IF(H68&gt;F68,3,IF(H68=F68,1,0)),"")</f>
        <v/>
      </c>
      <c r="M68" s="36" t="str">
        <f>IF(AND(F68&lt;&gt;"",H68&lt;&gt;""),IF(F68=H68,"Unentschieden",IF(F68&gt;H68,E68,I68)),"—")</f>
        <v>—</v>
      </c>
      <c r="N68" t="str">
        <f>D68&amp;"-"&amp;J68</f>
        <v>6-7</v>
      </c>
    </row>
    <row r="69" spans="1:14" x14ac:dyDescent="0.25">
      <c r="A69" s="4" t="str">
        <f>IF(INDEX(Spielplan!$B$11:$B$19,3)="","","9. Spieltag — spielfrei (Freilos): "&amp;INDEX(Spielplan!$B$11:$B$19,3))</f>
        <v>9. Spieltag — spielfrei (Freilos): TSV Seehafen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1" spans="1:14" ht="27.75" customHeight="1" x14ac:dyDescent="0.25">
      <c r="A71" s="3" t="s">
        <v>65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mergeCells count="48">
    <mergeCell ref="A71:M71"/>
    <mergeCell ref="A49:M49"/>
    <mergeCell ref="A54:M54"/>
    <mergeCell ref="A59:M59"/>
    <mergeCell ref="A64:M64"/>
    <mergeCell ref="A69:M69"/>
    <mergeCell ref="A23:M23"/>
    <mergeCell ref="A29:M29"/>
    <mergeCell ref="A34:M34"/>
    <mergeCell ref="A39:M39"/>
    <mergeCell ref="A44:M44"/>
    <mergeCell ref="B18:D18"/>
    <mergeCell ref="F18:I18"/>
    <mergeCell ref="B19:D19"/>
    <mergeCell ref="F19:I19"/>
    <mergeCell ref="A21:M21"/>
    <mergeCell ref="B15:D15"/>
    <mergeCell ref="F15:I15"/>
    <mergeCell ref="B16:D16"/>
    <mergeCell ref="F16:I16"/>
    <mergeCell ref="B17:D17"/>
    <mergeCell ref="F17:I17"/>
    <mergeCell ref="B12:D12"/>
    <mergeCell ref="F12:I12"/>
    <mergeCell ref="B13:D13"/>
    <mergeCell ref="F13:I13"/>
    <mergeCell ref="B14:D14"/>
    <mergeCell ref="F14:I14"/>
    <mergeCell ref="A9:M9"/>
    <mergeCell ref="B10:D10"/>
    <mergeCell ref="F10:I10"/>
    <mergeCell ref="B11:D11"/>
    <mergeCell ref="F11:I11"/>
    <mergeCell ref="A6:B6"/>
    <mergeCell ref="C6:E6"/>
    <mergeCell ref="F6:G6"/>
    <mergeCell ref="H6:M6"/>
    <mergeCell ref="A7:B7"/>
    <mergeCell ref="C7:E7"/>
    <mergeCell ref="F7:G7"/>
    <mergeCell ref="H7:M7"/>
    <mergeCell ref="A1:M1"/>
    <mergeCell ref="A2:M2"/>
    <mergeCell ref="A4:M4"/>
    <mergeCell ref="A5:B5"/>
    <mergeCell ref="C5:E5"/>
    <mergeCell ref="F5:G5"/>
    <mergeCell ref="H5:M5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4572E"/>
    <pageSetUpPr fitToPage="1"/>
  </sheetPr>
  <dimension ref="A1:K29"/>
  <sheetViews>
    <sheetView showGridLines="0" zoomScaleNormal="100" workbookViewId="0">
      <pane ySplit="2" topLeftCell="A3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24" customWidth="1"/>
    <col min="3" max="3" width="7" customWidth="1"/>
    <col min="4" max="6" width="6" customWidth="1"/>
    <col min="7" max="9" width="9" customWidth="1"/>
    <col min="10" max="10" width="10" customWidth="1"/>
    <col min="11" max="11" width="14" customWidth="1"/>
  </cols>
  <sheetData>
    <row r="1" spans="1:11" ht="39.75" customHeight="1" x14ac:dyDescent="0.25">
      <c r="A1" s="13" t="s">
        <v>66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9.5" customHeight="1" x14ac:dyDescent="0.25">
      <c r="A2" s="12" t="s">
        <v>67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ht="24" customHeight="1" x14ac:dyDescent="0.3">
      <c r="A4" s="2" t="s">
        <v>68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4" customHeight="1" x14ac:dyDescent="0.25">
      <c r="A5" s="37" t="s">
        <v>69</v>
      </c>
      <c r="B5" s="37" t="s">
        <v>16</v>
      </c>
      <c r="C5" s="37" t="s">
        <v>70</v>
      </c>
      <c r="D5" s="37" t="s">
        <v>71</v>
      </c>
      <c r="E5" s="37" t="s">
        <v>72</v>
      </c>
      <c r="F5" s="37" t="s">
        <v>73</v>
      </c>
      <c r="G5" s="37" t="s">
        <v>74</v>
      </c>
      <c r="H5" s="37" t="s">
        <v>75</v>
      </c>
      <c r="I5" s="37" t="s">
        <v>76</v>
      </c>
      <c r="J5" s="37" t="s">
        <v>77</v>
      </c>
      <c r="K5" s="37"/>
    </row>
    <row r="6" spans="1:11" ht="21.75" customHeight="1" x14ac:dyDescent="0.25">
      <c r="A6" s="38">
        <v>1</v>
      </c>
      <c r="B6" s="39" t="str">
        <f>IFERROR(INDEX($B$19:$B$27,MATCH(LARGE($K$19:$K$27,1),$K$19:$K$27,0)),"")</f>
        <v>FC Falkenberg</v>
      </c>
      <c r="C6" s="40">
        <f>IFERROR(INDEX($C$19:$C$27,MATCH(LARGE($K$19:$K$27,1),$K$19:$K$27,0)),"")</f>
        <v>7</v>
      </c>
      <c r="D6" s="40">
        <f>IFERROR(INDEX($D$19:$D$27,MATCH(LARGE($K$19:$K$27,1),$K$19:$K$27,0)),"")</f>
        <v>5</v>
      </c>
      <c r="E6" s="40">
        <f>IFERROR(INDEX($E$19:$E$27,MATCH(LARGE($K$19:$K$27,1),$K$19:$K$27,0)),"")</f>
        <v>2</v>
      </c>
      <c r="F6" s="40">
        <f>IFERROR(INDEX($F$19:$F$27,MATCH(LARGE($K$19:$K$27,1),$K$19:$K$27,0)),"")</f>
        <v>0</v>
      </c>
      <c r="G6" s="40">
        <f>IFERROR(INDEX($G$19:$G$27,MATCH(LARGE($K$19:$K$27,1),$K$19:$K$27,0)),"")</f>
        <v>15</v>
      </c>
      <c r="H6" s="40">
        <f>IFERROR(INDEX($H$19:$H$27,MATCH(LARGE($K$19:$K$27,1),$K$19:$K$27,0)),"")</f>
        <v>7</v>
      </c>
      <c r="I6" s="40">
        <f>IFERROR(INDEX($I$19:$I$27,MATCH(LARGE($K$19:$K$27,1),$K$19:$K$27,0)),"")</f>
        <v>8</v>
      </c>
      <c r="J6" s="41">
        <f>IFERROR(INDEX($J$19:$J$27,MATCH(LARGE($K$19:$K$27,1),$K$19:$K$27,0)),"")</f>
        <v>17</v>
      </c>
      <c r="K6" s="42" t="str">
        <f>IF(1=1,"🥇 Turniersieger",IF(1=2,"🥈 Vize",IF(1=3,"🥉 3. Platz","")))</f>
        <v>🥇 Turniersieger</v>
      </c>
    </row>
    <row r="7" spans="1:11" ht="21.75" customHeight="1" x14ac:dyDescent="0.25">
      <c r="A7" s="43">
        <v>2</v>
      </c>
      <c r="B7" s="44" t="str">
        <f>IFERROR(INDEX($B$19:$B$27,MATCH(LARGE($K$19:$K$27,2),$K$19:$K$27,0)),"")</f>
        <v>TSV Rosental</v>
      </c>
      <c r="C7" s="45">
        <f>IFERROR(INDEX($C$19:$C$27,MATCH(LARGE($K$19:$K$27,2),$K$19:$K$27,0)),"")</f>
        <v>7</v>
      </c>
      <c r="D7" s="45">
        <f>IFERROR(INDEX($D$19:$D$27,MATCH(LARGE($K$19:$K$27,2),$K$19:$K$27,0)),"")</f>
        <v>3</v>
      </c>
      <c r="E7" s="45">
        <f>IFERROR(INDEX($E$19:$E$27,MATCH(LARGE($K$19:$K$27,2),$K$19:$K$27,0)),"")</f>
        <v>3</v>
      </c>
      <c r="F7" s="45">
        <f>IFERROR(INDEX($F$19:$F$27,MATCH(LARGE($K$19:$K$27,2),$K$19:$K$27,0)),"")</f>
        <v>1</v>
      </c>
      <c r="G7" s="45">
        <f>IFERROR(INDEX($G$19:$G$27,MATCH(LARGE($K$19:$K$27,2),$K$19:$K$27,0)),"")</f>
        <v>12</v>
      </c>
      <c r="H7" s="45">
        <f>IFERROR(INDEX($H$19:$H$27,MATCH(LARGE($K$19:$K$27,2),$K$19:$K$27,0)),"")</f>
        <v>8</v>
      </c>
      <c r="I7" s="45">
        <f>IFERROR(INDEX($I$19:$I$27,MATCH(LARGE($K$19:$K$27,2),$K$19:$K$27,0)),"")</f>
        <v>4</v>
      </c>
      <c r="J7" s="46">
        <f>IFERROR(INDEX($J$19:$J$27,MATCH(LARGE($K$19:$K$27,2),$K$19:$K$27,0)),"")</f>
        <v>12</v>
      </c>
      <c r="K7" s="47" t="str">
        <f>IF(2=1,"🥇 Turniersieger",IF(2=2,"🥈 Vize",IF(2=3,"🥉 3. Platz","")))</f>
        <v>🥈 Vize</v>
      </c>
    </row>
    <row r="8" spans="1:11" ht="21.75" customHeight="1" x14ac:dyDescent="0.25">
      <c r="A8" s="48">
        <v>3</v>
      </c>
      <c r="B8" s="49" t="str">
        <f>IFERROR(INDEX($B$19:$B$27,MATCH(LARGE($K$19:$K$27,3),$K$19:$K$27,0)),"")</f>
        <v>Blau-Weiß Auental</v>
      </c>
      <c r="C8" s="50">
        <f>IFERROR(INDEX($C$19:$C$27,MATCH(LARGE($K$19:$K$27,3),$K$19:$K$27,0)),"")</f>
        <v>7</v>
      </c>
      <c r="D8" s="50">
        <f>IFERROR(INDEX($D$19:$D$27,MATCH(LARGE($K$19:$K$27,3),$K$19:$K$27,0)),"")</f>
        <v>4</v>
      </c>
      <c r="E8" s="50">
        <f>IFERROR(INDEX($E$19:$E$27,MATCH(LARGE($K$19:$K$27,3),$K$19:$K$27,0)),"")</f>
        <v>0</v>
      </c>
      <c r="F8" s="50">
        <f>IFERROR(INDEX($F$19:$F$27,MATCH(LARGE($K$19:$K$27,3),$K$19:$K$27,0)),"")</f>
        <v>3</v>
      </c>
      <c r="G8" s="50">
        <f>IFERROR(INDEX($G$19:$G$27,MATCH(LARGE($K$19:$K$27,3),$K$19:$K$27,0)),"")</f>
        <v>7</v>
      </c>
      <c r="H8" s="50">
        <f>IFERROR(INDEX($H$19:$H$27,MATCH(LARGE($K$19:$K$27,3),$K$19:$K$27,0)),"")</f>
        <v>8</v>
      </c>
      <c r="I8" s="50">
        <f>IFERROR(INDEX($I$19:$I$27,MATCH(LARGE($K$19:$K$27,3),$K$19:$K$27,0)),"")</f>
        <v>-1</v>
      </c>
      <c r="J8" s="51">
        <f>IFERROR(INDEX($J$19:$J$27,MATCH(LARGE($K$19:$K$27,3),$K$19:$K$27,0)),"")</f>
        <v>12</v>
      </c>
      <c r="K8" s="52" t="str">
        <f>IF(3=1,"🥇 Turniersieger",IF(3=2,"🥈 Vize",IF(3=3,"🥉 3. Platz","")))</f>
        <v>🥉 3. Platz</v>
      </c>
    </row>
    <row r="9" spans="1:11" ht="21.75" customHeight="1" x14ac:dyDescent="0.25">
      <c r="A9" s="53">
        <v>4</v>
      </c>
      <c r="B9" s="54" t="str">
        <f>IFERROR(INDEX($B$19:$B$27,MATCH(LARGE($K$19:$K$27,4),$K$19:$K$27,0)),"")</f>
        <v>FC Sturmvogel</v>
      </c>
      <c r="C9" s="55">
        <f>IFERROR(INDEX($C$19:$C$27,MATCH(LARGE($K$19:$K$27,4),$K$19:$K$27,0)),"")</f>
        <v>7</v>
      </c>
      <c r="D9" s="55">
        <f>IFERROR(INDEX($D$19:$D$27,MATCH(LARGE($K$19:$K$27,4),$K$19:$K$27,0)),"")</f>
        <v>3</v>
      </c>
      <c r="E9" s="55">
        <f>IFERROR(INDEX($E$19:$E$27,MATCH(LARGE($K$19:$K$27,4),$K$19:$K$27,0)),"")</f>
        <v>1</v>
      </c>
      <c r="F9" s="55">
        <f>IFERROR(INDEX($F$19:$F$27,MATCH(LARGE($K$19:$K$27,4),$K$19:$K$27,0)),"")</f>
        <v>3</v>
      </c>
      <c r="G9" s="55">
        <f>IFERROR(INDEX($G$19:$G$27,MATCH(LARGE($K$19:$K$27,4),$K$19:$K$27,0)),"")</f>
        <v>11</v>
      </c>
      <c r="H9" s="55">
        <f>IFERROR(INDEX($H$19:$H$27,MATCH(LARGE($K$19:$K$27,4),$K$19:$K$27,0)),"")</f>
        <v>12</v>
      </c>
      <c r="I9" s="55">
        <f>IFERROR(INDEX($I$19:$I$27,MATCH(LARGE($K$19:$K$27,4),$K$19:$K$27,0)),"")</f>
        <v>-1</v>
      </c>
      <c r="J9" s="56">
        <f>IFERROR(INDEX($J$19:$J$27,MATCH(LARGE($K$19:$K$27,4),$K$19:$K$27,0)),"")</f>
        <v>10</v>
      </c>
      <c r="K9" s="57" t="str">
        <f>IF(4=1,"🥇 Turniersieger",IF(4=2,"🥈 Vize",IF(4=3,"🥉 3. Platz","")))</f>
        <v/>
      </c>
    </row>
    <row r="10" spans="1:11" ht="21.75" customHeight="1" x14ac:dyDescent="0.25">
      <c r="A10" s="58">
        <v>5</v>
      </c>
      <c r="B10" s="59" t="str">
        <f>IFERROR(INDEX($B$19:$B$27,MATCH(LARGE($K$19:$K$27,5),$K$19:$K$27,0)),"")</f>
        <v>SV Eichkamp</v>
      </c>
      <c r="C10" s="60">
        <f>IFERROR(INDEX($C$19:$C$27,MATCH(LARGE($K$19:$K$27,5),$K$19:$K$27,0)),"")</f>
        <v>7</v>
      </c>
      <c r="D10" s="60">
        <f>IFERROR(INDEX($D$19:$D$27,MATCH(LARGE($K$19:$K$27,5),$K$19:$K$27,0)),"")</f>
        <v>2</v>
      </c>
      <c r="E10" s="60">
        <f>IFERROR(INDEX($E$19:$E$27,MATCH(LARGE($K$19:$K$27,5),$K$19:$K$27,0)),"")</f>
        <v>3</v>
      </c>
      <c r="F10" s="60">
        <f>IFERROR(INDEX($F$19:$F$27,MATCH(LARGE($K$19:$K$27,5),$K$19:$K$27,0)),"")</f>
        <v>2</v>
      </c>
      <c r="G10" s="60">
        <f>IFERROR(INDEX($G$19:$G$27,MATCH(LARGE($K$19:$K$27,5),$K$19:$K$27,0)),"")</f>
        <v>6</v>
      </c>
      <c r="H10" s="60">
        <f>IFERROR(INDEX($H$19:$H$27,MATCH(LARGE($K$19:$K$27,5),$K$19:$K$27,0)),"")</f>
        <v>4</v>
      </c>
      <c r="I10" s="60">
        <f>IFERROR(INDEX($I$19:$I$27,MATCH(LARGE($K$19:$K$27,5),$K$19:$K$27,0)),"")</f>
        <v>2</v>
      </c>
      <c r="J10" s="61">
        <f>IFERROR(INDEX($J$19:$J$27,MATCH(LARGE($K$19:$K$27,5),$K$19:$K$27,0)),"")</f>
        <v>9</v>
      </c>
      <c r="K10" s="62" t="str">
        <f>IF(5=1,"🥇 Turniersieger",IF(5=2,"🥈 Vize",IF(5=3,"🥉 3. Platz","")))</f>
        <v/>
      </c>
    </row>
    <row r="11" spans="1:11" ht="21.75" customHeight="1" x14ac:dyDescent="0.25">
      <c r="A11" s="53">
        <v>6</v>
      </c>
      <c r="B11" s="54" t="str">
        <f>IFERROR(INDEX($B$19:$B$27,MATCH(LARGE($K$19:$K$27,6),$K$19:$K$27,0)),"")</f>
        <v>SC Lindenhof</v>
      </c>
      <c r="C11" s="55">
        <f>IFERROR(INDEX($C$19:$C$27,MATCH(LARGE($K$19:$K$27,6),$K$19:$K$27,0)),"")</f>
        <v>7</v>
      </c>
      <c r="D11" s="55">
        <f>IFERROR(INDEX($D$19:$D$27,MATCH(LARGE($K$19:$K$27,6),$K$19:$K$27,0)),"")</f>
        <v>2</v>
      </c>
      <c r="E11" s="55">
        <f>IFERROR(INDEX($E$19:$E$27,MATCH(LARGE($K$19:$K$27,6),$K$19:$K$27,0)),"")</f>
        <v>3</v>
      </c>
      <c r="F11" s="55">
        <f>IFERROR(INDEX($F$19:$F$27,MATCH(LARGE($K$19:$K$27,6),$K$19:$K$27,0)),"")</f>
        <v>2</v>
      </c>
      <c r="G11" s="55">
        <f>IFERROR(INDEX($G$19:$G$27,MATCH(LARGE($K$19:$K$27,6),$K$19:$K$27,0)),"")</f>
        <v>11</v>
      </c>
      <c r="H11" s="55">
        <f>IFERROR(INDEX($H$19:$H$27,MATCH(LARGE($K$19:$K$27,6),$K$19:$K$27,0)),"")</f>
        <v>11</v>
      </c>
      <c r="I11" s="55">
        <f>IFERROR(INDEX($I$19:$I$27,MATCH(LARGE($K$19:$K$27,6),$K$19:$K$27,0)),"")</f>
        <v>0</v>
      </c>
      <c r="J11" s="56">
        <f>IFERROR(INDEX($J$19:$J$27,MATCH(LARGE($K$19:$K$27,6),$K$19:$K$27,0)),"")</f>
        <v>9</v>
      </c>
      <c r="K11" s="57" t="str">
        <f>IF(6=1,"🥇 Turniersieger",IF(6=2,"🥈 Vize",IF(6=3,"🥉 3. Platz","")))</f>
        <v/>
      </c>
    </row>
    <row r="12" spans="1:11" ht="21.75" customHeight="1" x14ac:dyDescent="0.25">
      <c r="A12" s="58">
        <v>7</v>
      </c>
      <c r="B12" s="59" t="str">
        <f>IFERROR(INDEX($B$19:$B$27,MATCH(LARGE($K$19:$K$27,7),$K$19:$K$27,0)),"")</f>
        <v>TSV Seehafen</v>
      </c>
      <c r="C12" s="60">
        <f>IFERROR(INDEX($C$19:$C$27,MATCH(LARGE($K$19:$K$27,7),$K$19:$K$27,0)),"")</f>
        <v>8</v>
      </c>
      <c r="D12" s="60">
        <f>IFERROR(INDEX($D$19:$D$27,MATCH(LARGE($K$19:$K$27,7),$K$19:$K$27,0)),"")</f>
        <v>1</v>
      </c>
      <c r="E12" s="60">
        <f>IFERROR(INDEX($E$19:$E$27,MATCH(LARGE($K$19:$K$27,7),$K$19:$K$27,0)),"")</f>
        <v>4</v>
      </c>
      <c r="F12" s="60">
        <f>IFERROR(INDEX($F$19:$F$27,MATCH(LARGE($K$19:$K$27,7),$K$19:$K$27,0)),"")</f>
        <v>3</v>
      </c>
      <c r="G12" s="60">
        <f>IFERROR(INDEX($G$19:$G$27,MATCH(LARGE($K$19:$K$27,7),$K$19:$K$27,0)),"")</f>
        <v>9</v>
      </c>
      <c r="H12" s="60">
        <f>IFERROR(INDEX($H$19:$H$27,MATCH(LARGE($K$19:$K$27,7),$K$19:$K$27,0)),"")</f>
        <v>12</v>
      </c>
      <c r="I12" s="60">
        <f>IFERROR(INDEX($I$19:$I$27,MATCH(LARGE($K$19:$K$27,7),$K$19:$K$27,0)),"")</f>
        <v>-3</v>
      </c>
      <c r="J12" s="61">
        <f>IFERROR(INDEX($J$19:$J$27,MATCH(LARGE($K$19:$K$27,7),$K$19:$K$27,0)),"")</f>
        <v>7</v>
      </c>
      <c r="K12" s="62" t="str">
        <f>IF(7=1,"🥇 Turniersieger",IF(7=2,"🥈 Vize",IF(7=3,"🥉 3. Platz","")))</f>
        <v/>
      </c>
    </row>
    <row r="13" spans="1:11" ht="21.75" customHeight="1" x14ac:dyDescent="0.25">
      <c r="A13" s="53">
        <v>8</v>
      </c>
      <c r="B13" s="54" t="str">
        <f>IFERROR(INDEX($B$19:$B$27,MATCH(LARGE($K$19:$K$27,8),$K$19:$K$27,0)),"")</f>
        <v>SV Morgenrot</v>
      </c>
      <c r="C13" s="55">
        <f>IFERROR(INDEX($C$19:$C$27,MATCH(LARGE($K$19:$K$27,8),$K$19:$K$27,0)),"")</f>
        <v>7</v>
      </c>
      <c r="D13" s="55">
        <f>IFERROR(INDEX($D$19:$D$27,MATCH(LARGE($K$19:$K$27,8),$K$19:$K$27,0)),"")</f>
        <v>1</v>
      </c>
      <c r="E13" s="55">
        <f>IFERROR(INDEX($E$19:$E$27,MATCH(LARGE($K$19:$K$27,8),$K$19:$K$27,0)),"")</f>
        <v>3</v>
      </c>
      <c r="F13" s="55">
        <f>IFERROR(INDEX($F$19:$F$27,MATCH(LARGE($K$19:$K$27,8),$K$19:$K$27,0)),"")</f>
        <v>3</v>
      </c>
      <c r="G13" s="55">
        <f>IFERROR(INDEX($G$19:$G$27,MATCH(LARGE($K$19:$K$27,8),$K$19:$K$27,0)),"")</f>
        <v>8</v>
      </c>
      <c r="H13" s="55">
        <f>IFERROR(INDEX($H$19:$H$27,MATCH(LARGE($K$19:$K$27,8),$K$19:$K$27,0)),"")</f>
        <v>11</v>
      </c>
      <c r="I13" s="55">
        <f>IFERROR(INDEX($I$19:$I$27,MATCH(LARGE($K$19:$K$27,8),$K$19:$K$27,0)),"")</f>
        <v>-3</v>
      </c>
      <c r="J13" s="56">
        <f>IFERROR(INDEX($J$19:$J$27,MATCH(LARGE($K$19:$K$27,8),$K$19:$K$27,0)),"")</f>
        <v>6</v>
      </c>
      <c r="K13" s="57" t="str">
        <f>IF(8=1,"🥇 Turniersieger",IF(8=2,"🥈 Vize",IF(8=3,"🥉 3. Platz","")))</f>
        <v/>
      </c>
    </row>
    <row r="14" spans="1:11" ht="21.75" customHeight="1" x14ac:dyDescent="0.25">
      <c r="A14" s="58">
        <v>9</v>
      </c>
      <c r="B14" s="59" t="str">
        <f>IFERROR(INDEX($B$19:$B$27,MATCH(LARGE($K$19:$K$27,9),$K$19:$K$27,0)),"")</f>
        <v>SC Wellenbach</v>
      </c>
      <c r="C14" s="60">
        <f>IFERROR(INDEX($C$19:$C$27,MATCH(LARGE($K$19:$K$27,9),$K$19:$K$27,0)),"")</f>
        <v>7</v>
      </c>
      <c r="D14" s="60">
        <f>IFERROR(INDEX($D$19:$D$27,MATCH(LARGE($K$19:$K$27,9),$K$19:$K$27,0)),"")</f>
        <v>0</v>
      </c>
      <c r="E14" s="60">
        <f>IFERROR(INDEX($E$19:$E$27,MATCH(LARGE($K$19:$K$27,9),$K$19:$K$27,0)),"")</f>
        <v>3</v>
      </c>
      <c r="F14" s="60">
        <f>IFERROR(INDEX($F$19:$F$27,MATCH(LARGE($K$19:$K$27,9),$K$19:$K$27,0)),"")</f>
        <v>4</v>
      </c>
      <c r="G14" s="60">
        <f>IFERROR(INDEX($G$19:$G$27,MATCH(LARGE($K$19:$K$27,9),$K$19:$K$27,0)),"")</f>
        <v>6</v>
      </c>
      <c r="H14" s="60">
        <f>IFERROR(INDEX($H$19:$H$27,MATCH(LARGE($K$19:$K$27,9),$K$19:$K$27,0)),"")</f>
        <v>12</v>
      </c>
      <c r="I14" s="60">
        <f>IFERROR(INDEX($I$19:$I$27,MATCH(LARGE($K$19:$K$27,9),$K$19:$K$27,0)),"")</f>
        <v>-6</v>
      </c>
      <c r="J14" s="61">
        <f>IFERROR(INDEX($J$19:$J$27,MATCH(LARGE($K$19:$K$27,9),$K$19:$K$27,0)),"")</f>
        <v>3</v>
      </c>
      <c r="K14" s="62" t="str">
        <f>IF(9=1,"🥇 Turniersieger",IF(9=2,"🥈 Vize",IF(9=3,"🥉 3. Platz","")))</f>
        <v/>
      </c>
    </row>
    <row r="17" spans="1:11" ht="19.5" customHeight="1" x14ac:dyDescent="0.25">
      <c r="A17" s="11" t="s">
        <v>78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4" customHeight="1" x14ac:dyDescent="0.25">
      <c r="A18" s="63" t="s">
        <v>15</v>
      </c>
      <c r="B18" s="63" t="s">
        <v>16</v>
      </c>
      <c r="C18" s="63" t="s">
        <v>70</v>
      </c>
      <c r="D18" s="63" t="s">
        <v>71</v>
      </c>
      <c r="E18" s="63" t="s">
        <v>72</v>
      </c>
      <c r="F18" s="63" t="s">
        <v>73</v>
      </c>
      <c r="G18" s="63" t="s">
        <v>74</v>
      </c>
      <c r="H18" s="63" t="s">
        <v>75</v>
      </c>
      <c r="I18" s="63" t="s">
        <v>76</v>
      </c>
      <c r="J18" s="63" t="s">
        <v>77</v>
      </c>
      <c r="K18" s="63" t="s">
        <v>79</v>
      </c>
    </row>
    <row r="19" spans="1:11" ht="18.75" customHeight="1" x14ac:dyDescent="0.25">
      <c r="A19" s="64">
        <v>1</v>
      </c>
      <c r="B19" s="25" t="str">
        <f>IFERROR(INDEX(Spielplan!$B$11:$B$19,1),"")</f>
        <v>FC Falkenberg</v>
      </c>
      <c r="C19" s="20">
        <f>COUNTIFS(Spielplan!$E$25:$E$68,$B$19,Spielplan!$F$25:$F$68,"&lt;&gt;")+COUNTIFS(Spielplan!$I$25:$I$68,$B$19,Spielplan!$H$25:$H$68,"&lt;&gt;")</f>
        <v>7</v>
      </c>
      <c r="D19" s="20">
        <f>COUNTIFS(Spielplan!$E$25:$E$68,$B$19,Spielplan!$K$25:$K$68,3)+COUNTIFS(Spielplan!$I$25:$I$68,$B$19,Spielplan!$L$25:$L$68,3)</f>
        <v>5</v>
      </c>
      <c r="E19" s="20">
        <f>COUNTIFS(Spielplan!$E$25:$E$68,$B$19,Spielplan!$K$25:$K$68,1)+COUNTIFS(Spielplan!$I$25:$I$68,$B$19,Spielplan!$L$25:$L$68,1)</f>
        <v>2</v>
      </c>
      <c r="F19" s="20">
        <f>COUNTIFS(Spielplan!$E$25:$E$68,$B$19,Spielplan!$K$25:$K$68,0)+COUNTIFS(Spielplan!$I$25:$I$68,$B$19,Spielplan!$L$25:$L$68,0)</f>
        <v>0</v>
      </c>
      <c r="G19" s="20">
        <f>SUMIFS(Spielplan!$F$25:$F$68,Spielplan!$E$25:$E$68,$B$19)+SUMIFS(Spielplan!$H$25:$H$68,Spielplan!$I$25:$I$68,$B$19)</f>
        <v>15</v>
      </c>
      <c r="H19" s="20">
        <f>SUMIFS(Spielplan!$H$25:$H$68,Spielplan!$E$25:$E$68,$B$19)+SUMIFS(Spielplan!$F$25:$F$68,Spielplan!$I$25:$I$68,$B$19)</f>
        <v>7</v>
      </c>
      <c r="I19" s="20">
        <f t="shared" ref="I19:I27" si="0">G19-H19</f>
        <v>8</v>
      </c>
      <c r="J19" s="65">
        <f>SUMIFS(Spielplan!$K$25:$K$68,Spielplan!$E$25:$E$68,$B$19)+SUMIFS(Spielplan!$L$25:$L$68,Spielplan!$I$25:$I$68,$B$19)</f>
        <v>17</v>
      </c>
      <c r="K19" s="21">
        <f t="shared" ref="K19:K27" si="1">J19*1000000+(I19+1000)*1000+G19*10+(10-A19)</f>
        <v>18008159</v>
      </c>
    </row>
    <row r="20" spans="1:11" ht="18.75" customHeight="1" x14ac:dyDescent="0.25">
      <c r="A20" s="64">
        <v>2</v>
      </c>
      <c r="B20" s="34" t="str">
        <f>IFERROR(INDEX(Spielplan!$B$11:$B$19,2),"")</f>
        <v>SV Morgenrot</v>
      </c>
      <c r="C20" s="30">
        <f>COUNTIFS(Spielplan!$E$25:$E$68,$B$20,Spielplan!$F$25:$F$68,"&lt;&gt;")+COUNTIFS(Spielplan!$I$25:$I$68,$B$20,Spielplan!$H$25:$H$68,"&lt;&gt;")</f>
        <v>7</v>
      </c>
      <c r="D20" s="30">
        <f>COUNTIFS(Spielplan!$E$25:$E$68,$B$20,Spielplan!$K$25:$K$68,3)+COUNTIFS(Spielplan!$I$25:$I$68,$B$20,Spielplan!$L$25:$L$68,3)</f>
        <v>1</v>
      </c>
      <c r="E20" s="30">
        <f>COUNTIFS(Spielplan!$E$25:$E$68,$B$20,Spielplan!$K$25:$K$68,1)+COUNTIFS(Spielplan!$I$25:$I$68,$B$20,Spielplan!$L$25:$L$68,1)</f>
        <v>3</v>
      </c>
      <c r="F20" s="30">
        <f>COUNTIFS(Spielplan!$E$25:$E$68,$B$20,Spielplan!$K$25:$K$68,0)+COUNTIFS(Spielplan!$I$25:$I$68,$B$20,Spielplan!$L$25:$L$68,0)</f>
        <v>3</v>
      </c>
      <c r="G20" s="30">
        <f>SUMIFS(Spielplan!$F$25:$F$68,Spielplan!$E$25:$E$68,$B$20)+SUMIFS(Spielplan!$H$25:$H$68,Spielplan!$I$25:$I$68,$B$20)</f>
        <v>8</v>
      </c>
      <c r="H20" s="30">
        <f>SUMIFS(Spielplan!$H$25:$H$68,Spielplan!$E$25:$E$68,$B$20)+SUMIFS(Spielplan!$F$25:$F$68,Spielplan!$I$25:$I$68,$B$20)</f>
        <v>11</v>
      </c>
      <c r="I20" s="30">
        <f t="shared" si="0"/>
        <v>-3</v>
      </c>
      <c r="J20" s="66">
        <f>SUMIFS(Spielplan!$K$25:$K$68,Spielplan!$E$25:$E$68,$B$20)+SUMIFS(Spielplan!$L$25:$L$68,Spielplan!$I$25:$I$68,$B$20)</f>
        <v>6</v>
      </c>
      <c r="K20" s="31">
        <f t="shared" si="1"/>
        <v>6997088</v>
      </c>
    </row>
    <row r="21" spans="1:11" ht="18.75" customHeight="1" x14ac:dyDescent="0.25">
      <c r="A21" s="64">
        <v>3</v>
      </c>
      <c r="B21" s="25" t="str">
        <f>IFERROR(INDEX(Spielplan!$B$11:$B$19,3),"")</f>
        <v>TSV Seehafen</v>
      </c>
      <c r="C21" s="20">
        <f>COUNTIFS(Spielplan!$E$25:$E$68,$B$21,Spielplan!$F$25:$F$68,"&lt;&gt;")+COUNTIFS(Spielplan!$I$25:$I$68,$B$21,Spielplan!$H$25:$H$68,"&lt;&gt;")</f>
        <v>8</v>
      </c>
      <c r="D21" s="20">
        <f>COUNTIFS(Spielplan!$E$25:$E$68,$B$21,Spielplan!$K$25:$K$68,3)+COUNTIFS(Spielplan!$I$25:$I$68,$B$21,Spielplan!$L$25:$L$68,3)</f>
        <v>1</v>
      </c>
      <c r="E21" s="20">
        <f>COUNTIFS(Spielplan!$E$25:$E$68,$B$21,Spielplan!$K$25:$K$68,1)+COUNTIFS(Spielplan!$I$25:$I$68,$B$21,Spielplan!$L$25:$L$68,1)</f>
        <v>4</v>
      </c>
      <c r="F21" s="20">
        <f>COUNTIFS(Spielplan!$E$25:$E$68,$B$21,Spielplan!$K$25:$K$68,0)+COUNTIFS(Spielplan!$I$25:$I$68,$B$21,Spielplan!$L$25:$L$68,0)</f>
        <v>3</v>
      </c>
      <c r="G21" s="20">
        <f>SUMIFS(Spielplan!$F$25:$F$68,Spielplan!$E$25:$E$68,$B$21)+SUMIFS(Spielplan!$H$25:$H$68,Spielplan!$I$25:$I$68,$B$21)</f>
        <v>9</v>
      </c>
      <c r="H21" s="20">
        <f>SUMIFS(Spielplan!$H$25:$H$68,Spielplan!$E$25:$E$68,$B$21)+SUMIFS(Spielplan!$F$25:$F$68,Spielplan!$I$25:$I$68,$B$21)</f>
        <v>12</v>
      </c>
      <c r="I21" s="20">
        <f t="shared" si="0"/>
        <v>-3</v>
      </c>
      <c r="J21" s="65">
        <f>SUMIFS(Spielplan!$K$25:$K$68,Spielplan!$E$25:$E$68,$B$21)+SUMIFS(Spielplan!$L$25:$L$68,Spielplan!$I$25:$I$68,$B$21)</f>
        <v>7</v>
      </c>
      <c r="K21" s="21">
        <f t="shared" si="1"/>
        <v>7997097</v>
      </c>
    </row>
    <row r="22" spans="1:11" ht="18.75" customHeight="1" x14ac:dyDescent="0.25">
      <c r="A22" s="64">
        <v>4</v>
      </c>
      <c r="B22" s="34" t="str">
        <f>IFERROR(INDEX(Spielplan!$B$11:$B$19,4),"")</f>
        <v>Blau-Weiß Auental</v>
      </c>
      <c r="C22" s="30">
        <f>COUNTIFS(Spielplan!$E$25:$E$68,$B$22,Spielplan!$F$25:$F$68,"&lt;&gt;")+COUNTIFS(Spielplan!$I$25:$I$68,$B$22,Spielplan!$H$25:$H$68,"&lt;&gt;")</f>
        <v>7</v>
      </c>
      <c r="D22" s="30">
        <f>COUNTIFS(Spielplan!$E$25:$E$68,$B$22,Spielplan!$K$25:$K$68,3)+COUNTIFS(Spielplan!$I$25:$I$68,$B$22,Spielplan!$L$25:$L$68,3)</f>
        <v>4</v>
      </c>
      <c r="E22" s="30">
        <f>COUNTIFS(Spielplan!$E$25:$E$68,$B$22,Spielplan!$K$25:$K$68,1)+COUNTIFS(Spielplan!$I$25:$I$68,$B$22,Spielplan!$L$25:$L$68,1)</f>
        <v>0</v>
      </c>
      <c r="F22" s="30">
        <f>COUNTIFS(Spielplan!$E$25:$E$68,$B$22,Spielplan!$K$25:$K$68,0)+COUNTIFS(Spielplan!$I$25:$I$68,$B$22,Spielplan!$L$25:$L$68,0)</f>
        <v>3</v>
      </c>
      <c r="G22" s="30">
        <f>SUMIFS(Spielplan!$F$25:$F$68,Spielplan!$E$25:$E$68,$B$22)+SUMIFS(Spielplan!$H$25:$H$68,Spielplan!$I$25:$I$68,$B$22)</f>
        <v>7</v>
      </c>
      <c r="H22" s="30">
        <f>SUMIFS(Spielplan!$H$25:$H$68,Spielplan!$E$25:$E$68,$B$22)+SUMIFS(Spielplan!$F$25:$F$68,Spielplan!$I$25:$I$68,$B$22)</f>
        <v>8</v>
      </c>
      <c r="I22" s="30">
        <f t="shared" si="0"/>
        <v>-1</v>
      </c>
      <c r="J22" s="66">
        <f>SUMIFS(Spielplan!$K$25:$K$68,Spielplan!$E$25:$E$68,$B$22)+SUMIFS(Spielplan!$L$25:$L$68,Spielplan!$I$25:$I$68,$B$22)</f>
        <v>12</v>
      </c>
      <c r="K22" s="31">
        <f t="shared" si="1"/>
        <v>12999076</v>
      </c>
    </row>
    <row r="23" spans="1:11" ht="18.75" customHeight="1" x14ac:dyDescent="0.25">
      <c r="A23" s="64">
        <v>5</v>
      </c>
      <c r="B23" s="25" t="str">
        <f>IFERROR(INDEX(Spielplan!$B$11:$B$19,5),"")</f>
        <v>SC Lindenhof</v>
      </c>
      <c r="C23" s="20">
        <f>COUNTIFS(Spielplan!$E$25:$E$68,$B$23,Spielplan!$F$25:$F$68,"&lt;&gt;")+COUNTIFS(Spielplan!$I$25:$I$68,$B$23,Spielplan!$H$25:$H$68,"&lt;&gt;")</f>
        <v>7</v>
      </c>
      <c r="D23" s="20">
        <f>COUNTIFS(Spielplan!$E$25:$E$68,$B$23,Spielplan!$K$25:$K$68,3)+COUNTIFS(Spielplan!$I$25:$I$68,$B$23,Spielplan!$L$25:$L$68,3)</f>
        <v>2</v>
      </c>
      <c r="E23" s="20">
        <f>COUNTIFS(Spielplan!$E$25:$E$68,$B$23,Spielplan!$K$25:$K$68,1)+COUNTIFS(Spielplan!$I$25:$I$68,$B$23,Spielplan!$L$25:$L$68,1)</f>
        <v>3</v>
      </c>
      <c r="F23" s="20">
        <f>COUNTIFS(Spielplan!$E$25:$E$68,$B$23,Spielplan!$K$25:$K$68,0)+COUNTIFS(Spielplan!$I$25:$I$68,$B$23,Spielplan!$L$25:$L$68,0)</f>
        <v>2</v>
      </c>
      <c r="G23" s="20">
        <f>SUMIFS(Spielplan!$F$25:$F$68,Spielplan!$E$25:$E$68,$B$23)+SUMIFS(Spielplan!$H$25:$H$68,Spielplan!$I$25:$I$68,$B$23)</f>
        <v>11</v>
      </c>
      <c r="H23" s="20">
        <f>SUMIFS(Spielplan!$H$25:$H$68,Spielplan!$E$25:$E$68,$B$23)+SUMIFS(Spielplan!$F$25:$F$68,Spielplan!$I$25:$I$68,$B$23)</f>
        <v>11</v>
      </c>
      <c r="I23" s="20">
        <f t="shared" si="0"/>
        <v>0</v>
      </c>
      <c r="J23" s="65">
        <f>SUMIFS(Spielplan!$K$25:$K$68,Spielplan!$E$25:$E$68,$B$23)+SUMIFS(Spielplan!$L$25:$L$68,Spielplan!$I$25:$I$68,$B$23)</f>
        <v>9</v>
      </c>
      <c r="K23" s="21">
        <f t="shared" si="1"/>
        <v>10000115</v>
      </c>
    </row>
    <row r="24" spans="1:11" ht="18.75" customHeight="1" x14ac:dyDescent="0.25">
      <c r="A24" s="64">
        <v>6</v>
      </c>
      <c r="B24" s="34" t="str">
        <f>IFERROR(INDEX(Spielplan!$B$11:$B$19,6),"")</f>
        <v>FC Sturmvogel</v>
      </c>
      <c r="C24" s="30">
        <f>COUNTIFS(Spielplan!$E$25:$E$68,$B$24,Spielplan!$F$25:$F$68,"&lt;&gt;")+COUNTIFS(Spielplan!$I$25:$I$68,$B$24,Spielplan!$H$25:$H$68,"&lt;&gt;")</f>
        <v>7</v>
      </c>
      <c r="D24" s="30">
        <f>COUNTIFS(Spielplan!$E$25:$E$68,$B$24,Spielplan!$K$25:$K$68,3)+COUNTIFS(Spielplan!$I$25:$I$68,$B$24,Spielplan!$L$25:$L$68,3)</f>
        <v>3</v>
      </c>
      <c r="E24" s="30">
        <f>COUNTIFS(Spielplan!$E$25:$E$68,$B$24,Spielplan!$K$25:$K$68,1)+COUNTIFS(Spielplan!$I$25:$I$68,$B$24,Spielplan!$L$25:$L$68,1)</f>
        <v>1</v>
      </c>
      <c r="F24" s="30">
        <f>COUNTIFS(Spielplan!$E$25:$E$68,$B$24,Spielplan!$K$25:$K$68,0)+COUNTIFS(Spielplan!$I$25:$I$68,$B$24,Spielplan!$L$25:$L$68,0)</f>
        <v>3</v>
      </c>
      <c r="G24" s="30">
        <f>SUMIFS(Spielplan!$F$25:$F$68,Spielplan!$E$25:$E$68,$B$24)+SUMIFS(Spielplan!$H$25:$H$68,Spielplan!$I$25:$I$68,$B$24)</f>
        <v>11</v>
      </c>
      <c r="H24" s="30">
        <f>SUMIFS(Spielplan!$H$25:$H$68,Spielplan!$E$25:$E$68,$B$24)+SUMIFS(Spielplan!$F$25:$F$68,Spielplan!$I$25:$I$68,$B$24)</f>
        <v>12</v>
      </c>
      <c r="I24" s="30">
        <f t="shared" si="0"/>
        <v>-1</v>
      </c>
      <c r="J24" s="66">
        <f>SUMIFS(Spielplan!$K$25:$K$68,Spielplan!$E$25:$E$68,$B$24)+SUMIFS(Spielplan!$L$25:$L$68,Spielplan!$I$25:$I$68,$B$24)</f>
        <v>10</v>
      </c>
      <c r="K24" s="31">
        <f t="shared" si="1"/>
        <v>10999114</v>
      </c>
    </row>
    <row r="25" spans="1:11" ht="18.75" customHeight="1" x14ac:dyDescent="0.25">
      <c r="A25" s="64">
        <v>7</v>
      </c>
      <c r="B25" s="25" t="str">
        <f>IFERROR(INDEX(Spielplan!$B$11:$B$19,7),"")</f>
        <v>SV Eichkamp</v>
      </c>
      <c r="C25" s="20">
        <f>COUNTIFS(Spielplan!$E$25:$E$68,$B$25,Spielplan!$F$25:$F$68,"&lt;&gt;")+COUNTIFS(Spielplan!$I$25:$I$68,$B$25,Spielplan!$H$25:$H$68,"&lt;&gt;")</f>
        <v>7</v>
      </c>
      <c r="D25" s="20">
        <f>COUNTIFS(Spielplan!$E$25:$E$68,$B$25,Spielplan!$K$25:$K$68,3)+COUNTIFS(Spielplan!$I$25:$I$68,$B$25,Spielplan!$L$25:$L$68,3)</f>
        <v>2</v>
      </c>
      <c r="E25" s="20">
        <f>COUNTIFS(Spielplan!$E$25:$E$68,$B$25,Spielplan!$K$25:$K$68,1)+COUNTIFS(Spielplan!$I$25:$I$68,$B$25,Spielplan!$L$25:$L$68,1)</f>
        <v>3</v>
      </c>
      <c r="F25" s="20">
        <f>COUNTIFS(Spielplan!$E$25:$E$68,$B$25,Spielplan!$K$25:$K$68,0)+COUNTIFS(Spielplan!$I$25:$I$68,$B$25,Spielplan!$L$25:$L$68,0)</f>
        <v>2</v>
      </c>
      <c r="G25" s="20">
        <f>SUMIFS(Spielplan!$F$25:$F$68,Spielplan!$E$25:$E$68,$B$25)+SUMIFS(Spielplan!$H$25:$H$68,Spielplan!$I$25:$I$68,$B$25)</f>
        <v>6</v>
      </c>
      <c r="H25" s="20">
        <f>SUMIFS(Spielplan!$H$25:$H$68,Spielplan!$E$25:$E$68,$B$25)+SUMIFS(Spielplan!$F$25:$F$68,Spielplan!$I$25:$I$68,$B$25)</f>
        <v>4</v>
      </c>
      <c r="I25" s="20">
        <f t="shared" si="0"/>
        <v>2</v>
      </c>
      <c r="J25" s="65">
        <f>SUMIFS(Spielplan!$K$25:$K$68,Spielplan!$E$25:$E$68,$B$25)+SUMIFS(Spielplan!$L$25:$L$68,Spielplan!$I$25:$I$68,$B$25)</f>
        <v>9</v>
      </c>
      <c r="K25" s="21">
        <f t="shared" si="1"/>
        <v>10002063</v>
      </c>
    </row>
    <row r="26" spans="1:11" ht="18.75" customHeight="1" x14ac:dyDescent="0.25">
      <c r="A26" s="64">
        <v>8</v>
      </c>
      <c r="B26" s="34" t="str">
        <f>IFERROR(INDEX(Spielplan!$B$11:$B$19,8),"")</f>
        <v>TSV Rosental</v>
      </c>
      <c r="C26" s="30">
        <f>COUNTIFS(Spielplan!$E$25:$E$68,$B$26,Spielplan!$F$25:$F$68,"&lt;&gt;")+COUNTIFS(Spielplan!$I$25:$I$68,$B$26,Spielplan!$H$25:$H$68,"&lt;&gt;")</f>
        <v>7</v>
      </c>
      <c r="D26" s="30">
        <f>COUNTIFS(Spielplan!$E$25:$E$68,$B$26,Spielplan!$K$25:$K$68,3)+COUNTIFS(Spielplan!$I$25:$I$68,$B$26,Spielplan!$L$25:$L$68,3)</f>
        <v>3</v>
      </c>
      <c r="E26" s="30">
        <f>COUNTIFS(Spielplan!$E$25:$E$68,$B$26,Spielplan!$K$25:$K$68,1)+COUNTIFS(Spielplan!$I$25:$I$68,$B$26,Spielplan!$L$25:$L$68,1)</f>
        <v>3</v>
      </c>
      <c r="F26" s="30">
        <f>COUNTIFS(Spielplan!$E$25:$E$68,$B$26,Spielplan!$K$25:$K$68,0)+COUNTIFS(Spielplan!$I$25:$I$68,$B$26,Spielplan!$L$25:$L$68,0)</f>
        <v>1</v>
      </c>
      <c r="G26" s="30">
        <f>SUMIFS(Spielplan!$F$25:$F$68,Spielplan!$E$25:$E$68,$B$26)+SUMIFS(Spielplan!$H$25:$H$68,Spielplan!$I$25:$I$68,$B$26)</f>
        <v>12</v>
      </c>
      <c r="H26" s="30">
        <f>SUMIFS(Spielplan!$H$25:$H$68,Spielplan!$E$25:$E$68,$B$26)+SUMIFS(Spielplan!$F$25:$F$68,Spielplan!$I$25:$I$68,$B$26)</f>
        <v>8</v>
      </c>
      <c r="I26" s="30">
        <f t="shared" si="0"/>
        <v>4</v>
      </c>
      <c r="J26" s="66">
        <f>SUMIFS(Spielplan!$K$25:$K$68,Spielplan!$E$25:$E$68,$B$26)+SUMIFS(Spielplan!$L$25:$L$68,Spielplan!$I$25:$I$68,$B$26)</f>
        <v>12</v>
      </c>
      <c r="K26" s="31">
        <f t="shared" si="1"/>
        <v>13004122</v>
      </c>
    </row>
    <row r="27" spans="1:11" ht="18.75" customHeight="1" x14ac:dyDescent="0.25">
      <c r="A27" s="64">
        <v>9</v>
      </c>
      <c r="B27" s="25" t="str">
        <f>IFERROR(INDEX(Spielplan!$B$11:$B$19,9),"")</f>
        <v>SC Wellenbach</v>
      </c>
      <c r="C27" s="20">
        <f>COUNTIFS(Spielplan!$E$25:$E$68,$B$27,Spielplan!$F$25:$F$68,"&lt;&gt;")+COUNTIFS(Spielplan!$I$25:$I$68,$B$27,Spielplan!$H$25:$H$68,"&lt;&gt;")</f>
        <v>7</v>
      </c>
      <c r="D27" s="20">
        <f>COUNTIFS(Spielplan!$E$25:$E$68,$B$27,Spielplan!$K$25:$K$68,3)+COUNTIFS(Spielplan!$I$25:$I$68,$B$27,Spielplan!$L$25:$L$68,3)</f>
        <v>0</v>
      </c>
      <c r="E27" s="20">
        <f>COUNTIFS(Spielplan!$E$25:$E$68,$B$27,Spielplan!$K$25:$K$68,1)+COUNTIFS(Spielplan!$I$25:$I$68,$B$27,Spielplan!$L$25:$L$68,1)</f>
        <v>3</v>
      </c>
      <c r="F27" s="20">
        <f>COUNTIFS(Spielplan!$E$25:$E$68,$B$27,Spielplan!$K$25:$K$68,0)+COUNTIFS(Spielplan!$I$25:$I$68,$B$27,Spielplan!$L$25:$L$68,0)</f>
        <v>4</v>
      </c>
      <c r="G27" s="20">
        <f>SUMIFS(Spielplan!$F$25:$F$68,Spielplan!$E$25:$E$68,$B$27)+SUMIFS(Spielplan!$H$25:$H$68,Spielplan!$I$25:$I$68,$B$27)</f>
        <v>6</v>
      </c>
      <c r="H27" s="20">
        <f>SUMIFS(Spielplan!$H$25:$H$68,Spielplan!$E$25:$E$68,$B$27)+SUMIFS(Spielplan!$F$25:$F$68,Spielplan!$I$25:$I$68,$B$27)</f>
        <v>12</v>
      </c>
      <c r="I27" s="20">
        <f t="shared" si="0"/>
        <v>-6</v>
      </c>
      <c r="J27" s="65">
        <f>SUMIFS(Spielplan!$K$25:$K$68,Spielplan!$E$25:$E$68,$B$27)+SUMIFS(Spielplan!$L$25:$L$68,Spielplan!$I$25:$I$68,$B$27)</f>
        <v>3</v>
      </c>
      <c r="K27" s="21">
        <f t="shared" si="1"/>
        <v>3994061</v>
      </c>
    </row>
    <row r="29" spans="1:11" x14ac:dyDescent="0.25">
      <c r="A29" s="6" t="s">
        <v>80</v>
      </c>
      <c r="B29" s="6"/>
      <c r="C29" s="6"/>
      <c r="D29" s="6"/>
      <c r="E29" s="6"/>
      <c r="F29" s="6"/>
      <c r="G29" s="6"/>
      <c r="H29" s="6"/>
      <c r="I29" s="6"/>
      <c r="J29" s="6"/>
      <c r="K29" s="6"/>
    </row>
  </sheetData>
  <mergeCells count="5">
    <mergeCell ref="A1:K1"/>
    <mergeCell ref="A2:K2"/>
    <mergeCell ref="A4:K4"/>
    <mergeCell ref="A17:K17"/>
    <mergeCell ref="A29:K29"/>
  </mergeCells>
  <conditionalFormatting sqref="J6:J14">
    <cfRule type="dataBar" priority="2">
      <dataBar>
        <cfvo type="num" val="0"/>
        <cfvo type="max"/>
        <color rgb="FF3A4B59"/>
      </dataBar>
      <extLst>
        <ext xmlns:x14="http://schemas.microsoft.com/office/spreadsheetml/2009/9/main" uri="{B025F937-C7B1-47D3-B67F-A62EFF666E3E}">
          <x14:id>{B7511339-84C7-4261-8F15-C4D8BFB0B4A6}</x14:id>
        </ext>
      </extLst>
    </cfRule>
  </conditionalFormatting>
  <pageMargins left="0.3" right="0.3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7511339-84C7-4261-8F15-C4D8BFB0B4A6}">
            <x14:dataBar axisPosition="none">
              <x14:cfvo type="num">
                <xm:f>0</xm:f>
              </x14:cfvo>
              <x14:cfvo type="max"/>
              <x14:negativeFillColor rgb="FF3A4B59"/>
            </x14:dataBar>
          </x14:cfRule>
          <xm:sqref>J6:J14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A4B59"/>
    <pageSetUpPr fitToPage="1"/>
  </sheetPr>
  <dimension ref="A1:L15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4" customWidth="1"/>
    <col min="2" max="2" width="20" customWidth="1"/>
    <col min="3" max="11" width="10" customWidth="1"/>
  </cols>
  <sheetData>
    <row r="1" spans="1:12" ht="39.75" customHeight="1" x14ac:dyDescent="0.25">
      <c r="A1" s="13" t="s">
        <v>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9.5" customHeight="1" x14ac:dyDescent="0.25">
      <c r="A2" s="12" t="s">
        <v>82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2" ht="39.75" customHeight="1" x14ac:dyDescent="0.25">
      <c r="A4" s="1" t="s">
        <v>83</v>
      </c>
      <c r="B4" s="1"/>
      <c r="C4" s="67" t="str">
        <f>IFERROR(INDEX(Spielplan!$B$11:$B$19,1),"")</f>
        <v>FC Falkenberg</v>
      </c>
      <c r="D4" s="67" t="str">
        <f>IFERROR(INDEX(Spielplan!$B$11:$B$19,2),"")</f>
        <v>SV Morgenrot</v>
      </c>
      <c r="E4" s="67" t="str">
        <f>IFERROR(INDEX(Spielplan!$B$11:$B$19,3),"")</f>
        <v>TSV Seehafen</v>
      </c>
      <c r="F4" s="67" t="str">
        <f>IFERROR(INDEX(Spielplan!$B$11:$B$19,4),"")</f>
        <v>Blau-Weiß Auental</v>
      </c>
      <c r="G4" s="67" t="str">
        <f>IFERROR(INDEX(Spielplan!$B$11:$B$19,5),"")</f>
        <v>SC Lindenhof</v>
      </c>
      <c r="H4" s="67" t="str">
        <f>IFERROR(INDEX(Spielplan!$B$11:$B$19,6),"")</f>
        <v>FC Sturmvogel</v>
      </c>
      <c r="I4" s="67" t="str">
        <f>IFERROR(INDEX(Spielplan!$B$11:$B$19,7),"")</f>
        <v>SV Eichkamp</v>
      </c>
      <c r="J4" s="67" t="str">
        <f>IFERROR(INDEX(Spielplan!$B$11:$B$19,8),"")</f>
        <v>TSV Rosental</v>
      </c>
      <c r="K4" s="67" t="str">
        <f>IFERROR(INDEX(Spielplan!$B$11:$B$19,9),"")</f>
        <v>SC Wellenbach</v>
      </c>
    </row>
    <row r="5" spans="1:12" ht="21.75" customHeight="1" x14ac:dyDescent="0.25">
      <c r="A5" s="68">
        <v>1</v>
      </c>
      <c r="B5" s="69" t="str">
        <f>IFERROR(INDEX(Spielplan!$B$11:$B$19,1),"")</f>
        <v>FC Falkenberg</v>
      </c>
      <c r="C5" s="70" t="s">
        <v>84</v>
      </c>
      <c r="D5" s="30" t="str">
        <f>IFERROR(IF(INDEX(Spielplan!$F$25:$F$68,MATCH("1-2",Spielplan!$N$25:$N$68,0))="","–",INDEX(Spielplan!$F$25:$F$68,MATCH("1-2",Spielplan!$N$25:$N$68,0))&amp;":"&amp;INDEX(Spielplan!$H$25:$H$68,MATCH("1-2",Spielplan!$N$25:$N$68,0))),IFERROR(IF(INDEX(Spielplan!$F$25:$F$68,MATCH("2-1",Spielplan!$N$25:$N$68,0))="","–",INDEX(Spielplan!$H$25:$H$68,MATCH("2-1",Spielplan!$N$25:$N$68,0))&amp;":"&amp;INDEX(Spielplan!$F$25:$F$68,MATCH("2-1",Spielplan!$N$25:$N$68,0))),""))</f>
        <v>–</v>
      </c>
      <c r="E5" s="20" t="str">
        <f>IFERROR(IF(INDEX(Spielplan!$F$25:$F$68,MATCH("1-3",Spielplan!$N$25:$N$68,0))="","–",INDEX(Spielplan!$F$25:$F$68,MATCH("1-3",Spielplan!$N$25:$N$68,0))&amp;":"&amp;INDEX(Spielplan!$H$25:$H$68,MATCH("1-3",Spielplan!$N$25:$N$68,0))),IFERROR(IF(INDEX(Spielplan!$F$25:$F$68,MATCH("3-1",Spielplan!$N$25:$N$68,0))="","–",INDEX(Spielplan!$H$25:$H$68,MATCH("3-1",Spielplan!$N$25:$N$68,0))&amp;":"&amp;INDEX(Spielplan!$F$25:$F$68,MATCH("3-1",Spielplan!$N$25:$N$68,0))),""))</f>
        <v>1:1</v>
      </c>
      <c r="F5" s="30" t="str">
        <f>IFERROR(IF(INDEX(Spielplan!$F$25:$F$68,MATCH("1-4",Spielplan!$N$25:$N$68,0))="","–",INDEX(Spielplan!$F$25:$F$68,MATCH("1-4",Spielplan!$N$25:$N$68,0))&amp;":"&amp;INDEX(Spielplan!$H$25:$H$68,MATCH("1-4",Spielplan!$N$25:$N$68,0))),IFERROR(IF(INDEX(Spielplan!$F$25:$F$68,MATCH("4-1",Spielplan!$N$25:$N$68,0))="","–",INDEX(Spielplan!$H$25:$H$68,MATCH("4-1",Spielplan!$N$25:$N$68,0))&amp;":"&amp;INDEX(Spielplan!$F$25:$F$68,MATCH("4-1",Spielplan!$N$25:$N$68,0))),""))</f>
        <v>2:1</v>
      </c>
      <c r="G5" s="20" t="str">
        <f>IFERROR(IF(INDEX(Spielplan!$F$25:$F$68,MATCH("1-5",Spielplan!$N$25:$N$68,0))="","–",INDEX(Spielplan!$F$25:$F$68,MATCH("1-5",Spielplan!$N$25:$N$68,0))&amp;":"&amp;INDEX(Spielplan!$H$25:$H$68,MATCH("1-5",Spielplan!$N$25:$N$68,0))),IFERROR(IF(INDEX(Spielplan!$F$25:$F$68,MATCH("5-1",Spielplan!$N$25:$N$68,0))="","–",INDEX(Spielplan!$H$25:$H$68,MATCH("5-1",Spielplan!$N$25:$N$68,0))&amp;":"&amp;INDEX(Spielplan!$F$25:$F$68,MATCH("5-1",Spielplan!$N$25:$N$68,0))),""))</f>
        <v>4:1</v>
      </c>
      <c r="H5" s="30" t="str">
        <f>IFERROR(IF(INDEX(Spielplan!$F$25:$F$68,MATCH("1-6",Spielplan!$N$25:$N$68,0))="","–",INDEX(Spielplan!$F$25:$F$68,MATCH("1-6",Spielplan!$N$25:$N$68,0))&amp;":"&amp;INDEX(Spielplan!$H$25:$H$68,MATCH("1-6",Spielplan!$N$25:$N$68,0))),IFERROR(IF(INDEX(Spielplan!$F$25:$F$68,MATCH("6-1",Spielplan!$N$25:$N$68,0))="","–",INDEX(Spielplan!$H$25:$H$68,MATCH("6-1",Spielplan!$N$25:$N$68,0))&amp;":"&amp;INDEX(Spielplan!$F$25:$F$68,MATCH("6-1",Spielplan!$N$25:$N$68,0))),""))</f>
        <v>2:2</v>
      </c>
      <c r="I5" s="20" t="str">
        <f>IFERROR(IF(INDEX(Spielplan!$F$25:$F$68,MATCH("1-7",Spielplan!$N$25:$N$68,0))="","–",INDEX(Spielplan!$F$25:$F$68,MATCH("1-7",Spielplan!$N$25:$N$68,0))&amp;":"&amp;INDEX(Spielplan!$H$25:$H$68,MATCH("1-7",Spielplan!$N$25:$N$68,0))),IFERROR(IF(INDEX(Spielplan!$F$25:$F$68,MATCH("7-1",Spielplan!$N$25:$N$68,0))="","–",INDEX(Spielplan!$H$25:$H$68,MATCH("7-1",Spielplan!$N$25:$N$68,0))&amp;":"&amp;INDEX(Spielplan!$F$25:$F$68,MATCH("7-1",Spielplan!$N$25:$N$68,0))),""))</f>
        <v>1:0</v>
      </c>
      <c r="J5" s="30" t="str">
        <f>IFERROR(IF(INDEX(Spielplan!$F$25:$F$68,MATCH("1-8",Spielplan!$N$25:$N$68,0))="","–",INDEX(Spielplan!$F$25:$F$68,MATCH("1-8",Spielplan!$N$25:$N$68,0))&amp;":"&amp;INDEX(Spielplan!$H$25:$H$68,MATCH("1-8",Spielplan!$N$25:$N$68,0))),IFERROR(IF(INDEX(Spielplan!$F$25:$F$68,MATCH("8-1",Spielplan!$N$25:$N$68,0))="","–",INDEX(Spielplan!$H$25:$H$68,MATCH("8-1",Spielplan!$N$25:$N$68,0))&amp;":"&amp;INDEX(Spielplan!$F$25:$F$68,MATCH("8-1",Spielplan!$N$25:$N$68,0))),""))</f>
        <v>3:2</v>
      </c>
      <c r="K5" s="20" t="str">
        <f>IFERROR(IF(INDEX(Spielplan!$F$25:$F$68,MATCH("1-9",Spielplan!$N$25:$N$68,0))="","–",INDEX(Spielplan!$F$25:$F$68,MATCH("1-9",Spielplan!$N$25:$N$68,0))&amp;":"&amp;INDEX(Spielplan!$H$25:$H$68,MATCH("1-9",Spielplan!$N$25:$N$68,0))),IFERROR(IF(INDEX(Spielplan!$F$25:$F$68,MATCH("9-1",Spielplan!$N$25:$N$68,0))="","–",INDEX(Spielplan!$H$25:$H$68,MATCH("9-1",Spielplan!$N$25:$N$68,0))&amp;":"&amp;INDEX(Spielplan!$F$25:$F$68,MATCH("9-1",Spielplan!$N$25:$N$68,0))),""))</f>
        <v>2:0</v>
      </c>
    </row>
    <row r="6" spans="1:12" ht="21.75" customHeight="1" x14ac:dyDescent="0.25">
      <c r="A6" s="68">
        <v>2</v>
      </c>
      <c r="B6" s="69" t="str">
        <f>IFERROR(INDEX(Spielplan!$B$11:$B$19,2),"")</f>
        <v>SV Morgenrot</v>
      </c>
      <c r="C6" s="30" t="str">
        <f>IFERROR(IF(INDEX(Spielplan!$F$25:$F$68,MATCH("2-1",Spielplan!$N$25:$N$68,0))="","–",INDEX(Spielplan!$F$25:$F$68,MATCH("2-1",Spielplan!$N$25:$N$68,0))&amp;":"&amp;INDEX(Spielplan!$H$25:$H$68,MATCH("2-1",Spielplan!$N$25:$N$68,0))),IFERROR(IF(INDEX(Spielplan!$F$25:$F$68,MATCH("1-2",Spielplan!$N$25:$N$68,0))="","–",INDEX(Spielplan!$H$25:$H$68,MATCH("1-2",Spielplan!$N$25:$N$68,0))&amp;":"&amp;INDEX(Spielplan!$F$25:$F$68,MATCH("1-2",Spielplan!$N$25:$N$68,0))),""))</f>
        <v>–</v>
      </c>
      <c r="D6" s="70" t="s">
        <v>84</v>
      </c>
      <c r="E6" s="30" t="str">
        <f>IFERROR(IF(INDEX(Spielplan!$F$25:$F$68,MATCH("2-3",Spielplan!$N$25:$N$68,0))="","–",INDEX(Spielplan!$F$25:$F$68,MATCH("2-3",Spielplan!$N$25:$N$68,0))&amp;":"&amp;INDEX(Spielplan!$H$25:$H$68,MATCH("2-3",Spielplan!$N$25:$N$68,0))),IFERROR(IF(INDEX(Spielplan!$F$25:$F$68,MATCH("3-2",Spielplan!$N$25:$N$68,0))="","–",INDEX(Spielplan!$H$25:$H$68,MATCH("3-2",Spielplan!$N$25:$N$68,0))&amp;":"&amp;INDEX(Spielplan!$F$25:$F$68,MATCH("3-2",Spielplan!$N$25:$N$68,0))),""))</f>
        <v>0:1</v>
      </c>
      <c r="F6" s="20" t="str">
        <f>IFERROR(IF(INDEX(Spielplan!$F$25:$F$68,MATCH("2-4",Spielplan!$N$25:$N$68,0))="","–",INDEX(Spielplan!$F$25:$F$68,MATCH("2-4",Spielplan!$N$25:$N$68,0))&amp;":"&amp;INDEX(Spielplan!$H$25:$H$68,MATCH("2-4",Spielplan!$N$25:$N$68,0))),IFERROR(IF(INDEX(Spielplan!$F$25:$F$68,MATCH("4-2",Spielplan!$N$25:$N$68,0))="","–",INDEX(Spielplan!$H$25:$H$68,MATCH("4-2",Spielplan!$N$25:$N$68,0))&amp;":"&amp;INDEX(Spielplan!$F$25:$F$68,MATCH("4-2",Spielplan!$N$25:$N$68,0))),""))</f>
        <v>0:2</v>
      </c>
      <c r="G6" s="30" t="str">
        <f>IFERROR(IF(INDEX(Spielplan!$F$25:$F$68,MATCH("2-5",Spielplan!$N$25:$N$68,0))="","–",INDEX(Spielplan!$F$25:$F$68,MATCH("2-5",Spielplan!$N$25:$N$68,0))&amp;":"&amp;INDEX(Spielplan!$H$25:$H$68,MATCH("2-5",Spielplan!$N$25:$N$68,0))),IFERROR(IF(INDEX(Spielplan!$F$25:$F$68,MATCH("5-2",Spielplan!$N$25:$N$68,0))="","–",INDEX(Spielplan!$H$25:$H$68,MATCH("5-2",Spielplan!$N$25:$N$68,0))&amp;":"&amp;INDEX(Spielplan!$F$25:$F$68,MATCH("5-2",Spielplan!$N$25:$N$68,0))),""))</f>
        <v>2:2</v>
      </c>
      <c r="H6" s="20" t="str">
        <f>IFERROR(IF(INDEX(Spielplan!$F$25:$F$68,MATCH("2-6",Spielplan!$N$25:$N$68,0))="","–",INDEX(Spielplan!$F$25:$F$68,MATCH("2-6",Spielplan!$N$25:$N$68,0))&amp;":"&amp;INDEX(Spielplan!$H$25:$H$68,MATCH("2-6",Spielplan!$N$25:$N$68,0))),IFERROR(IF(INDEX(Spielplan!$F$25:$F$68,MATCH("6-2",Spielplan!$N$25:$N$68,0))="","–",INDEX(Spielplan!$H$25:$H$68,MATCH("6-2",Spielplan!$N$25:$N$68,0))&amp;":"&amp;INDEX(Spielplan!$F$25:$F$68,MATCH("6-2",Spielplan!$N$25:$N$68,0))),""))</f>
        <v>2:3</v>
      </c>
      <c r="I6" s="30" t="str">
        <f>IFERROR(IF(INDEX(Spielplan!$F$25:$F$68,MATCH("2-7",Spielplan!$N$25:$N$68,0))="","–",INDEX(Spielplan!$F$25:$F$68,MATCH("2-7",Spielplan!$N$25:$N$68,0))&amp;":"&amp;INDEX(Spielplan!$H$25:$H$68,MATCH("2-7",Spielplan!$N$25:$N$68,0))),IFERROR(IF(INDEX(Spielplan!$F$25:$F$68,MATCH("7-2",Spielplan!$N$25:$N$68,0))="","–",INDEX(Spielplan!$H$25:$H$68,MATCH("7-2",Spielplan!$N$25:$N$68,0))&amp;":"&amp;INDEX(Spielplan!$F$25:$F$68,MATCH("7-2",Spielplan!$N$25:$N$68,0))),""))</f>
        <v>1:1</v>
      </c>
      <c r="J6" s="20" t="str">
        <f>IFERROR(IF(INDEX(Spielplan!$F$25:$F$68,MATCH("2-8",Spielplan!$N$25:$N$68,0))="","–",INDEX(Spielplan!$F$25:$F$68,MATCH("2-8",Spielplan!$N$25:$N$68,0))&amp;":"&amp;INDEX(Spielplan!$H$25:$H$68,MATCH("2-8",Spielplan!$N$25:$N$68,0))),IFERROR(IF(INDEX(Spielplan!$F$25:$F$68,MATCH("8-2",Spielplan!$N$25:$N$68,0))="","–",INDEX(Spielplan!$H$25:$H$68,MATCH("8-2",Spielplan!$N$25:$N$68,0))&amp;":"&amp;INDEX(Spielplan!$F$25:$F$68,MATCH("8-2",Spielplan!$N$25:$N$68,0))),""))</f>
        <v>1:1</v>
      </c>
      <c r="K6" s="30" t="str">
        <f>IFERROR(IF(INDEX(Spielplan!$F$25:$F$68,MATCH("2-9",Spielplan!$N$25:$N$68,0))="","–",INDEX(Spielplan!$F$25:$F$68,MATCH("2-9",Spielplan!$N$25:$N$68,0))&amp;":"&amp;INDEX(Spielplan!$H$25:$H$68,MATCH("2-9",Spielplan!$N$25:$N$68,0))),IFERROR(IF(INDEX(Spielplan!$F$25:$F$68,MATCH("9-2",Spielplan!$N$25:$N$68,0))="","–",INDEX(Spielplan!$H$25:$H$68,MATCH("9-2",Spielplan!$N$25:$N$68,0))&amp;":"&amp;INDEX(Spielplan!$F$25:$F$68,MATCH("9-2",Spielplan!$N$25:$N$68,0))),""))</f>
        <v>2:1</v>
      </c>
    </row>
    <row r="7" spans="1:12" ht="21.75" customHeight="1" x14ac:dyDescent="0.25">
      <c r="A7" s="68">
        <v>3</v>
      </c>
      <c r="B7" s="69" t="str">
        <f>IFERROR(INDEX(Spielplan!$B$11:$B$19,3),"")</f>
        <v>TSV Seehafen</v>
      </c>
      <c r="C7" s="20" t="str">
        <f>IFERROR(IF(INDEX(Spielplan!$F$25:$F$68,MATCH("3-1",Spielplan!$N$25:$N$68,0))="","–",INDEX(Spielplan!$F$25:$F$68,MATCH("3-1",Spielplan!$N$25:$N$68,0))&amp;":"&amp;INDEX(Spielplan!$H$25:$H$68,MATCH("3-1",Spielplan!$N$25:$N$68,0))),IFERROR(IF(INDEX(Spielplan!$F$25:$F$68,MATCH("1-3",Spielplan!$N$25:$N$68,0))="","–",INDEX(Spielplan!$H$25:$H$68,MATCH("1-3",Spielplan!$N$25:$N$68,0))&amp;":"&amp;INDEX(Spielplan!$F$25:$F$68,MATCH("1-3",Spielplan!$N$25:$N$68,0))),""))</f>
        <v>1:1</v>
      </c>
      <c r="D7" s="30" t="str">
        <f>IFERROR(IF(INDEX(Spielplan!$F$25:$F$68,MATCH("3-2",Spielplan!$N$25:$N$68,0))="","–",INDEX(Spielplan!$F$25:$F$68,MATCH("3-2",Spielplan!$N$25:$N$68,0))&amp;":"&amp;INDEX(Spielplan!$H$25:$H$68,MATCH("3-2",Spielplan!$N$25:$N$68,0))),IFERROR(IF(INDEX(Spielplan!$F$25:$F$68,MATCH("2-3",Spielplan!$N$25:$N$68,0))="","–",INDEX(Spielplan!$H$25:$H$68,MATCH("2-3",Spielplan!$N$25:$N$68,0))&amp;":"&amp;INDEX(Spielplan!$F$25:$F$68,MATCH("2-3",Spielplan!$N$25:$N$68,0))),""))</f>
        <v>1:0</v>
      </c>
      <c r="E7" s="70" t="s">
        <v>84</v>
      </c>
      <c r="F7" s="30" t="str">
        <f>IFERROR(IF(INDEX(Spielplan!$F$25:$F$68,MATCH("3-4",Spielplan!$N$25:$N$68,0))="","–",INDEX(Spielplan!$F$25:$F$68,MATCH("3-4",Spielplan!$N$25:$N$68,0))&amp;":"&amp;INDEX(Spielplan!$H$25:$H$68,MATCH("3-4",Spielplan!$N$25:$N$68,0))),IFERROR(IF(INDEX(Spielplan!$F$25:$F$68,MATCH("4-3",Spielplan!$N$25:$N$68,0))="","–",INDEX(Spielplan!$H$25:$H$68,MATCH("4-3",Spielplan!$N$25:$N$68,0))&amp;":"&amp;INDEX(Spielplan!$F$25:$F$68,MATCH("4-3",Spielplan!$N$25:$N$68,0))),""))</f>
        <v>1:2</v>
      </c>
      <c r="G7" s="20" t="str">
        <f>IFERROR(IF(INDEX(Spielplan!$F$25:$F$68,MATCH("3-5",Spielplan!$N$25:$N$68,0))="","–",INDEX(Spielplan!$F$25:$F$68,MATCH("3-5",Spielplan!$N$25:$N$68,0))&amp;":"&amp;INDEX(Spielplan!$H$25:$H$68,MATCH("3-5",Spielplan!$N$25:$N$68,0))),IFERROR(IF(INDEX(Spielplan!$F$25:$F$68,MATCH("5-3",Spielplan!$N$25:$N$68,0))="","–",INDEX(Spielplan!$H$25:$H$68,MATCH("5-3",Spielplan!$N$25:$N$68,0))&amp;":"&amp;INDEX(Spielplan!$F$25:$F$68,MATCH("5-3",Spielplan!$N$25:$N$68,0))),""))</f>
        <v>1:1</v>
      </c>
      <c r="H7" s="30" t="str">
        <f>IFERROR(IF(INDEX(Spielplan!$F$25:$F$68,MATCH("3-6",Spielplan!$N$25:$N$68,0))="","–",INDEX(Spielplan!$F$25:$F$68,MATCH("3-6",Spielplan!$N$25:$N$68,0))&amp;":"&amp;INDEX(Spielplan!$H$25:$H$68,MATCH("3-6",Spielplan!$N$25:$N$68,0))),IFERROR(IF(INDEX(Spielplan!$F$25:$F$68,MATCH("6-3",Spielplan!$N$25:$N$68,0))="","–",INDEX(Spielplan!$H$25:$H$68,MATCH("6-3",Spielplan!$N$25:$N$68,0))&amp;":"&amp;INDEX(Spielplan!$F$25:$F$68,MATCH("6-3",Spielplan!$N$25:$N$68,0))),""))</f>
        <v>2:3</v>
      </c>
      <c r="I7" s="20" t="str">
        <f>IFERROR(IF(INDEX(Spielplan!$F$25:$F$68,MATCH("3-7",Spielplan!$N$25:$N$68,0))="","–",INDEX(Spielplan!$F$25:$F$68,MATCH("3-7",Spielplan!$N$25:$N$68,0))&amp;":"&amp;INDEX(Spielplan!$H$25:$H$68,MATCH("3-7",Spielplan!$N$25:$N$68,0))),IFERROR(IF(INDEX(Spielplan!$F$25:$F$68,MATCH("7-3",Spielplan!$N$25:$N$68,0))="","–",INDEX(Spielplan!$H$25:$H$68,MATCH("7-3",Spielplan!$N$25:$N$68,0))&amp;":"&amp;INDEX(Spielplan!$F$25:$F$68,MATCH("7-3",Spielplan!$N$25:$N$68,0))),""))</f>
        <v>0:2</v>
      </c>
      <c r="J7" s="30" t="str">
        <f>IFERROR(IF(INDEX(Spielplan!$F$25:$F$68,MATCH("3-8",Spielplan!$N$25:$N$68,0))="","–",INDEX(Spielplan!$F$25:$F$68,MATCH("3-8",Spielplan!$N$25:$N$68,0))&amp;":"&amp;INDEX(Spielplan!$H$25:$H$68,MATCH("3-8",Spielplan!$N$25:$N$68,0))),IFERROR(IF(INDEX(Spielplan!$F$25:$F$68,MATCH("8-3",Spielplan!$N$25:$N$68,0))="","–",INDEX(Spielplan!$H$25:$H$68,MATCH("8-3",Spielplan!$N$25:$N$68,0))&amp;":"&amp;INDEX(Spielplan!$F$25:$F$68,MATCH("8-3",Spielplan!$N$25:$N$68,0))),""))</f>
        <v>1:1</v>
      </c>
      <c r="K7" s="20" t="str">
        <f>IFERROR(IF(INDEX(Spielplan!$F$25:$F$68,MATCH("3-9",Spielplan!$N$25:$N$68,0))="","–",INDEX(Spielplan!$F$25:$F$68,MATCH("3-9",Spielplan!$N$25:$N$68,0))&amp;":"&amp;INDEX(Spielplan!$H$25:$H$68,MATCH("3-9",Spielplan!$N$25:$N$68,0))),IFERROR(IF(INDEX(Spielplan!$F$25:$F$68,MATCH("9-3",Spielplan!$N$25:$N$68,0))="","–",INDEX(Spielplan!$H$25:$H$68,MATCH("9-3",Spielplan!$N$25:$N$68,0))&amp;":"&amp;INDEX(Spielplan!$F$25:$F$68,MATCH("9-3",Spielplan!$N$25:$N$68,0))),""))</f>
        <v>2:2</v>
      </c>
    </row>
    <row r="8" spans="1:12" ht="21.75" customHeight="1" x14ac:dyDescent="0.25">
      <c r="A8" s="68">
        <v>4</v>
      </c>
      <c r="B8" s="69" t="str">
        <f>IFERROR(INDEX(Spielplan!$B$11:$B$19,4),"")</f>
        <v>Blau-Weiß Auental</v>
      </c>
      <c r="C8" s="30" t="str">
        <f>IFERROR(IF(INDEX(Spielplan!$F$25:$F$68,MATCH("4-1",Spielplan!$N$25:$N$68,0))="","–",INDEX(Spielplan!$F$25:$F$68,MATCH("4-1",Spielplan!$N$25:$N$68,0))&amp;":"&amp;INDEX(Spielplan!$H$25:$H$68,MATCH("4-1",Spielplan!$N$25:$N$68,0))),IFERROR(IF(INDEX(Spielplan!$F$25:$F$68,MATCH("1-4",Spielplan!$N$25:$N$68,0))="","–",INDEX(Spielplan!$H$25:$H$68,MATCH("1-4",Spielplan!$N$25:$N$68,0))&amp;":"&amp;INDEX(Spielplan!$F$25:$F$68,MATCH("1-4",Spielplan!$N$25:$N$68,0))),""))</f>
        <v>1:2</v>
      </c>
      <c r="D8" s="20" t="str">
        <f>IFERROR(IF(INDEX(Spielplan!$F$25:$F$68,MATCH("4-2",Spielplan!$N$25:$N$68,0))="","–",INDEX(Spielplan!$F$25:$F$68,MATCH("4-2",Spielplan!$N$25:$N$68,0))&amp;":"&amp;INDEX(Spielplan!$H$25:$H$68,MATCH("4-2",Spielplan!$N$25:$N$68,0))),IFERROR(IF(INDEX(Spielplan!$F$25:$F$68,MATCH("2-4",Spielplan!$N$25:$N$68,0))="","–",INDEX(Spielplan!$H$25:$H$68,MATCH("2-4",Spielplan!$N$25:$N$68,0))&amp;":"&amp;INDEX(Spielplan!$F$25:$F$68,MATCH("2-4",Spielplan!$N$25:$N$68,0))),""))</f>
        <v>2:0</v>
      </c>
      <c r="E8" s="30" t="str">
        <f>IFERROR(IF(INDEX(Spielplan!$F$25:$F$68,MATCH("4-3",Spielplan!$N$25:$N$68,0))="","–",INDEX(Spielplan!$F$25:$F$68,MATCH("4-3",Spielplan!$N$25:$N$68,0))&amp;":"&amp;INDEX(Spielplan!$H$25:$H$68,MATCH("4-3",Spielplan!$N$25:$N$68,0))),IFERROR(IF(INDEX(Spielplan!$F$25:$F$68,MATCH("3-4",Spielplan!$N$25:$N$68,0))="","–",INDEX(Spielplan!$H$25:$H$68,MATCH("3-4",Spielplan!$N$25:$N$68,0))&amp;":"&amp;INDEX(Spielplan!$F$25:$F$68,MATCH("3-4",Spielplan!$N$25:$N$68,0))),""))</f>
        <v>2:1</v>
      </c>
      <c r="F8" s="70" t="s">
        <v>84</v>
      </c>
      <c r="G8" s="30" t="str">
        <f>IFERROR(IF(INDEX(Spielplan!$F$25:$F$68,MATCH("4-5",Spielplan!$N$25:$N$68,0))="","–",INDEX(Spielplan!$F$25:$F$68,MATCH("4-5",Spielplan!$N$25:$N$68,0))&amp;":"&amp;INDEX(Spielplan!$H$25:$H$68,MATCH("4-5",Spielplan!$N$25:$N$68,0))),IFERROR(IF(INDEX(Spielplan!$F$25:$F$68,MATCH("5-4",Spielplan!$N$25:$N$68,0))="","–",INDEX(Spielplan!$H$25:$H$68,MATCH("5-4",Spielplan!$N$25:$N$68,0))&amp;":"&amp;INDEX(Spielplan!$F$25:$F$68,MATCH("5-4",Spielplan!$N$25:$N$68,0))),""))</f>
        <v>1:0</v>
      </c>
      <c r="H8" s="20" t="str">
        <f>IFERROR(IF(INDEX(Spielplan!$F$25:$F$68,MATCH("4-6",Spielplan!$N$25:$N$68,0))="","–",INDEX(Spielplan!$F$25:$F$68,MATCH("4-6",Spielplan!$N$25:$N$68,0))&amp;":"&amp;INDEX(Spielplan!$H$25:$H$68,MATCH("4-6",Spielplan!$N$25:$N$68,0))),IFERROR(IF(INDEX(Spielplan!$F$25:$F$68,MATCH("6-4",Spielplan!$N$25:$N$68,0))="","–",INDEX(Spielplan!$H$25:$H$68,MATCH("6-4",Spielplan!$N$25:$N$68,0))&amp;":"&amp;INDEX(Spielplan!$F$25:$F$68,MATCH("6-4",Spielplan!$N$25:$N$68,0))),""))</f>
        <v>1:0</v>
      </c>
      <c r="I8" s="30" t="str">
        <f>IFERROR(IF(INDEX(Spielplan!$F$25:$F$68,MATCH("4-7",Spielplan!$N$25:$N$68,0))="","–",INDEX(Spielplan!$F$25:$F$68,MATCH("4-7",Spielplan!$N$25:$N$68,0))&amp;":"&amp;INDEX(Spielplan!$H$25:$H$68,MATCH("4-7",Spielplan!$N$25:$N$68,0))),IFERROR(IF(INDEX(Spielplan!$F$25:$F$68,MATCH("7-4",Spielplan!$N$25:$N$68,0))="","–",INDEX(Spielplan!$H$25:$H$68,MATCH("7-4",Spielplan!$N$25:$N$68,0))&amp;":"&amp;INDEX(Spielplan!$F$25:$F$68,MATCH("7-4",Spielplan!$N$25:$N$68,0))),""))</f>
        <v>0:2</v>
      </c>
      <c r="J8" s="20" t="str">
        <f>IFERROR(IF(INDEX(Spielplan!$F$25:$F$68,MATCH("4-8",Spielplan!$N$25:$N$68,0))="","–",INDEX(Spielplan!$F$25:$F$68,MATCH("4-8",Spielplan!$N$25:$N$68,0))&amp;":"&amp;INDEX(Spielplan!$H$25:$H$68,MATCH("4-8",Spielplan!$N$25:$N$68,0))),IFERROR(IF(INDEX(Spielplan!$F$25:$F$68,MATCH("8-4",Spielplan!$N$25:$N$68,0))="","–",INDEX(Spielplan!$H$25:$H$68,MATCH("8-4",Spielplan!$N$25:$N$68,0))&amp;":"&amp;INDEX(Spielplan!$F$25:$F$68,MATCH("8-4",Spielplan!$N$25:$N$68,0))),""))</f>
        <v>0:3</v>
      </c>
      <c r="K8" s="30" t="str">
        <f>IFERROR(IF(INDEX(Spielplan!$F$25:$F$68,MATCH("4-9",Spielplan!$N$25:$N$68,0))="","–",INDEX(Spielplan!$F$25:$F$68,MATCH("4-9",Spielplan!$N$25:$N$68,0))&amp;":"&amp;INDEX(Spielplan!$H$25:$H$68,MATCH("4-9",Spielplan!$N$25:$N$68,0))),IFERROR(IF(INDEX(Spielplan!$F$25:$F$68,MATCH("9-4",Spielplan!$N$25:$N$68,0))="","–",INDEX(Spielplan!$H$25:$H$68,MATCH("9-4",Spielplan!$N$25:$N$68,0))&amp;":"&amp;INDEX(Spielplan!$F$25:$F$68,MATCH("9-4",Spielplan!$N$25:$N$68,0))),""))</f>
        <v>–</v>
      </c>
    </row>
    <row r="9" spans="1:12" ht="21.75" customHeight="1" x14ac:dyDescent="0.25">
      <c r="A9" s="68">
        <v>5</v>
      </c>
      <c r="B9" s="69" t="str">
        <f>IFERROR(INDEX(Spielplan!$B$11:$B$19,5),"")</f>
        <v>SC Lindenhof</v>
      </c>
      <c r="C9" s="20" t="str">
        <f>IFERROR(IF(INDEX(Spielplan!$F$25:$F$68,MATCH("5-1",Spielplan!$N$25:$N$68,0))="","–",INDEX(Spielplan!$F$25:$F$68,MATCH("5-1",Spielplan!$N$25:$N$68,0))&amp;":"&amp;INDEX(Spielplan!$H$25:$H$68,MATCH("5-1",Spielplan!$N$25:$N$68,0))),IFERROR(IF(INDEX(Spielplan!$F$25:$F$68,MATCH("1-5",Spielplan!$N$25:$N$68,0))="","–",INDEX(Spielplan!$H$25:$H$68,MATCH("1-5",Spielplan!$N$25:$N$68,0))&amp;":"&amp;INDEX(Spielplan!$F$25:$F$68,MATCH("1-5",Spielplan!$N$25:$N$68,0))),""))</f>
        <v>1:4</v>
      </c>
      <c r="D9" s="30" t="str">
        <f>IFERROR(IF(INDEX(Spielplan!$F$25:$F$68,MATCH("5-2",Spielplan!$N$25:$N$68,0))="","–",INDEX(Spielplan!$F$25:$F$68,MATCH("5-2",Spielplan!$N$25:$N$68,0))&amp;":"&amp;INDEX(Spielplan!$H$25:$H$68,MATCH("5-2",Spielplan!$N$25:$N$68,0))),IFERROR(IF(INDEX(Spielplan!$F$25:$F$68,MATCH("2-5",Spielplan!$N$25:$N$68,0))="","–",INDEX(Spielplan!$H$25:$H$68,MATCH("2-5",Spielplan!$N$25:$N$68,0))&amp;":"&amp;INDEX(Spielplan!$F$25:$F$68,MATCH("2-5",Spielplan!$N$25:$N$68,0))),""))</f>
        <v>2:2</v>
      </c>
      <c r="E9" s="20" t="str">
        <f>IFERROR(IF(INDEX(Spielplan!$F$25:$F$68,MATCH("5-3",Spielplan!$N$25:$N$68,0))="","–",INDEX(Spielplan!$F$25:$F$68,MATCH("5-3",Spielplan!$N$25:$N$68,0))&amp;":"&amp;INDEX(Spielplan!$H$25:$H$68,MATCH("5-3",Spielplan!$N$25:$N$68,0))),IFERROR(IF(INDEX(Spielplan!$F$25:$F$68,MATCH("3-5",Spielplan!$N$25:$N$68,0))="","–",INDEX(Spielplan!$H$25:$H$68,MATCH("3-5",Spielplan!$N$25:$N$68,0))&amp;":"&amp;INDEX(Spielplan!$F$25:$F$68,MATCH("3-5",Spielplan!$N$25:$N$68,0))),""))</f>
        <v>1:1</v>
      </c>
      <c r="F9" s="30" t="str">
        <f>IFERROR(IF(INDEX(Spielplan!$F$25:$F$68,MATCH("5-4",Spielplan!$N$25:$N$68,0))="","–",INDEX(Spielplan!$F$25:$F$68,MATCH("5-4",Spielplan!$N$25:$N$68,0))&amp;":"&amp;INDEX(Spielplan!$H$25:$H$68,MATCH("5-4",Spielplan!$N$25:$N$68,0))),IFERROR(IF(INDEX(Spielplan!$F$25:$F$68,MATCH("4-5",Spielplan!$N$25:$N$68,0))="","–",INDEX(Spielplan!$H$25:$H$68,MATCH("4-5",Spielplan!$N$25:$N$68,0))&amp;":"&amp;INDEX(Spielplan!$F$25:$F$68,MATCH("4-5",Spielplan!$N$25:$N$68,0))),""))</f>
        <v>0:1</v>
      </c>
      <c r="G9" s="70" t="s">
        <v>84</v>
      </c>
      <c r="H9" s="30" t="str">
        <f>IFERROR(IF(INDEX(Spielplan!$F$25:$F$68,MATCH("5-6",Spielplan!$N$25:$N$68,0))="","–",INDEX(Spielplan!$F$25:$F$68,MATCH("5-6",Spielplan!$N$25:$N$68,0))&amp;":"&amp;INDEX(Spielplan!$H$25:$H$68,MATCH("5-6",Spielplan!$N$25:$N$68,0))),IFERROR(IF(INDEX(Spielplan!$F$25:$F$68,MATCH("6-5",Spielplan!$N$25:$N$68,0))="","–",INDEX(Spielplan!$H$25:$H$68,MATCH("6-5",Spielplan!$N$25:$N$68,0))&amp;":"&amp;INDEX(Spielplan!$F$25:$F$68,MATCH("6-5",Spielplan!$N$25:$N$68,0))),""))</f>
        <v>3:1</v>
      </c>
      <c r="I9" s="20" t="str">
        <f>IFERROR(IF(INDEX(Spielplan!$F$25:$F$68,MATCH("5-7",Spielplan!$N$25:$N$68,0))="","–",INDEX(Spielplan!$F$25:$F$68,MATCH("5-7",Spielplan!$N$25:$N$68,0))&amp;":"&amp;INDEX(Spielplan!$H$25:$H$68,MATCH("5-7",Spielplan!$N$25:$N$68,0))),IFERROR(IF(INDEX(Spielplan!$F$25:$F$68,MATCH("7-5",Spielplan!$N$25:$N$68,0))="","–",INDEX(Spielplan!$H$25:$H$68,MATCH("7-5",Spielplan!$N$25:$N$68,0))&amp;":"&amp;INDEX(Spielplan!$F$25:$F$68,MATCH("7-5",Spielplan!$N$25:$N$68,0))),""))</f>
        <v>1:1</v>
      </c>
      <c r="J9" s="30" t="str">
        <f>IFERROR(IF(INDEX(Spielplan!$F$25:$F$68,MATCH("5-8",Spielplan!$N$25:$N$68,0))="","–",INDEX(Spielplan!$F$25:$F$68,MATCH("5-8",Spielplan!$N$25:$N$68,0))&amp;":"&amp;INDEX(Spielplan!$H$25:$H$68,MATCH("5-8",Spielplan!$N$25:$N$68,0))),IFERROR(IF(INDEX(Spielplan!$F$25:$F$68,MATCH("8-5",Spielplan!$N$25:$N$68,0))="","–",INDEX(Spielplan!$H$25:$H$68,MATCH("8-5",Spielplan!$N$25:$N$68,0))&amp;":"&amp;INDEX(Spielplan!$F$25:$F$68,MATCH("8-5",Spielplan!$N$25:$N$68,0))),""))</f>
        <v>–</v>
      </c>
      <c r="K9" s="20" t="str">
        <f>IFERROR(IF(INDEX(Spielplan!$F$25:$F$68,MATCH("5-9",Spielplan!$N$25:$N$68,0))="","–",INDEX(Spielplan!$F$25:$F$68,MATCH("5-9",Spielplan!$N$25:$N$68,0))&amp;":"&amp;INDEX(Spielplan!$H$25:$H$68,MATCH("5-9",Spielplan!$N$25:$N$68,0))),IFERROR(IF(INDEX(Spielplan!$F$25:$F$68,MATCH("9-5",Spielplan!$N$25:$N$68,0))="","–",INDEX(Spielplan!$H$25:$H$68,MATCH("9-5",Spielplan!$N$25:$N$68,0))&amp;":"&amp;INDEX(Spielplan!$F$25:$F$68,MATCH("9-5",Spielplan!$N$25:$N$68,0))),""))</f>
        <v>3:1</v>
      </c>
    </row>
    <row r="10" spans="1:12" ht="21.75" customHeight="1" x14ac:dyDescent="0.25">
      <c r="A10" s="68">
        <v>6</v>
      </c>
      <c r="B10" s="69" t="str">
        <f>IFERROR(INDEX(Spielplan!$B$11:$B$19,6),"")</f>
        <v>FC Sturmvogel</v>
      </c>
      <c r="C10" s="30" t="str">
        <f>IFERROR(IF(INDEX(Spielplan!$F$25:$F$68,MATCH("6-1",Spielplan!$N$25:$N$68,0))="","–",INDEX(Spielplan!$F$25:$F$68,MATCH("6-1",Spielplan!$N$25:$N$68,0))&amp;":"&amp;INDEX(Spielplan!$H$25:$H$68,MATCH("6-1",Spielplan!$N$25:$N$68,0))),IFERROR(IF(INDEX(Spielplan!$F$25:$F$68,MATCH("1-6",Spielplan!$N$25:$N$68,0))="","–",INDEX(Spielplan!$H$25:$H$68,MATCH("1-6",Spielplan!$N$25:$N$68,0))&amp;":"&amp;INDEX(Spielplan!$F$25:$F$68,MATCH("1-6",Spielplan!$N$25:$N$68,0))),""))</f>
        <v>2:2</v>
      </c>
      <c r="D10" s="20" t="str">
        <f>IFERROR(IF(INDEX(Spielplan!$F$25:$F$68,MATCH("6-2",Spielplan!$N$25:$N$68,0))="","–",INDEX(Spielplan!$F$25:$F$68,MATCH("6-2",Spielplan!$N$25:$N$68,0))&amp;":"&amp;INDEX(Spielplan!$H$25:$H$68,MATCH("6-2",Spielplan!$N$25:$N$68,0))),IFERROR(IF(INDEX(Spielplan!$F$25:$F$68,MATCH("2-6",Spielplan!$N$25:$N$68,0))="","–",INDEX(Spielplan!$H$25:$H$68,MATCH("2-6",Spielplan!$N$25:$N$68,0))&amp;":"&amp;INDEX(Spielplan!$F$25:$F$68,MATCH("2-6",Spielplan!$N$25:$N$68,0))),""))</f>
        <v>3:2</v>
      </c>
      <c r="E10" s="30" t="str">
        <f>IFERROR(IF(INDEX(Spielplan!$F$25:$F$68,MATCH("6-3",Spielplan!$N$25:$N$68,0))="","–",INDEX(Spielplan!$F$25:$F$68,MATCH("6-3",Spielplan!$N$25:$N$68,0))&amp;":"&amp;INDEX(Spielplan!$H$25:$H$68,MATCH("6-3",Spielplan!$N$25:$N$68,0))),IFERROR(IF(INDEX(Spielplan!$F$25:$F$68,MATCH("3-6",Spielplan!$N$25:$N$68,0))="","–",INDEX(Spielplan!$H$25:$H$68,MATCH("3-6",Spielplan!$N$25:$N$68,0))&amp;":"&amp;INDEX(Spielplan!$F$25:$F$68,MATCH("3-6",Spielplan!$N$25:$N$68,0))),""))</f>
        <v>3:2</v>
      </c>
      <c r="F10" s="20" t="str">
        <f>IFERROR(IF(INDEX(Spielplan!$F$25:$F$68,MATCH("6-4",Spielplan!$N$25:$N$68,0))="","–",INDEX(Spielplan!$F$25:$F$68,MATCH("6-4",Spielplan!$N$25:$N$68,0))&amp;":"&amp;INDEX(Spielplan!$H$25:$H$68,MATCH("6-4",Spielplan!$N$25:$N$68,0))),IFERROR(IF(INDEX(Spielplan!$F$25:$F$68,MATCH("4-6",Spielplan!$N$25:$N$68,0))="","–",INDEX(Spielplan!$H$25:$H$68,MATCH("4-6",Spielplan!$N$25:$N$68,0))&amp;":"&amp;INDEX(Spielplan!$F$25:$F$68,MATCH("4-6",Spielplan!$N$25:$N$68,0))),""))</f>
        <v>0:1</v>
      </c>
      <c r="G10" s="30" t="str">
        <f>IFERROR(IF(INDEX(Spielplan!$F$25:$F$68,MATCH("6-5",Spielplan!$N$25:$N$68,0))="","–",INDEX(Spielplan!$F$25:$F$68,MATCH("6-5",Spielplan!$N$25:$N$68,0))&amp;":"&amp;INDEX(Spielplan!$H$25:$H$68,MATCH("6-5",Spielplan!$N$25:$N$68,0))),IFERROR(IF(INDEX(Spielplan!$F$25:$F$68,MATCH("5-6",Spielplan!$N$25:$N$68,0))="","–",INDEX(Spielplan!$H$25:$H$68,MATCH("5-6",Spielplan!$N$25:$N$68,0))&amp;":"&amp;INDEX(Spielplan!$F$25:$F$68,MATCH("5-6",Spielplan!$N$25:$N$68,0))),""))</f>
        <v>1:3</v>
      </c>
      <c r="H10" s="70" t="s">
        <v>84</v>
      </c>
      <c r="I10" s="30" t="str">
        <f>IFERROR(IF(INDEX(Spielplan!$F$25:$F$68,MATCH("6-7",Spielplan!$N$25:$N$68,0))="","–",INDEX(Spielplan!$F$25:$F$68,MATCH("6-7",Spielplan!$N$25:$N$68,0))&amp;":"&amp;INDEX(Spielplan!$H$25:$H$68,MATCH("6-7",Spielplan!$N$25:$N$68,0))),IFERROR(IF(INDEX(Spielplan!$F$25:$F$68,MATCH("7-6",Spielplan!$N$25:$N$68,0))="","–",INDEX(Spielplan!$H$25:$H$68,MATCH("7-6",Spielplan!$N$25:$N$68,0))&amp;":"&amp;INDEX(Spielplan!$F$25:$F$68,MATCH("7-6",Spielplan!$N$25:$N$68,0))),""))</f>
        <v>–</v>
      </c>
      <c r="J10" s="20" t="str">
        <f>IFERROR(IF(INDEX(Spielplan!$F$25:$F$68,MATCH("6-8",Spielplan!$N$25:$N$68,0))="","–",INDEX(Spielplan!$F$25:$F$68,MATCH("6-8",Spielplan!$N$25:$N$68,0))&amp;":"&amp;INDEX(Spielplan!$H$25:$H$68,MATCH("6-8",Spielplan!$N$25:$N$68,0))),IFERROR(IF(INDEX(Spielplan!$F$25:$F$68,MATCH("8-6",Spielplan!$N$25:$N$68,0))="","–",INDEX(Spielplan!$H$25:$H$68,MATCH("8-6",Spielplan!$N$25:$N$68,0))&amp;":"&amp;INDEX(Spielplan!$F$25:$F$68,MATCH("8-6",Spielplan!$N$25:$N$68,0))),""))</f>
        <v>1:2</v>
      </c>
      <c r="K10" s="30" t="str">
        <f>IFERROR(IF(INDEX(Spielplan!$F$25:$F$68,MATCH("6-9",Spielplan!$N$25:$N$68,0))="","–",INDEX(Spielplan!$F$25:$F$68,MATCH("6-9",Spielplan!$N$25:$N$68,0))&amp;":"&amp;INDEX(Spielplan!$H$25:$H$68,MATCH("6-9",Spielplan!$N$25:$N$68,0))),IFERROR(IF(INDEX(Spielplan!$F$25:$F$68,MATCH("9-6",Spielplan!$N$25:$N$68,0))="","–",INDEX(Spielplan!$H$25:$H$68,MATCH("9-6",Spielplan!$N$25:$N$68,0))&amp;":"&amp;INDEX(Spielplan!$F$25:$F$68,MATCH("9-6",Spielplan!$N$25:$N$68,0))),""))</f>
        <v>1:0</v>
      </c>
    </row>
    <row r="11" spans="1:12" ht="21.75" customHeight="1" x14ac:dyDescent="0.25">
      <c r="A11" s="68">
        <v>7</v>
      </c>
      <c r="B11" s="69" t="str">
        <f>IFERROR(INDEX(Spielplan!$B$11:$B$19,7),"")</f>
        <v>SV Eichkamp</v>
      </c>
      <c r="C11" s="20" t="str">
        <f>IFERROR(IF(INDEX(Spielplan!$F$25:$F$68,MATCH("7-1",Spielplan!$N$25:$N$68,0))="","–",INDEX(Spielplan!$F$25:$F$68,MATCH("7-1",Spielplan!$N$25:$N$68,0))&amp;":"&amp;INDEX(Spielplan!$H$25:$H$68,MATCH("7-1",Spielplan!$N$25:$N$68,0))),IFERROR(IF(INDEX(Spielplan!$F$25:$F$68,MATCH("1-7",Spielplan!$N$25:$N$68,0))="","–",INDEX(Spielplan!$H$25:$H$68,MATCH("1-7",Spielplan!$N$25:$N$68,0))&amp;":"&amp;INDEX(Spielplan!$F$25:$F$68,MATCH("1-7",Spielplan!$N$25:$N$68,0))),""))</f>
        <v>0:1</v>
      </c>
      <c r="D11" s="30" t="str">
        <f>IFERROR(IF(INDEX(Spielplan!$F$25:$F$68,MATCH("7-2",Spielplan!$N$25:$N$68,0))="","–",INDEX(Spielplan!$F$25:$F$68,MATCH("7-2",Spielplan!$N$25:$N$68,0))&amp;":"&amp;INDEX(Spielplan!$H$25:$H$68,MATCH("7-2",Spielplan!$N$25:$N$68,0))),IFERROR(IF(INDEX(Spielplan!$F$25:$F$68,MATCH("2-7",Spielplan!$N$25:$N$68,0))="","–",INDEX(Spielplan!$H$25:$H$68,MATCH("2-7",Spielplan!$N$25:$N$68,0))&amp;":"&amp;INDEX(Spielplan!$F$25:$F$68,MATCH("2-7",Spielplan!$N$25:$N$68,0))),""))</f>
        <v>1:1</v>
      </c>
      <c r="E11" s="20" t="str">
        <f>IFERROR(IF(INDEX(Spielplan!$F$25:$F$68,MATCH("7-3",Spielplan!$N$25:$N$68,0))="","–",INDEX(Spielplan!$F$25:$F$68,MATCH("7-3",Spielplan!$N$25:$N$68,0))&amp;":"&amp;INDEX(Spielplan!$H$25:$H$68,MATCH("7-3",Spielplan!$N$25:$N$68,0))),IFERROR(IF(INDEX(Spielplan!$F$25:$F$68,MATCH("3-7",Spielplan!$N$25:$N$68,0))="","–",INDEX(Spielplan!$H$25:$H$68,MATCH("3-7",Spielplan!$N$25:$N$68,0))&amp;":"&amp;INDEX(Spielplan!$F$25:$F$68,MATCH("3-7",Spielplan!$N$25:$N$68,0))),""))</f>
        <v>2:0</v>
      </c>
      <c r="F11" s="30" t="str">
        <f>IFERROR(IF(INDEX(Spielplan!$F$25:$F$68,MATCH("7-4",Spielplan!$N$25:$N$68,0))="","–",INDEX(Spielplan!$F$25:$F$68,MATCH("7-4",Spielplan!$N$25:$N$68,0))&amp;":"&amp;INDEX(Spielplan!$H$25:$H$68,MATCH("7-4",Spielplan!$N$25:$N$68,0))),IFERROR(IF(INDEX(Spielplan!$F$25:$F$68,MATCH("4-7",Spielplan!$N$25:$N$68,0))="","–",INDEX(Spielplan!$H$25:$H$68,MATCH("4-7",Spielplan!$N$25:$N$68,0))&amp;":"&amp;INDEX(Spielplan!$F$25:$F$68,MATCH("4-7",Spielplan!$N$25:$N$68,0))),""))</f>
        <v>2:0</v>
      </c>
      <c r="G11" s="20" t="str">
        <f>IFERROR(IF(INDEX(Spielplan!$F$25:$F$68,MATCH("7-5",Spielplan!$N$25:$N$68,0))="","–",INDEX(Spielplan!$F$25:$F$68,MATCH("7-5",Spielplan!$N$25:$N$68,0))&amp;":"&amp;INDEX(Spielplan!$H$25:$H$68,MATCH("7-5",Spielplan!$N$25:$N$68,0))),IFERROR(IF(INDEX(Spielplan!$F$25:$F$68,MATCH("5-7",Spielplan!$N$25:$N$68,0))="","–",INDEX(Spielplan!$H$25:$H$68,MATCH("5-7",Spielplan!$N$25:$N$68,0))&amp;":"&amp;INDEX(Spielplan!$F$25:$F$68,MATCH("5-7",Spielplan!$N$25:$N$68,0))),""))</f>
        <v>1:1</v>
      </c>
      <c r="H11" s="30" t="str">
        <f>IFERROR(IF(INDEX(Spielplan!$F$25:$F$68,MATCH("7-6",Spielplan!$N$25:$N$68,0))="","–",INDEX(Spielplan!$F$25:$F$68,MATCH("7-6",Spielplan!$N$25:$N$68,0))&amp;":"&amp;INDEX(Spielplan!$H$25:$H$68,MATCH("7-6",Spielplan!$N$25:$N$68,0))),IFERROR(IF(INDEX(Spielplan!$F$25:$F$68,MATCH("6-7",Spielplan!$N$25:$N$68,0))="","–",INDEX(Spielplan!$H$25:$H$68,MATCH("6-7",Spielplan!$N$25:$N$68,0))&amp;":"&amp;INDEX(Spielplan!$F$25:$F$68,MATCH("6-7",Spielplan!$N$25:$N$68,0))),""))</f>
        <v>–</v>
      </c>
      <c r="I11" s="70" t="s">
        <v>84</v>
      </c>
      <c r="J11" s="30" t="str">
        <f>IFERROR(IF(INDEX(Spielplan!$F$25:$F$68,MATCH("7-8",Spielplan!$N$25:$N$68,0))="","–",INDEX(Spielplan!$F$25:$F$68,MATCH("7-8",Spielplan!$N$25:$N$68,0))&amp;":"&amp;INDEX(Spielplan!$H$25:$H$68,MATCH("7-8",Spielplan!$N$25:$N$68,0))),IFERROR(IF(INDEX(Spielplan!$F$25:$F$68,MATCH("8-7",Spielplan!$N$25:$N$68,0))="","–",INDEX(Spielplan!$H$25:$H$68,MATCH("8-7",Spielplan!$N$25:$N$68,0))&amp;":"&amp;INDEX(Spielplan!$F$25:$F$68,MATCH("8-7",Spielplan!$N$25:$N$68,0))),""))</f>
        <v>0:1</v>
      </c>
      <c r="K11" s="20" t="str">
        <f>IFERROR(IF(INDEX(Spielplan!$F$25:$F$68,MATCH("7-9",Spielplan!$N$25:$N$68,0))="","–",INDEX(Spielplan!$F$25:$F$68,MATCH("7-9",Spielplan!$N$25:$N$68,0))&amp;":"&amp;INDEX(Spielplan!$H$25:$H$68,MATCH("7-9",Spielplan!$N$25:$N$68,0))),IFERROR(IF(INDEX(Spielplan!$F$25:$F$68,MATCH("9-7",Spielplan!$N$25:$N$68,0))="","–",INDEX(Spielplan!$H$25:$H$68,MATCH("9-7",Spielplan!$N$25:$N$68,0))&amp;":"&amp;INDEX(Spielplan!$F$25:$F$68,MATCH("9-7",Spielplan!$N$25:$N$68,0))),""))</f>
        <v>0:0</v>
      </c>
    </row>
    <row r="12" spans="1:12" ht="21.75" customHeight="1" x14ac:dyDescent="0.25">
      <c r="A12" s="68">
        <v>8</v>
      </c>
      <c r="B12" s="69" t="str">
        <f>IFERROR(INDEX(Spielplan!$B$11:$B$19,8),"")</f>
        <v>TSV Rosental</v>
      </c>
      <c r="C12" s="30" t="str">
        <f>IFERROR(IF(INDEX(Spielplan!$F$25:$F$68,MATCH("8-1",Spielplan!$N$25:$N$68,0))="","–",INDEX(Spielplan!$F$25:$F$68,MATCH("8-1",Spielplan!$N$25:$N$68,0))&amp;":"&amp;INDEX(Spielplan!$H$25:$H$68,MATCH("8-1",Spielplan!$N$25:$N$68,0))),IFERROR(IF(INDEX(Spielplan!$F$25:$F$68,MATCH("1-8",Spielplan!$N$25:$N$68,0))="","–",INDEX(Spielplan!$H$25:$H$68,MATCH("1-8",Spielplan!$N$25:$N$68,0))&amp;":"&amp;INDEX(Spielplan!$F$25:$F$68,MATCH("1-8",Spielplan!$N$25:$N$68,0))),""))</f>
        <v>2:3</v>
      </c>
      <c r="D12" s="20" t="str">
        <f>IFERROR(IF(INDEX(Spielplan!$F$25:$F$68,MATCH("8-2",Spielplan!$N$25:$N$68,0))="","–",INDEX(Spielplan!$F$25:$F$68,MATCH("8-2",Spielplan!$N$25:$N$68,0))&amp;":"&amp;INDEX(Spielplan!$H$25:$H$68,MATCH("8-2",Spielplan!$N$25:$N$68,0))),IFERROR(IF(INDEX(Spielplan!$F$25:$F$68,MATCH("2-8",Spielplan!$N$25:$N$68,0))="","–",INDEX(Spielplan!$H$25:$H$68,MATCH("2-8",Spielplan!$N$25:$N$68,0))&amp;":"&amp;INDEX(Spielplan!$F$25:$F$68,MATCH("2-8",Spielplan!$N$25:$N$68,0))),""))</f>
        <v>1:1</v>
      </c>
      <c r="E12" s="30" t="str">
        <f>IFERROR(IF(INDEX(Spielplan!$F$25:$F$68,MATCH("8-3",Spielplan!$N$25:$N$68,0))="","–",INDEX(Spielplan!$F$25:$F$68,MATCH("8-3",Spielplan!$N$25:$N$68,0))&amp;":"&amp;INDEX(Spielplan!$H$25:$H$68,MATCH("8-3",Spielplan!$N$25:$N$68,0))),IFERROR(IF(INDEX(Spielplan!$F$25:$F$68,MATCH("3-8",Spielplan!$N$25:$N$68,0))="","–",INDEX(Spielplan!$H$25:$H$68,MATCH("3-8",Spielplan!$N$25:$N$68,0))&amp;":"&amp;INDEX(Spielplan!$F$25:$F$68,MATCH("3-8",Spielplan!$N$25:$N$68,0))),""))</f>
        <v>1:1</v>
      </c>
      <c r="F12" s="20" t="str">
        <f>IFERROR(IF(INDEX(Spielplan!$F$25:$F$68,MATCH("8-4",Spielplan!$N$25:$N$68,0))="","–",INDEX(Spielplan!$F$25:$F$68,MATCH("8-4",Spielplan!$N$25:$N$68,0))&amp;":"&amp;INDEX(Spielplan!$H$25:$H$68,MATCH("8-4",Spielplan!$N$25:$N$68,0))),IFERROR(IF(INDEX(Spielplan!$F$25:$F$68,MATCH("4-8",Spielplan!$N$25:$N$68,0))="","–",INDEX(Spielplan!$H$25:$H$68,MATCH("4-8",Spielplan!$N$25:$N$68,0))&amp;":"&amp;INDEX(Spielplan!$F$25:$F$68,MATCH("4-8",Spielplan!$N$25:$N$68,0))),""))</f>
        <v>3:0</v>
      </c>
      <c r="G12" s="30" t="str">
        <f>IFERROR(IF(INDEX(Spielplan!$F$25:$F$68,MATCH("8-5",Spielplan!$N$25:$N$68,0))="","–",INDEX(Spielplan!$F$25:$F$68,MATCH("8-5",Spielplan!$N$25:$N$68,0))&amp;":"&amp;INDEX(Spielplan!$H$25:$H$68,MATCH("8-5",Spielplan!$N$25:$N$68,0))),IFERROR(IF(INDEX(Spielplan!$F$25:$F$68,MATCH("5-8",Spielplan!$N$25:$N$68,0))="","–",INDEX(Spielplan!$H$25:$H$68,MATCH("5-8",Spielplan!$N$25:$N$68,0))&amp;":"&amp;INDEX(Spielplan!$F$25:$F$68,MATCH("5-8",Spielplan!$N$25:$N$68,0))),""))</f>
        <v>–</v>
      </c>
      <c r="H12" s="20" t="str">
        <f>IFERROR(IF(INDEX(Spielplan!$F$25:$F$68,MATCH("8-6",Spielplan!$N$25:$N$68,0))="","–",INDEX(Spielplan!$F$25:$F$68,MATCH("8-6",Spielplan!$N$25:$N$68,0))&amp;":"&amp;INDEX(Spielplan!$H$25:$H$68,MATCH("8-6",Spielplan!$N$25:$N$68,0))),IFERROR(IF(INDEX(Spielplan!$F$25:$F$68,MATCH("6-8",Spielplan!$N$25:$N$68,0))="","–",INDEX(Spielplan!$H$25:$H$68,MATCH("6-8",Spielplan!$N$25:$N$68,0))&amp;":"&amp;INDEX(Spielplan!$F$25:$F$68,MATCH("6-8",Spielplan!$N$25:$N$68,0))),""))</f>
        <v>2:1</v>
      </c>
      <c r="I12" s="30" t="str">
        <f>IFERROR(IF(INDEX(Spielplan!$F$25:$F$68,MATCH("8-7",Spielplan!$N$25:$N$68,0))="","–",INDEX(Spielplan!$F$25:$F$68,MATCH("8-7",Spielplan!$N$25:$N$68,0))&amp;":"&amp;INDEX(Spielplan!$H$25:$H$68,MATCH("8-7",Spielplan!$N$25:$N$68,0))),IFERROR(IF(INDEX(Spielplan!$F$25:$F$68,MATCH("7-8",Spielplan!$N$25:$N$68,0))="","–",INDEX(Spielplan!$H$25:$H$68,MATCH("7-8",Spielplan!$N$25:$N$68,0))&amp;":"&amp;INDEX(Spielplan!$F$25:$F$68,MATCH("7-8",Spielplan!$N$25:$N$68,0))),""))</f>
        <v>1:0</v>
      </c>
      <c r="J12" s="70" t="s">
        <v>84</v>
      </c>
      <c r="K12" s="30" t="str">
        <f>IFERROR(IF(INDEX(Spielplan!$F$25:$F$68,MATCH("8-9",Spielplan!$N$25:$N$68,0))="","–",INDEX(Spielplan!$F$25:$F$68,MATCH("8-9",Spielplan!$N$25:$N$68,0))&amp;":"&amp;INDEX(Spielplan!$H$25:$H$68,MATCH("8-9",Spielplan!$N$25:$N$68,0))),IFERROR(IF(INDEX(Spielplan!$F$25:$F$68,MATCH("9-8",Spielplan!$N$25:$N$68,0))="","–",INDEX(Spielplan!$H$25:$H$68,MATCH("9-8",Spielplan!$N$25:$N$68,0))&amp;":"&amp;INDEX(Spielplan!$F$25:$F$68,MATCH("9-8",Spielplan!$N$25:$N$68,0))),""))</f>
        <v>2:2</v>
      </c>
    </row>
    <row r="13" spans="1:12" ht="21.75" customHeight="1" x14ac:dyDescent="0.25">
      <c r="A13" s="68">
        <v>9</v>
      </c>
      <c r="B13" s="69" t="str">
        <f>IFERROR(INDEX(Spielplan!$B$11:$B$19,9),"")</f>
        <v>SC Wellenbach</v>
      </c>
      <c r="C13" s="20" t="str">
        <f>IFERROR(IF(INDEX(Spielplan!$F$25:$F$68,MATCH("9-1",Spielplan!$N$25:$N$68,0))="","–",INDEX(Spielplan!$F$25:$F$68,MATCH("9-1",Spielplan!$N$25:$N$68,0))&amp;":"&amp;INDEX(Spielplan!$H$25:$H$68,MATCH("9-1",Spielplan!$N$25:$N$68,0))),IFERROR(IF(INDEX(Spielplan!$F$25:$F$68,MATCH("1-9",Spielplan!$N$25:$N$68,0))="","–",INDEX(Spielplan!$H$25:$H$68,MATCH("1-9",Spielplan!$N$25:$N$68,0))&amp;":"&amp;INDEX(Spielplan!$F$25:$F$68,MATCH("1-9",Spielplan!$N$25:$N$68,0))),""))</f>
        <v>0:2</v>
      </c>
      <c r="D13" s="30" t="str">
        <f>IFERROR(IF(INDEX(Spielplan!$F$25:$F$68,MATCH("9-2",Spielplan!$N$25:$N$68,0))="","–",INDEX(Spielplan!$F$25:$F$68,MATCH("9-2",Spielplan!$N$25:$N$68,0))&amp;":"&amp;INDEX(Spielplan!$H$25:$H$68,MATCH("9-2",Spielplan!$N$25:$N$68,0))),IFERROR(IF(INDEX(Spielplan!$F$25:$F$68,MATCH("2-9",Spielplan!$N$25:$N$68,0))="","–",INDEX(Spielplan!$H$25:$H$68,MATCH("2-9",Spielplan!$N$25:$N$68,0))&amp;":"&amp;INDEX(Spielplan!$F$25:$F$68,MATCH("2-9",Spielplan!$N$25:$N$68,0))),""))</f>
        <v>1:2</v>
      </c>
      <c r="E13" s="20" t="str">
        <f>IFERROR(IF(INDEX(Spielplan!$F$25:$F$68,MATCH("9-3",Spielplan!$N$25:$N$68,0))="","–",INDEX(Spielplan!$F$25:$F$68,MATCH("9-3",Spielplan!$N$25:$N$68,0))&amp;":"&amp;INDEX(Spielplan!$H$25:$H$68,MATCH("9-3",Spielplan!$N$25:$N$68,0))),IFERROR(IF(INDEX(Spielplan!$F$25:$F$68,MATCH("3-9",Spielplan!$N$25:$N$68,0))="","–",INDEX(Spielplan!$H$25:$H$68,MATCH("3-9",Spielplan!$N$25:$N$68,0))&amp;":"&amp;INDEX(Spielplan!$F$25:$F$68,MATCH("3-9",Spielplan!$N$25:$N$68,0))),""))</f>
        <v>2:2</v>
      </c>
      <c r="F13" s="30" t="str">
        <f>IFERROR(IF(INDEX(Spielplan!$F$25:$F$68,MATCH("9-4",Spielplan!$N$25:$N$68,0))="","–",INDEX(Spielplan!$F$25:$F$68,MATCH("9-4",Spielplan!$N$25:$N$68,0))&amp;":"&amp;INDEX(Spielplan!$H$25:$H$68,MATCH("9-4",Spielplan!$N$25:$N$68,0))),IFERROR(IF(INDEX(Spielplan!$F$25:$F$68,MATCH("4-9",Spielplan!$N$25:$N$68,0))="","–",INDEX(Spielplan!$H$25:$H$68,MATCH("4-9",Spielplan!$N$25:$N$68,0))&amp;":"&amp;INDEX(Spielplan!$F$25:$F$68,MATCH("4-9",Spielplan!$N$25:$N$68,0))),""))</f>
        <v>–</v>
      </c>
      <c r="G13" s="20" t="str">
        <f>IFERROR(IF(INDEX(Spielplan!$F$25:$F$68,MATCH("9-5",Spielplan!$N$25:$N$68,0))="","–",INDEX(Spielplan!$F$25:$F$68,MATCH("9-5",Spielplan!$N$25:$N$68,0))&amp;":"&amp;INDEX(Spielplan!$H$25:$H$68,MATCH("9-5",Spielplan!$N$25:$N$68,0))),IFERROR(IF(INDEX(Spielplan!$F$25:$F$68,MATCH("5-9",Spielplan!$N$25:$N$68,0))="","–",INDEX(Spielplan!$H$25:$H$68,MATCH("5-9",Spielplan!$N$25:$N$68,0))&amp;":"&amp;INDEX(Spielplan!$F$25:$F$68,MATCH("5-9",Spielplan!$N$25:$N$68,0))),""))</f>
        <v>1:3</v>
      </c>
      <c r="H13" s="30" t="str">
        <f>IFERROR(IF(INDEX(Spielplan!$F$25:$F$68,MATCH("9-6",Spielplan!$N$25:$N$68,0))="","–",INDEX(Spielplan!$F$25:$F$68,MATCH("9-6",Spielplan!$N$25:$N$68,0))&amp;":"&amp;INDEX(Spielplan!$H$25:$H$68,MATCH("9-6",Spielplan!$N$25:$N$68,0))),IFERROR(IF(INDEX(Spielplan!$F$25:$F$68,MATCH("6-9",Spielplan!$N$25:$N$68,0))="","–",INDEX(Spielplan!$H$25:$H$68,MATCH("6-9",Spielplan!$N$25:$N$68,0))&amp;":"&amp;INDEX(Spielplan!$F$25:$F$68,MATCH("6-9",Spielplan!$N$25:$N$68,0))),""))</f>
        <v>0:1</v>
      </c>
      <c r="I13" s="20" t="str">
        <f>IFERROR(IF(INDEX(Spielplan!$F$25:$F$68,MATCH("9-7",Spielplan!$N$25:$N$68,0))="","–",INDEX(Spielplan!$F$25:$F$68,MATCH("9-7",Spielplan!$N$25:$N$68,0))&amp;":"&amp;INDEX(Spielplan!$H$25:$H$68,MATCH("9-7",Spielplan!$N$25:$N$68,0))),IFERROR(IF(INDEX(Spielplan!$F$25:$F$68,MATCH("7-9",Spielplan!$N$25:$N$68,0))="","–",INDEX(Spielplan!$H$25:$H$68,MATCH("7-9",Spielplan!$N$25:$N$68,0))&amp;":"&amp;INDEX(Spielplan!$F$25:$F$68,MATCH("7-9",Spielplan!$N$25:$N$68,0))),""))</f>
        <v>0:0</v>
      </c>
      <c r="J13" s="30" t="str">
        <f>IFERROR(IF(INDEX(Spielplan!$F$25:$F$68,MATCH("9-8",Spielplan!$N$25:$N$68,0))="","–",INDEX(Spielplan!$F$25:$F$68,MATCH("9-8",Spielplan!$N$25:$N$68,0))&amp;":"&amp;INDEX(Spielplan!$H$25:$H$68,MATCH("9-8",Spielplan!$N$25:$N$68,0))),IFERROR(IF(INDEX(Spielplan!$F$25:$F$68,MATCH("8-9",Spielplan!$N$25:$N$68,0))="","–",INDEX(Spielplan!$H$25:$H$68,MATCH("8-9",Spielplan!$N$25:$N$68,0))&amp;":"&amp;INDEX(Spielplan!$F$25:$F$68,MATCH("8-9",Spielplan!$N$25:$N$68,0))),""))</f>
        <v>2:2</v>
      </c>
      <c r="K13" s="70" t="s">
        <v>84</v>
      </c>
    </row>
    <row r="15" spans="1:12" ht="15.75" customHeight="1" x14ac:dyDescent="0.25">
      <c r="A15" s="6" t="s">
        <v>85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mergeCells count="4">
    <mergeCell ref="A1:L1"/>
    <mergeCell ref="A2:L2"/>
    <mergeCell ref="A4:B4"/>
    <mergeCell ref="A15:L15"/>
  </mergeCells>
  <pageMargins left="0.3" right="0.3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Spielplan</vt:lpstr>
      <vt:lpstr>Tabelle</vt:lpstr>
      <vt:lpstr>Kreuztabelle</vt:lpstr>
      <vt:lpstr>Kreuztabelle!Druckbereich</vt:lpstr>
      <vt:lpstr>Spielplan!Druckbereich</vt:lpstr>
      <vt:lpstr>Tabelle!Druckbereich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2026-08-11T06:07:32Z</dcterms:created>
  <dcterms:modified xsi:type="dcterms:W3CDTF">2026-08-11T11:14:38Z</dcterms:modified>
  <dc:language>en-US</dc:language>
</cp:coreProperties>
</file>