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lgungsplan" sheetId="1" state="visible" r:id="rId3"/>
  </sheets>
  <definedNames>
    <definedName function="false" hidden="false" localSheetId="0" name="_xlnm.Print_Area" vbProcedure="false">Tilgungsplan!$A$1:$H$130</definedName>
    <definedName function="false" hidden="false" localSheetId="0" name="_xlnm.Print_Titles" vbProcedure="false">Tilgungsplan!$37:$37</definedName>
    <definedName function="false" hidden="false" name="Annuitaet" vbProcedure="false">Tilgungsplan!$J$8</definedName>
    <definedName function="false" hidden="false" name="Darlehen" vbProcedure="false">Tilgungsplan!$C$7</definedName>
    <definedName function="false" hidden="false" name="i_monat" vbProcedure="false">Tilgungsplan!$J$7</definedName>
    <definedName function="false" hidden="false" name="Laufzeit_Monate" vbProcedure="false">Tilgungsplan!$C$9</definedName>
    <definedName function="false" hidden="false" name="Sollzins" vbProcedure="false">Tilgungsplan!$C$8</definedName>
    <definedName function="false" hidden="false" name="Zahlungsbeginn" vbProcedure="false">Tilgungsplan!$C$10</definedName>
    <definedName function="false" hidden="false" name="Zinsbindung_Jahre" vbProcedure="false">Tilgungsplan!$C$12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<sst xmlns="http://schemas.openxmlformats.org/spreadsheetml/2006/main" count="42" uniqueCount="42">
  <si>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TILGUNGSPLAN</t>
  </si>
  <si>
    <t xml:space="preserve">DARLEHEN</t>
  </si>
  <si>
    <t xml:space="preserve">DARLEHENSDATEN</t>
  </si>
  <si>
    <t xml:space="preserve">WEITERE KENNZAHLEN</t>
  </si>
  <si>
    <t xml:space="preserve">Darlehensbetrag</t>
  </si>
  <si>
    <t xml:space="preserve">Monatlicher Zinssatz</t>
  </si>
  <si>
    <t xml:space="preserve">Sollzinssatz p. a.</t>
  </si>
  <si>
    <t xml:space="preserve">Restschuld nach Zinsbindung</t>
  </si>
  <si>
    <t xml:space="preserve">Laufzeit (Monate)</t>
  </si>
  <si>
    <t xml:space="preserve">Letzte Rate (Betrag)</t>
  </si>
  <si>
    <t xml:space="preserve">Zahlungsbeginn (1. Rate)</t>
  </si>
  <si>
    <t xml:space="preserve">Voraussichtl. Enddatum</t>
  </si>
  <si>
    <t xml:space="preserve">Zahlweise</t>
  </si>
  <si>
    <t xml:space="preserve">monatlich (12 Raten/Jahr)</t>
  </si>
  <si>
    <t xml:space="preserve">Sondertilgungen gesamt</t>
  </si>
  <si>
    <t xml:space="preserve">Sollzinsbindung (Jahre)</t>
  </si>
  <si>
    <t xml:space="preserve">Effektive Laufzeit</t>
  </si>
  <si>
    <t xml:space="preserve">Ratenart</t>
  </si>
  <si>
    <t xml:space="preserve">Annuität (konstante Rate)</t>
  </si>
  <si>
    <t xml:space="preserve">Zinsanteil an Rückzahlung</t>
  </si>
  <si>
    <t xml:space="preserve">MONATLICHE RATE</t>
  </si>
  <si>
    <t xml:space="preserve">GESAMTZINSEN</t>
  </si>
  <si>
    <t xml:space="preserve">GESAMTAUFWAND</t>
  </si>
  <si>
    <t xml:space="preserve">LAUFZEIT</t>
  </si>
  <si>
    <t xml:space="preserve">GRAFISCHE ÜBERSICHT</t>
  </si>
  <si>
    <t xml:space="preserve">TILGUNGSPLAN – MONATLICHE ÜBERSICHT</t>
  </si>
  <si>
    <t xml:space="preserve">Nr.</t>
  </si>
  <si>
    <t xml:space="preserve">Datum</t>
  </si>
  <si>
    <t xml:space="preserve">Restschuld
Beginn</t>
  </si>
  <si>
    <t xml:space="preserve">Rate</t>
  </si>
  <si>
    <t xml:space="preserve">Zinsen</t>
  </si>
  <si>
    <t xml:space="preserve">Tilgung</t>
  </si>
  <si>
    <t xml:space="preserve">Sonder-
tilgung</t>
  </si>
  <si>
    <t xml:space="preserve">Restschuld
Ende</t>
  </si>
  <si>
    <t xml:space="preserve">Summe</t>
  </si>
  <si>
    <t xml:space="preserve">HINWEISE</t>
  </si>
  <si>
    <t xml:space="preserve">•  Nur die cremefarbenen Felder ausfüllen: Darlehensbetrag, Sollzinssatz, Laufzeit, Zahlungsbeginn, Sollzinsbindung.</t>
  </si>
  <si>
    <t xml:space="preserve">•  Rate, Zinsen, Tilgung und Restschuld werden je Monat automatisch aus dem Annuitätendarlehen berechnet.</t>
  </si>
  <si>
    <t xml:space="preserve">•  Sondertilgungen in der Spalte „Sondertilgung“ eintragen – sie senken die Restschuld sofort und verkürzen die Laufzeit.</t>
  </si>
  <si>
    <t xml:space="preserve">•  Die letzte Rate wird automatisch als Restrate angepasst, sobald die Restschuld ausgeglichen ist.</t>
  </si>
  <si>
    <t xml:space="preserve">•  Für Laufzeiten über 84 Monate einfach weitere Zeilen mit denselben Formeln ergänzen.</t>
  </si>
  <si>
    <t xml:space="preserve">Vorlage „Tilgungsplan“ · Beispieldaten frei erfunden · alle Beträge in Euro · Wirtschaftsjahr 2026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</si>
</sst>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&quot; €&quot;"/>
    <numFmt numFmtId="166" formatCode="#,##0.00&quot; €&quot;"/>
    <numFmt numFmtId="167" formatCode="0.000%"/>
    <numFmt numFmtId="168" formatCode="General"/>
    <numFmt numFmtId="169" formatCode="0.00%"/>
    <numFmt numFmtId="170" formatCode="0"/>
    <numFmt numFmtId="171" formatCode="dd\.mm\.yyyy"/>
    <numFmt numFmtId="172" formatCode="0.0&quot; Jahre&quot;"/>
    <numFmt numFmtId="173" formatCode="0&quot; Monate&quot;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3"/>
      <color rgb="FFFFFFFF"/>
      <name val="Calibri"/>
      <family val="0"/>
      <charset val="1"/>
    </font>
    <font>
      <i val="true"/>
      <sz val="10"/>
      <color rgb="FFFFFFFF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9.5"/>
      <color rgb="FF2E3B47"/>
      <name val="Calibri"/>
      <family val="0"/>
      <charset val="1"/>
    </font>
    <font>
      <sz val="10.5"/>
      <color rgb="FF1E2830"/>
      <name val="Calibri"/>
      <family val="0"/>
      <charset val="1"/>
    </font>
    <font>
      <b val="true"/>
      <sz val="15"/>
      <color rgb="FFFFFFFF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9.5"/>
      <color rgb="FF1E2830"/>
      <name val="Calibri"/>
      <family val="0"/>
      <charset val="1"/>
    </font>
    <font>
      <b val="true"/>
      <sz val="9.5"/>
      <color rgb="FF1E2830"/>
      <name val="Calibri"/>
      <family val="0"/>
      <charset val="1"/>
    </font>
    <font>
      <sz val="9.5"/>
      <color rgb="FF8E2C3B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8.5"/>
      <color rgb="FF6B7785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8E2C3B"/>
        <bgColor rgb="FF993366"/>
      </patternFill>
    </fill>
    <fill>
      <patternFill patternType="solid">
        <fgColor rgb="FF2E3B47"/>
        <bgColor rgb="FF1E2830"/>
      </patternFill>
    </fill>
    <fill>
      <patternFill patternType="solid">
        <fgColor rgb="FF6E1F2C"/>
        <bgColor rgb="FF8E2C3B"/>
      </patternFill>
    </fill>
    <fill>
      <patternFill patternType="solid">
        <fgColor rgb="FF45596B"/>
        <bgColor rgb="FF2E3B47"/>
      </patternFill>
    </fill>
    <fill>
      <patternFill patternType="solid">
        <fgColor rgb="FFEAEDF0"/>
        <bgColor rgb="FFEEF1F4"/>
      </patternFill>
    </fill>
    <fill>
      <patternFill patternType="solid">
        <fgColor rgb="FFFBF1EE"/>
        <bgColor rgb="FFF5F7F8"/>
      </patternFill>
    </fill>
    <fill>
      <patternFill patternType="solid">
        <fgColor rgb="FFEEF1F4"/>
        <bgColor rgb="FFEAEDF0"/>
      </patternFill>
    </fill>
    <fill>
      <patternFill patternType="solid">
        <fgColor rgb="FFFFFFFF"/>
        <bgColor rgb="FFF5F7F8"/>
      </patternFill>
    </fill>
    <fill>
      <patternFill patternType="solid">
        <fgColor rgb="FFF5F7F8"/>
        <bgColor rgb="FFEEF1F4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D6DCE2"/>
      </left>
      <right style="thin">
        <color rgb="FFD6DCE2"/>
      </right>
      <top style="thin">
        <color rgb="FFD6DCE2"/>
      </top>
      <bottom style="thin">
        <color rgb="FFD6DCE2"/>
      </bottom>
      <diagonal/>
    </border>
    <border diagonalUp="false" diagonalDown="false">
      <left style="thin">
        <color rgb="FFE8CDC6"/>
      </left>
      <right style="thin">
        <color rgb="FFE8CDC6"/>
      </right>
      <top style="thin">
        <color rgb="FFE8CDC6"/>
      </top>
      <bottom style="thin">
        <color rgb="FFE8CDC6"/>
      </bottom>
      <diagonal/>
    </border>
    <border diagonalUp="false" diagonalDown="false">
      <left style="thin">
        <color rgb="FF45596B"/>
      </left>
      <right style="thin">
        <color rgb="FF45596B"/>
      </right>
      <top style="thin">
        <color rgb="FF45596B"/>
      </top>
      <bottom style="thin">
        <color rgb="FF45596B"/>
      </bottom>
      <diagonal/>
    </border>
    <border diagonalUp="false" diagonalDown="false">
      <left style="thin">
        <color rgb="FF6E1F2C"/>
      </left>
      <right style="thin">
        <color rgb="FF6E1F2C"/>
      </right>
      <top style="thin">
        <color rgb="FF6E1F2C"/>
      </top>
      <bottom style="thin">
        <color rgb="FF6E1F2C"/>
      </bottom>
      <diagonal/>
    </border>
    <border diagonalUp="false" diagonalDown="false">
      <left style="thin">
        <color rgb="FF6E7E8E"/>
      </left>
      <right style="thin">
        <color rgb="FF6E7E8E"/>
      </right>
      <top style="thin">
        <color rgb="FF6E7E8E"/>
      </top>
      <bottom style="thin">
        <color rgb="FF6E7E8E"/>
      </bottom>
      <diagonal/>
    </border>
    <border diagonalUp="false" diagonalDown="false">
      <left style="thin">
        <color rgb="FFDCE1E6"/>
      </left>
      <right style="thin">
        <color rgb="FFDCE1E6"/>
      </right>
      <top style="thin">
        <color rgb="FFDCE1E6"/>
      </top>
      <bottom style="thin">
        <color rgb="FFDCE1E6"/>
      </bottom>
      <diagonal/>
    </border>
    <border diagonalUp="false" diagonalDown="false">
      <left style="thin">
        <color rgb="FF2E3B47"/>
      </left>
      <right style="thin">
        <color rgb="FF2E3B47"/>
      </right>
      <top style="thin">
        <color rgb="FF2E3B47"/>
      </top>
      <bottom style="thin">
        <color rgb="FF2E3B4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0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10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0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0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10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0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1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11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9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3" fillId="9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9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4" fillId="9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7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3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1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4" fillId="1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5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6" fillId="5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9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6E1F2C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8E2C3B"/>
      <rgbColor rgb="FFFBF1EE"/>
      <rgbColor rgb="FFEEF1F4"/>
      <rgbColor rgb="FF660066"/>
      <rgbColor rgb="FFFF8080"/>
      <rgbColor rgb="FF0066CC"/>
      <rgbColor rgb="FFD6DC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EDF0"/>
      <rgbColor rgb="FFDCE1E6"/>
      <rgbColor rgb="FFF5F7F8"/>
      <rgbColor rgb="FF99CCFF"/>
      <rgbColor rgb="FFFF99CC"/>
      <rgbColor rgb="FFCC99FF"/>
      <rgbColor rgb="FFE8CDC6"/>
      <rgbColor rgb="FF3366FF"/>
      <rgbColor rgb="FF33CCCC"/>
      <rgbColor rgb="FF99CC00"/>
      <rgbColor rgb="FFFFCC00"/>
      <rgbColor rgb="FFFF9900"/>
      <rgbColor rgb="FFFF6600"/>
      <rgbColor rgb="FF6B7785"/>
      <rgbColor rgb="FF6E7E8E"/>
      <rgbColor rgb="FF003366"/>
      <rgbColor rgb="FF339966"/>
      <rgbColor rgb="FF003300"/>
      <rgbColor rgb="FF1E2830"/>
      <rgbColor rgb="FF993300"/>
      <rgbColor rgb="FF993366"/>
      <rgbColor rgb="FF45596B"/>
      <rgbColor rgb="FF2E3B4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Restschuldverlauf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Tilgungsplan!H37</c:f>
              <c:strCache>
                <c:ptCount val="1"/>
                <c:pt idx="0">
                  <c:v>Restschuld
Ende</c:v>
                </c:pt>
              </c:strCache>
            </c:strRef>
          </c:tx>
          <c:spPr>
            <a:solidFill>
              <a:srgbClr val="2e3b47"/>
            </a:solidFill>
            <a:ln w="21960">
              <a:solidFill>
                <a:srgbClr val="2e3b47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Tilgungsplan!$A$38:$A$121</c:f>
              <c:strCache>
                <c:ptCount val="8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</c:strCache>
            </c:strRef>
          </c:cat>
          <c:val>
            <c:numRef>
              <c:f>Tilgungsplan!$H$38:$H$121</c:f>
              <c:numCache>
                <c:formatCode>#,##0.00" €"</c:formatCode>
                <c:ptCount val="84"/>
                <c:pt idx="0">
                  <c:v>24746.25</c:v>
                </c:pt>
                <c:pt idx="1">
                  <c:v>24491.55</c:v>
                </c:pt>
                <c:pt idx="2">
                  <c:v>24235.89</c:v>
                </c:pt>
                <c:pt idx="3">
                  <c:v>23979.27</c:v>
                </c:pt>
                <c:pt idx="4">
                  <c:v>23721.69</c:v>
                </c:pt>
                <c:pt idx="5">
                  <c:v>23463.15</c:v>
                </c:pt>
                <c:pt idx="6">
                  <c:v>23203.64</c:v>
                </c:pt>
                <c:pt idx="7">
                  <c:v>22943.15</c:v>
                </c:pt>
                <c:pt idx="8">
                  <c:v>22681.69</c:v>
                </c:pt>
                <c:pt idx="9">
                  <c:v>22419.25</c:v>
                </c:pt>
                <c:pt idx="10">
                  <c:v>22155.82</c:v>
                </c:pt>
                <c:pt idx="11">
                  <c:v>21891.4</c:v>
                </c:pt>
                <c:pt idx="12">
                  <c:v>21625.99</c:v>
                </c:pt>
                <c:pt idx="13">
                  <c:v>21359.59</c:v>
                </c:pt>
                <c:pt idx="14">
                  <c:v>21092.19</c:v>
                </c:pt>
                <c:pt idx="15">
                  <c:v>20823.79</c:v>
                </c:pt>
                <c:pt idx="16">
                  <c:v>20554.38</c:v>
                </c:pt>
                <c:pt idx="17">
                  <c:v>20283.96</c:v>
                </c:pt>
                <c:pt idx="18">
                  <c:v>20012.52</c:v>
                </c:pt>
                <c:pt idx="19">
                  <c:v>19740.07</c:v>
                </c:pt>
                <c:pt idx="20">
                  <c:v>19466.6</c:v>
                </c:pt>
                <c:pt idx="21">
                  <c:v>19192.1</c:v>
                </c:pt>
                <c:pt idx="22">
                  <c:v>18916.57</c:v>
                </c:pt>
                <c:pt idx="23">
                  <c:v>17640.01</c:v>
                </c:pt>
                <c:pt idx="24">
                  <c:v>17358.66</c:v>
                </c:pt>
                <c:pt idx="25">
                  <c:v>17076.25</c:v>
                </c:pt>
                <c:pt idx="26">
                  <c:v>16792.79</c:v>
                </c:pt>
                <c:pt idx="27">
                  <c:v>16508.26</c:v>
                </c:pt>
                <c:pt idx="28">
                  <c:v>16222.67</c:v>
                </c:pt>
                <c:pt idx="29">
                  <c:v>15936.01</c:v>
                </c:pt>
                <c:pt idx="30">
                  <c:v>15648.27</c:v>
                </c:pt>
                <c:pt idx="31">
                  <c:v>15359.45</c:v>
                </c:pt>
                <c:pt idx="32">
                  <c:v>15069.55</c:v>
                </c:pt>
                <c:pt idx="33">
                  <c:v>14778.56</c:v>
                </c:pt>
                <c:pt idx="34">
                  <c:v>14486.48</c:v>
                </c:pt>
                <c:pt idx="35">
                  <c:v>14193.3</c:v>
                </c:pt>
                <c:pt idx="36">
                  <c:v>13899.02</c:v>
                </c:pt>
                <c:pt idx="37">
                  <c:v>13603.64</c:v>
                </c:pt>
                <c:pt idx="38">
                  <c:v>13307.15</c:v>
                </c:pt>
                <c:pt idx="39">
                  <c:v>13009.55</c:v>
                </c:pt>
                <c:pt idx="40">
                  <c:v>12710.84</c:v>
                </c:pt>
                <c:pt idx="41">
                  <c:v>12411.01</c:v>
                </c:pt>
                <c:pt idx="42">
                  <c:v>12110.05</c:v>
                </c:pt>
                <c:pt idx="43">
                  <c:v>11807.96</c:v>
                </c:pt>
                <c:pt idx="44">
                  <c:v>11504.74</c:v>
                </c:pt>
                <c:pt idx="45">
                  <c:v>11200.38</c:v>
                </c:pt>
                <c:pt idx="46">
                  <c:v>10894.88</c:v>
                </c:pt>
                <c:pt idx="47">
                  <c:v>10588.24</c:v>
                </c:pt>
                <c:pt idx="48">
                  <c:v>10280.45</c:v>
                </c:pt>
                <c:pt idx="49">
                  <c:v>9971.5</c:v>
                </c:pt>
                <c:pt idx="50">
                  <c:v>9661.39</c:v>
                </c:pt>
                <c:pt idx="51">
                  <c:v>9350.12</c:v>
                </c:pt>
                <c:pt idx="52">
                  <c:v>9037.68</c:v>
                </c:pt>
                <c:pt idx="53">
                  <c:v>8724.07</c:v>
                </c:pt>
                <c:pt idx="54">
                  <c:v>8409.29</c:v>
                </c:pt>
                <c:pt idx="55">
                  <c:v>8093.32</c:v>
                </c:pt>
                <c:pt idx="56">
                  <c:v>7776.17</c:v>
                </c:pt>
                <c:pt idx="57">
                  <c:v>7457.83</c:v>
                </c:pt>
                <c:pt idx="58">
                  <c:v>7138.3</c:v>
                </c:pt>
                <c:pt idx="59">
                  <c:v>6817.57</c:v>
                </c:pt>
                <c:pt idx="60">
                  <c:v>6495.64</c:v>
                </c:pt>
                <c:pt idx="61">
                  <c:v>6172.5</c:v>
                </c:pt>
                <c:pt idx="62">
                  <c:v>5848.15</c:v>
                </c:pt>
                <c:pt idx="63">
                  <c:v>5522.58</c:v>
                </c:pt>
                <c:pt idx="64">
                  <c:v>5195.79</c:v>
                </c:pt>
                <c:pt idx="65">
                  <c:v>4867.77</c:v>
                </c:pt>
                <c:pt idx="66">
                  <c:v>4538.52</c:v>
                </c:pt>
                <c:pt idx="67">
                  <c:v>4208.04</c:v>
                </c:pt>
                <c:pt idx="68">
                  <c:v>3876.32</c:v>
                </c:pt>
                <c:pt idx="69">
                  <c:v>3543.36</c:v>
                </c:pt>
                <c:pt idx="70">
                  <c:v>3209.15</c:v>
                </c:pt>
                <c:pt idx="71">
                  <c:v>2873.68</c:v>
                </c:pt>
                <c:pt idx="72">
                  <c:v>2536.96</c:v>
                </c:pt>
                <c:pt idx="73">
                  <c:v>2198.97</c:v>
                </c:pt>
                <c:pt idx="74">
                  <c:v>1859.72</c:v>
                </c:pt>
                <c:pt idx="75">
                  <c:v>1519.19</c:v>
                </c:pt>
                <c:pt idx="76">
                  <c:v>1177.39</c:v>
                </c:pt>
                <c:pt idx="77">
                  <c:v>834.31</c:v>
                </c:pt>
                <c:pt idx="78">
                  <c:v>489.94</c:v>
                </c:pt>
                <c:pt idx="79">
                  <c:v>144.28</c:v>
                </c:pt>
                <c:pt idx="80">
                  <c:v>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80749201"/>
        <c:axId val="93825897"/>
      </c:lineChart>
      <c:catAx>
        <c:axId val="8074920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Monat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3825897"/>
        <c:crosses val="autoZero"/>
        <c:auto val="1"/>
        <c:lblAlgn val="ctr"/>
        <c:lblOffset val="100"/>
        <c:noMultiLvlLbl val="0"/>
      </c:catAx>
      <c:valAx>
        <c:axId val="9382589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074920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Zins- und Tilgungsanteil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areaChart>
        <c:grouping val="stacked"/>
        <c:ser>
          <c:idx val="0"/>
          <c:order val="0"/>
          <c:tx>
            <c:strRef>
              <c:f>Tilgungsplan!E37</c:f>
              <c:strCache>
                <c:ptCount val="1"/>
                <c:pt idx="0">
                  <c:v>Zinsen</c:v>
                </c:pt>
              </c:strCache>
            </c:strRef>
          </c:tx>
          <c:spPr>
            <a:solidFill>
              <a:srgbClr val="8e2c3b"/>
            </a:solidFill>
            <a:ln w="0">
              <a:solidFill>
                <a:srgbClr val="8e2c3b"/>
              </a:solidFill>
            </a:ln>
          </c:spP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Tilgungsplan!$A$38:$A$121</c:f>
              <c:strCache>
                <c:ptCount val="8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</c:strCache>
            </c:strRef>
          </c:cat>
          <c:val>
            <c:numRef>
              <c:f>Tilgungsplan!$E$38:$E$121</c:f>
              <c:numCache>
                <c:formatCode>#,##0.00" €"</c:formatCode>
                <c:ptCount val="84"/>
                <c:pt idx="0">
                  <c:v>93.75</c:v>
                </c:pt>
                <c:pt idx="1">
                  <c:v>92.8</c:v>
                </c:pt>
                <c:pt idx="2">
                  <c:v>91.84</c:v>
                </c:pt>
                <c:pt idx="3">
                  <c:v>90.88</c:v>
                </c:pt>
                <c:pt idx="4">
                  <c:v>89.92</c:v>
                </c:pt>
                <c:pt idx="5">
                  <c:v>88.96</c:v>
                </c:pt>
                <c:pt idx="6">
                  <c:v>87.99</c:v>
                </c:pt>
                <c:pt idx="7">
                  <c:v>87.01</c:v>
                </c:pt>
                <c:pt idx="8">
                  <c:v>86.04</c:v>
                </c:pt>
                <c:pt idx="9">
                  <c:v>85.06</c:v>
                </c:pt>
                <c:pt idx="10">
                  <c:v>84.07</c:v>
                </c:pt>
                <c:pt idx="11">
                  <c:v>83.08</c:v>
                </c:pt>
                <c:pt idx="12">
                  <c:v>82.09</c:v>
                </c:pt>
                <c:pt idx="13">
                  <c:v>81.1</c:v>
                </c:pt>
                <c:pt idx="14">
                  <c:v>80.1</c:v>
                </c:pt>
                <c:pt idx="15">
                  <c:v>79.1</c:v>
                </c:pt>
                <c:pt idx="16">
                  <c:v>78.09</c:v>
                </c:pt>
                <c:pt idx="17">
                  <c:v>77.08</c:v>
                </c:pt>
                <c:pt idx="18">
                  <c:v>76.06</c:v>
                </c:pt>
                <c:pt idx="19">
                  <c:v>75.05</c:v>
                </c:pt>
                <c:pt idx="20">
                  <c:v>74.03</c:v>
                </c:pt>
                <c:pt idx="21">
                  <c:v>73</c:v>
                </c:pt>
                <c:pt idx="22">
                  <c:v>71.97</c:v>
                </c:pt>
                <c:pt idx="23">
                  <c:v>70.94</c:v>
                </c:pt>
                <c:pt idx="24">
                  <c:v>66.15</c:v>
                </c:pt>
                <c:pt idx="25">
                  <c:v>65.09</c:v>
                </c:pt>
                <c:pt idx="26">
                  <c:v>64.04</c:v>
                </c:pt>
                <c:pt idx="27">
                  <c:v>62.97</c:v>
                </c:pt>
                <c:pt idx="28">
                  <c:v>61.91</c:v>
                </c:pt>
                <c:pt idx="29">
                  <c:v>60.84</c:v>
                </c:pt>
                <c:pt idx="30">
                  <c:v>59.76</c:v>
                </c:pt>
                <c:pt idx="31">
                  <c:v>58.68</c:v>
                </c:pt>
                <c:pt idx="32">
                  <c:v>57.6</c:v>
                </c:pt>
                <c:pt idx="33">
                  <c:v>56.51</c:v>
                </c:pt>
                <c:pt idx="34">
                  <c:v>55.42</c:v>
                </c:pt>
                <c:pt idx="35">
                  <c:v>54.32</c:v>
                </c:pt>
                <c:pt idx="36">
                  <c:v>53.22</c:v>
                </c:pt>
                <c:pt idx="37">
                  <c:v>52.12</c:v>
                </c:pt>
                <c:pt idx="38">
                  <c:v>51.01</c:v>
                </c:pt>
                <c:pt idx="39">
                  <c:v>49.9</c:v>
                </c:pt>
                <c:pt idx="40">
                  <c:v>48.79</c:v>
                </c:pt>
                <c:pt idx="41">
                  <c:v>47.67</c:v>
                </c:pt>
                <c:pt idx="42">
                  <c:v>46.54</c:v>
                </c:pt>
                <c:pt idx="43">
                  <c:v>45.41</c:v>
                </c:pt>
                <c:pt idx="44">
                  <c:v>44.28</c:v>
                </c:pt>
                <c:pt idx="45">
                  <c:v>43.14</c:v>
                </c:pt>
                <c:pt idx="46">
                  <c:v>42</c:v>
                </c:pt>
                <c:pt idx="47">
                  <c:v>40.86</c:v>
                </c:pt>
                <c:pt idx="48">
                  <c:v>39.71</c:v>
                </c:pt>
                <c:pt idx="49">
                  <c:v>38.55</c:v>
                </c:pt>
                <c:pt idx="50">
                  <c:v>37.39</c:v>
                </c:pt>
                <c:pt idx="51">
                  <c:v>36.23</c:v>
                </c:pt>
                <c:pt idx="52">
                  <c:v>35.06</c:v>
                </c:pt>
                <c:pt idx="53">
                  <c:v>33.89</c:v>
                </c:pt>
                <c:pt idx="54">
                  <c:v>32.72</c:v>
                </c:pt>
                <c:pt idx="55">
                  <c:v>31.53</c:v>
                </c:pt>
                <c:pt idx="56">
                  <c:v>30.35</c:v>
                </c:pt>
                <c:pt idx="57">
                  <c:v>29.16</c:v>
                </c:pt>
                <c:pt idx="58">
                  <c:v>27.97</c:v>
                </c:pt>
                <c:pt idx="59">
                  <c:v>26.77</c:v>
                </c:pt>
                <c:pt idx="60">
                  <c:v>25.57</c:v>
                </c:pt>
                <c:pt idx="61">
                  <c:v>24.36</c:v>
                </c:pt>
                <c:pt idx="62">
                  <c:v>23.15</c:v>
                </c:pt>
                <c:pt idx="63">
                  <c:v>21.93</c:v>
                </c:pt>
                <c:pt idx="64">
                  <c:v>20.71</c:v>
                </c:pt>
                <c:pt idx="65">
                  <c:v>19.48</c:v>
                </c:pt>
                <c:pt idx="66">
                  <c:v>18.25</c:v>
                </c:pt>
                <c:pt idx="67">
                  <c:v>17.02</c:v>
                </c:pt>
                <c:pt idx="68">
                  <c:v>15.78</c:v>
                </c:pt>
                <c:pt idx="69">
                  <c:v>14.54</c:v>
                </c:pt>
                <c:pt idx="70">
                  <c:v>13.29</c:v>
                </c:pt>
                <c:pt idx="71">
                  <c:v>12.03</c:v>
                </c:pt>
                <c:pt idx="72">
                  <c:v>10.78</c:v>
                </c:pt>
                <c:pt idx="73">
                  <c:v>9.51</c:v>
                </c:pt>
                <c:pt idx="74">
                  <c:v>8.25</c:v>
                </c:pt>
                <c:pt idx="75">
                  <c:v>6.97</c:v>
                </c:pt>
                <c:pt idx="76">
                  <c:v>5.7</c:v>
                </c:pt>
                <c:pt idx="77">
                  <c:v>4.42</c:v>
                </c:pt>
                <c:pt idx="78">
                  <c:v>3.13</c:v>
                </c:pt>
                <c:pt idx="79">
                  <c:v>1.84</c:v>
                </c:pt>
                <c:pt idx="80">
                  <c:v>0.54</c:v>
                </c:pt>
              </c:numCache>
            </c:numRef>
          </c:val>
        </c:ser>
        <c:ser>
          <c:idx val="1"/>
          <c:order val="1"/>
          <c:tx>
            <c:strRef>
              <c:f>Tilgungsplan!F37</c:f>
              <c:strCache>
                <c:ptCount val="1"/>
                <c:pt idx="0">
                  <c:v>Tilgung</c:v>
                </c:pt>
              </c:strCache>
            </c:strRef>
          </c:tx>
          <c:spPr>
            <a:solidFill>
              <a:srgbClr val="45596b"/>
            </a:solidFill>
            <a:ln w="0">
              <a:solidFill>
                <a:srgbClr val="45596b"/>
              </a:solidFill>
            </a:ln>
          </c:spP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Tilgungsplan!$A$38:$A$121</c:f>
              <c:strCache>
                <c:ptCount val="8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</c:strCache>
            </c:strRef>
          </c:cat>
          <c:val>
            <c:numRef>
              <c:f>Tilgungsplan!$F$38:$F$121</c:f>
              <c:numCache>
                <c:formatCode>#,##0.00" €"</c:formatCode>
                <c:ptCount val="84"/>
                <c:pt idx="0">
                  <c:v>253.75</c:v>
                </c:pt>
                <c:pt idx="1">
                  <c:v>254.7</c:v>
                </c:pt>
                <c:pt idx="2">
                  <c:v>255.66</c:v>
                </c:pt>
                <c:pt idx="3">
                  <c:v>256.62</c:v>
                </c:pt>
                <c:pt idx="4">
                  <c:v>257.58</c:v>
                </c:pt>
                <c:pt idx="5">
                  <c:v>258.54</c:v>
                </c:pt>
                <c:pt idx="6">
                  <c:v>259.51</c:v>
                </c:pt>
                <c:pt idx="7">
                  <c:v>260.49</c:v>
                </c:pt>
                <c:pt idx="8">
                  <c:v>261.46</c:v>
                </c:pt>
                <c:pt idx="9">
                  <c:v>262.44</c:v>
                </c:pt>
                <c:pt idx="10">
                  <c:v>263.43</c:v>
                </c:pt>
                <c:pt idx="11">
                  <c:v>264.42</c:v>
                </c:pt>
                <c:pt idx="12">
                  <c:v>265.41</c:v>
                </c:pt>
                <c:pt idx="13">
                  <c:v>266.4</c:v>
                </c:pt>
                <c:pt idx="14">
                  <c:v>267.4</c:v>
                </c:pt>
                <c:pt idx="15">
                  <c:v>268.4</c:v>
                </c:pt>
                <c:pt idx="16">
                  <c:v>269.41</c:v>
                </c:pt>
                <c:pt idx="17">
                  <c:v>270.42</c:v>
                </c:pt>
                <c:pt idx="18">
                  <c:v>271.44</c:v>
                </c:pt>
                <c:pt idx="19">
                  <c:v>272.45</c:v>
                </c:pt>
                <c:pt idx="20">
                  <c:v>273.47</c:v>
                </c:pt>
                <c:pt idx="21">
                  <c:v>274.5</c:v>
                </c:pt>
                <c:pt idx="22">
                  <c:v>275.53</c:v>
                </c:pt>
                <c:pt idx="23">
                  <c:v>276.56</c:v>
                </c:pt>
                <c:pt idx="24">
                  <c:v>281.35</c:v>
                </c:pt>
                <c:pt idx="25">
                  <c:v>282.41</c:v>
                </c:pt>
                <c:pt idx="26">
                  <c:v>283.46</c:v>
                </c:pt>
                <c:pt idx="27">
                  <c:v>284.53</c:v>
                </c:pt>
                <c:pt idx="28">
                  <c:v>285.59</c:v>
                </c:pt>
                <c:pt idx="29">
                  <c:v>286.66</c:v>
                </c:pt>
                <c:pt idx="30">
                  <c:v>287.74</c:v>
                </c:pt>
                <c:pt idx="31">
                  <c:v>288.82</c:v>
                </c:pt>
                <c:pt idx="32">
                  <c:v>289.9</c:v>
                </c:pt>
                <c:pt idx="33">
                  <c:v>290.99</c:v>
                </c:pt>
                <c:pt idx="34">
                  <c:v>292.08</c:v>
                </c:pt>
                <c:pt idx="35">
                  <c:v>293.18</c:v>
                </c:pt>
                <c:pt idx="36">
                  <c:v>294.28</c:v>
                </c:pt>
                <c:pt idx="37">
                  <c:v>295.38</c:v>
                </c:pt>
                <c:pt idx="38">
                  <c:v>296.49</c:v>
                </c:pt>
                <c:pt idx="39">
                  <c:v>297.6</c:v>
                </c:pt>
                <c:pt idx="40">
                  <c:v>298.71</c:v>
                </c:pt>
                <c:pt idx="41">
                  <c:v>299.83</c:v>
                </c:pt>
                <c:pt idx="42">
                  <c:v>300.96</c:v>
                </c:pt>
                <c:pt idx="43">
                  <c:v>302.09</c:v>
                </c:pt>
                <c:pt idx="44">
                  <c:v>303.22</c:v>
                </c:pt>
                <c:pt idx="45">
                  <c:v>304.36</c:v>
                </c:pt>
                <c:pt idx="46">
                  <c:v>305.5</c:v>
                </c:pt>
                <c:pt idx="47">
                  <c:v>306.64</c:v>
                </c:pt>
                <c:pt idx="48">
                  <c:v>307.79</c:v>
                </c:pt>
                <c:pt idx="49">
                  <c:v>308.95</c:v>
                </c:pt>
                <c:pt idx="50">
                  <c:v>310.11</c:v>
                </c:pt>
                <c:pt idx="51">
                  <c:v>311.27</c:v>
                </c:pt>
                <c:pt idx="52">
                  <c:v>312.44</c:v>
                </c:pt>
                <c:pt idx="53">
                  <c:v>313.61</c:v>
                </c:pt>
                <c:pt idx="54">
                  <c:v>314.78</c:v>
                </c:pt>
                <c:pt idx="55">
                  <c:v>315.97</c:v>
                </c:pt>
                <c:pt idx="56">
                  <c:v>317.15</c:v>
                </c:pt>
                <c:pt idx="57">
                  <c:v>318.34</c:v>
                </c:pt>
                <c:pt idx="58">
                  <c:v>319.53</c:v>
                </c:pt>
                <c:pt idx="59">
                  <c:v>320.73</c:v>
                </c:pt>
                <c:pt idx="60">
                  <c:v>321.93</c:v>
                </c:pt>
                <c:pt idx="61">
                  <c:v>323.14</c:v>
                </c:pt>
                <c:pt idx="62">
                  <c:v>324.35</c:v>
                </c:pt>
                <c:pt idx="63">
                  <c:v>325.57</c:v>
                </c:pt>
                <c:pt idx="64">
                  <c:v>326.79</c:v>
                </c:pt>
                <c:pt idx="65">
                  <c:v>328.02</c:v>
                </c:pt>
                <c:pt idx="66">
                  <c:v>329.25</c:v>
                </c:pt>
                <c:pt idx="67">
                  <c:v>330.48</c:v>
                </c:pt>
                <c:pt idx="68">
                  <c:v>331.72</c:v>
                </c:pt>
                <c:pt idx="69">
                  <c:v>332.96</c:v>
                </c:pt>
                <c:pt idx="70">
                  <c:v>334.21</c:v>
                </c:pt>
                <c:pt idx="71">
                  <c:v>335.47</c:v>
                </c:pt>
                <c:pt idx="72">
                  <c:v>336.72</c:v>
                </c:pt>
                <c:pt idx="73">
                  <c:v>337.99</c:v>
                </c:pt>
                <c:pt idx="74">
                  <c:v>339.25</c:v>
                </c:pt>
                <c:pt idx="75">
                  <c:v>340.53</c:v>
                </c:pt>
                <c:pt idx="76">
                  <c:v>341.8</c:v>
                </c:pt>
                <c:pt idx="77">
                  <c:v>343.08</c:v>
                </c:pt>
                <c:pt idx="78">
                  <c:v>344.37</c:v>
                </c:pt>
                <c:pt idx="79">
                  <c:v>345.66</c:v>
                </c:pt>
                <c:pt idx="80">
                  <c:v>144.28</c:v>
                </c:pt>
              </c:numCache>
            </c:numRef>
          </c:val>
        </c:ser>
        <c:axId val="95910636"/>
        <c:axId val="4327086"/>
      </c:areaChart>
      <c:catAx>
        <c:axId val="9591063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Monat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327086"/>
        <c:crosses val="autoZero"/>
        <c:auto val="1"/>
        <c:lblAlgn val="ctr"/>
        <c:lblOffset val="100"/>
        <c:noMultiLvlLbl val="0"/>
      </c:catAx>
      <c:valAx>
        <c:axId val="432708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5910636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18</xdr:row>
      <xdr:rowOff>0</xdr:rowOff>
    </xdr:from>
    <xdr:to>
      <xdr:col>5</xdr:col>
      <xdr:colOff>270360</xdr:colOff>
      <xdr:row>31</xdr:row>
      <xdr:rowOff>187200</xdr:rowOff>
    </xdr:to>
    <xdr:graphicFrame>
      <xdr:nvGraphicFramePr>
        <xdr:cNvPr id="0" name="Chart 1"/>
        <xdr:cNvGraphicFramePr/>
      </xdr:nvGraphicFramePr>
      <xdr:xfrm>
        <a:off x="0" y="3695760"/>
        <a:ext cx="453564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0</xdr:colOff>
      <xdr:row>18</xdr:row>
      <xdr:rowOff>0</xdr:rowOff>
    </xdr:from>
    <xdr:to>
      <xdr:col>8</xdr:col>
      <xdr:colOff>552960</xdr:colOff>
      <xdr:row>31</xdr:row>
      <xdr:rowOff>187200</xdr:rowOff>
    </xdr:to>
    <xdr:graphicFrame>
      <xdr:nvGraphicFramePr>
        <xdr:cNvPr id="1" name="Chart 2"/>
        <xdr:cNvGraphicFramePr/>
      </xdr:nvGraphicFramePr>
      <xdr:xfrm>
        <a:off x="3384000" y="3695760"/>
        <a:ext cx="453564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.51"/>
    <col collapsed="false" customWidth="true" hidden="false" outlineLevel="0" max="2" min="2" style="0" width="12.5"/>
    <col collapsed="false" customWidth="true" hidden="false" outlineLevel="0" max="3" min="3" style="0" width="16"/>
    <col collapsed="false" customWidth="true" hidden="false" outlineLevel="0" max="4" min="4" style="0" width="13"/>
    <col collapsed="false" customWidth="true" hidden="false" outlineLevel="0" max="5" min="5" style="0" width="12.5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6"/>
    <col collapsed="false" customWidth="true" hidden="true" outlineLevel="0" max="10" min="10" style="0" width="12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</row>
    <row r="2" customFormat="false" ht="30" hidden="false" customHeight="true" outlineLevel="0" collapsed="false">
      <c r="A2" s="2" t="s">
        <v>0</v>
      </c>
      <c r="B2" s="2"/>
      <c r="C2" s="2"/>
      <c r="D2" s="2"/>
      <c r="E2" s="2"/>
      <c r="F2" s="2"/>
      <c r="G2" s="3" t="s">
        <v>1</v>
      </c>
      <c r="H2" s="3"/>
    </row>
    <row r="3" customFormat="false" ht="12" hidden="false" customHeight="true" outlineLevel="0" collapsed="false">
      <c r="A3" s="2"/>
      <c r="B3" s="2"/>
      <c r="C3" s="2"/>
      <c r="D3" s="2"/>
      <c r="E3" s="2"/>
      <c r="F3" s="2"/>
      <c r="G3" s="4" t="n">
        <f aca="false">IF(Darlehen="","—",Darlehen)</f>
        <v>25000</v>
      </c>
      <c r="H3" s="4"/>
    </row>
    <row r="4" customFormat="false" ht="18" hidden="false" customHeight="true" outlineLevel="0" collapsed="false">
      <c r="A4" s="5" t="str">
        <f aca="false">"Annuitätendarlehen · monatliche Zahlung · Wirtschaftsjahr "&amp;YEAR(Zahlungsbeginn)&amp;" · Sollzinsbindung "&amp;Zinsbindung_Jahre&amp;" Jahre"</f>
        <v>Annuitätendarlehen · monatliche Zahlung · Wirtschaftsjahr 2026 · Sollzinsbindung 5 Jahre</v>
      </c>
      <c r="B4" s="5"/>
      <c r="C4" s="5"/>
      <c r="D4" s="5"/>
      <c r="E4" s="5"/>
      <c r="F4" s="5"/>
      <c r="G4" s="5"/>
      <c r="H4" s="5"/>
    </row>
    <row r="5" customFormat="false" ht="6" hidden="false" customHeight="true" outlineLevel="0" collapsed="false"/>
    <row r="6" customFormat="false" ht="18.75" hidden="false" customHeight="true" outlineLevel="0" collapsed="false">
      <c r="A6" s="6" t="s">
        <v>2</v>
      </c>
      <c r="B6" s="6"/>
      <c r="C6" s="6"/>
      <c r="D6" s="6"/>
      <c r="E6" s="6" t="s">
        <v>3</v>
      </c>
      <c r="F6" s="6"/>
      <c r="G6" s="6"/>
      <c r="H6" s="6"/>
    </row>
    <row r="7" customFormat="false" ht="18" hidden="false" customHeight="true" outlineLevel="0" collapsed="false">
      <c r="A7" s="7" t="s">
        <v>4</v>
      </c>
      <c r="B7" s="7"/>
      <c r="C7" s="8" t="n">
        <v>25000</v>
      </c>
      <c r="D7" s="8"/>
      <c r="E7" s="7" t="s">
        <v>5</v>
      </c>
      <c r="F7" s="7"/>
      <c r="G7" s="9" t="n">
        <f aca="false">i_monat</f>
        <v>0.00375</v>
      </c>
      <c r="H7" s="9"/>
      <c r="J7" s="10" t="n">
        <f aca="false">IF(Laufzeit_Monate=0,0,Sollzins/12)</f>
        <v>0.00375</v>
      </c>
    </row>
    <row r="8" customFormat="false" ht="18" hidden="false" customHeight="true" outlineLevel="0" collapsed="false">
      <c r="A8" s="7" t="s">
        <v>6</v>
      </c>
      <c r="B8" s="7"/>
      <c r="C8" s="11" t="n">
        <v>0.045</v>
      </c>
      <c r="D8" s="11"/>
      <c r="E8" s="7" t="s">
        <v>7</v>
      </c>
      <c r="F8" s="7"/>
      <c r="G8" s="12" t="n">
        <f aca="false">IF(12*Zinsbindung_Jahre&gt;=COUNT($A$38:$A$121),0,INDEX($H$38:$H$121,12*Zinsbindung_Jahre))</f>
        <v>6817.57</v>
      </c>
      <c r="H8" s="12"/>
      <c r="J8" s="10" t="n">
        <f aca="false">IF(Sollzins=0,ROUND(Darlehen/Laufzeit_Monate,2),ROUND(Darlehen*i_monat/(1-(1+i_monat)^(-Laufzeit_Monate)),2))</f>
        <v>347.5</v>
      </c>
    </row>
    <row r="9" customFormat="false" ht="18" hidden="false" customHeight="true" outlineLevel="0" collapsed="false">
      <c r="A9" s="7" t="s">
        <v>8</v>
      </c>
      <c r="B9" s="7"/>
      <c r="C9" s="13" t="n">
        <v>84</v>
      </c>
      <c r="D9" s="13"/>
      <c r="E9" s="7" t="s">
        <v>9</v>
      </c>
      <c r="F9" s="7"/>
      <c r="G9" s="12" t="n">
        <f aca="false">IFERROR(INDEX($D$38:$D$121,COUNT($A$38:$A$121)),0)</f>
        <v>144.82</v>
      </c>
      <c r="H9" s="12"/>
    </row>
    <row r="10" customFormat="false" ht="18" hidden="false" customHeight="true" outlineLevel="0" collapsed="false">
      <c r="A10" s="7" t="s">
        <v>10</v>
      </c>
      <c r="B10" s="7"/>
      <c r="C10" s="14" t="n">
        <v>46082</v>
      </c>
      <c r="D10" s="14"/>
      <c r="E10" s="7" t="s">
        <v>11</v>
      </c>
      <c r="F10" s="7"/>
      <c r="G10" s="15" t="n">
        <f aca="false">IFERROR(INDEX($B$38:$B$121,COUNT($A$38:$A$121)),"")</f>
        <v>48519</v>
      </c>
      <c r="H10" s="15"/>
    </row>
    <row r="11" customFormat="false" ht="18" hidden="false" customHeight="true" outlineLevel="0" collapsed="false">
      <c r="A11" s="7" t="s">
        <v>12</v>
      </c>
      <c r="B11" s="7"/>
      <c r="C11" s="16" t="s">
        <v>13</v>
      </c>
      <c r="D11" s="16"/>
      <c r="E11" s="7" t="s">
        <v>14</v>
      </c>
      <c r="F11" s="7"/>
      <c r="G11" s="12" t="n">
        <f aca="false">SUM($G$38:$G$121)</f>
        <v>1000</v>
      </c>
      <c r="H11" s="12"/>
    </row>
    <row r="12" customFormat="false" ht="18" hidden="false" customHeight="true" outlineLevel="0" collapsed="false">
      <c r="A12" s="7" t="s">
        <v>15</v>
      </c>
      <c r="B12" s="7"/>
      <c r="C12" s="13" t="n">
        <v>5</v>
      </c>
      <c r="D12" s="13"/>
      <c r="E12" s="7" t="s">
        <v>16</v>
      </c>
      <c r="F12" s="7"/>
      <c r="G12" s="17" t="n">
        <f aca="false">COUNT($A$38:$A$121)/12</f>
        <v>6.75</v>
      </c>
      <c r="H12" s="17"/>
    </row>
    <row r="13" customFormat="false" ht="18" hidden="false" customHeight="true" outlineLevel="0" collapsed="false">
      <c r="A13" s="7" t="s">
        <v>17</v>
      </c>
      <c r="B13" s="7"/>
      <c r="C13" s="16" t="s">
        <v>18</v>
      </c>
      <c r="D13" s="16"/>
      <c r="E13" s="7" t="s">
        <v>19</v>
      </c>
      <c r="F13" s="7"/>
      <c r="G13" s="18" t="n">
        <f aca="false">IFERROR(SUM($E$38:$E$121)/(SUM($D$38:$D$121)+SUM($G$38:$G$121)),0)</f>
        <v>0.13628759826456</v>
      </c>
      <c r="H13" s="18"/>
    </row>
    <row r="14" customFormat="false" ht="7.5" hidden="false" customHeight="true" outlineLevel="0" collapsed="false"/>
    <row r="15" customFormat="false" ht="15" hidden="false" customHeight="true" outlineLevel="0" collapsed="false">
      <c r="A15" s="19" t="s">
        <v>20</v>
      </c>
      <c r="B15" s="19"/>
      <c r="C15" s="19" t="s">
        <v>21</v>
      </c>
      <c r="D15" s="19"/>
      <c r="E15" s="19" t="s">
        <v>22</v>
      </c>
      <c r="F15" s="19"/>
      <c r="G15" s="20" t="s">
        <v>23</v>
      </c>
      <c r="H15" s="20"/>
    </row>
    <row r="16" customFormat="false" ht="25.5" hidden="false" customHeight="true" outlineLevel="0" collapsed="false">
      <c r="A16" s="21" t="n">
        <f aca="false">Annuitaet</f>
        <v>347.5</v>
      </c>
      <c r="B16" s="21"/>
      <c r="C16" s="21" t="n">
        <f aca="false">SUM($E$38:$E$121)</f>
        <v>3944.82</v>
      </c>
      <c r="D16" s="21"/>
      <c r="E16" s="21" t="n">
        <f aca="false">SUM($D$38:$D$121)+SUM($G$38:$G$121)</f>
        <v>28944.82</v>
      </c>
      <c r="F16" s="21"/>
      <c r="G16" s="22" t="n">
        <f aca="false">COUNT($A$38:$A$121)</f>
        <v>81</v>
      </c>
      <c r="H16" s="22"/>
    </row>
    <row r="17" customFormat="false" ht="7.5" hidden="false" customHeight="true" outlineLevel="0" collapsed="false"/>
    <row r="18" customFormat="false" ht="18.75" hidden="false" customHeight="true" outlineLevel="0" collapsed="false">
      <c r="A18" s="6" t="s">
        <v>24</v>
      </c>
      <c r="B18" s="6"/>
      <c r="C18" s="6"/>
      <c r="D18" s="6"/>
      <c r="E18" s="6"/>
      <c r="F18" s="6"/>
      <c r="G18" s="6"/>
      <c r="H18" s="6"/>
    </row>
    <row r="19" customFormat="false" ht="15" hidden="false" customHeight="true" outlineLevel="0" collapsed="false"/>
    <row r="20" customFormat="false" ht="15" hidden="false" customHeight="true" outlineLevel="0" collapsed="false"/>
    <row r="21" customFormat="false" ht="15" hidden="false" customHeight="true" outlineLevel="0" collapsed="false"/>
    <row r="22" customFormat="false" ht="15" hidden="false" customHeight="true" outlineLevel="0" collapsed="false"/>
    <row r="23" customFormat="false" ht="15" hidden="false" customHeight="true" outlineLevel="0" collapsed="false"/>
    <row r="24" customFormat="false" ht="15" hidden="false" customHeight="true" outlineLevel="0" collapsed="false"/>
    <row r="25" customFormat="false" ht="15" hidden="false" customHeight="true" outlineLevel="0" collapsed="false"/>
    <row r="26" customFormat="false" ht="15" hidden="false" customHeight="true" outlineLevel="0" collapsed="false"/>
    <row r="27" customFormat="false" ht="15" hidden="false" customHeight="true" outlineLevel="0" collapsed="false"/>
    <row r="28" customFormat="false" ht="15" hidden="false" customHeight="true" outlineLevel="0" collapsed="false"/>
    <row r="29" customFormat="false" ht="15" hidden="false" customHeight="true" outlineLevel="0" collapsed="false"/>
    <row r="30" customFormat="false" ht="15" hidden="false" customHeight="true" outlineLevel="0" collapsed="false"/>
    <row r="31" customFormat="false" ht="15" hidden="false" customHeight="true" outlineLevel="0" collapsed="false"/>
    <row r="32" customFormat="false" ht="15" hidden="false" customHeight="true" outlineLevel="0" collapsed="false"/>
    <row r="33" customFormat="false" ht="15" hidden="false" customHeight="true" outlineLevel="0" collapsed="false"/>
    <row r="34" customFormat="false" ht="15" hidden="false" customHeight="true" outlineLevel="0" collapsed="false"/>
    <row r="35" customFormat="false" ht="7.5" hidden="false" customHeight="true" outlineLevel="0" collapsed="false"/>
    <row r="36" customFormat="false" ht="18.75" hidden="false" customHeight="true" outlineLevel="0" collapsed="false">
      <c r="A36" s="6" t="s">
        <v>25</v>
      </c>
      <c r="B36" s="6"/>
      <c r="C36" s="6"/>
      <c r="D36" s="6"/>
      <c r="E36" s="6"/>
      <c r="F36" s="6"/>
      <c r="G36" s="6"/>
      <c r="H36" s="6"/>
    </row>
    <row r="37" customFormat="false" ht="30" hidden="false" customHeight="true" outlineLevel="0" collapsed="false">
      <c r="A37" s="23" t="s">
        <v>26</v>
      </c>
      <c r="B37" s="23" t="s">
        <v>27</v>
      </c>
      <c r="C37" s="23" t="s">
        <v>28</v>
      </c>
      <c r="D37" s="23" t="s">
        <v>29</v>
      </c>
      <c r="E37" s="23" t="s">
        <v>30</v>
      </c>
      <c r="F37" s="23" t="s">
        <v>31</v>
      </c>
      <c r="G37" s="23" t="s">
        <v>32</v>
      </c>
      <c r="H37" s="23" t="s">
        <v>33</v>
      </c>
    </row>
    <row r="38" customFormat="false" ht="14.25" hidden="false" customHeight="true" outlineLevel="0" collapsed="false">
      <c r="A38" s="24" t="n">
        <f aca="false">IF(ISNUMBER($C38),1,"")</f>
        <v>1</v>
      </c>
      <c r="B38" s="25" t="n">
        <f aca="false">IF(ISNUMBER($C38),EDATE(Zahlungsbeginn,0),"")</f>
        <v>46082</v>
      </c>
      <c r="C38" s="26" t="n">
        <f aca="false">IF(Darlehen&gt;0.005,Darlehen,"")</f>
        <v>25000</v>
      </c>
      <c r="D38" s="27" t="n">
        <f aca="false">IF($C38="","",ROUND(MIN(Annuitaet,$C38+$E38),2))</f>
        <v>347.5</v>
      </c>
      <c r="E38" s="26" t="n">
        <f aca="false">IF($C38="","",ROUND($C38*i_monat,2))</f>
        <v>93.75</v>
      </c>
      <c r="F38" s="26" t="n">
        <f aca="false">IF($C38="","",$D38-$E38)</f>
        <v>253.75</v>
      </c>
      <c r="G38" s="28"/>
      <c r="H38" s="27" t="n">
        <f aca="false">IF($C38="","",MAX(0,ROUND($C38-$F38-MIN(N($G38),$C38-$F38),2)))</f>
        <v>24746.25</v>
      </c>
    </row>
    <row r="39" customFormat="false" ht="14.25" hidden="false" customHeight="true" outlineLevel="0" collapsed="false">
      <c r="A39" s="29" t="n">
        <f aca="false">IF(ISNUMBER($C39),2,"")</f>
        <v>2</v>
      </c>
      <c r="B39" s="30" t="n">
        <f aca="false">IF(ISNUMBER($C39),EDATE(Zahlungsbeginn,1),"")</f>
        <v>46113</v>
      </c>
      <c r="C39" s="31" t="n">
        <f aca="false">IF(N($H38)&gt;0.005,$H38,"")</f>
        <v>24746.25</v>
      </c>
      <c r="D39" s="32" t="n">
        <f aca="false">IF($C39="","",ROUND(MIN(Annuitaet,$C39+$E39),2))</f>
        <v>347.5</v>
      </c>
      <c r="E39" s="31" t="n">
        <f aca="false">IF($C39="","",ROUND($C39*i_monat,2))</f>
        <v>92.8</v>
      </c>
      <c r="F39" s="31" t="n">
        <f aca="false">IF($C39="","",$D39-$E39)</f>
        <v>254.7</v>
      </c>
      <c r="G39" s="28"/>
      <c r="H39" s="32" t="n">
        <f aca="false">IF($C39="","",MAX(0,ROUND($C39-$F39-MIN(N($G39),$C39-$F39),2)))</f>
        <v>24491.55</v>
      </c>
    </row>
    <row r="40" customFormat="false" ht="14.25" hidden="false" customHeight="true" outlineLevel="0" collapsed="false">
      <c r="A40" s="24" t="n">
        <f aca="false">IF(ISNUMBER($C40),3,"")</f>
        <v>3</v>
      </c>
      <c r="B40" s="25" t="n">
        <f aca="false">IF(ISNUMBER($C40),EDATE(Zahlungsbeginn,2),"")</f>
        <v>46143</v>
      </c>
      <c r="C40" s="26" t="n">
        <f aca="false">IF(N($H39)&gt;0.005,$H39,"")</f>
        <v>24491.55</v>
      </c>
      <c r="D40" s="27" t="n">
        <f aca="false">IF($C40="","",ROUND(MIN(Annuitaet,$C40+$E40),2))</f>
        <v>347.5</v>
      </c>
      <c r="E40" s="26" t="n">
        <f aca="false">IF($C40="","",ROUND($C40*i_monat,2))</f>
        <v>91.84</v>
      </c>
      <c r="F40" s="26" t="n">
        <f aca="false">IF($C40="","",$D40-$E40)</f>
        <v>255.66</v>
      </c>
      <c r="G40" s="28"/>
      <c r="H40" s="27" t="n">
        <f aca="false">IF($C40="","",MAX(0,ROUND($C40-$F40-MIN(N($G40),$C40-$F40),2)))</f>
        <v>24235.89</v>
      </c>
    </row>
    <row r="41" customFormat="false" ht="14.25" hidden="false" customHeight="true" outlineLevel="0" collapsed="false">
      <c r="A41" s="29" t="n">
        <f aca="false">IF(ISNUMBER($C41),4,"")</f>
        <v>4</v>
      </c>
      <c r="B41" s="30" t="n">
        <f aca="false">IF(ISNUMBER($C41),EDATE(Zahlungsbeginn,3),"")</f>
        <v>46174</v>
      </c>
      <c r="C41" s="31" t="n">
        <f aca="false">IF(N($H40)&gt;0.005,$H40,"")</f>
        <v>24235.89</v>
      </c>
      <c r="D41" s="32" t="n">
        <f aca="false">IF($C41="","",ROUND(MIN(Annuitaet,$C41+$E41),2))</f>
        <v>347.5</v>
      </c>
      <c r="E41" s="31" t="n">
        <f aca="false">IF($C41="","",ROUND($C41*i_monat,2))</f>
        <v>90.88</v>
      </c>
      <c r="F41" s="31" t="n">
        <f aca="false">IF($C41="","",$D41-$E41)</f>
        <v>256.62</v>
      </c>
      <c r="G41" s="28"/>
      <c r="H41" s="32" t="n">
        <f aca="false">IF($C41="","",MAX(0,ROUND($C41-$F41-MIN(N($G41),$C41-$F41),2)))</f>
        <v>23979.27</v>
      </c>
    </row>
    <row r="42" customFormat="false" ht="14.25" hidden="false" customHeight="true" outlineLevel="0" collapsed="false">
      <c r="A42" s="24" t="n">
        <f aca="false">IF(ISNUMBER($C42),5,"")</f>
        <v>5</v>
      </c>
      <c r="B42" s="25" t="n">
        <f aca="false">IF(ISNUMBER($C42),EDATE(Zahlungsbeginn,4),"")</f>
        <v>46204</v>
      </c>
      <c r="C42" s="26" t="n">
        <f aca="false">IF(N($H41)&gt;0.005,$H41,"")</f>
        <v>23979.27</v>
      </c>
      <c r="D42" s="27" t="n">
        <f aca="false">IF($C42="","",ROUND(MIN(Annuitaet,$C42+$E42),2))</f>
        <v>347.5</v>
      </c>
      <c r="E42" s="26" t="n">
        <f aca="false">IF($C42="","",ROUND($C42*i_monat,2))</f>
        <v>89.92</v>
      </c>
      <c r="F42" s="26" t="n">
        <f aca="false">IF($C42="","",$D42-$E42)</f>
        <v>257.58</v>
      </c>
      <c r="G42" s="28"/>
      <c r="H42" s="27" t="n">
        <f aca="false">IF($C42="","",MAX(0,ROUND($C42-$F42-MIN(N($G42),$C42-$F42),2)))</f>
        <v>23721.69</v>
      </c>
    </row>
    <row r="43" customFormat="false" ht="14.25" hidden="false" customHeight="true" outlineLevel="0" collapsed="false">
      <c r="A43" s="29" t="n">
        <f aca="false">IF(ISNUMBER($C43),6,"")</f>
        <v>6</v>
      </c>
      <c r="B43" s="30" t="n">
        <f aca="false">IF(ISNUMBER($C43),EDATE(Zahlungsbeginn,5),"")</f>
        <v>46235</v>
      </c>
      <c r="C43" s="31" t="n">
        <f aca="false">IF(N($H42)&gt;0.005,$H42,"")</f>
        <v>23721.69</v>
      </c>
      <c r="D43" s="32" t="n">
        <f aca="false">IF($C43="","",ROUND(MIN(Annuitaet,$C43+$E43),2))</f>
        <v>347.5</v>
      </c>
      <c r="E43" s="31" t="n">
        <f aca="false">IF($C43="","",ROUND($C43*i_monat,2))</f>
        <v>88.96</v>
      </c>
      <c r="F43" s="31" t="n">
        <f aca="false">IF($C43="","",$D43-$E43)</f>
        <v>258.54</v>
      </c>
      <c r="G43" s="28"/>
      <c r="H43" s="32" t="n">
        <f aca="false">IF($C43="","",MAX(0,ROUND($C43-$F43-MIN(N($G43),$C43-$F43),2)))</f>
        <v>23463.15</v>
      </c>
    </row>
    <row r="44" customFormat="false" ht="14.25" hidden="false" customHeight="true" outlineLevel="0" collapsed="false">
      <c r="A44" s="24" t="n">
        <f aca="false">IF(ISNUMBER($C44),7,"")</f>
        <v>7</v>
      </c>
      <c r="B44" s="25" t="n">
        <f aca="false">IF(ISNUMBER($C44),EDATE(Zahlungsbeginn,6),"")</f>
        <v>46266</v>
      </c>
      <c r="C44" s="26" t="n">
        <f aca="false">IF(N($H43)&gt;0.005,$H43,"")</f>
        <v>23463.15</v>
      </c>
      <c r="D44" s="27" t="n">
        <f aca="false">IF($C44="","",ROUND(MIN(Annuitaet,$C44+$E44),2))</f>
        <v>347.5</v>
      </c>
      <c r="E44" s="26" t="n">
        <f aca="false">IF($C44="","",ROUND($C44*i_monat,2))</f>
        <v>87.99</v>
      </c>
      <c r="F44" s="26" t="n">
        <f aca="false">IF($C44="","",$D44-$E44)</f>
        <v>259.51</v>
      </c>
      <c r="G44" s="28"/>
      <c r="H44" s="27" t="n">
        <f aca="false">IF($C44="","",MAX(0,ROUND($C44-$F44-MIN(N($G44),$C44-$F44),2)))</f>
        <v>23203.64</v>
      </c>
    </row>
    <row r="45" customFormat="false" ht="14.25" hidden="false" customHeight="true" outlineLevel="0" collapsed="false">
      <c r="A45" s="29" t="n">
        <f aca="false">IF(ISNUMBER($C45),8,"")</f>
        <v>8</v>
      </c>
      <c r="B45" s="30" t="n">
        <f aca="false">IF(ISNUMBER($C45),EDATE(Zahlungsbeginn,7),"")</f>
        <v>46296</v>
      </c>
      <c r="C45" s="31" t="n">
        <f aca="false">IF(N($H44)&gt;0.005,$H44,"")</f>
        <v>23203.64</v>
      </c>
      <c r="D45" s="32" t="n">
        <f aca="false">IF($C45="","",ROUND(MIN(Annuitaet,$C45+$E45),2))</f>
        <v>347.5</v>
      </c>
      <c r="E45" s="31" t="n">
        <f aca="false">IF($C45="","",ROUND($C45*i_monat,2))</f>
        <v>87.01</v>
      </c>
      <c r="F45" s="31" t="n">
        <f aca="false">IF($C45="","",$D45-$E45)</f>
        <v>260.49</v>
      </c>
      <c r="G45" s="28"/>
      <c r="H45" s="32" t="n">
        <f aca="false">IF($C45="","",MAX(0,ROUND($C45-$F45-MIN(N($G45),$C45-$F45),2)))</f>
        <v>22943.15</v>
      </c>
    </row>
    <row r="46" customFormat="false" ht="14.25" hidden="false" customHeight="true" outlineLevel="0" collapsed="false">
      <c r="A46" s="24" t="n">
        <f aca="false">IF(ISNUMBER($C46),9,"")</f>
        <v>9</v>
      </c>
      <c r="B46" s="25" t="n">
        <f aca="false">IF(ISNUMBER($C46),EDATE(Zahlungsbeginn,8),"")</f>
        <v>46327</v>
      </c>
      <c r="C46" s="26" t="n">
        <f aca="false">IF(N($H45)&gt;0.005,$H45,"")</f>
        <v>22943.15</v>
      </c>
      <c r="D46" s="27" t="n">
        <f aca="false">IF($C46="","",ROUND(MIN(Annuitaet,$C46+$E46),2))</f>
        <v>347.5</v>
      </c>
      <c r="E46" s="26" t="n">
        <f aca="false">IF($C46="","",ROUND($C46*i_monat,2))</f>
        <v>86.04</v>
      </c>
      <c r="F46" s="26" t="n">
        <f aca="false">IF($C46="","",$D46-$E46)</f>
        <v>261.46</v>
      </c>
      <c r="G46" s="28"/>
      <c r="H46" s="27" t="n">
        <f aca="false">IF($C46="","",MAX(0,ROUND($C46-$F46-MIN(N($G46),$C46-$F46),2)))</f>
        <v>22681.69</v>
      </c>
    </row>
    <row r="47" customFormat="false" ht="14.25" hidden="false" customHeight="true" outlineLevel="0" collapsed="false">
      <c r="A47" s="29" t="n">
        <f aca="false">IF(ISNUMBER($C47),10,"")</f>
        <v>10</v>
      </c>
      <c r="B47" s="30" t="n">
        <f aca="false">IF(ISNUMBER($C47),EDATE(Zahlungsbeginn,9),"")</f>
        <v>46357</v>
      </c>
      <c r="C47" s="31" t="n">
        <f aca="false">IF(N($H46)&gt;0.005,$H46,"")</f>
        <v>22681.69</v>
      </c>
      <c r="D47" s="32" t="n">
        <f aca="false">IF($C47="","",ROUND(MIN(Annuitaet,$C47+$E47),2))</f>
        <v>347.5</v>
      </c>
      <c r="E47" s="31" t="n">
        <f aca="false">IF($C47="","",ROUND($C47*i_monat,2))</f>
        <v>85.06</v>
      </c>
      <c r="F47" s="31" t="n">
        <f aca="false">IF($C47="","",$D47-$E47)</f>
        <v>262.44</v>
      </c>
      <c r="G47" s="28"/>
      <c r="H47" s="32" t="n">
        <f aca="false">IF($C47="","",MAX(0,ROUND($C47-$F47-MIN(N($G47),$C47-$F47),2)))</f>
        <v>22419.25</v>
      </c>
    </row>
    <row r="48" customFormat="false" ht="14.25" hidden="false" customHeight="true" outlineLevel="0" collapsed="false">
      <c r="A48" s="24" t="n">
        <f aca="false">IF(ISNUMBER($C48),11,"")</f>
        <v>11</v>
      </c>
      <c r="B48" s="25" t="n">
        <f aca="false">IF(ISNUMBER($C48),EDATE(Zahlungsbeginn,10),"")</f>
        <v>46388</v>
      </c>
      <c r="C48" s="26" t="n">
        <f aca="false">IF(N($H47)&gt;0.005,$H47,"")</f>
        <v>22419.25</v>
      </c>
      <c r="D48" s="27" t="n">
        <f aca="false">IF($C48="","",ROUND(MIN(Annuitaet,$C48+$E48),2))</f>
        <v>347.5</v>
      </c>
      <c r="E48" s="26" t="n">
        <f aca="false">IF($C48="","",ROUND($C48*i_monat,2))</f>
        <v>84.07</v>
      </c>
      <c r="F48" s="26" t="n">
        <f aca="false">IF($C48="","",$D48-$E48)</f>
        <v>263.43</v>
      </c>
      <c r="G48" s="28"/>
      <c r="H48" s="27" t="n">
        <f aca="false">IF($C48="","",MAX(0,ROUND($C48-$F48-MIN(N($G48),$C48-$F48),2)))</f>
        <v>22155.82</v>
      </c>
    </row>
    <row r="49" customFormat="false" ht="14.25" hidden="false" customHeight="true" outlineLevel="0" collapsed="false">
      <c r="A49" s="29" t="n">
        <f aca="false">IF(ISNUMBER($C49),12,"")</f>
        <v>12</v>
      </c>
      <c r="B49" s="30" t="n">
        <f aca="false">IF(ISNUMBER($C49),EDATE(Zahlungsbeginn,11),"")</f>
        <v>46419</v>
      </c>
      <c r="C49" s="31" t="n">
        <f aca="false">IF(N($H48)&gt;0.005,$H48,"")</f>
        <v>22155.82</v>
      </c>
      <c r="D49" s="32" t="n">
        <f aca="false">IF($C49="","",ROUND(MIN(Annuitaet,$C49+$E49),2))</f>
        <v>347.5</v>
      </c>
      <c r="E49" s="31" t="n">
        <f aca="false">IF($C49="","",ROUND($C49*i_monat,2))</f>
        <v>83.08</v>
      </c>
      <c r="F49" s="31" t="n">
        <f aca="false">IF($C49="","",$D49-$E49)</f>
        <v>264.42</v>
      </c>
      <c r="G49" s="28"/>
      <c r="H49" s="32" t="n">
        <f aca="false">IF($C49="","",MAX(0,ROUND($C49-$F49-MIN(N($G49),$C49-$F49),2)))</f>
        <v>21891.4</v>
      </c>
    </row>
    <row r="50" customFormat="false" ht="14.25" hidden="false" customHeight="true" outlineLevel="0" collapsed="false">
      <c r="A50" s="24" t="n">
        <f aca="false">IF(ISNUMBER($C50),13,"")</f>
        <v>13</v>
      </c>
      <c r="B50" s="25" t="n">
        <f aca="false">IF(ISNUMBER($C50),EDATE(Zahlungsbeginn,12),"")</f>
        <v>46447</v>
      </c>
      <c r="C50" s="26" t="n">
        <f aca="false">IF(N($H49)&gt;0.005,$H49,"")</f>
        <v>21891.4</v>
      </c>
      <c r="D50" s="27" t="n">
        <f aca="false">IF($C50="","",ROUND(MIN(Annuitaet,$C50+$E50),2))</f>
        <v>347.5</v>
      </c>
      <c r="E50" s="26" t="n">
        <f aca="false">IF($C50="","",ROUND($C50*i_monat,2))</f>
        <v>82.09</v>
      </c>
      <c r="F50" s="26" t="n">
        <f aca="false">IF($C50="","",$D50-$E50)</f>
        <v>265.41</v>
      </c>
      <c r="G50" s="28"/>
      <c r="H50" s="27" t="n">
        <f aca="false">IF($C50="","",MAX(0,ROUND($C50-$F50-MIN(N($G50),$C50-$F50),2)))</f>
        <v>21625.99</v>
      </c>
    </row>
    <row r="51" customFormat="false" ht="14.25" hidden="false" customHeight="true" outlineLevel="0" collapsed="false">
      <c r="A51" s="29" t="n">
        <f aca="false">IF(ISNUMBER($C51),14,"")</f>
        <v>14</v>
      </c>
      <c r="B51" s="30" t="n">
        <f aca="false">IF(ISNUMBER($C51),EDATE(Zahlungsbeginn,13),"")</f>
        <v>46478</v>
      </c>
      <c r="C51" s="31" t="n">
        <f aca="false">IF(N($H50)&gt;0.005,$H50,"")</f>
        <v>21625.99</v>
      </c>
      <c r="D51" s="32" t="n">
        <f aca="false">IF($C51="","",ROUND(MIN(Annuitaet,$C51+$E51),2))</f>
        <v>347.5</v>
      </c>
      <c r="E51" s="31" t="n">
        <f aca="false">IF($C51="","",ROUND($C51*i_monat,2))</f>
        <v>81.1</v>
      </c>
      <c r="F51" s="31" t="n">
        <f aca="false">IF($C51="","",$D51-$E51)</f>
        <v>266.4</v>
      </c>
      <c r="G51" s="28"/>
      <c r="H51" s="32" t="n">
        <f aca="false">IF($C51="","",MAX(0,ROUND($C51-$F51-MIN(N($G51),$C51-$F51),2)))</f>
        <v>21359.59</v>
      </c>
    </row>
    <row r="52" customFormat="false" ht="14.25" hidden="false" customHeight="true" outlineLevel="0" collapsed="false">
      <c r="A52" s="24" t="n">
        <f aca="false">IF(ISNUMBER($C52),15,"")</f>
        <v>15</v>
      </c>
      <c r="B52" s="25" t="n">
        <f aca="false">IF(ISNUMBER($C52),EDATE(Zahlungsbeginn,14),"")</f>
        <v>46508</v>
      </c>
      <c r="C52" s="26" t="n">
        <f aca="false">IF(N($H51)&gt;0.005,$H51,"")</f>
        <v>21359.59</v>
      </c>
      <c r="D52" s="27" t="n">
        <f aca="false">IF($C52="","",ROUND(MIN(Annuitaet,$C52+$E52),2))</f>
        <v>347.5</v>
      </c>
      <c r="E52" s="26" t="n">
        <f aca="false">IF($C52="","",ROUND($C52*i_monat,2))</f>
        <v>80.1</v>
      </c>
      <c r="F52" s="26" t="n">
        <f aca="false">IF($C52="","",$D52-$E52)</f>
        <v>267.4</v>
      </c>
      <c r="G52" s="28"/>
      <c r="H52" s="27" t="n">
        <f aca="false">IF($C52="","",MAX(0,ROUND($C52-$F52-MIN(N($G52),$C52-$F52),2)))</f>
        <v>21092.19</v>
      </c>
    </row>
    <row r="53" customFormat="false" ht="14.25" hidden="false" customHeight="true" outlineLevel="0" collapsed="false">
      <c r="A53" s="29" t="n">
        <f aca="false">IF(ISNUMBER($C53),16,"")</f>
        <v>16</v>
      </c>
      <c r="B53" s="30" t="n">
        <f aca="false">IF(ISNUMBER($C53),EDATE(Zahlungsbeginn,15),"")</f>
        <v>46539</v>
      </c>
      <c r="C53" s="31" t="n">
        <f aca="false">IF(N($H52)&gt;0.005,$H52,"")</f>
        <v>21092.19</v>
      </c>
      <c r="D53" s="32" t="n">
        <f aca="false">IF($C53="","",ROUND(MIN(Annuitaet,$C53+$E53),2))</f>
        <v>347.5</v>
      </c>
      <c r="E53" s="31" t="n">
        <f aca="false">IF($C53="","",ROUND($C53*i_monat,2))</f>
        <v>79.1</v>
      </c>
      <c r="F53" s="31" t="n">
        <f aca="false">IF($C53="","",$D53-$E53)</f>
        <v>268.4</v>
      </c>
      <c r="G53" s="28"/>
      <c r="H53" s="32" t="n">
        <f aca="false">IF($C53="","",MAX(0,ROUND($C53-$F53-MIN(N($G53),$C53-$F53),2)))</f>
        <v>20823.79</v>
      </c>
    </row>
    <row r="54" customFormat="false" ht="14.25" hidden="false" customHeight="true" outlineLevel="0" collapsed="false">
      <c r="A54" s="24" t="n">
        <f aca="false">IF(ISNUMBER($C54),17,"")</f>
        <v>17</v>
      </c>
      <c r="B54" s="25" t="n">
        <f aca="false">IF(ISNUMBER($C54),EDATE(Zahlungsbeginn,16),"")</f>
        <v>46569</v>
      </c>
      <c r="C54" s="26" t="n">
        <f aca="false">IF(N($H53)&gt;0.005,$H53,"")</f>
        <v>20823.79</v>
      </c>
      <c r="D54" s="27" t="n">
        <f aca="false">IF($C54="","",ROUND(MIN(Annuitaet,$C54+$E54),2))</f>
        <v>347.5</v>
      </c>
      <c r="E54" s="26" t="n">
        <f aca="false">IF($C54="","",ROUND($C54*i_monat,2))</f>
        <v>78.09</v>
      </c>
      <c r="F54" s="26" t="n">
        <f aca="false">IF($C54="","",$D54-$E54)</f>
        <v>269.41</v>
      </c>
      <c r="G54" s="28"/>
      <c r="H54" s="27" t="n">
        <f aca="false">IF($C54="","",MAX(0,ROUND($C54-$F54-MIN(N($G54),$C54-$F54),2)))</f>
        <v>20554.38</v>
      </c>
    </row>
    <row r="55" customFormat="false" ht="14.25" hidden="false" customHeight="true" outlineLevel="0" collapsed="false">
      <c r="A55" s="29" t="n">
        <f aca="false">IF(ISNUMBER($C55),18,"")</f>
        <v>18</v>
      </c>
      <c r="B55" s="30" t="n">
        <f aca="false">IF(ISNUMBER($C55),EDATE(Zahlungsbeginn,17),"")</f>
        <v>46600</v>
      </c>
      <c r="C55" s="31" t="n">
        <f aca="false">IF(N($H54)&gt;0.005,$H54,"")</f>
        <v>20554.38</v>
      </c>
      <c r="D55" s="32" t="n">
        <f aca="false">IF($C55="","",ROUND(MIN(Annuitaet,$C55+$E55),2))</f>
        <v>347.5</v>
      </c>
      <c r="E55" s="31" t="n">
        <f aca="false">IF($C55="","",ROUND($C55*i_monat,2))</f>
        <v>77.08</v>
      </c>
      <c r="F55" s="31" t="n">
        <f aca="false">IF($C55="","",$D55-$E55)</f>
        <v>270.42</v>
      </c>
      <c r="G55" s="28"/>
      <c r="H55" s="32" t="n">
        <f aca="false">IF($C55="","",MAX(0,ROUND($C55-$F55-MIN(N($G55),$C55-$F55),2)))</f>
        <v>20283.96</v>
      </c>
    </row>
    <row r="56" customFormat="false" ht="14.25" hidden="false" customHeight="true" outlineLevel="0" collapsed="false">
      <c r="A56" s="24" t="n">
        <f aca="false">IF(ISNUMBER($C56),19,"")</f>
        <v>19</v>
      </c>
      <c r="B56" s="25" t="n">
        <f aca="false">IF(ISNUMBER($C56),EDATE(Zahlungsbeginn,18),"")</f>
        <v>46631</v>
      </c>
      <c r="C56" s="26" t="n">
        <f aca="false">IF(N($H55)&gt;0.005,$H55,"")</f>
        <v>20283.96</v>
      </c>
      <c r="D56" s="27" t="n">
        <f aca="false">IF($C56="","",ROUND(MIN(Annuitaet,$C56+$E56),2))</f>
        <v>347.5</v>
      </c>
      <c r="E56" s="26" t="n">
        <f aca="false">IF($C56="","",ROUND($C56*i_monat,2))</f>
        <v>76.06</v>
      </c>
      <c r="F56" s="26" t="n">
        <f aca="false">IF($C56="","",$D56-$E56)</f>
        <v>271.44</v>
      </c>
      <c r="G56" s="28"/>
      <c r="H56" s="27" t="n">
        <f aca="false">IF($C56="","",MAX(0,ROUND($C56-$F56-MIN(N($G56),$C56-$F56),2)))</f>
        <v>20012.52</v>
      </c>
    </row>
    <row r="57" customFormat="false" ht="14.25" hidden="false" customHeight="true" outlineLevel="0" collapsed="false">
      <c r="A57" s="29" t="n">
        <f aca="false">IF(ISNUMBER($C57),20,"")</f>
        <v>20</v>
      </c>
      <c r="B57" s="30" t="n">
        <f aca="false">IF(ISNUMBER($C57),EDATE(Zahlungsbeginn,19),"")</f>
        <v>46661</v>
      </c>
      <c r="C57" s="31" t="n">
        <f aca="false">IF(N($H56)&gt;0.005,$H56,"")</f>
        <v>20012.52</v>
      </c>
      <c r="D57" s="32" t="n">
        <f aca="false">IF($C57="","",ROUND(MIN(Annuitaet,$C57+$E57),2))</f>
        <v>347.5</v>
      </c>
      <c r="E57" s="31" t="n">
        <f aca="false">IF($C57="","",ROUND($C57*i_monat,2))</f>
        <v>75.05</v>
      </c>
      <c r="F57" s="31" t="n">
        <f aca="false">IF($C57="","",$D57-$E57)</f>
        <v>272.45</v>
      </c>
      <c r="G57" s="28"/>
      <c r="H57" s="32" t="n">
        <f aca="false">IF($C57="","",MAX(0,ROUND($C57-$F57-MIN(N($G57),$C57-$F57),2)))</f>
        <v>19740.07</v>
      </c>
    </row>
    <row r="58" customFormat="false" ht="14.25" hidden="false" customHeight="true" outlineLevel="0" collapsed="false">
      <c r="A58" s="24" t="n">
        <f aca="false">IF(ISNUMBER($C58),21,"")</f>
        <v>21</v>
      </c>
      <c r="B58" s="25" t="n">
        <f aca="false">IF(ISNUMBER($C58),EDATE(Zahlungsbeginn,20),"")</f>
        <v>46692</v>
      </c>
      <c r="C58" s="26" t="n">
        <f aca="false">IF(N($H57)&gt;0.005,$H57,"")</f>
        <v>19740.07</v>
      </c>
      <c r="D58" s="27" t="n">
        <f aca="false">IF($C58="","",ROUND(MIN(Annuitaet,$C58+$E58),2))</f>
        <v>347.5</v>
      </c>
      <c r="E58" s="26" t="n">
        <f aca="false">IF($C58="","",ROUND($C58*i_monat,2))</f>
        <v>74.03</v>
      </c>
      <c r="F58" s="26" t="n">
        <f aca="false">IF($C58="","",$D58-$E58)</f>
        <v>273.47</v>
      </c>
      <c r="G58" s="28"/>
      <c r="H58" s="27" t="n">
        <f aca="false">IF($C58="","",MAX(0,ROUND($C58-$F58-MIN(N($G58),$C58-$F58),2)))</f>
        <v>19466.6</v>
      </c>
    </row>
    <row r="59" customFormat="false" ht="14.25" hidden="false" customHeight="true" outlineLevel="0" collapsed="false">
      <c r="A59" s="29" t="n">
        <f aca="false">IF(ISNUMBER($C59),22,"")</f>
        <v>22</v>
      </c>
      <c r="B59" s="30" t="n">
        <f aca="false">IF(ISNUMBER($C59),EDATE(Zahlungsbeginn,21),"")</f>
        <v>46722</v>
      </c>
      <c r="C59" s="31" t="n">
        <f aca="false">IF(N($H58)&gt;0.005,$H58,"")</f>
        <v>19466.6</v>
      </c>
      <c r="D59" s="32" t="n">
        <f aca="false">IF($C59="","",ROUND(MIN(Annuitaet,$C59+$E59),2))</f>
        <v>347.5</v>
      </c>
      <c r="E59" s="31" t="n">
        <f aca="false">IF($C59="","",ROUND($C59*i_monat,2))</f>
        <v>73</v>
      </c>
      <c r="F59" s="31" t="n">
        <f aca="false">IF($C59="","",$D59-$E59)</f>
        <v>274.5</v>
      </c>
      <c r="G59" s="28"/>
      <c r="H59" s="32" t="n">
        <f aca="false">IF($C59="","",MAX(0,ROUND($C59-$F59-MIN(N($G59),$C59-$F59),2)))</f>
        <v>19192.1</v>
      </c>
    </row>
    <row r="60" customFormat="false" ht="14.25" hidden="false" customHeight="true" outlineLevel="0" collapsed="false">
      <c r="A60" s="24" t="n">
        <f aca="false">IF(ISNUMBER($C60),23,"")</f>
        <v>23</v>
      </c>
      <c r="B60" s="25" t="n">
        <f aca="false">IF(ISNUMBER($C60),EDATE(Zahlungsbeginn,22),"")</f>
        <v>46753</v>
      </c>
      <c r="C60" s="26" t="n">
        <f aca="false">IF(N($H59)&gt;0.005,$H59,"")</f>
        <v>19192.1</v>
      </c>
      <c r="D60" s="27" t="n">
        <f aca="false">IF($C60="","",ROUND(MIN(Annuitaet,$C60+$E60),2))</f>
        <v>347.5</v>
      </c>
      <c r="E60" s="26" t="n">
        <f aca="false">IF($C60="","",ROUND($C60*i_monat,2))</f>
        <v>71.97</v>
      </c>
      <c r="F60" s="26" t="n">
        <f aca="false">IF($C60="","",$D60-$E60)</f>
        <v>275.53</v>
      </c>
      <c r="G60" s="28"/>
      <c r="H60" s="27" t="n">
        <f aca="false">IF($C60="","",MAX(0,ROUND($C60-$F60-MIN(N($G60),$C60-$F60),2)))</f>
        <v>18916.57</v>
      </c>
    </row>
    <row r="61" customFormat="false" ht="14.25" hidden="false" customHeight="true" outlineLevel="0" collapsed="false">
      <c r="A61" s="29" t="n">
        <f aca="false">IF(ISNUMBER($C61),24,"")</f>
        <v>24</v>
      </c>
      <c r="B61" s="30" t="n">
        <f aca="false">IF(ISNUMBER($C61),EDATE(Zahlungsbeginn,23),"")</f>
        <v>46784</v>
      </c>
      <c r="C61" s="31" t="n">
        <f aca="false">IF(N($H60)&gt;0.005,$H60,"")</f>
        <v>18916.57</v>
      </c>
      <c r="D61" s="32" t="n">
        <f aca="false">IF($C61="","",ROUND(MIN(Annuitaet,$C61+$E61),2))</f>
        <v>347.5</v>
      </c>
      <c r="E61" s="31" t="n">
        <f aca="false">IF($C61="","",ROUND($C61*i_monat,2))</f>
        <v>70.94</v>
      </c>
      <c r="F61" s="31" t="n">
        <f aca="false">IF($C61="","",$D61-$E61)</f>
        <v>276.56</v>
      </c>
      <c r="G61" s="28" t="n">
        <v>1000</v>
      </c>
      <c r="H61" s="32" t="n">
        <f aca="false">IF($C61="","",MAX(0,ROUND($C61-$F61-MIN(N($G61),$C61-$F61),2)))</f>
        <v>17640.01</v>
      </c>
    </row>
    <row r="62" customFormat="false" ht="14.25" hidden="false" customHeight="true" outlineLevel="0" collapsed="false">
      <c r="A62" s="24" t="n">
        <f aca="false">IF(ISNUMBER($C62),25,"")</f>
        <v>25</v>
      </c>
      <c r="B62" s="25" t="n">
        <f aca="false">IF(ISNUMBER($C62),EDATE(Zahlungsbeginn,24),"")</f>
        <v>46813</v>
      </c>
      <c r="C62" s="26" t="n">
        <f aca="false">IF(N($H61)&gt;0.005,$H61,"")</f>
        <v>17640.01</v>
      </c>
      <c r="D62" s="27" t="n">
        <f aca="false">IF($C62="","",ROUND(MIN(Annuitaet,$C62+$E62),2))</f>
        <v>347.5</v>
      </c>
      <c r="E62" s="26" t="n">
        <f aca="false">IF($C62="","",ROUND($C62*i_monat,2))</f>
        <v>66.15</v>
      </c>
      <c r="F62" s="26" t="n">
        <f aca="false">IF($C62="","",$D62-$E62)</f>
        <v>281.35</v>
      </c>
      <c r="G62" s="28"/>
      <c r="H62" s="27" t="n">
        <f aca="false">IF($C62="","",MAX(0,ROUND($C62-$F62-MIN(N($G62),$C62-$F62),2)))</f>
        <v>17358.66</v>
      </c>
    </row>
    <row r="63" customFormat="false" ht="14.25" hidden="false" customHeight="true" outlineLevel="0" collapsed="false">
      <c r="A63" s="29" t="n">
        <f aca="false">IF(ISNUMBER($C63),26,"")</f>
        <v>26</v>
      </c>
      <c r="B63" s="30" t="n">
        <f aca="false">IF(ISNUMBER($C63),EDATE(Zahlungsbeginn,25),"")</f>
        <v>46844</v>
      </c>
      <c r="C63" s="31" t="n">
        <f aca="false">IF(N($H62)&gt;0.005,$H62,"")</f>
        <v>17358.66</v>
      </c>
      <c r="D63" s="32" t="n">
        <f aca="false">IF($C63="","",ROUND(MIN(Annuitaet,$C63+$E63),2))</f>
        <v>347.5</v>
      </c>
      <c r="E63" s="31" t="n">
        <f aca="false">IF($C63="","",ROUND($C63*i_monat,2))</f>
        <v>65.09</v>
      </c>
      <c r="F63" s="31" t="n">
        <f aca="false">IF($C63="","",$D63-$E63)</f>
        <v>282.41</v>
      </c>
      <c r="G63" s="28"/>
      <c r="H63" s="32" t="n">
        <f aca="false">IF($C63="","",MAX(0,ROUND($C63-$F63-MIN(N($G63),$C63-$F63),2)))</f>
        <v>17076.25</v>
      </c>
    </row>
    <row r="64" customFormat="false" ht="14.25" hidden="false" customHeight="true" outlineLevel="0" collapsed="false">
      <c r="A64" s="24" t="n">
        <f aca="false">IF(ISNUMBER($C64),27,"")</f>
        <v>27</v>
      </c>
      <c r="B64" s="25" t="n">
        <f aca="false">IF(ISNUMBER($C64),EDATE(Zahlungsbeginn,26),"")</f>
        <v>46874</v>
      </c>
      <c r="C64" s="26" t="n">
        <f aca="false">IF(N($H63)&gt;0.005,$H63,"")</f>
        <v>17076.25</v>
      </c>
      <c r="D64" s="27" t="n">
        <f aca="false">IF($C64="","",ROUND(MIN(Annuitaet,$C64+$E64),2))</f>
        <v>347.5</v>
      </c>
      <c r="E64" s="26" t="n">
        <f aca="false">IF($C64="","",ROUND($C64*i_monat,2))</f>
        <v>64.04</v>
      </c>
      <c r="F64" s="26" t="n">
        <f aca="false">IF($C64="","",$D64-$E64)</f>
        <v>283.46</v>
      </c>
      <c r="G64" s="28"/>
      <c r="H64" s="27" t="n">
        <f aca="false">IF($C64="","",MAX(0,ROUND($C64-$F64-MIN(N($G64),$C64-$F64),2)))</f>
        <v>16792.79</v>
      </c>
    </row>
    <row r="65" customFormat="false" ht="14.25" hidden="false" customHeight="true" outlineLevel="0" collapsed="false">
      <c r="A65" s="29" t="n">
        <f aca="false">IF(ISNUMBER($C65),28,"")</f>
        <v>28</v>
      </c>
      <c r="B65" s="30" t="n">
        <f aca="false">IF(ISNUMBER($C65),EDATE(Zahlungsbeginn,27),"")</f>
        <v>46905</v>
      </c>
      <c r="C65" s="31" t="n">
        <f aca="false">IF(N($H64)&gt;0.005,$H64,"")</f>
        <v>16792.79</v>
      </c>
      <c r="D65" s="32" t="n">
        <f aca="false">IF($C65="","",ROUND(MIN(Annuitaet,$C65+$E65),2))</f>
        <v>347.5</v>
      </c>
      <c r="E65" s="31" t="n">
        <f aca="false">IF($C65="","",ROUND($C65*i_monat,2))</f>
        <v>62.97</v>
      </c>
      <c r="F65" s="31" t="n">
        <f aca="false">IF($C65="","",$D65-$E65)</f>
        <v>284.53</v>
      </c>
      <c r="G65" s="28"/>
      <c r="H65" s="32" t="n">
        <f aca="false">IF($C65="","",MAX(0,ROUND($C65-$F65-MIN(N($G65),$C65-$F65),2)))</f>
        <v>16508.26</v>
      </c>
    </row>
    <row r="66" customFormat="false" ht="14.25" hidden="false" customHeight="true" outlineLevel="0" collapsed="false">
      <c r="A66" s="24" t="n">
        <f aca="false">IF(ISNUMBER($C66),29,"")</f>
        <v>29</v>
      </c>
      <c r="B66" s="25" t="n">
        <f aca="false">IF(ISNUMBER($C66),EDATE(Zahlungsbeginn,28),"")</f>
        <v>46935</v>
      </c>
      <c r="C66" s="26" t="n">
        <f aca="false">IF(N($H65)&gt;0.005,$H65,"")</f>
        <v>16508.26</v>
      </c>
      <c r="D66" s="27" t="n">
        <f aca="false">IF($C66="","",ROUND(MIN(Annuitaet,$C66+$E66),2))</f>
        <v>347.5</v>
      </c>
      <c r="E66" s="26" t="n">
        <f aca="false">IF($C66="","",ROUND($C66*i_monat,2))</f>
        <v>61.91</v>
      </c>
      <c r="F66" s="26" t="n">
        <f aca="false">IF($C66="","",$D66-$E66)</f>
        <v>285.59</v>
      </c>
      <c r="G66" s="28"/>
      <c r="H66" s="27" t="n">
        <f aca="false">IF($C66="","",MAX(0,ROUND($C66-$F66-MIN(N($G66),$C66-$F66),2)))</f>
        <v>16222.67</v>
      </c>
    </row>
    <row r="67" customFormat="false" ht="14.25" hidden="false" customHeight="true" outlineLevel="0" collapsed="false">
      <c r="A67" s="29" t="n">
        <f aca="false">IF(ISNUMBER($C67),30,"")</f>
        <v>30</v>
      </c>
      <c r="B67" s="30" t="n">
        <f aca="false">IF(ISNUMBER($C67),EDATE(Zahlungsbeginn,29),"")</f>
        <v>46966</v>
      </c>
      <c r="C67" s="31" t="n">
        <f aca="false">IF(N($H66)&gt;0.005,$H66,"")</f>
        <v>16222.67</v>
      </c>
      <c r="D67" s="32" t="n">
        <f aca="false">IF($C67="","",ROUND(MIN(Annuitaet,$C67+$E67),2))</f>
        <v>347.5</v>
      </c>
      <c r="E67" s="31" t="n">
        <f aca="false">IF($C67="","",ROUND($C67*i_monat,2))</f>
        <v>60.84</v>
      </c>
      <c r="F67" s="31" t="n">
        <f aca="false">IF($C67="","",$D67-$E67)</f>
        <v>286.66</v>
      </c>
      <c r="G67" s="28"/>
      <c r="H67" s="32" t="n">
        <f aca="false">IF($C67="","",MAX(0,ROUND($C67-$F67-MIN(N($G67),$C67-$F67),2)))</f>
        <v>15936.01</v>
      </c>
    </row>
    <row r="68" customFormat="false" ht="14.25" hidden="false" customHeight="true" outlineLevel="0" collapsed="false">
      <c r="A68" s="24" t="n">
        <f aca="false">IF(ISNUMBER($C68),31,"")</f>
        <v>31</v>
      </c>
      <c r="B68" s="25" t="n">
        <f aca="false">IF(ISNUMBER($C68),EDATE(Zahlungsbeginn,30),"")</f>
        <v>46997</v>
      </c>
      <c r="C68" s="26" t="n">
        <f aca="false">IF(N($H67)&gt;0.005,$H67,"")</f>
        <v>15936.01</v>
      </c>
      <c r="D68" s="27" t="n">
        <f aca="false">IF($C68="","",ROUND(MIN(Annuitaet,$C68+$E68),2))</f>
        <v>347.5</v>
      </c>
      <c r="E68" s="26" t="n">
        <f aca="false">IF($C68="","",ROUND($C68*i_monat,2))</f>
        <v>59.76</v>
      </c>
      <c r="F68" s="26" t="n">
        <f aca="false">IF($C68="","",$D68-$E68)</f>
        <v>287.74</v>
      </c>
      <c r="G68" s="28"/>
      <c r="H68" s="27" t="n">
        <f aca="false">IF($C68="","",MAX(0,ROUND($C68-$F68-MIN(N($G68),$C68-$F68),2)))</f>
        <v>15648.27</v>
      </c>
    </row>
    <row r="69" customFormat="false" ht="14.25" hidden="false" customHeight="true" outlineLevel="0" collapsed="false">
      <c r="A69" s="29" t="n">
        <f aca="false">IF(ISNUMBER($C69),32,"")</f>
        <v>32</v>
      </c>
      <c r="B69" s="30" t="n">
        <f aca="false">IF(ISNUMBER($C69),EDATE(Zahlungsbeginn,31),"")</f>
        <v>47027</v>
      </c>
      <c r="C69" s="31" t="n">
        <f aca="false">IF(N($H68)&gt;0.005,$H68,"")</f>
        <v>15648.27</v>
      </c>
      <c r="D69" s="32" t="n">
        <f aca="false">IF($C69="","",ROUND(MIN(Annuitaet,$C69+$E69),2))</f>
        <v>347.5</v>
      </c>
      <c r="E69" s="31" t="n">
        <f aca="false">IF($C69="","",ROUND($C69*i_monat,2))</f>
        <v>58.68</v>
      </c>
      <c r="F69" s="31" t="n">
        <f aca="false">IF($C69="","",$D69-$E69)</f>
        <v>288.82</v>
      </c>
      <c r="G69" s="28"/>
      <c r="H69" s="32" t="n">
        <f aca="false">IF($C69="","",MAX(0,ROUND($C69-$F69-MIN(N($G69),$C69-$F69),2)))</f>
        <v>15359.45</v>
      </c>
    </row>
    <row r="70" customFormat="false" ht="14.25" hidden="false" customHeight="true" outlineLevel="0" collapsed="false">
      <c r="A70" s="24" t="n">
        <f aca="false">IF(ISNUMBER($C70),33,"")</f>
        <v>33</v>
      </c>
      <c r="B70" s="25" t="n">
        <f aca="false">IF(ISNUMBER($C70),EDATE(Zahlungsbeginn,32),"")</f>
        <v>47058</v>
      </c>
      <c r="C70" s="26" t="n">
        <f aca="false">IF(N($H69)&gt;0.005,$H69,"")</f>
        <v>15359.45</v>
      </c>
      <c r="D70" s="27" t="n">
        <f aca="false">IF($C70="","",ROUND(MIN(Annuitaet,$C70+$E70),2))</f>
        <v>347.5</v>
      </c>
      <c r="E70" s="26" t="n">
        <f aca="false">IF($C70="","",ROUND($C70*i_monat,2))</f>
        <v>57.6</v>
      </c>
      <c r="F70" s="26" t="n">
        <f aca="false">IF($C70="","",$D70-$E70)</f>
        <v>289.9</v>
      </c>
      <c r="G70" s="28"/>
      <c r="H70" s="27" t="n">
        <f aca="false">IF($C70="","",MAX(0,ROUND($C70-$F70-MIN(N($G70),$C70-$F70),2)))</f>
        <v>15069.55</v>
      </c>
    </row>
    <row r="71" customFormat="false" ht="14.25" hidden="false" customHeight="true" outlineLevel="0" collapsed="false">
      <c r="A71" s="29" t="n">
        <f aca="false">IF(ISNUMBER($C71),34,"")</f>
        <v>34</v>
      </c>
      <c r="B71" s="30" t="n">
        <f aca="false">IF(ISNUMBER($C71),EDATE(Zahlungsbeginn,33),"")</f>
        <v>47088</v>
      </c>
      <c r="C71" s="31" t="n">
        <f aca="false">IF(N($H70)&gt;0.005,$H70,"")</f>
        <v>15069.55</v>
      </c>
      <c r="D71" s="32" t="n">
        <f aca="false">IF($C71="","",ROUND(MIN(Annuitaet,$C71+$E71),2))</f>
        <v>347.5</v>
      </c>
      <c r="E71" s="31" t="n">
        <f aca="false">IF($C71="","",ROUND($C71*i_monat,2))</f>
        <v>56.51</v>
      </c>
      <c r="F71" s="31" t="n">
        <f aca="false">IF($C71="","",$D71-$E71)</f>
        <v>290.99</v>
      </c>
      <c r="G71" s="28"/>
      <c r="H71" s="32" t="n">
        <f aca="false">IF($C71="","",MAX(0,ROUND($C71-$F71-MIN(N($G71),$C71-$F71),2)))</f>
        <v>14778.56</v>
      </c>
    </row>
    <row r="72" customFormat="false" ht="14.25" hidden="false" customHeight="true" outlineLevel="0" collapsed="false">
      <c r="A72" s="24" t="n">
        <f aca="false">IF(ISNUMBER($C72),35,"")</f>
        <v>35</v>
      </c>
      <c r="B72" s="25" t="n">
        <f aca="false">IF(ISNUMBER($C72),EDATE(Zahlungsbeginn,34),"")</f>
        <v>47119</v>
      </c>
      <c r="C72" s="26" t="n">
        <f aca="false">IF(N($H71)&gt;0.005,$H71,"")</f>
        <v>14778.56</v>
      </c>
      <c r="D72" s="27" t="n">
        <f aca="false">IF($C72="","",ROUND(MIN(Annuitaet,$C72+$E72),2))</f>
        <v>347.5</v>
      </c>
      <c r="E72" s="26" t="n">
        <f aca="false">IF($C72="","",ROUND($C72*i_monat,2))</f>
        <v>55.42</v>
      </c>
      <c r="F72" s="26" t="n">
        <f aca="false">IF($C72="","",$D72-$E72)</f>
        <v>292.08</v>
      </c>
      <c r="G72" s="28"/>
      <c r="H72" s="27" t="n">
        <f aca="false">IF($C72="","",MAX(0,ROUND($C72-$F72-MIN(N($G72),$C72-$F72),2)))</f>
        <v>14486.48</v>
      </c>
    </row>
    <row r="73" customFormat="false" ht="14.25" hidden="false" customHeight="true" outlineLevel="0" collapsed="false">
      <c r="A73" s="29" t="n">
        <f aca="false">IF(ISNUMBER($C73),36,"")</f>
        <v>36</v>
      </c>
      <c r="B73" s="30" t="n">
        <f aca="false">IF(ISNUMBER($C73),EDATE(Zahlungsbeginn,35),"")</f>
        <v>47150</v>
      </c>
      <c r="C73" s="31" t="n">
        <f aca="false">IF(N($H72)&gt;0.005,$H72,"")</f>
        <v>14486.48</v>
      </c>
      <c r="D73" s="32" t="n">
        <f aca="false">IF($C73="","",ROUND(MIN(Annuitaet,$C73+$E73),2))</f>
        <v>347.5</v>
      </c>
      <c r="E73" s="31" t="n">
        <f aca="false">IF($C73="","",ROUND($C73*i_monat,2))</f>
        <v>54.32</v>
      </c>
      <c r="F73" s="31" t="n">
        <f aca="false">IF($C73="","",$D73-$E73)</f>
        <v>293.18</v>
      </c>
      <c r="G73" s="28"/>
      <c r="H73" s="32" t="n">
        <f aca="false">IF($C73="","",MAX(0,ROUND($C73-$F73-MIN(N($G73),$C73-$F73),2)))</f>
        <v>14193.3</v>
      </c>
    </row>
    <row r="74" customFormat="false" ht="14.25" hidden="false" customHeight="true" outlineLevel="0" collapsed="false">
      <c r="A74" s="24" t="n">
        <f aca="false">IF(ISNUMBER($C74),37,"")</f>
        <v>37</v>
      </c>
      <c r="B74" s="25" t="n">
        <f aca="false">IF(ISNUMBER($C74),EDATE(Zahlungsbeginn,36),"")</f>
        <v>47178</v>
      </c>
      <c r="C74" s="26" t="n">
        <f aca="false">IF(N($H73)&gt;0.005,$H73,"")</f>
        <v>14193.3</v>
      </c>
      <c r="D74" s="27" t="n">
        <f aca="false">IF($C74="","",ROUND(MIN(Annuitaet,$C74+$E74),2))</f>
        <v>347.5</v>
      </c>
      <c r="E74" s="26" t="n">
        <f aca="false">IF($C74="","",ROUND($C74*i_monat,2))</f>
        <v>53.22</v>
      </c>
      <c r="F74" s="26" t="n">
        <f aca="false">IF($C74="","",$D74-$E74)</f>
        <v>294.28</v>
      </c>
      <c r="G74" s="28"/>
      <c r="H74" s="27" t="n">
        <f aca="false">IF($C74="","",MAX(0,ROUND($C74-$F74-MIN(N($G74),$C74-$F74),2)))</f>
        <v>13899.02</v>
      </c>
    </row>
    <row r="75" customFormat="false" ht="14.25" hidden="false" customHeight="true" outlineLevel="0" collapsed="false">
      <c r="A75" s="29" t="n">
        <f aca="false">IF(ISNUMBER($C75),38,"")</f>
        <v>38</v>
      </c>
      <c r="B75" s="30" t="n">
        <f aca="false">IF(ISNUMBER($C75),EDATE(Zahlungsbeginn,37),"")</f>
        <v>47209</v>
      </c>
      <c r="C75" s="31" t="n">
        <f aca="false">IF(N($H74)&gt;0.005,$H74,"")</f>
        <v>13899.02</v>
      </c>
      <c r="D75" s="32" t="n">
        <f aca="false">IF($C75="","",ROUND(MIN(Annuitaet,$C75+$E75),2))</f>
        <v>347.5</v>
      </c>
      <c r="E75" s="31" t="n">
        <f aca="false">IF($C75="","",ROUND($C75*i_monat,2))</f>
        <v>52.12</v>
      </c>
      <c r="F75" s="31" t="n">
        <f aca="false">IF($C75="","",$D75-$E75)</f>
        <v>295.38</v>
      </c>
      <c r="G75" s="28"/>
      <c r="H75" s="32" t="n">
        <f aca="false">IF($C75="","",MAX(0,ROUND($C75-$F75-MIN(N($G75),$C75-$F75),2)))</f>
        <v>13603.64</v>
      </c>
    </row>
    <row r="76" customFormat="false" ht="14.25" hidden="false" customHeight="true" outlineLevel="0" collapsed="false">
      <c r="A76" s="24" t="n">
        <f aca="false">IF(ISNUMBER($C76),39,"")</f>
        <v>39</v>
      </c>
      <c r="B76" s="25" t="n">
        <f aca="false">IF(ISNUMBER($C76),EDATE(Zahlungsbeginn,38),"")</f>
        <v>47239</v>
      </c>
      <c r="C76" s="26" t="n">
        <f aca="false">IF(N($H75)&gt;0.005,$H75,"")</f>
        <v>13603.64</v>
      </c>
      <c r="D76" s="27" t="n">
        <f aca="false">IF($C76="","",ROUND(MIN(Annuitaet,$C76+$E76),2))</f>
        <v>347.5</v>
      </c>
      <c r="E76" s="26" t="n">
        <f aca="false">IF($C76="","",ROUND($C76*i_monat,2))</f>
        <v>51.01</v>
      </c>
      <c r="F76" s="26" t="n">
        <f aca="false">IF($C76="","",$D76-$E76)</f>
        <v>296.49</v>
      </c>
      <c r="G76" s="28"/>
      <c r="H76" s="27" t="n">
        <f aca="false">IF($C76="","",MAX(0,ROUND($C76-$F76-MIN(N($G76),$C76-$F76),2)))</f>
        <v>13307.15</v>
      </c>
    </row>
    <row r="77" customFormat="false" ht="14.25" hidden="false" customHeight="true" outlineLevel="0" collapsed="false">
      <c r="A77" s="29" t="n">
        <f aca="false">IF(ISNUMBER($C77),40,"")</f>
        <v>40</v>
      </c>
      <c r="B77" s="30" t="n">
        <f aca="false">IF(ISNUMBER($C77),EDATE(Zahlungsbeginn,39),"")</f>
        <v>47270</v>
      </c>
      <c r="C77" s="31" t="n">
        <f aca="false">IF(N($H76)&gt;0.005,$H76,"")</f>
        <v>13307.15</v>
      </c>
      <c r="D77" s="32" t="n">
        <f aca="false">IF($C77="","",ROUND(MIN(Annuitaet,$C77+$E77),2))</f>
        <v>347.5</v>
      </c>
      <c r="E77" s="31" t="n">
        <f aca="false">IF($C77="","",ROUND($C77*i_monat,2))</f>
        <v>49.9</v>
      </c>
      <c r="F77" s="31" t="n">
        <f aca="false">IF($C77="","",$D77-$E77)</f>
        <v>297.6</v>
      </c>
      <c r="G77" s="28"/>
      <c r="H77" s="32" t="n">
        <f aca="false">IF($C77="","",MAX(0,ROUND($C77-$F77-MIN(N($G77),$C77-$F77),2)))</f>
        <v>13009.55</v>
      </c>
    </row>
    <row r="78" customFormat="false" ht="14.25" hidden="false" customHeight="true" outlineLevel="0" collapsed="false">
      <c r="A78" s="24" t="n">
        <f aca="false">IF(ISNUMBER($C78),41,"")</f>
        <v>41</v>
      </c>
      <c r="B78" s="25" t="n">
        <f aca="false">IF(ISNUMBER($C78),EDATE(Zahlungsbeginn,40),"")</f>
        <v>47300</v>
      </c>
      <c r="C78" s="26" t="n">
        <f aca="false">IF(N($H77)&gt;0.005,$H77,"")</f>
        <v>13009.55</v>
      </c>
      <c r="D78" s="27" t="n">
        <f aca="false">IF($C78="","",ROUND(MIN(Annuitaet,$C78+$E78),2))</f>
        <v>347.5</v>
      </c>
      <c r="E78" s="26" t="n">
        <f aca="false">IF($C78="","",ROUND($C78*i_monat,2))</f>
        <v>48.79</v>
      </c>
      <c r="F78" s="26" t="n">
        <f aca="false">IF($C78="","",$D78-$E78)</f>
        <v>298.71</v>
      </c>
      <c r="G78" s="28"/>
      <c r="H78" s="27" t="n">
        <f aca="false">IF($C78="","",MAX(0,ROUND($C78-$F78-MIN(N($G78),$C78-$F78),2)))</f>
        <v>12710.84</v>
      </c>
    </row>
    <row r="79" customFormat="false" ht="14.25" hidden="false" customHeight="true" outlineLevel="0" collapsed="false">
      <c r="A79" s="29" t="n">
        <f aca="false">IF(ISNUMBER($C79),42,"")</f>
        <v>42</v>
      </c>
      <c r="B79" s="30" t="n">
        <f aca="false">IF(ISNUMBER($C79),EDATE(Zahlungsbeginn,41),"")</f>
        <v>47331</v>
      </c>
      <c r="C79" s="31" t="n">
        <f aca="false">IF(N($H78)&gt;0.005,$H78,"")</f>
        <v>12710.84</v>
      </c>
      <c r="D79" s="32" t="n">
        <f aca="false">IF($C79="","",ROUND(MIN(Annuitaet,$C79+$E79),2))</f>
        <v>347.5</v>
      </c>
      <c r="E79" s="31" t="n">
        <f aca="false">IF($C79="","",ROUND($C79*i_monat,2))</f>
        <v>47.67</v>
      </c>
      <c r="F79" s="31" t="n">
        <f aca="false">IF($C79="","",$D79-$E79)</f>
        <v>299.83</v>
      </c>
      <c r="G79" s="28"/>
      <c r="H79" s="32" t="n">
        <f aca="false">IF($C79="","",MAX(0,ROUND($C79-$F79-MIN(N($G79),$C79-$F79),2)))</f>
        <v>12411.01</v>
      </c>
    </row>
    <row r="80" customFormat="false" ht="14.25" hidden="false" customHeight="true" outlineLevel="0" collapsed="false">
      <c r="A80" s="24" t="n">
        <f aca="false">IF(ISNUMBER($C80),43,"")</f>
        <v>43</v>
      </c>
      <c r="B80" s="25" t="n">
        <f aca="false">IF(ISNUMBER($C80),EDATE(Zahlungsbeginn,42),"")</f>
        <v>47362</v>
      </c>
      <c r="C80" s="26" t="n">
        <f aca="false">IF(N($H79)&gt;0.005,$H79,"")</f>
        <v>12411.01</v>
      </c>
      <c r="D80" s="27" t="n">
        <f aca="false">IF($C80="","",ROUND(MIN(Annuitaet,$C80+$E80),2))</f>
        <v>347.5</v>
      </c>
      <c r="E80" s="26" t="n">
        <f aca="false">IF($C80="","",ROUND($C80*i_monat,2))</f>
        <v>46.54</v>
      </c>
      <c r="F80" s="26" t="n">
        <f aca="false">IF($C80="","",$D80-$E80)</f>
        <v>300.96</v>
      </c>
      <c r="G80" s="28"/>
      <c r="H80" s="27" t="n">
        <f aca="false">IF($C80="","",MAX(0,ROUND($C80-$F80-MIN(N($G80),$C80-$F80),2)))</f>
        <v>12110.05</v>
      </c>
    </row>
    <row r="81" customFormat="false" ht="14.25" hidden="false" customHeight="true" outlineLevel="0" collapsed="false">
      <c r="A81" s="29" t="n">
        <f aca="false">IF(ISNUMBER($C81),44,"")</f>
        <v>44</v>
      </c>
      <c r="B81" s="30" t="n">
        <f aca="false">IF(ISNUMBER($C81),EDATE(Zahlungsbeginn,43),"")</f>
        <v>47392</v>
      </c>
      <c r="C81" s="31" t="n">
        <f aca="false">IF(N($H80)&gt;0.005,$H80,"")</f>
        <v>12110.05</v>
      </c>
      <c r="D81" s="32" t="n">
        <f aca="false">IF($C81="","",ROUND(MIN(Annuitaet,$C81+$E81),2))</f>
        <v>347.5</v>
      </c>
      <c r="E81" s="31" t="n">
        <f aca="false">IF($C81="","",ROUND($C81*i_monat,2))</f>
        <v>45.41</v>
      </c>
      <c r="F81" s="31" t="n">
        <f aca="false">IF($C81="","",$D81-$E81)</f>
        <v>302.09</v>
      </c>
      <c r="G81" s="28"/>
      <c r="H81" s="32" t="n">
        <f aca="false">IF($C81="","",MAX(0,ROUND($C81-$F81-MIN(N($G81),$C81-$F81),2)))</f>
        <v>11807.96</v>
      </c>
    </row>
    <row r="82" customFormat="false" ht="14.25" hidden="false" customHeight="true" outlineLevel="0" collapsed="false">
      <c r="A82" s="24" t="n">
        <f aca="false">IF(ISNUMBER($C82),45,"")</f>
        <v>45</v>
      </c>
      <c r="B82" s="25" t="n">
        <f aca="false">IF(ISNUMBER($C82),EDATE(Zahlungsbeginn,44),"")</f>
        <v>47423</v>
      </c>
      <c r="C82" s="26" t="n">
        <f aca="false">IF(N($H81)&gt;0.005,$H81,"")</f>
        <v>11807.96</v>
      </c>
      <c r="D82" s="27" t="n">
        <f aca="false">IF($C82="","",ROUND(MIN(Annuitaet,$C82+$E82),2))</f>
        <v>347.5</v>
      </c>
      <c r="E82" s="26" t="n">
        <f aca="false">IF($C82="","",ROUND($C82*i_monat,2))</f>
        <v>44.28</v>
      </c>
      <c r="F82" s="26" t="n">
        <f aca="false">IF($C82="","",$D82-$E82)</f>
        <v>303.22</v>
      </c>
      <c r="G82" s="28"/>
      <c r="H82" s="27" t="n">
        <f aca="false">IF($C82="","",MAX(0,ROUND($C82-$F82-MIN(N($G82),$C82-$F82),2)))</f>
        <v>11504.74</v>
      </c>
    </row>
    <row r="83" customFormat="false" ht="14.25" hidden="false" customHeight="true" outlineLevel="0" collapsed="false">
      <c r="A83" s="29" t="n">
        <f aca="false">IF(ISNUMBER($C83),46,"")</f>
        <v>46</v>
      </c>
      <c r="B83" s="30" t="n">
        <f aca="false">IF(ISNUMBER($C83),EDATE(Zahlungsbeginn,45),"")</f>
        <v>47453</v>
      </c>
      <c r="C83" s="31" t="n">
        <f aca="false">IF(N($H82)&gt;0.005,$H82,"")</f>
        <v>11504.74</v>
      </c>
      <c r="D83" s="32" t="n">
        <f aca="false">IF($C83="","",ROUND(MIN(Annuitaet,$C83+$E83),2))</f>
        <v>347.5</v>
      </c>
      <c r="E83" s="31" t="n">
        <f aca="false">IF($C83="","",ROUND($C83*i_monat,2))</f>
        <v>43.14</v>
      </c>
      <c r="F83" s="31" t="n">
        <f aca="false">IF($C83="","",$D83-$E83)</f>
        <v>304.36</v>
      </c>
      <c r="G83" s="28"/>
      <c r="H83" s="32" t="n">
        <f aca="false">IF($C83="","",MAX(0,ROUND($C83-$F83-MIN(N($G83),$C83-$F83),2)))</f>
        <v>11200.38</v>
      </c>
    </row>
    <row r="84" customFormat="false" ht="14.25" hidden="false" customHeight="true" outlineLevel="0" collapsed="false">
      <c r="A84" s="24" t="n">
        <f aca="false">IF(ISNUMBER($C84),47,"")</f>
        <v>47</v>
      </c>
      <c r="B84" s="25" t="n">
        <f aca="false">IF(ISNUMBER($C84),EDATE(Zahlungsbeginn,46),"")</f>
        <v>47484</v>
      </c>
      <c r="C84" s="26" t="n">
        <f aca="false">IF(N($H83)&gt;0.005,$H83,"")</f>
        <v>11200.38</v>
      </c>
      <c r="D84" s="27" t="n">
        <f aca="false">IF($C84="","",ROUND(MIN(Annuitaet,$C84+$E84),2))</f>
        <v>347.5</v>
      </c>
      <c r="E84" s="26" t="n">
        <f aca="false">IF($C84="","",ROUND($C84*i_monat,2))</f>
        <v>42</v>
      </c>
      <c r="F84" s="26" t="n">
        <f aca="false">IF($C84="","",$D84-$E84)</f>
        <v>305.5</v>
      </c>
      <c r="G84" s="28"/>
      <c r="H84" s="27" t="n">
        <f aca="false">IF($C84="","",MAX(0,ROUND($C84-$F84-MIN(N($G84),$C84-$F84),2)))</f>
        <v>10894.88</v>
      </c>
    </row>
    <row r="85" customFormat="false" ht="14.25" hidden="false" customHeight="true" outlineLevel="0" collapsed="false">
      <c r="A85" s="29" t="n">
        <f aca="false">IF(ISNUMBER($C85),48,"")</f>
        <v>48</v>
      </c>
      <c r="B85" s="30" t="n">
        <f aca="false">IF(ISNUMBER($C85),EDATE(Zahlungsbeginn,47),"")</f>
        <v>47515</v>
      </c>
      <c r="C85" s="31" t="n">
        <f aca="false">IF(N($H84)&gt;0.005,$H84,"")</f>
        <v>10894.88</v>
      </c>
      <c r="D85" s="32" t="n">
        <f aca="false">IF($C85="","",ROUND(MIN(Annuitaet,$C85+$E85),2))</f>
        <v>347.5</v>
      </c>
      <c r="E85" s="31" t="n">
        <f aca="false">IF($C85="","",ROUND($C85*i_monat,2))</f>
        <v>40.86</v>
      </c>
      <c r="F85" s="31" t="n">
        <f aca="false">IF($C85="","",$D85-$E85)</f>
        <v>306.64</v>
      </c>
      <c r="G85" s="28"/>
      <c r="H85" s="32" t="n">
        <f aca="false">IF($C85="","",MAX(0,ROUND($C85-$F85-MIN(N($G85),$C85-$F85),2)))</f>
        <v>10588.24</v>
      </c>
    </row>
    <row r="86" customFormat="false" ht="14.25" hidden="false" customHeight="true" outlineLevel="0" collapsed="false">
      <c r="A86" s="24" t="n">
        <f aca="false">IF(ISNUMBER($C86),49,"")</f>
        <v>49</v>
      </c>
      <c r="B86" s="25" t="n">
        <f aca="false">IF(ISNUMBER($C86),EDATE(Zahlungsbeginn,48),"")</f>
        <v>47543</v>
      </c>
      <c r="C86" s="26" t="n">
        <f aca="false">IF(N($H85)&gt;0.005,$H85,"")</f>
        <v>10588.24</v>
      </c>
      <c r="D86" s="27" t="n">
        <f aca="false">IF($C86="","",ROUND(MIN(Annuitaet,$C86+$E86),2))</f>
        <v>347.5</v>
      </c>
      <c r="E86" s="26" t="n">
        <f aca="false">IF($C86="","",ROUND($C86*i_monat,2))</f>
        <v>39.71</v>
      </c>
      <c r="F86" s="26" t="n">
        <f aca="false">IF($C86="","",$D86-$E86)</f>
        <v>307.79</v>
      </c>
      <c r="G86" s="28"/>
      <c r="H86" s="27" t="n">
        <f aca="false">IF($C86="","",MAX(0,ROUND($C86-$F86-MIN(N($G86),$C86-$F86),2)))</f>
        <v>10280.45</v>
      </c>
    </row>
    <row r="87" customFormat="false" ht="14.25" hidden="false" customHeight="true" outlineLevel="0" collapsed="false">
      <c r="A87" s="29" t="n">
        <f aca="false">IF(ISNUMBER($C87),50,"")</f>
        <v>50</v>
      </c>
      <c r="B87" s="30" t="n">
        <f aca="false">IF(ISNUMBER($C87),EDATE(Zahlungsbeginn,49),"")</f>
        <v>47574</v>
      </c>
      <c r="C87" s="31" t="n">
        <f aca="false">IF(N($H86)&gt;0.005,$H86,"")</f>
        <v>10280.45</v>
      </c>
      <c r="D87" s="32" t="n">
        <f aca="false">IF($C87="","",ROUND(MIN(Annuitaet,$C87+$E87),2))</f>
        <v>347.5</v>
      </c>
      <c r="E87" s="31" t="n">
        <f aca="false">IF($C87="","",ROUND($C87*i_monat,2))</f>
        <v>38.55</v>
      </c>
      <c r="F87" s="31" t="n">
        <f aca="false">IF($C87="","",$D87-$E87)</f>
        <v>308.95</v>
      </c>
      <c r="G87" s="28"/>
      <c r="H87" s="32" t="n">
        <f aca="false">IF($C87="","",MAX(0,ROUND($C87-$F87-MIN(N($G87),$C87-$F87),2)))</f>
        <v>9971.5</v>
      </c>
    </row>
    <row r="88" customFormat="false" ht="14.25" hidden="false" customHeight="true" outlineLevel="0" collapsed="false">
      <c r="A88" s="24" t="n">
        <f aca="false">IF(ISNUMBER($C88),51,"")</f>
        <v>51</v>
      </c>
      <c r="B88" s="25" t="n">
        <f aca="false">IF(ISNUMBER($C88),EDATE(Zahlungsbeginn,50),"")</f>
        <v>47604</v>
      </c>
      <c r="C88" s="26" t="n">
        <f aca="false">IF(N($H87)&gt;0.005,$H87,"")</f>
        <v>9971.5</v>
      </c>
      <c r="D88" s="27" t="n">
        <f aca="false">IF($C88="","",ROUND(MIN(Annuitaet,$C88+$E88),2))</f>
        <v>347.5</v>
      </c>
      <c r="E88" s="26" t="n">
        <f aca="false">IF($C88="","",ROUND($C88*i_monat,2))</f>
        <v>37.39</v>
      </c>
      <c r="F88" s="26" t="n">
        <f aca="false">IF($C88="","",$D88-$E88)</f>
        <v>310.11</v>
      </c>
      <c r="G88" s="28"/>
      <c r="H88" s="27" t="n">
        <f aca="false">IF($C88="","",MAX(0,ROUND($C88-$F88-MIN(N($G88),$C88-$F88),2)))</f>
        <v>9661.39</v>
      </c>
    </row>
    <row r="89" customFormat="false" ht="14.25" hidden="false" customHeight="true" outlineLevel="0" collapsed="false">
      <c r="A89" s="29" t="n">
        <f aca="false">IF(ISNUMBER($C89),52,"")</f>
        <v>52</v>
      </c>
      <c r="B89" s="30" t="n">
        <f aca="false">IF(ISNUMBER($C89),EDATE(Zahlungsbeginn,51),"")</f>
        <v>47635</v>
      </c>
      <c r="C89" s="31" t="n">
        <f aca="false">IF(N($H88)&gt;0.005,$H88,"")</f>
        <v>9661.39</v>
      </c>
      <c r="D89" s="32" t="n">
        <f aca="false">IF($C89="","",ROUND(MIN(Annuitaet,$C89+$E89),2))</f>
        <v>347.5</v>
      </c>
      <c r="E89" s="31" t="n">
        <f aca="false">IF($C89="","",ROUND($C89*i_monat,2))</f>
        <v>36.23</v>
      </c>
      <c r="F89" s="31" t="n">
        <f aca="false">IF($C89="","",$D89-$E89)</f>
        <v>311.27</v>
      </c>
      <c r="G89" s="28"/>
      <c r="H89" s="32" t="n">
        <f aca="false">IF($C89="","",MAX(0,ROUND($C89-$F89-MIN(N($G89),$C89-$F89),2)))</f>
        <v>9350.12</v>
      </c>
    </row>
    <row r="90" customFormat="false" ht="14.25" hidden="false" customHeight="true" outlineLevel="0" collapsed="false">
      <c r="A90" s="24" t="n">
        <f aca="false">IF(ISNUMBER($C90),53,"")</f>
        <v>53</v>
      </c>
      <c r="B90" s="25" t="n">
        <f aca="false">IF(ISNUMBER($C90),EDATE(Zahlungsbeginn,52),"")</f>
        <v>47665</v>
      </c>
      <c r="C90" s="26" t="n">
        <f aca="false">IF(N($H89)&gt;0.005,$H89,"")</f>
        <v>9350.12</v>
      </c>
      <c r="D90" s="27" t="n">
        <f aca="false">IF($C90="","",ROUND(MIN(Annuitaet,$C90+$E90),2))</f>
        <v>347.5</v>
      </c>
      <c r="E90" s="26" t="n">
        <f aca="false">IF($C90="","",ROUND($C90*i_monat,2))</f>
        <v>35.06</v>
      </c>
      <c r="F90" s="26" t="n">
        <f aca="false">IF($C90="","",$D90-$E90)</f>
        <v>312.44</v>
      </c>
      <c r="G90" s="28"/>
      <c r="H90" s="27" t="n">
        <f aca="false">IF($C90="","",MAX(0,ROUND($C90-$F90-MIN(N($G90),$C90-$F90),2)))</f>
        <v>9037.68</v>
      </c>
    </row>
    <row r="91" customFormat="false" ht="14.25" hidden="false" customHeight="true" outlineLevel="0" collapsed="false">
      <c r="A91" s="29" t="n">
        <f aca="false">IF(ISNUMBER($C91),54,"")</f>
        <v>54</v>
      </c>
      <c r="B91" s="30" t="n">
        <f aca="false">IF(ISNUMBER($C91),EDATE(Zahlungsbeginn,53),"")</f>
        <v>47696</v>
      </c>
      <c r="C91" s="31" t="n">
        <f aca="false">IF(N($H90)&gt;0.005,$H90,"")</f>
        <v>9037.68</v>
      </c>
      <c r="D91" s="32" t="n">
        <f aca="false">IF($C91="","",ROUND(MIN(Annuitaet,$C91+$E91),2))</f>
        <v>347.5</v>
      </c>
      <c r="E91" s="31" t="n">
        <f aca="false">IF($C91="","",ROUND($C91*i_monat,2))</f>
        <v>33.89</v>
      </c>
      <c r="F91" s="31" t="n">
        <f aca="false">IF($C91="","",$D91-$E91)</f>
        <v>313.61</v>
      </c>
      <c r="G91" s="28"/>
      <c r="H91" s="32" t="n">
        <f aca="false">IF($C91="","",MAX(0,ROUND($C91-$F91-MIN(N($G91),$C91-$F91),2)))</f>
        <v>8724.07</v>
      </c>
    </row>
    <row r="92" customFormat="false" ht="14.25" hidden="false" customHeight="true" outlineLevel="0" collapsed="false">
      <c r="A92" s="24" t="n">
        <f aca="false">IF(ISNUMBER($C92),55,"")</f>
        <v>55</v>
      </c>
      <c r="B92" s="25" t="n">
        <f aca="false">IF(ISNUMBER($C92),EDATE(Zahlungsbeginn,54),"")</f>
        <v>47727</v>
      </c>
      <c r="C92" s="26" t="n">
        <f aca="false">IF(N($H91)&gt;0.005,$H91,"")</f>
        <v>8724.07</v>
      </c>
      <c r="D92" s="27" t="n">
        <f aca="false">IF($C92="","",ROUND(MIN(Annuitaet,$C92+$E92),2))</f>
        <v>347.5</v>
      </c>
      <c r="E92" s="26" t="n">
        <f aca="false">IF($C92="","",ROUND($C92*i_monat,2))</f>
        <v>32.72</v>
      </c>
      <c r="F92" s="26" t="n">
        <f aca="false">IF($C92="","",$D92-$E92)</f>
        <v>314.78</v>
      </c>
      <c r="G92" s="28"/>
      <c r="H92" s="27" t="n">
        <f aca="false">IF($C92="","",MAX(0,ROUND($C92-$F92-MIN(N($G92),$C92-$F92),2)))</f>
        <v>8409.29</v>
      </c>
    </row>
    <row r="93" customFormat="false" ht="14.25" hidden="false" customHeight="true" outlineLevel="0" collapsed="false">
      <c r="A93" s="29" t="n">
        <f aca="false">IF(ISNUMBER($C93),56,"")</f>
        <v>56</v>
      </c>
      <c r="B93" s="30" t="n">
        <f aca="false">IF(ISNUMBER($C93),EDATE(Zahlungsbeginn,55),"")</f>
        <v>47757</v>
      </c>
      <c r="C93" s="31" t="n">
        <f aca="false">IF(N($H92)&gt;0.005,$H92,"")</f>
        <v>8409.29</v>
      </c>
      <c r="D93" s="32" t="n">
        <f aca="false">IF($C93="","",ROUND(MIN(Annuitaet,$C93+$E93),2))</f>
        <v>347.5</v>
      </c>
      <c r="E93" s="31" t="n">
        <f aca="false">IF($C93="","",ROUND($C93*i_monat,2))</f>
        <v>31.53</v>
      </c>
      <c r="F93" s="31" t="n">
        <f aca="false">IF($C93="","",$D93-$E93)</f>
        <v>315.97</v>
      </c>
      <c r="G93" s="28"/>
      <c r="H93" s="32" t="n">
        <f aca="false">IF($C93="","",MAX(0,ROUND($C93-$F93-MIN(N($G93),$C93-$F93),2)))</f>
        <v>8093.32</v>
      </c>
    </row>
    <row r="94" customFormat="false" ht="14.25" hidden="false" customHeight="true" outlineLevel="0" collapsed="false">
      <c r="A94" s="24" t="n">
        <f aca="false">IF(ISNUMBER($C94),57,"")</f>
        <v>57</v>
      </c>
      <c r="B94" s="25" t="n">
        <f aca="false">IF(ISNUMBER($C94),EDATE(Zahlungsbeginn,56),"")</f>
        <v>47788</v>
      </c>
      <c r="C94" s="26" t="n">
        <f aca="false">IF(N($H93)&gt;0.005,$H93,"")</f>
        <v>8093.32</v>
      </c>
      <c r="D94" s="27" t="n">
        <f aca="false">IF($C94="","",ROUND(MIN(Annuitaet,$C94+$E94),2))</f>
        <v>347.5</v>
      </c>
      <c r="E94" s="26" t="n">
        <f aca="false">IF($C94="","",ROUND($C94*i_monat,2))</f>
        <v>30.35</v>
      </c>
      <c r="F94" s="26" t="n">
        <f aca="false">IF($C94="","",$D94-$E94)</f>
        <v>317.15</v>
      </c>
      <c r="G94" s="28"/>
      <c r="H94" s="27" t="n">
        <f aca="false">IF($C94="","",MAX(0,ROUND($C94-$F94-MIN(N($G94),$C94-$F94),2)))</f>
        <v>7776.17</v>
      </c>
    </row>
    <row r="95" customFormat="false" ht="14.25" hidden="false" customHeight="true" outlineLevel="0" collapsed="false">
      <c r="A95" s="29" t="n">
        <f aca="false">IF(ISNUMBER($C95),58,"")</f>
        <v>58</v>
      </c>
      <c r="B95" s="30" t="n">
        <f aca="false">IF(ISNUMBER($C95),EDATE(Zahlungsbeginn,57),"")</f>
        <v>47818</v>
      </c>
      <c r="C95" s="31" t="n">
        <f aca="false">IF(N($H94)&gt;0.005,$H94,"")</f>
        <v>7776.17</v>
      </c>
      <c r="D95" s="32" t="n">
        <f aca="false">IF($C95="","",ROUND(MIN(Annuitaet,$C95+$E95),2))</f>
        <v>347.5</v>
      </c>
      <c r="E95" s="31" t="n">
        <f aca="false">IF($C95="","",ROUND($C95*i_monat,2))</f>
        <v>29.16</v>
      </c>
      <c r="F95" s="31" t="n">
        <f aca="false">IF($C95="","",$D95-$E95)</f>
        <v>318.34</v>
      </c>
      <c r="G95" s="28"/>
      <c r="H95" s="32" t="n">
        <f aca="false">IF($C95="","",MAX(0,ROUND($C95-$F95-MIN(N($G95),$C95-$F95),2)))</f>
        <v>7457.83</v>
      </c>
    </row>
    <row r="96" customFormat="false" ht="14.25" hidden="false" customHeight="true" outlineLevel="0" collapsed="false">
      <c r="A96" s="24" t="n">
        <f aca="false">IF(ISNUMBER($C96),59,"")</f>
        <v>59</v>
      </c>
      <c r="B96" s="25" t="n">
        <f aca="false">IF(ISNUMBER($C96),EDATE(Zahlungsbeginn,58),"")</f>
        <v>47849</v>
      </c>
      <c r="C96" s="26" t="n">
        <f aca="false">IF(N($H95)&gt;0.005,$H95,"")</f>
        <v>7457.83</v>
      </c>
      <c r="D96" s="27" t="n">
        <f aca="false">IF($C96="","",ROUND(MIN(Annuitaet,$C96+$E96),2))</f>
        <v>347.5</v>
      </c>
      <c r="E96" s="26" t="n">
        <f aca="false">IF($C96="","",ROUND($C96*i_monat,2))</f>
        <v>27.97</v>
      </c>
      <c r="F96" s="26" t="n">
        <f aca="false">IF($C96="","",$D96-$E96)</f>
        <v>319.53</v>
      </c>
      <c r="G96" s="28"/>
      <c r="H96" s="27" t="n">
        <f aca="false">IF($C96="","",MAX(0,ROUND($C96-$F96-MIN(N($G96),$C96-$F96),2)))</f>
        <v>7138.3</v>
      </c>
    </row>
    <row r="97" customFormat="false" ht="14.25" hidden="false" customHeight="true" outlineLevel="0" collapsed="false">
      <c r="A97" s="29" t="n">
        <f aca="false">IF(ISNUMBER($C97),60,"")</f>
        <v>60</v>
      </c>
      <c r="B97" s="30" t="n">
        <f aca="false">IF(ISNUMBER($C97),EDATE(Zahlungsbeginn,59),"")</f>
        <v>47880</v>
      </c>
      <c r="C97" s="31" t="n">
        <f aca="false">IF(N($H96)&gt;0.005,$H96,"")</f>
        <v>7138.3</v>
      </c>
      <c r="D97" s="32" t="n">
        <f aca="false">IF($C97="","",ROUND(MIN(Annuitaet,$C97+$E97),2))</f>
        <v>347.5</v>
      </c>
      <c r="E97" s="31" t="n">
        <f aca="false">IF($C97="","",ROUND($C97*i_monat,2))</f>
        <v>26.77</v>
      </c>
      <c r="F97" s="31" t="n">
        <f aca="false">IF($C97="","",$D97-$E97)</f>
        <v>320.73</v>
      </c>
      <c r="G97" s="28"/>
      <c r="H97" s="32" t="n">
        <f aca="false">IF($C97="","",MAX(0,ROUND($C97-$F97-MIN(N($G97),$C97-$F97),2)))</f>
        <v>6817.57</v>
      </c>
    </row>
    <row r="98" customFormat="false" ht="14.25" hidden="false" customHeight="true" outlineLevel="0" collapsed="false">
      <c r="A98" s="24" t="n">
        <f aca="false">IF(ISNUMBER($C98),61,"")</f>
        <v>61</v>
      </c>
      <c r="B98" s="25" t="n">
        <f aca="false">IF(ISNUMBER($C98),EDATE(Zahlungsbeginn,60),"")</f>
        <v>47908</v>
      </c>
      <c r="C98" s="26" t="n">
        <f aca="false">IF(N($H97)&gt;0.005,$H97,"")</f>
        <v>6817.57</v>
      </c>
      <c r="D98" s="27" t="n">
        <f aca="false">IF($C98="","",ROUND(MIN(Annuitaet,$C98+$E98),2))</f>
        <v>347.5</v>
      </c>
      <c r="E98" s="26" t="n">
        <f aca="false">IF($C98="","",ROUND($C98*i_monat,2))</f>
        <v>25.57</v>
      </c>
      <c r="F98" s="26" t="n">
        <f aca="false">IF($C98="","",$D98-$E98)</f>
        <v>321.93</v>
      </c>
      <c r="G98" s="28"/>
      <c r="H98" s="27" t="n">
        <f aca="false">IF($C98="","",MAX(0,ROUND($C98-$F98-MIN(N($G98),$C98-$F98),2)))</f>
        <v>6495.64</v>
      </c>
    </row>
    <row r="99" customFormat="false" ht="14.25" hidden="false" customHeight="true" outlineLevel="0" collapsed="false">
      <c r="A99" s="29" t="n">
        <f aca="false">IF(ISNUMBER($C99),62,"")</f>
        <v>62</v>
      </c>
      <c r="B99" s="30" t="n">
        <f aca="false">IF(ISNUMBER($C99),EDATE(Zahlungsbeginn,61),"")</f>
        <v>47939</v>
      </c>
      <c r="C99" s="31" t="n">
        <f aca="false">IF(N($H98)&gt;0.005,$H98,"")</f>
        <v>6495.64</v>
      </c>
      <c r="D99" s="32" t="n">
        <f aca="false">IF($C99="","",ROUND(MIN(Annuitaet,$C99+$E99),2))</f>
        <v>347.5</v>
      </c>
      <c r="E99" s="31" t="n">
        <f aca="false">IF($C99="","",ROUND($C99*i_monat,2))</f>
        <v>24.36</v>
      </c>
      <c r="F99" s="31" t="n">
        <f aca="false">IF($C99="","",$D99-$E99)</f>
        <v>323.14</v>
      </c>
      <c r="G99" s="28"/>
      <c r="H99" s="32" t="n">
        <f aca="false">IF($C99="","",MAX(0,ROUND($C99-$F99-MIN(N($G99),$C99-$F99),2)))</f>
        <v>6172.5</v>
      </c>
    </row>
    <row r="100" customFormat="false" ht="14.25" hidden="false" customHeight="true" outlineLevel="0" collapsed="false">
      <c r="A100" s="24" t="n">
        <f aca="false">IF(ISNUMBER($C100),63,"")</f>
        <v>63</v>
      </c>
      <c r="B100" s="25" t="n">
        <f aca="false">IF(ISNUMBER($C100),EDATE(Zahlungsbeginn,62),"")</f>
        <v>47969</v>
      </c>
      <c r="C100" s="26" t="n">
        <f aca="false">IF(N($H99)&gt;0.005,$H99,"")</f>
        <v>6172.5</v>
      </c>
      <c r="D100" s="27" t="n">
        <f aca="false">IF($C100="","",ROUND(MIN(Annuitaet,$C100+$E100),2))</f>
        <v>347.5</v>
      </c>
      <c r="E100" s="26" t="n">
        <f aca="false">IF($C100="","",ROUND($C100*i_monat,2))</f>
        <v>23.15</v>
      </c>
      <c r="F100" s="26" t="n">
        <f aca="false">IF($C100="","",$D100-$E100)</f>
        <v>324.35</v>
      </c>
      <c r="G100" s="28"/>
      <c r="H100" s="27" t="n">
        <f aca="false">IF($C100="","",MAX(0,ROUND($C100-$F100-MIN(N($G100),$C100-$F100),2)))</f>
        <v>5848.15</v>
      </c>
    </row>
    <row r="101" customFormat="false" ht="14.25" hidden="false" customHeight="true" outlineLevel="0" collapsed="false">
      <c r="A101" s="29" t="n">
        <f aca="false">IF(ISNUMBER($C101),64,"")</f>
        <v>64</v>
      </c>
      <c r="B101" s="30" t="n">
        <f aca="false">IF(ISNUMBER($C101),EDATE(Zahlungsbeginn,63),"")</f>
        <v>48000</v>
      </c>
      <c r="C101" s="31" t="n">
        <f aca="false">IF(N($H100)&gt;0.005,$H100,"")</f>
        <v>5848.15</v>
      </c>
      <c r="D101" s="32" t="n">
        <f aca="false">IF($C101="","",ROUND(MIN(Annuitaet,$C101+$E101),2))</f>
        <v>347.5</v>
      </c>
      <c r="E101" s="31" t="n">
        <f aca="false">IF($C101="","",ROUND($C101*i_monat,2))</f>
        <v>21.93</v>
      </c>
      <c r="F101" s="31" t="n">
        <f aca="false">IF($C101="","",$D101-$E101)</f>
        <v>325.57</v>
      </c>
      <c r="G101" s="28"/>
      <c r="H101" s="32" t="n">
        <f aca="false">IF($C101="","",MAX(0,ROUND($C101-$F101-MIN(N($G101),$C101-$F101),2)))</f>
        <v>5522.58</v>
      </c>
    </row>
    <row r="102" customFormat="false" ht="14.25" hidden="false" customHeight="true" outlineLevel="0" collapsed="false">
      <c r="A102" s="24" t="n">
        <f aca="false">IF(ISNUMBER($C102),65,"")</f>
        <v>65</v>
      </c>
      <c r="B102" s="25" t="n">
        <f aca="false">IF(ISNUMBER($C102),EDATE(Zahlungsbeginn,64),"")</f>
        <v>48030</v>
      </c>
      <c r="C102" s="26" t="n">
        <f aca="false">IF(N($H101)&gt;0.005,$H101,"")</f>
        <v>5522.58</v>
      </c>
      <c r="D102" s="27" t="n">
        <f aca="false">IF($C102="","",ROUND(MIN(Annuitaet,$C102+$E102),2))</f>
        <v>347.5</v>
      </c>
      <c r="E102" s="26" t="n">
        <f aca="false">IF($C102="","",ROUND($C102*i_monat,2))</f>
        <v>20.71</v>
      </c>
      <c r="F102" s="26" t="n">
        <f aca="false">IF($C102="","",$D102-$E102)</f>
        <v>326.79</v>
      </c>
      <c r="G102" s="28"/>
      <c r="H102" s="27" t="n">
        <f aca="false">IF($C102="","",MAX(0,ROUND($C102-$F102-MIN(N($G102),$C102-$F102),2)))</f>
        <v>5195.79</v>
      </c>
    </row>
    <row r="103" customFormat="false" ht="14.25" hidden="false" customHeight="true" outlineLevel="0" collapsed="false">
      <c r="A103" s="29" t="n">
        <f aca="false">IF(ISNUMBER($C103),66,"")</f>
        <v>66</v>
      </c>
      <c r="B103" s="30" t="n">
        <f aca="false">IF(ISNUMBER($C103),EDATE(Zahlungsbeginn,65),"")</f>
        <v>48061</v>
      </c>
      <c r="C103" s="31" t="n">
        <f aca="false">IF(N($H102)&gt;0.005,$H102,"")</f>
        <v>5195.79</v>
      </c>
      <c r="D103" s="32" t="n">
        <f aca="false">IF($C103="","",ROUND(MIN(Annuitaet,$C103+$E103),2))</f>
        <v>347.5</v>
      </c>
      <c r="E103" s="31" t="n">
        <f aca="false">IF($C103="","",ROUND($C103*i_monat,2))</f>
        <v>19.48</v>
      </c>
      <c r="F103" s="31" t="n">
        <f aca="false">IF($C103="","",$D103-$E103)</f>
        <v>328.02</v>
      </c>
      <c r="G103" s="28"/>
      <c r="H103" s="32" t="n">
        <f aca="false">IF($C103="","",MAX(0,ROUND($C103-$F103-MIN(N($G103),$C103-$F103),2)))</f>
        <v>4867.77</v>
      </c>
    </row>
    <row r="104" customFormat="false" ht="14.25" hidden="false" customHeight="true" outlineLevel="0" collapsed="false">
      <c r="A104" s="24" t="n">
        <f aca="false">IF(ISNUMBER($C104),67,"")</f>
        <v>67</v>
      </c>
      <c r="B104" s="25" t="n">
        <f aca="false">IF(ISNUMBER($C104),EDATE(Zahlungsbeginn,66),"")</f>
        <v>48092</v>
      </c>
      <c r="C104" s="26" t="n">
        <f aca="false">IF(N($H103)&gt;0.005,$H103,"")</f>
        <v>4867.77</v>
      </c>
      <c r="D104" s="27" t="n">
        <f aca="false">IF($C104="","",ROUND(MIN(Annuitaet,$C104+$E104),2))</f>
        <v>347.5</v>
      </c>
      <c r="E104" s="26" t="n">
        <f aca="false">IF($C104="","",ROUND($C104*i_monat,2))</f>
        <v>18.25</v>
      </c>
      <c r="F104" s="26" t="n">
        <f aca="false">IF($C104="","",$D104-$E104)</f>
        <v>329.25</v>
      </c>
      <c r="G104" s="28"/>
      <c r="H104" s="27" t="n">
        <f aca="false">IF($C104="","",MAX(0,ROUND($C104-$F104-MIN(N($G104),$C104-$F104),2)))</f>
        <v>4538.52</v>
      </c>
    </row>
    <row r="105" customFormat="false" ht="14.25" hidden="false" customHeight="true" outlineLevel="0" collapsed="false">
      <c r="A105" s="29" t="n">
        <f aca="false">IF(ISNUMBER($C105),68,"")</f>
        <v>68</v>
      </c>
      <c r="B105" s="30" t="n">
        <f aca="false">IF(ISNUMBER($C105),EDATE(Zahlungsbeginn,67),"")</f>
        <v>48122</v>
      </c>
      <c r="C105" s="31" t="n">
        <f aca="false">IF(N($H104)&gt;0.005,$H104,"")</f>
        <v>4538.52</v>
      </c>
      <c r="D105" s="32" t="n">
        <f aca="false">IF($C105="","",ROUND(MIN(Annuitaet,$C105+$E105),2))</f>
        <v>347.5</v>
      </c>
      <c r="E105" s="31" t="n">
        <f aca="false">IF($C105="","",ROUND($C105*i_monat,2))</f>
        <v>17.02</v>
      </c>
      <c r="F105" s="31" t="n">
        <f aca="false">IF($C105="","",$D105-$E105)</f>
        <v>330.48</v>
      </c>
      <c r="G105" s="28"/>
      <c r="H105" s="32" t="n">
        <f aca="false">IF($C105="","",MAX(0,ROUND($C105-$F105-MIN(N($G105),$C105-$F105),2)))</f>
        <v>4208.04</v>
      </c>
    </row>
    <row r="106" customFormat="false" ht="14.25" hidden="false" customHeight="true" outlineLevel="0" collapsed="false">
      <c r="A106" s="24" t="n">
        <f aca="false">IF(ISNUMBER($C106),69,"")</f>
        <v>69</v>
      </c>
      <c r="B106" s="25" t="n">
        <f aca="false">IF(ISNUMBER($C106),EDATE(Zahlungsbeginn,68),"")</f>
        <v>48153</v>
      </c>
      <c r="C106" s="26" t="n">
        <f aca="false">IF(N($H105)&gt;0.005,$H105,"")</f>
        <v>4208.04</v>
      </c>
      <c r="D106" s="27" t="n">
        <f aca="false">IF($C106="","",ROUND(MIN(Annuitaet,$C106+$E106),2))</f>
        <v>347.5</v>
      </c>
      <c r="E106" s="26" t="n">
        <f aca="false">IF($C106="","",ROUND($C106*i_monat,2))</f>
        <v>15.78</v>
      </c>
      <c r="F106" s="26" t="n">
        <f aca="false">IF($C106="","",$D106-$E106)</f>
        <v>331.72</v>
      </c>
      <c r="G106" s="28"/>
      <c r="H106" s="27" t="n">
        <f aca="false">IF($C106="","",MAX(0,ROUND($C106-$F106-MIN(N($G106),$C106-$F106),2)))</f>
        <v>3876.32</v>
      </c>
    </row>
    <row r="107" customFormat="false" ht="14.25" hidden="false" customHeight="true" outlineLevel="0" collapsed="false">
      <c r="A107" s="29" t="n">
        <f aca="false">IF(ISNUMBER($C107),70,"")</f>
        <v>70</v>
      </c>
      <c r="B107" s="30" t="n">
        <f aca="false">IF(ISNUMBER($C107),EDATE(Zahlungsbeginn,69),"")</f>
        <v>48183</v>
      </c>
      <c r="C107" s="31" t="n">
        <f aca="false">IF(N($H106)&gt;0.005,$H106,"")</f>
        <v>3876.32</v>
      </c>
      <c r="D107" s="32" t="n">
        <f aca="false">IF($C107="","",ROUND(MIN(Annuitaet,$C107+$E107),2))</f>
        <v>347.5</v>
      </c>
      <c r="E107" s="31" t="n">
        <f aca="false">IF($C107="","",ROUND($C107*i_monat,2))</f>
        <v>14.54</v>
      </c>
      <c r="F107" s="31" t="n">
        <f aca="false">IF($C107="","",$D107-$E107)</f>
        <v>332.96</v>
      </c>
      <c r="G107" s="28"/>
      <c r="H107" s="32" t="n">
        <f aca="false">IF($C107="","",MAX(0,ROUND($C107-$F107-MIN(N($G107),$C107-$F107),2)))</f>
        <v>3543.36</v>
      </c>
    </row>
    <row r="108" customFormat="false" ht="14.25" hidden="false" customHeight="true" outlineLevel="0" collapsed="false">
      <c r="A108" s="24" t="n">
        <f aca="false">IF(ISNUMBER($C108),71,"")</f>
        <v>71</v>
      </c>
      <c r="B108" s="25" t="n">
        <f aca="false">IF(ISNUMBER($C108),EDATE(Zahlungsbeginn,70),"")</f>
        <v>48214</v>
      </c>
      <c r="C108" s="26" t="n">
        <f aca="false">IF(N($H107)&gt;0.005,$H107,"")</f>
        <v>3543.36</v>
      </c>
      <c r="D108" s="27" t="n">
        <f aca="false">IF($C108="","",ROUND(MIN(Annuitaet,$C108+$E108),2))</f>
        <v>347.5</v>
      </c>
      <c r="E108" s="26" t="n">
        <f aca="false">IF($C108="","",ROUND($C108*i_monat,2))</f>
        <v>13.29</v>
      </c>
      <c r="F108" s="26" t="n">
        <f aca="false">IF($C108="","",$D108-$E108)</f>
        <v>334.21</v>
      </c>
      <c r="G108" s="28"/>
      <c r="H108" s="27" t="n">
        <f aca="false">IF($C108="","",MAX(0,ROUND($C108-$F108-MIN(N($G108),$C108-$F108),2)))</f>
        <v>3209.15</v>
      </c>
    </row>
    <row r="109" customFormat="false" ht="14.25" hidden="false" customHeight="true" outlineLevel="0" collapsed="false">
      <c r="A109" s="29" t="n">
        <f aca="false">IF(ISNUMBER($C109),72,"")</f>
        <v>72</v>
      </c>
      <c r="B109" s="30" t="n">
        <f aca="false">IF(ISNUMBER($C109),EDATE(Zahlungsbeginn,71),"")</f>
        <v>48245</v>
      </c>
      <c r="C109" s="31" t="n">
        <f aca="false">IF(N($H108)&gt;0.005,$H108,"")</f>
        <v>3209.15</v>
      </c>
      <c r="D109" s="32" t="n">
        <f aca="false">IF($C109="","",ROUND(MIN(Annuitaet,$C109+$E109),2))</f>
        <v>347.5</v>
      </c>
      <c r="E109" s="31" t="n">
        <f aca="false">IF($C109="","",ROUND($C109*i_monat,2))</f>
        <v>12.03</v>
      </c>
      <c r="F109" s="31" t="n">
        <f aca="false">IF($C109="","",$D109-$E109)</f>
        <v>335.47</v>
      </c>
      <c r="G109" s="28"/>
      <c r="H109" s="32" t="n">
        <f aca="false">IF($C109="","",MAX(0,ROUND($C109-$F109-MIN(N($G109),$C109-$F109),2)))</f>
        <v>2873.68</v>
      </c>
    </row>
    <row r="110" customFormat="false" ht="14.25" hidden="false" customHeight="true" outlineLevel="0" collapsed="false">
      <c r="A110" s="24" t="n">
        <f aca="false">IF(ISNUMBER($C110),73,"")</f>
        <v>73</v>
      </c>
      <c r="B110" s="25" t="n">
        <f aca="false">IF(ISNUMBER($C110),EDATE(Zahlungsbeginn,72),"")</f>
        <v>48274</v>
      </c>
      <c r="C110" s="26" t="n">
        <f aca="false">IF(N($H109)&gt;0.005,$H109,"")</f>
        <v>2873.68</v>
      </c>
      <c r="D110" s="27" t="n">
        <f aca="false">IF($C110="","",ROUND(MIN(Annuitaet,$C110+$E110),2))</f>
        <v>347.5</v>
      </c>
      <c r="E110" s="26" t="n">
        <f aca="false">IF($C110="","",ROUND($C110*i_monat,2))</f>
        <v>10.78</v>
      </c>
      <c r="F110" s="26" t="n">
        <f aca="false">IF($C110="","",$D110-$E110)</f>
        <v>336.72</v>
      </c>
      <c r="G110" s="28"/>
      <c r="H110" s="27" t="n">
        <f aca="false">IF($C110="","",MAX(0,ROUND($C110-$F110-MIN(N($G110),$C110-$F110),2)))</f>
        <v>2536.96</v>
      </c>
    </row>
    <row r="111" customFormat="false" ht="14.25" hidden="false" customHeight="true" outlineLevel="0" collapsed="false">
      <c r="A111" s="29" t="n">
        <f aca="false">IF(ISNUMBER($C111),74,"")</f>
        <v>74</v>
      </c>
      <c r="B111" s="30" t="n">
        <f aca="false">IF(ISNUMBER($C111),EDATE(Zahlungsbeginn,73),"")</f>
        <v>48305</v>
      </c>
      <c r="C111" s="31" t="n">
        <f aca="false">IF(N($H110)&gt;0.005,$H110,"")</f>
        <v>2536.96</v>
      </c>
      <c r="D111" s="32" t="n">
        <f aca="false">IF($C111="","",ROUND(MIN(Annuitaet,$C111+$E111),2))</f>
        <v>347.5</v>
      </c>
      <c r="E111" s="31" t="n">
        <f aca="false">IF($C111="","",ROUND($C111*i_monat,2))</f>
        <v>9.51</v>
      </c>
      <c r="F111" s="31" t="n">
        <f aca="false">IF($C111="","",$D111-$E111)</f>
        <v>337.99</v>
      </c>
      <c r="G111" s="28"/>
      <c r="H111" s="32" t="n">
        <f aca="false">IF($C111="","",MAX(0,ROUND($C111-$F111-MIN(N($G111),$C111-$F111),2)))</f>
        <v>2198.97</v>
      </c>
    </row>
    <row r="112" customFormat="false" ht="14.25" hidden="false" customHeight="true" outlineLevel="0" collapsed="false">
      <c r="A112" s="24" t="n">
        <f aca="false">IF(ISNUMBER($C112),75,"")</f>
        <v>75</v>
      </c>
      <c r="B112" s="25" t="n">
        <f aca="false">IF(ISNUMBER($C112),EDATE(Zahlungsbeginn,74),"")</f>
        <v>48335</v>
      </c>
      <c r="C112" s="26" t="n">
        <f aca="false">IF(N($H111)&gt;0.005,$H111,"")</f>
        <v>2198.97</v>
      </c>
      <c r="D112" s="27" t="n">
        <f aca="false">IF($C112="","",ROUND(MIN(Annuitaet,$C112+$E112),2))</f>
        <v>347.5</v>
      </c>
      <c r="E112" s="26" t="n">
        <f aca="false">IF($C112="","",ROUND($C112*i_monat,2))</f>
        <v>8.25</v>
      </c>
      <c r="F112" s="26" t="n">
        <f aca="false">IF($C112="","",$D112-$E112)</f>
        <v>339.25</v>
      </c>
      <c r="G112" s="28"/>
      <c r="H112" s="27" t="n">
        <f aca="false">IF($C112="","",MAX(0,ROUND($C112-$F112-MIN(N($G112),$C112-$F112),2)))</f>
        <v>1859.72</v>
      </c>
    </row>
    <row r="113" customFormat="false" ht="14.25" hidden="false" customHeight="true" outlineLevel="0" collapsed="false">
      <c r="A113" s="29" t="n">
        <f aca="false">IF(ISNUMBER($C113),76,"")</f>
        <v>76</v>
      </c>
      <c r="B113" s="30" t="n">
        <f aca="false">IF(ISNUMBER($C113),EDATE(Zahlungsbeginn,75),"")</f>
        <v>48366</v>
      </c>
      <c r="C113" s="31" t="n">
        <f aca="false">IF(N($H112)&gt;0.005,$H112,"")</f>
        <v>1859.72</v>
      </c>
      <c r="D113" s="32" t="n">
        <f aca="false">IF($C113="","",ROUND(MIN(Annuitaet,$C113+$E113),2))</f>
        <v>347.5</v>
      </c>
      <c r="E113" s="31" t="n">
        <f aca="false">IF($C113="","",ROUND($C113*i_monat,2))</f>
        <v>6.97</v>
      </c>
      <c r="F113" s="31" t="n">
        <f aca="false">IF($C113="","",$D113-$E113)</f>
        <v>340.53</v>
      </c>
      <c r="G113" s="28"/>
      <c r="H113" s="32" t="n">
        <f aca="false">IF($C113="","",MAX(0,ROUND($C113-$F113-MIN(N($G113),$C113-$F113),2)))</f>
        <v>1519.19</v>
      </c>
    </row>
    <row r="114" customFormat="false" ht="14.25" hidden="false" customHeight="true" outlineLevel="0" collapsed="false">
      <c r="A114" s="24" t="n">
        <f aca="false">IF(ISNUMBER($C114),77,"")</f>
        <v>77</v>
      </c>
      <c r="B114" s="25" t="n">
        <f aca="false">IF(ISNUMBER($C114),EDATE(Zahlungsbeginn,76),"")</f>
        <v>48396</v>
      </c>
      <c r="C114" s="26" t="n">
        <f aca="false">IF(N($H113)&gt;0.005,$H113,"")</f>
        <v>1519.19</v>
      </c>
      <c r="D114" s="27" t="n">
        <f aca="false">IF($C114="","",ROUND(MIN(Annuitaet,$C114+$E114),2))</f>
        <v>347.5</v>
      </c>
      <c r="E114" s="26" t="n">
        <f aca="false">IF($C114="","",ROUND($C114*i_monat,2))</f>
        <v>5.7</v>
      </c>
      <c r="F114" s="26" t="n">
        <f aca="false">IF($C114="","",$D114-$E114)</f>
        <v>341.8</v>
      </c>
      <c r="G114" s="28"/>
      <c r="H114" s="27" t="n">
        <f aca="false">IF($C114="","",MAX(0,ROUND($C114-$F114-MIN(N($G114),$C114-$F114),2)))</f>
        <v>1177.39</v>
      </c>
    </row>
    <row r="115" customFormat="false" ht="14.25" hidden="false" customHeight="true" outlineLevel="0" collapsed="false">
      <c r="A115" s="29" t="n">
        <f aca="false">IF(ISNUMBER($C115),78,"")</f>
        <v>78</v>
      </c>
      <c r="B115" s="30" t="n">
        <f aca="false">IF(ISNUMBER($C115),EDATE(Zahlungsbeginn,77),"")</f>
        <v>48427</v>
      </c>
      <c r="C115" s="31" t="n">
        <f aca="false">IF(N($H114)&gt;0.005,$H114,"")</f>
        <v>1177.39</v>
      </c>
      <c r="D115" s="32" t="n">
        <f aca="false">IF($C115="","",ROUND(MIN(Annuitaet,$C115+$E115),2))</f>
        <v>347.5</v>
      </c>
      <c r="E115" s="31" t="n">
        <f aca="false">IF($C115="","",ROUND($C115*i_monat,2))</f>
        <v>4.42</v>
      </c>
      <c r="F115" s="31" t="n">
        <f aca="false">IF($C115="","",$D115-$E115)</f>
        <v>343.08</v>
      </c>
      <c r="G115" s="28"/>
      <c r="H115" s="32" t="n">
        <f aca="false">IF($C115="","",MAX(0,ROUND($C115-$F115-MIN(N($G115),$C115-$F115),2)))</f>
        <v>834.31</v>
      </c>
    </row>
    <row r="116" customFormat="false" ht="14.25" hidden="false" customHeight="true" outlineLevel="0" collapsed="false">
      <c r="A116" s="24" t="n">
        <f aca="false">IF(ISNUMBER($C116),79,"")</f>
        <v>79</v>
      </c>
      <c r="B116" s="25" t="n">
        <f aca="false">IF(ISNUMBER($C116),EDATE(Zahlungsbeginn,78),"")</f>
        <v>48458</v>
      </c>
      <c r="C116" s="26" t="n">
        <f aca="false">IF(N($H115)&gt;0.005,$H115,"")</f>
        <v>834.31</v>
      </c>
      <c r="D116" s="27" t="n">
        <f aca="false">IF($C116="","",ROUND(MIN(Annuitaet,$C116+$E116),2))</f>
        <v>347.5</v>
      </c>
      <c r="E116" s="26" t="n">
        <f aca="false">IF($C116="","",ROUND($C116*i_monat,2))</f>
        <v>3.13</v>
      </c>
      <c r="F116" s="26" t="n">
        <f aca="false">IF($C116="","",$D116-$E116)</f>
        <v>344.37</v>
      </c>
      <c r="G116" s="28"/>
      <c r="H116" s="27" t="n">
        <f aca="false">IF($C116="","",MAX(0,ROUND($C116-$F116-MIN(N($G116),$C116-$F116),2)))</f>
        <v>489.94</v>
      </c>
    </row>
    <row r="117" customFormat="false" ht="14.25" hidden="false" customHeight="true" outlineLevel="0" collapsed="false">
      <c r="A117" s="29" t="n">
        <f aca="false">IF(ISNUMBER($C117),80,"")</f>
        <v>80</v>
      </c>
      <c r="B117" s="30" t="n">
        <f aca="false">IF(ISNUMBER($C117),EDATE(Zahlungsbeginn,79),"")</f>
        <v>48488</v>
      </c>
      <c r="C117" s="31" t="n">
        <f aca="false">IF(N($H116)&gt;0.005,$H116,"")</f>
        <v>489.94</v>
      </c>
      <c r="D117" s="32" t="n">
        <f aca="false">IF($C117="","",ROUND(MIN(Annuitaet,$C117+$E117),2))</f>
        <v>347.5</v>
      </c>
      <c r="E117" s="31" t="n">
        <f aca="false">IF($C117="","",ROUND($C117*i_monat,2))</f>
        <v>1.84</v>
      </c>
      <c r="F117" s="31" t="n">
        <f aca="false">IF($C117="","",$D117-$E117)</f>
        <v>345.66</v>
      </c>
      <c r="G117" s="28"/>
      <c r="H117" s="32" t="n">
        <f aca="false">IF($C117="","",MAX(0,ROUND($C117-$F117-MIN(N($G117),$C117-$F117),2)))</f>
        <v>144.28</v>
      </c>
    </row>
    <row r="118" customFormat="false" ht="14.25" hidden="false" customHeight="true" outlineLevel="0" collapsed="false">
      <c r="A118" s="24" t="n">
        <f aca="false">IF(ISNUMBER($C118),81,"")</f>
        <v>81</v>
      </c>
      <c r="B118" s="25" t="n">
        <f aca="false">IF(ISNUMBER($C118),EDATE(Zahlungsbeginn,80),"")</f>
        <v>48519</v>
      </c>
      <c r="C118" s="26" t="n">
        <f aca="false">IF(N($H117)&gt;0.005,$H117,"")</f>
        <v>144.28</v>
      </c>
      <c r="D118" s="27" t="n">
        <f aca="false">IF($C118="","",ROUND(MIN(Annuitaet,$C118+$E118),2))</f>
        <v>144.82</v>
      </c>
      <c r="E118" s="26" t="n">
        <f aca="false">IF($C118="","",ROUND($C118*i_monat,2))</f>
        <v>0.54</v>
      </c>
      <c r="F118" s="26" t="n">
        <f aca="false">IF($C118="","",$D118-$E118)</f>
        <v>144.28</v>
      </c>
      <c r="G118" s="28"/>
      <c r="H118" s="27" t="n">
        <f aca="false">IF($C118="","",MAX(0,ROUND($C118-$F118-MIN(N($G118),$C118-$F118),2)))</f>
        <v>0</v>
      </c>
    </row>
    <row r="119" customFormat="false" ht="14.25" hidden="false" customHeight="true" outlineLevel="0" collapsed="false">
      <c r="A119" s="29" t="str">
        <f aca="false">IF(ISNUMBER($C119),82,"")</f>
        <v/>
      </c>
      <c r="B119" s="30" t="str">
        <f aca="false">IF(ISNUMBER($C119),EDATE(Zahlungsbeginn,81),"")</f>
        <v/>
      </c>
      <c r="C119" s="31" t="str">
        <f aca="false">IF(N($H118)&gt;0.005,$H118,"")</f>
        <v/>
      </c>
      <c r="D119" s="32" t="str">
        <f aca="false">IF($C119="","",ROUND(MIN(Annuitaet,$C119+$E119),2))</f>
        <v/>
      </c>
      <c r="E119" s="31" t="str">
        <f aca="false">IF($C119="","",ROUND($C119*i_monat,2))</f>
        <v/>
      </c>
      <c r="F119" s="31" t="str">
        <f aca="false">IF($C119="","",$D119-$E119)</f>
        <v/>
      </c>
      <c r="G119" s="28"/>
      <c r="H119" s="32" t="str">
        <f aca="false">IF($C119="","",MAX(0,ROUND($C119-$F119-MIN(N($G119),$C119-$F119),2)))</f>
        <v/>
      </c>
    </row>
    <row r="120" customFormat="false" ht="14.25" hidden="false" customHeight="true" outlineLevel="0" collapsed="false">
      <c r="A120" s="24" t="str">
        <f aca="false">IF(ISNUMBER($C120),83,"")</f>
        <v/>
      </c>
      <c r="B120" s="25" t="str">
        <f aca="false">IF(ISNUMBER($C120),EDATE(Zahlungsbeginn,82),"")</f>
        <v/>
      </c>
      <c r="C120" s="26" t="str">
        <f aca="false">IF(N($H119)&gt;0.005,$H119,"")</f>
        <v/>
      </c>
      <c r="D120" s="27" t="str">
        <f aca="false">IF($C120="","",ROUND(MIN(Annuitaet,$C120+$E120),2))</f>
        <v/>
      </c>
      <c r="E120" s="26" t="str">
        <f aca="false">IF($C120="","",ROUND($C120*i_monat,2))</f>
        <v/>
      </c>
      <c r="F120" s="26" t="str">
        <f aca="false">IF($C120="","",$D120-$E120)</f>
        <v/>
      </c>
      <c r="G120" s="28"/>
      <c r="H120" s="27" t="str">
        <f aca="false">IF($C120="","",MAX(0,ROUND($C120-$F120-MIN(N($G120),$C120-$F120),2)))</f>
        <v/>
      </c>
    </row>
    <row r="121" customFormat="false" ht="14.25" hidden="false" customHeight="true" outlineLevel="0" collapsed="false">
      <c r="A121" s="29" t="str">
        <f aca="false">IF(ISNUMBER($C121),84,"")</f>
        <v/>
      </c>
      <c r="B121" s="30" t="str">
        <f aca="false">IF(ISNUMBER($C121),EDATE(Zahlungsbeginn,83),"")</f>
        <v/>
      </c>
      <c r="C121" s="31" t="str">
        <f aca="false">IF(N($H120)&gt;0.005,$H120,"")</f>
        <v/>
      </c>
      <c r="D121" s="32" t="str">
        <f aca="false">IF($C121="","",ROUND(MIN(Annuitaet,$C121+$E121),2))</f>
        <v/>
      </c>
      <c r="E121" s="31" t="str">
        <f aca="false">IF($C121="","",ROUND($C121*i_monat,2))</f>
        <v/>
      </c>
      <c r="F121" s="31" t="str">
        <f aca="false">IF($C121="","",$D121-$E121)</f>
        <v/>
      </c>
      <c r="G121" s="28"/>
      <c r="H121" s="32" t="str">
        <f aca="false">IF($C121="","",MAX(0,ROUND($C121-$F121-MIN(N($G121),$C121-$F121),2)))</f>
        <v/>
      </c>
    </row>
    <row r="122" customFormat="false" ht="18" hidden="false" customHeight="true" outlineLevel="0" collapsed="false">
      <c r="A122" s="33" t="s">
        <v>34</v>
      </c>
      <c r="B122" s="33"/>
      <c r="C122" s="33"/>
      <c r="D122" s="34" t="n">
        <f aca="false">SUM($D$38:$D$121)</f>
        <v>27944.82</v>
      </c>
      <c r="E122" s="34" t="n">
        <f aca="false">SUM($E$38:$E$121)</f>
        <v>3944.82</v>
      </c>
      <c r="F122" s="34" t="n">
        <f aca="false">SUM($F$38:$F$121)</f>
        <v>24000</v>
      </c>
      <c r="G122" s="34" t="n">
        <f aca="false">SUM($G$38:$G$121)</f>
        <v>1000</v>
      </c>
      <c r="H122" s="34" t="n">
        <v>0</v>
      </c>
    </row>
    <row r="124" customFormat="false" ht="18.75" hidden="false" customHeight="true" outlineLevel="0" collapsed="false">
      <c r="A124" s="6" t="s">
        <v>35</v>
      </c>
      <c r="B124" s="6"/>
      <c r="C124" s="6"/>
      <c r="D124" s="6"/>
      <c r="E124" s="6"/>
      <c r="F124" s="6"/>
      <c r="G124" s="6"/>
      <c r="H124" s="6"/>
    </row>
    <row r="125" customFormat="false" ht="15.75" hidden="false" customHeight="true" outlineLevel="0" collapsed="false">
      <c r="A125" s="35" t="s">
        <v>36</v>
      </c>
      <c r="B125" s="35"/>
      <c r="C125" s="35"/>
      <c r="D125" s="35"/>
      <c r="E125" s="35"/>
      <c r="F125" s="35"/>
      <c r="G125" s="35"/>
      <c r="H125" s="35"/>
    </row>
    <row r="126" customFormat="false" ht="15.75" hidden="false" customHeight="true" outlineLevel="0" collapsed="false">
      <c r="A126" s="36" t="s">
        <v>37</v>
      </c>
      <c r="B126" s="36"/>
      <c r="C126" s="36"/>
      <c r="D126" s="36"/>
      <c r="E126" s="36"/>
      <c r="F126" s="36"/>
      <c r="G126" s="36"/>
      <c r="H126" s="36"/>
    </row>
    <row r="127" customFormat="false" ht="15.75" hidden="false" customHeight="true" outlineLevel="0" collapsed="false">
      <c r="A127" s="35" t="s">
        <v>38</v>
      </c>
      <c r="B127" s="35"/>
      <c r="C127" s="35"/>
      <c r="D127" s="35"/>
      <c r="E127" s="35"/>
      <c r="F127" s="35"/>
      <c r="G127" s="35"/>
      <c r="H127" s="35"/>
    </row>
    <row r="128" customFormat="false" ht="15.75" hidden="false" customHeight="true" outlineLevel="0" collapsed="false">
      <c r="A128" s="36" t="s">
        <v>39</v>
      </c>
      <c r="B128" s="36"/>
      <c r="C128" s="36"/>
      <c r="D128" s="36"/>
      <c r="E128" s="36"/>
      <c r="F128" s="36"/>
      <c r="G128" s="36"/>
      <c r="H128" s="36"/>
    </row>
    <row r="129" customFormat="false" ht="15.75" hidden="false" customHeight="true" outlineLevel="0" collapsed="false">
      <c r="A129" s="35" t="s">
        <v>40</v>
      </c>
      <c r="B129" s="35"/>
      <c r="C129" s="35"/>
      <c r="D129" s="35"/>
      <c r="E129" s="35"/>
      <c r="F129" s="35"/>
      <c r="G129" s="35"/>
      <c r="H129" s="35"/>
    </row>
    <row r="130" customFormat="false" ht="15" hidden="false" customHeight="false" outlineLevel="0" collapsed="false">
      <c r="A130" s="37" t="s">
        <v>41</v>
      </c>
      <c r="B130" s="37"/>
      <c r="C130" s="37"/>
      <c r="D130" s="37"/>
      <c r="E130" s="37"/>
      <c r="F130" s="37"/>
      <c r="G130" s="37"/>
      <c r="H130" s="37"/>
    </row>
  </sheetData>
  <mergeCells count="52">
    <mergeCell ref="A2:F3"/>
    <mergeCell ref="G2:H2"/>
    <mergeCell ref="G3:H3"/>
    <mergeCell ref="A4:H4"/>
    <mergeCell ref="A6:D6"/>
    <mergeCell ref="E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5:B15"/>
    <mergeCell ref="C15:D15"/>
    <mergeCell ref="E15:F15"/>
    <mergeCell ref="G15:H15"/>
    <mergeCell ref="A16:B16"/>
    <mergeCell ref="C16:D16"/>
    <mergeCell ref="E16:F16"/>
    <mergeCell ref="G16:H16"/>
    <mergeCell ref="A18:H18"/>
    <mergeCell ref="A36:H36"/>
    <mergeCell ref="A122:C122"/>
    <mergeCell ref="A124:H124"/>
    <mergeCell ref="A125:H125"/>
    <mergeCell ref="A126:H126"/>
    <mergeCell ref="A127:H127"/>
    <mergeCell ref="A128:H128"/>
    <mergeCell ref="A129:H129"/>
    <mergeCell ref="A130:H130"/>
  </mergeCells>
  <conditionalFormatting sqref="H38:H121">
    <cfRule type="dataBar" priority="2">
      <dataBar showValue="1" minLength="10" maxLength="90">
        <cfvo type="num" val="0"/>
        <cfvo type="num" val="25000"/>
        <color rgb="FF45596B"/>
      </dataBar>
      <extLst>
        <ext xmlns:x14="http://schemas.microsoft.com/office/spreadsheetml/2009/9/main" uri="{B025F937-C7B1-47D3-B67F-A62EFF666E3E}">
          <x14:id>{2629C24F-2E79-4932-AF20-FF232891D887}</x14:id>
        </ext>
      </extLst>
    </cfRule>
  </conditionalFormatting>
  <dataValidations count="5">
    <dataValidation allowBlank="true" error="Positiven Darlehensbetrag eingeben." errorStyle="stop" operator="greaterThan" showDropDown="false" showErrorMessage="true" showInputMessage="false" sqref="C7" type="decimal">
      <formula1>0</formula1>
      <formula2>0</formula2>
    </dataValidation>
    <dataValidation allowBlank="true" error="Zinssatz als Anteil eingeben (z. B. 0,045 = 4,5 %)." errorStyle="stop" operator="between" showDropDown="false" showErrorMessage="true" showInputMessage="false" sqref="C8" type="decimal">
      <formula1>0</formula1>
      <formula2>0.3</formula2>
    </dataValidation>
    <dataValidation allowBlank="true" error="Laufzeit 1–84 Monate (für mehr Zeilen ergänzen)." errorStyle="stop" operator="between" showDropDown="false" showErrorMessage="true" showInputMessage="false" sqref="C9" type="decimal">
      <formula1>1</formula1>
      <formula2>84</formula2>
    </dataValidation>
    <dataValidation allowBlank="true" errorStyle="stop" operator="between" showDropDown="false" showErrorMessage="false" showInputMessage="false" sqref="C12" type="decimal">
      <formula1>0</formula1>
      <formula2>40</formula2>
    </dataValidation>
    <dataValidation allowBlank="true" errorStyle="stop" operator="greaterThanOrEqual" showDropDown="false" showErrorMessage="false" showInputMessage="false" sqref="G38:G121" type="decimal">
      <formula1>0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629C24F-2E79-4932-AF20-FF232891D887}">
            <x14:dataBar minLength="10" maxLength="90" axisPosition="none" gradient="true">
              <x14:cfvo type="num">
                <xm:f>0</xm:f>
              </x14:cfvo>
              <x14:cfvo type="num">
                <xm:f>25000</xm:f>
              </x14:cfvo>
              <x14:negativeFillColor rgb="FF45596B"/>
              <x14:axisColor rgb="FF000000"/>
            </x14:dataBar>
          </x14:cfRule>
          <xm:sqref>H38:H121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2026-08-12T11:15:14Z</dcterms:created>
  <dc:creator>openpyxl</dc:creator>
  <dc:description/>
  <dc:language>en-US</dc:language>
  <cp:lastModifiedBy/>
  <dcterms:modified xsi:type="dcterms:W3CDTF">2026-08-12T11:15:19Z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