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Aleman\Generador\"/>
    </mc:Choice>
  </mc:AlternateContent>
  <xr:revisionPtr revIDLastSave="0" documentId="13_ncr:1_{E551C31F-30DE-4F2D-849F-3A51486E0D3B}" xr6:coauthVersionLast="47" xr6:coauthVersionMax="47" xr10:uidLastSave="{00000000-0000-0000-0000-000000000000}"/>
  <bookViews>
    <workbookView xWindow="690" yWindow="690" windowWidth="25500" windowHeight="13500" tabRatio="500" xr2:uid="{00000000-000D-0000-FFFF-FFFF00000000}"/>
  </bookViews>
  <sheets>
    <sheet name="Spielplan" sheetId="1" r:id="rId1"/>
    <sheet name="Tabelle" sheetId="2" r:id="rId2"/>
    <sheet name="Kreuztabelle" sheetId="3" r:id="rId3"/>
  </sheets>
  <definedNames>
    <definedName name="_xlnm.Print_Area" localSheetId="2">Kreuztabelle!$A$1:$J$13</definedName>
    <definedName name="_xlnm.Print_Area" localSheetId="0">Spielplan!$A$1:$M$52</definedName>
    <definedName name="_xlnm.Print_Area" localSheetId="1">Tabelle!$A$1:$K$25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1" i="3" l="1"/>
  <c r="F11" i="3"/>
  <c r="E11" i="3"/>
  <c r="C11" i="3"/>
  <c r="B11" i="3"/>
  <c r="I10" i="3"/>
  <c r="F10" i="3"/>
  <c r="E10" i="3"/>
  <c r="D10" i="3"/>
  <c r="B10" i="3"/>
  <c r="B9" i="3"/>
  <c r="B8" i="3"/>
  <c r="B7" i="3"/>
  <c r="B6" i="3"/>
  <c r="B5" i="3"/>
  <c r="I4" i="3"/>
  <c r="H4" i="3"/>
  <c r="G4" i="3"/>
  <c r="F4" i="3"/>
  <c r="E4" i="3"/>
  <c r="D4" i="3"/>
  <c r="C4" i="3"/>
  <c r="B23" i="2"/>
  <c r="C23" i="2" s="1"/>
  <c r="F22" i="2"/>
  <c r="B22" i="2"/>
  <c r="J22" i="2" s="1"/>
  <c r="B21" i="2"/>
  <c r="C21" i="2" s="1"/>
  <c r="F20" i="2"/>
  <c r="B20" i="2"/>
  <c r="J20" i="2" s="1"/>
  <c r="B19" i="2"/>
  <c r="C19" i="2" s="1"/>
  <c r="F18" i="2"/>
  <c r="B18" i="2"/>
  <c r="J18" i="2" s="1"/>
  <c r="B17" i="2"/>
  <c r="C17" i="2" s="1"/>
  <c r="K12" i="2"/>
  <c r="K11" i="2"/>
  <c r="K10" i="2"/>
  <c r="K9" i="2"/>
  <c r="K8" i="2"/>
  <c r="K7" i="2"/>
  <c r="K6" i="2"/>
  <c r="A50" i="1"/>
  <c r="N49" i="1"/>
  <c r="M49" i="1"/>
  <c r="L49" i="1"/>
  <c r="K49" i="1"/>
  <c r="I49" i="1"/>
  <c r="E49" i="1"/>
  <c r="N48" i="1"/>
  <c r="M48" i="1"/>
  <c r="L48" i="1"/>
  <c r="K48" i="1"/>
  <c r="I48" i="1"/>
  <c r="E48" i="1"/>
  <c r="N47" i="1"/>
  <c r="M47" i="1"/>
  <c r="L47" i="1"/>
  <c r="K47" i="1"/>
  <c r="I47" i="1"/>
  <c r="E47" i="1"/>
  <c r="A46" i="1"/>
  <c r="N45" i="1"/>
  <c r="L45" i="1"/>
  <c r="K45" i="1"/>
  <c r="I45" i="1"/>
  <c r="E45" i="1"/>
  <c r="M45" i="1" s="1"/>
  <c r="N44" i="1"/>
  <c r="M44" i="1"/>
  <c r="L44" i="1"/>
  <c r="K44" i="1"/>
  <c r="I44" i="1"/>
  <c r="E44" i="1"/>
  <c r="N43" i="1"/>
  <c r="M43" i="1"/>
  <c r="L43" i="1"/>
  <c r="K43" i="1"/>
  <c r="I43" i="1"/>
  <c r="E43" i="1"/>
  <c r="A42" i="1"/>
  <c r="N41" i="1"/>
  <c r="M41" i="1"/>
  <c r="L41" i="1"/>
  <c r="K41" i="1"/>
  <c r="I41" i="1"/>
  <c r="E41" i="1"/>
  <c r="N40" i="1"/>
  <c r="L40" i="1"/>
  <c r="K40" i="1"/>
  <c r="I40" i="1"/>
  <c r="M40" i="1" s="1"/>
  <c r="E40" i="1"/>
  <c r="N39" i="1"/>
  <c r="L39" i="1"/>
  <c r="K39" i="1"/>
  <c r="I39" i="1"/>
  <c r="E39" i="1"/>
  <c r="M39" i="1" s="1"/>
  <c r="A38" i="1"/>
  <c r="N37" i="1"/>
  <c r="M37" i="1"/>
  <c r="L37" i="1"/>
  <c r="K37" i="1"/>
  <c r="I37" i="1"/>
  <c r="E37" i="1"/>
  <c r="N36" i="1"/>
  <c r="L36" i="1"/>
  <c r="K36" i="1"/>
  <c r="I36" i="1"/>
  <c r="M36" i="1" s="1"/>
  <c r="E36" i="1"/>
  <c r="N35" i="1"/>
  <c r="L35" i="1"/>
  <c r="K35" i="1"/>
  <c r="I35" i="1"/>
  <c r="E35" i="1"/>
  <c r="M35" i="1" s="1"/>
  <c r="A34" i="1"/>
  <c r="N33" i="1"/>
  <c r="M33" i="1"/>
  <c r="L33" i="1"/>
  <c r="K33" i="1"/>
  <c r="I33" i="1"/>
  <c r="E33" i="1"/>
  <c r="N32" i="1"/>
  <c r="L32" i="1"/>
  <c r="K32" i="1"/>
  <c r="I32" i="1"/>
  <c r="M32" i="1" s="1"/>
  <c r="E32" i="1"/>
  <c r="N31" i="1"/>
  <c r="M31" i="1"/>
  <c r="L31" i="1"/>
  <c r="K31" i="1"/>
  <c r="I31" i="1"/>
  <c r="E31" i="1"/>
  <c r="A30" i="1"/>
  <c r="N29" i="1"/>
  <c r="L29" i="1"/>
  <c r="K29" i="1"/>
  <c r="I29" i="1"/>
  <c r="M29" i="1" s="1"/>
  <c r="E29" i="1"/>
  <c r="N28" i="1"/>
  <c r="L28" i="1"/>
  <c r="K28" i="1"/>
  <c r="I28" i="1"/>
  <c r="E28" i="1"/>
  <c r="M28" i="1" s="1"/>
  <c r="N27" i="1"/>
  <c r="M27" i="1"/>
  <c r="L27" i="1"/>
  <c r="K27" i="1"/>
  <c r="I27" i="1"/>
  <c r="E27" i="1"/>
  <c r="A26" i="1"/>
  <c r="N25" i="1"/>
  <c r="H11" i="3" s="1"/>
  <c r="M25" i="1"/>
  <c r="L25" i="1"/>
  <c r="K25" i="1"/>
  <c r="I25" i="1"/>
  <c r="E25" i="1"/>
  <c r="N24" i="1"/>
  <c r="M24" i="1"/>
  <c r="L24" i="1"/>
  <c r="K24" i="1"/>
  <c r="I24" i="1"/>
  <c r="E24" i="1"/>
  <c r="N23" i="1"/>
  <c r="D11" i="3" s="1"/>
  <c r="M23" i="1"/>
  <c r="L23" i="1"/>
  <c r="K23" i="1"/>
  <c r="I23" i="1"/>
  <c r="E23" i="1"/>
  <c r="E17" i="1"/>
  <c r="E16" i="1"/>
  <c r="E15" i="1"/>
  <c r="E14" i="1"/>
  <c r="E13" i="1"/>
  <c r="E12" i="1"/>
  <c r="E11" i="1"/>
  <c r="D17" i="2" l="1"/>
  <c r="H5" i="3"/>
  <c r="E21" i="2"/>
  <c r="H8" i="3"/>
  <c r="F19" i="2"/>
  <c r="C6" i="3"/>
  <c r="H17" i="2"/>
  <c r="H19" i="2"/>
  <c r="H21" i="2"/>
  <c r="H23" i="2"/>
  <c r="E6" i="3"/>
  <c r="C9" i="3"/>
  <c r="F6" i="3"/>
  <c r="D9" i="3"/>
  <c r="D19" i="2"/>
  <c r="D21" i="2"/>
  <c r="D23" i="2"/>
  <c r="G8" i="3"/>
  <c r="E17" i="2"/>
  <c r="E19" i="2"/>
  <c r="E23" i="2"/>
  <c r="I5" i="3"/>
  <c r="F17" i="2"/>
  <c r="F21" i="2"/>
  <c r="F23" i="2"/>
  <c r="I8" i="3"/>
  <c r="G17" i="2"/>
  <c r="G19" i="2"/>
  <c r="I19" i="2" s="1"/>
  <c r="G21" i="2"/>
  <c r="I21" i="2" s="1"/>
  <c r="G23" i="2"/>
  <c r="I23" i="2" s="1"/>
  <c r="J17" i="2"/>
  <c r="J19" i="2"/>
  <c r="K19" i="2" s="1"/>
  <c r="J21" i="2"/>
  <c r="K21" i="2" s="1"/>
  <c r="J23" i="2"/>
  <c r="K23" i="2" s="1"/>
  <c r="G6" i="3"/>
  <c r="E9" i="3"/>
  <c r="H6" i="3"/>
  <c r="F9" i="3"/>
  <c r="D8" i="3"/>
  <c r="C18" i="2"/>
  <c r="C20" i="2"/>
  <c r="C22" i="2"/>
  <c r="I9" i="3"/>
  <c r="F5" i="3"/>
  <c r="I6" i="3"/>
  <c r="H9" i="3"/>
  <c r="D18" i="2"/>
  <c r="D20" i="2"/>
  <c r="D22" i="2"/>
  <c r="C7" i="3"/>
  <c r="E18" i="2"/>
  <c r="E20" i="2"/>
  <c r="E22" i="2"/>
  <c r="D7" i="3"/>
  <c r="C10" i="3"/>
  <c r="H18" i="2"/>
  <c r="H20" i="2"/>
  <c r="H22" i="2"/>
  <c r="H7" i="3"/>
  <c r="I7" i="3"/>
  <c r="G10" i="3"/>
  <c r="F7" i="3"/>
  <c r="G18" i="2"/>
  <c r="G20" i="2"/>
  <c r="G22" i="2"/>
  <c r="I22" i="2" s="1"/>
  <c r="K22" i="2" s="1"/>
  <c r="G7" i="3"/>
  <c r="D5" i="3"/>
  <c r="E5" i="3"/>
  <c r="C8" i="3"/>
  <c r="G5" i="3"/>
  <c r="E8" i="3"/>
  <c r="I20" i="2" l="1"/>
  <c r="K20" i="2" s="1"/>
  <c r="I18" i="2"/>
  <c r="K18" i="2" s="1"/>
  <c r="I17" i="2"/>
  <c r="K17" i="2" s="1"/>
  <c r="C11" i="2" l="1"/>
  <c r="C9" i="2"/>
  <c r="C7" i="2"/>
  <c r="J12" i="2"/>
  <c r="J10" i="2"/>
  <c r="J8" i="2"/>
  <c r="J6" i="2"/>
  <c r="G12" i="2"/>
  <c r="G10" i="2"/>
  <c r="G8" i="2"/>
  <c r="G6" i="2"/>
  <c r="I12" i="2"/>
  <c r="I10" i="2"/>
  <c r="I8" i="2"/>
  <c r="I6" i="2"/>
  <c r="H12" i="2"/>
  <c r="H10" i="2"/>
  <c r="H8" i="2"/>
  <c r="H6" i="2"/>
  <c r="E12" i="2"/>
  <c r="E10" i="2"/>
  <c r="E8" i="2"/>
  <c r="E6" i="2"/>
  <c r="D12" i="2"/>
  <c r="D10" i="2"/>
  <c r="D8" i="2"/>
  <c r="D6" i="2"/>
  <c r="B12" i="2"/>
  <c r="B10" i="2"/>
  <c r="B8" i="2"/>
  <c r="B6" i="2"/>
  <c r="F12" i="2"/>
  <c r="F6" i="2"/>
  <c r="C12" i="2"/>
  <c r="C10" i="2"/>
  <c r="C8" i="2"/>
  <c r="C6" i="2"/>
  <c r="F8" i="2"/>
  <c r="B9" i="2"/>
  <c r="J11" i="2"/>
  <c r="J9" i="2"/>
  <c r="J7" i="2"/>
  <c r="G11" i="2"/>
  <c r="G9" i="2"/>
  <c r="G7" i="2"/>
  <c r="F11" i="2"/>
  <c r="F9" i="2"/>
  <c r="F7" i="2"/>
  <c r="E11" i="2"/>
  <c r="E9" i="2"/>
  <c r="E7" i="2"/>
  <c r="D11" i="2"/>
  <c r="D9" i="2"/>
  <c r="D7" i="2"/>
  <c r="I11" i="2"/>
  <c r="I9" i="2"/>
  <c r="I7" i="2"/>
  <c r="H11" i="2"/>
  <c r="H9" i="2"/>
  <c r="H7" i="2"/>
  <c r="B11" i="2"/>
  <c r="B7" i="2"/>
  <c r="F10" i="2"/>
</calcChain>
</file>

<file path=xl/sharedStrings.xml><?xml version="1.0" encoding="utf-8"?>
<sst xmlns="http://schemas.openxmlformats.org/spreadsheetml/2006/main" count="149" uniqueCount="80">
  <si>
    <t>7er-Gruppe  ·  jeder Teilnehmer spielt einmal gegen jeden anderen  ·  21 Begegnungen in 7 Runden</t>
  </si>
  <si>
    <t>TURNIERDATEN</t>
  </si>
  <si>
    <t>Turniername:</t>
  </si>
  <si>
    <t>Vereinsturnier 2026</t>
  </si>
  <si>
    <t>Ort / Feld:</t>
  </si>
  <si>
    <t>Halle 1</t>
  </si>
  <si>
    <t>Veranstalter:</t>
  </si>
  <si>
    <t>Musterorganisation e. V.</t>
  </si>
  <si>
    <t>Modus:</t>
  </si>
  <si>
    <t>Jeder gegen jeden (Round Robin)</t>
  </si>
  <si>
    <t>Turnierleitung:</t>
  </si>
  <si>
    <t>K. Sommer</t>
  </si>
  <si>
    <t>Wertung:</t>
  </si>
  <si>
    <t>Sieg 3 · Unentschieden 1 · Niederlage 0</t>
  </si>
  <si>
    <t>TEILNEHMER  ·  hier die 7 Namen eintragen — sie erscheinen automatisch im Spielplan, in der Tabelle und in der Kreuztabelle</t>
  </si>
  <si>
    <t>Nr.</t>
  </si>
  <si>
    <t>Teilnehmer</t>
  </si>
  <si>
    <t>Kürzel</t>
  </si>
  <si>
    <t>Ansprechpartner</t>
  </si>
  <si>
    <t>Team Alpha</t>
  </si>
  <si>
    <t>L. Berger</t>
  </si>
  <si>
    <t>Team Beta</t>
  </si>
  <si>
    <t>M. Frank</t>
  </si>
  <si>
    <t>Team Gamma</t>
  </si>
  <si>
    <t>S. Horn</t>
  </si>
  <si>
    <t>Team Delta</t>
  </si>
  <si>
    <t>T. Krause</t>
  </si>
  <si>
    <t>Team Epsilon</t>
  </si>
  <si>
    <t>J. Neumann</t>
  </si>
  <si>
    <t>Team Zeta</t>
  </si>
  <si>
    <t>A. Pohl</t>
  </si>
  <si>
    <t>Team Eta</t>
  </si>
  <si>
    <t>R. Vogt</t>
  </si>
  <si>
    <t>LEGENDE:   ▨ ockerfarbene Felder = Eingabe (Namen, Datum, Uhrzeit, Ergebnisse)      ·   weiße Felder mit Formeln nicht überschreiben   ·   Ergebnisse als Zahl je Feld eintragen</t>
  </si>
  <si>
    <t>SPIELPLAN  ·  21 BEGEGNUNGEN</t>
  </si>
  <si>
    <t>Runde</t>
  </si>
  <si>
    <t>Datum</t>
  </si>
  <si>
    <t>Uhrzeit</t>
  </si>
  <si>
    <t>Nr A</t>
  </si>
  <si>
    <t>Teilnehmer A</t>
  </si>
  <si>
    <t>Erg. A</t>
  </si>
  <si>
    <t>Erg. B</t>
  </si>
  <si>
    <t>Teilnehmer B</t>
  </si>
  <si>
    <t>Nr B</t>
  </si>
  <si>
    <t>Pkt A</t>
  </si>
  <si>
    <t>Pkt B</t>
  </si>
  <si>
    <t>Sieger</t>
  </si>
  <si>
    <t>Runde 1</t>
  </si>
  <si>
    <t>10:00</t>
  </si>
  <si>
    <t>:</t>
  </si>
  <si>
    <t>11:00</t>
  </si>
  <si>
    <t>12:00</t>
  </si>
  <si>
    <t>Runde 2</t>
  </si>
  <si>
    <t>Runde 3</t>
  </si>
  <si>
    <t>Runde 4</t>
  </si>
  <si>
    <t>Runde 5</t>
  </si>
  <si>
    <t>Runde 6</t>
  </si>
  <si>
    <t>Runde 7</t>
  </si>
  <si>
    <t>Formeln: Punkte je Spiel = WENN(Erg. A &gt; Erg. B; 3; WENN(Erg. A = Erg. B; 1; 0)).  Teilnehmernamen werden über die Nummer automatisch eingesetzt.  Bei 7 Teilnehmern ist pro Runde genau ein Teilnehmer spielfrei (Freilos).</t>
  </si>
  <si>
    <t>TURNIER 2026  ·  TABELLE / ENDSTAND</t>
  </si>
  <si>
    <t>Automatische Auswertung — sortiert nach Punkten, dann Tordifferenz, dann erzielten Toren. Nichts eintragen; alles rechnet aus dem Spielplan.</t>
  </si>
  <si>
    <t>ENDSTAND</t>
  </si>
  <si>
    <t>Platz</t>
  </si>
  <si>
    <t>Sp.</t>
  </si>
  <si>
    <t>S</t>
  </si>
  <si>
    <t>U</t>
  </si>
  <si>
    <t>N</t>
  </si>
  <si>
    <t>Tore +</t>
  </si>
  <si>
    <t>Tore −</t>
  </si>
  <si>
    <t>Diff.</t>
  </si>
  <si>
    <t>Punkte</t>
  </si>
  <si>
    <t>DETAILAUSWERTUNG JE TEILNEHMER  ·  Grundlage der Sortierung (automatisch)</t>
  </si>
  <si>
    <t>Sortierwert</t>
  </si>
  <si>
    <t>Bei Punktgleichheit entscheidet die Tordifferenz, danach die erzielten Tore. Der Sortierwert fasst diese Kriterien zu einer eindeutigen Reihung zusammen.</t>
  </si>
  <si>
    <t>TURNIER 2026  ·  KREUZTABELLE</t>
  </si>
  <si>
    <t>Ergebnis-Matrix aus Sicht der Zeile: „Zeile gegen Spalte“. Werte kommen automatisch aus dem Spielplan.</t>
  </si>
  <si>
    <t>Zeile ▼  gegen  Spalte ▶</t>
  </si>
  <si>
    <t>—</t>
  </si>
  <si>
    <t>Lesehilfe: In der Zelle steht das Ergebnis aus Sicht des Zeilen-Teilnehmers (eigene Tore : gegnerische Tore). „–“ = noch nicht gespielt · „—“ = kein Spiel gegen sich selbst.</t>
  </si>
  <si>
    <t>TURNIER VORLAGE  ·  SPIELPLAN  7 ·  JEDER GEGEN JEDEN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</si>
</sst>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8" x14ac:knownFonts="1">
    <font>
      <sz val="11"/>
      <color theme="1"/>
      <name val="Calibri"/>
      <family val="2"/>
      <charset val="1"/>
    </font>
    <font>
      <b/>
      <sz val="20"/>
      <color rgb="FFFFFFFF"/>
      <name val="Calibri"/>
      <charset val="1"/>
    </font>
    <font>
      <i/>
      <sz val="10.5"/>
      <color rgb="FFFFFFFF"/>
      <name val="Calibri"/>
      <charset val="1"/>
    </font>
    <font>
      <b/>
      <sz val="11"/>
      <color rgb="FF0E4F4B"/>
      <name val="Calibri"/>
      <charset val="1"/>
    </font>
    <font>
      <b/>
      <sz val="10"/>
      <color rgb="FF6B7A78"/>
      <name val="Calibri"/>
      <charset val="1"/>
    </font>
    <font>
      <sz val="10"/>
      <color rgb="FF9A6B12"/>
      <name val="Calibri"/>
      <charset val="1"/>
    </font>
    <font>
      <sz val="10"/>
      <color rgb="FF1F2A2A"/>
      <name val="Calibri"/>
      <charset val="1"/>
    </font>
    <font>
      <b/>
      <sz val="10"/>
      <color rgb="FFFFFFFF"/>
      <name val="Calibri"/>
      <charset val="1"/>
    </font>
    <font>
      <b/>
      <sz val="10"/>
      <color rgb="FF0E4F4B"/>
      <name val="Calibri"/>
      <charset val="1"/>
    </font>
    <font>
      <sz val="10"/>
      <color rgb="FF6B7A78"/>
      <name val="Calibri"/>
      <charset val="1"/>
    </font>
    <font>
      <i/>
      <sz val="9"/>
      <color rgb="FF6B7A78"/>
      <name val="Calibri"/>
      <charset val="1"/>
    </font>
    <font>
      <b/>
      <sz val="12"/>
      <color rgb="FF0E4F4B"/>
      <name val="Calibri"/>
      <charset val="1"/>
    </font>
    <font>
      <b/>
      <sz val="9.5"/>
      <color rgb="FFFFFFFF"/>
      <name val="Calibri"/>
      <charset val="1"/>
    </font>
    <font>
      <b/>
      <sz val="9.5"/>
      <color rgb="FF0E4F4B"/>
      <name val="Calibri"/>
      <charset val="1"/>
    </font>
    <font>
      <sz val="9"/>
      <color rgb="FF6B7A78"/>
      <name val="Calibri"/>
      <charset val="1"/>
    </font>
    <font>
      <b/>
      <sz val="10"/>
      <color rgb="FF1F2A2A"/>
      <name val="Calibri"/>
      <charset val="1"/>
    </font>
    <font>
      <b/>
      <sz val="10.5"/>
      <color rgb="FF9A6B12"/>
      <name val="Calibri"/>
      <charset val="1"/>
    </font>
    <font>
      <sz val="10"/>
      <color rgb="FF1B6F69"/>
      <name val="Calibri"/>
      <charset val="1"/>
    </font>
    <font>
      <sz val="9.5"/>
      <color rgb="FF1F2A2A"/>
      <name val="Calibri"/>
      <charset val="1"/>
    </font>
    <font>
      <i/>
      <sz val="9"/>
      <color rgb="FF1B6F69"/>
      <name val="Calibri"/>
      <charset val="1"/>
    </font>
    <font>
      <b/>
      <sz val="13"/>
      <color rgb="FF0E4F4B"/>
      <name val="Calibri"/>
      <charset val="1"/>
    </font>
    <font>
      <b/>
      <sz val="11"/>
      <color rgb="FF1F2A2A"/>
      <name val="Calibri"/>
      <charset val="1"/>
    </font>
    <font>
      <sz val="10.5"/>
      <color rgb="FF1F2A2A"/>
      <name val="Calibri"/>
      <charset val="1"/>
    </font>
    <font>
      <b/>
      <sz val="9.5"/>
      <color rgb="FFDB9A34"/>
      <name val="Calibri"/>
      <charset val="1"/>
    </font>
    <font>
      <b/>
      <sz val="9.5"/>
      <color rgb="FF6B7A78"/>
      <name val="Calibri"/>
      <charset val="1"/>
    </font>
    <font>
      <b/>
      <sz val="10.5"/>
      <color rgb="FF0E4F4B"/>
      <name val="Calibri"/>
      <charset val="1"/>
    </font>
    <font>
      <b/>
      <sz val="9"/>
      <color rgb="FFFFFFFF"/>
      <name val="Calibri"/>
      <charset val="1"/>
    </font>
    <font>
      <b/>
      <sz val="11"/>
      <color rgb="FF6B7A78"/>
      <name val="Calibri"/>
      <charset val="1"/>
    </font>
  </fonts>
  <fills count="12">
    <fill>
      <patternFill patternType="none"/>
    </fill>
    <fill>
      <patternFill patternType="gray125"/>
    </fill>
    <fill>
      <patternFill patternType="solid">
        <fgColor rgb="FF0E4F4B"/>
        <bgColor rgb="FF1B6F69"/>
      </patternFill>
    </fill>
    <fill>
      <patternFill patternType="solid">
        <fgColor rgb="FF1B6F69"/>
        <bgColor rgb="FF008080"/>
      </patternFill>
    </fill>
    <fill>
      <patternFill patternType="solid">
        <fgColor rgb="FFFFF7E3"/>
        <bgColor rgb="FFFBEFD6"/>
      </patternFill>
    </fill>
    <fill>
      <patternFill patternType="solid">
        <fgColor rgb="FFFBEFD6"/>
        <bgColor rgb="FFFFF7E3"/>
      </patternFill>
    </fill>
    <fill>
      <patternFill patternType="solid">
        <fgColor rgb="FFFFFFFF"/>
        <bgColor rgb="FFF3F7F6"/>
      </patternFill>
    </fill>
    <fill>
      <patternFill patternType="solid">
        <fgColor rgb="FFF3F7F6"/>
        <bgColor rgb="FFFFF7E3"/>
      </patternFill>
    </fill>
    <fill>
      <patternFill patternType="solid">
        <fgColor rgb="FFE4EFED"/>
        <bgColor rgb="FFF3F7F6"/>
      </patternFill>
    </fill>
    <fill>
      <patternFill patternType="solid">
        <fgColor rgb="FFF1D486"/>
        <bgColor rgb="FFE8C6A0"/>
      </patternFill>
    </fill>
    <fill>
      <patternFill patternType="solid">
        <fgColor rgb="FFDDE1E3"/>
        <bgColor rgb="FFE4EFED"/>
      </patternFill>
    </fill>
    <fill>
      <patternFill patternType="solid">
        <fgColor rgb="FFE8C6A0"/>
        <bgColor rgb="FFF1D486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DB9A34"/>
      </bottom>
      <diagonal/>
    </border>
    <border>
      <left style="thin">
        <color rgb="FFDB9A34"/>
      </left>
      <right style="thin">
        <color rgb="FFDB9A34"/>
      </right>
      <top style="thin">
        <color rgb="FFDB9A34"/>
      </top>
      <bottom style="thin">
        <color rgb="FFDB9A34"/>
      </bottom>
      <diagonal/>
    </border>
    <border>
      <left style="thin">
        <color rgb="FFCDD8D6"/>
      </left>
      <right style="thin">
        <color rgb="FFCDD8D6"/>
      </right>
      <top style="thin">
        <color rgb="FFCDD8D6"/>
      </top>
      <bottom style="thin">
        <color rgb="FFCDD8D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6" fillId="2" borderId="5" xfId="0" applyFont="1" applyFill="1" applyBorder="1" applyAlignment="1">
      <alignment horizontal="center" vertical="center" wrapText="1"/>
    </xf>
    <xf numFmtId="0" fontId="20" fillId="0" borderId="1" xfId="0" applyFont="1" applyBorder="1"/>
    <xf numFmtId="0" fontId="10" fillId="0" borderId="0" xfId="0" applyFont="1" applyAlignment="1">
      <alignment horizontal="left" vertical="center" wrapText="1"/>
    </xf>
    <xf numFmtId="0" fontId="19" fillId="8" borderId="0" xfId="0" applyFont="1" applyFill="1" applyAlignment="1">
      <alignment horizontal="left" vertical="center" indent="1"/>
    </xf>
    <xf numFmtId="0" fontId="11" fillId="0" borderId="1" xfId="0" applyFont="1" applyBorder="1"/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  <xf numFmtId="0" fontId="3" fillId="0" borderId="1" xfId="0" applyFont="1" applyBorder="1"/>
    <xf numFmtId="0" fontId="6" fillId="0" borderId="0" xfId="0" applyFont="1" applyAlignment="1">
      <alignment horizontal="left" vertical="center"/>
    </xf>
    <xf numFmtId="0" fontId="5" fillId="4" borderId="2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3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7" fillId="3" borderId="3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/>
    </xf>
    <xf numFmtId="164" fontId="6" fillId="6" borderId="3" xfId="0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14" fillId="6" borderId="3" xfId="0" applyFont="1" applyFill="1" applyBorder="1" applyAlignment="1">
      <alignment horizontal="center" vertical="center"/>
    </xf>
    <xf numFmtId="0" fontId="15" fillId="6" borderId="3" xfId="0" applyFont="1" applyFill="1" applyBorder="1" applyAlignment="1">
      <alignment horizontal="right" vertical="center"/>
    </xf>
    <xf numFmtId="0" fontId="16" fillId="4" borderId="2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15" fillId="6" borderId="3" xfId="0" applyFont="1" applyFill="1" applyBorder="1" applyAlignment="1">
      <alignment horizontal="left" vertical="center"/>
    </xf>
    <xf numFmtId="0" fontId="17" fillId="6" borderId="3" xfId="0" applyFont="1" applyFill="1" applyBorder="1" applyAlignment="1">
      <alignment horizontal="center" vertical="center"/>
    </xf>
    <xf numFmtId="0" fontId="18" fillId="6" borderId="3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center" vertical="center"/>
    </xf>
    <xf numFmtId="164" fontId="6" fillId="7" borderId="3" xfId="0" applyNumberFormat="1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0" fontId="14" fillId="7" borderId="3" xfId="0" applyFont="1" applyFill="1" applyBorder="1" applyAlignment="1">
      <alignment horizontal="center" vertical="center"/>
    </xf>
    <xf numFmtId="0" fontId="15" fillId="7" borderId="3" xfId="0" applyFont="1" applyFill="1" applyBorder="1" applyAlignment="1">
      <alignment horizontal="right" vertical="center"/>
    </xf>
    <xf numFmtId="0" fontId="4" fillId="7" borderId="3" xfId="0" applyFont="1" applyFill="1" applyBorder="1" applyAlignment="1">
      <alignment horizontal="center" vertical="center"/>
    </xf>
    <xf numFmtId="0" fontId="15" fillId="7" borderId="3" xfId="0" applyFont="1" applyFill="1" applyBorder="1" applyAlignment="1">
      <alignment horizontal="left" vertical="center"/>
    </xf>
    <xf numFmtId="0" fontId="17" fillId="7" borderId="3" xfId="0" applyFont="1" applyFill="1" applyBorder="1" applyAlignment="1">
      <alignment horizontal="center" vertical="center"/>
    </xf>
    <xf numFmtId="0" fontId="18" fillId="7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/>
    </xf>
    <xf numFmtId="0" fontId="21" fillId="9" borderId="3" xfId="0" applyFont="1" applyFill="1" applyBorder="1" applyAlignment="1">
      <alignment horizontal="left" vertical="center"/>
    </xf>
    <xf numFmtId="0" fontId="22" fillId="9" borderId="3" xfId="0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23" fillId="9" borderId="3" xfId="0" applyFont="1" applyFill="1" applyBorder="1" applyAlignment="1">
      <alignment horizontal="left" vertical="center"/>
    </xf>
    <xf numFmtId="0" fontId="11" fillId="10" borderId="3" xfId="0" applyFont="1" applyFill="1" applyBorder="1" applyAlignment="1">
      <alignment horizontal="center" vertical="center"/>
    </xf>
    <xf numFmtId="0" fontId="21" fillId="10" borderId="3" xfId="0" applyFont="1" applyFill="1" applyBorder="1" applyAlignment="1">
      <alignment horizontal="left" vertical="center"/>
    </xf>
    <xf numFmtId="0" fontId="22" fillId="10" borderId="3" xfId="0" applyFont="1" applyFill="1" applyBorder="1" applyAlignment="1">
      <alignment horizontal="center" vertical="center"/>
    </xf>
    <xf numFmtId="0" fontId="3" fillId="10" borderId="3" xfId="0" applyFont="1" applyFill="1" applyBorder="1" applyAlignment="1">
      <alignment horizontal="center" vertical="center"/>
    </xf>
    <xf numFmtId="0" fontId="23" fillId="10" borderId="3" xfId="0" applyFont="1" applyFill="1" applyBorder="1" applyAlignment="1">
      <alignment horizontal="left" vertical="center"/>
    </xf>
    <xf numFmtId="0" fontId="11" fillId="11" borderId="3" xfId="0" applyFont="1" applyFill="1" applyBorder="1" applyAlignment="1">
      <alignment horizontal="center" vertical="center"/>
    </xf>
    <xf numFmtId="0" fontId="21" fillId="11" borderId="3" xfId="0" applyFont="1" applyFill="1" applyBorder="1" applyAlignment="1">
      <alignment horizontal="left" vertical="center"/>
    </xf>
    <xf numFmtId="0" fontId="22" fillId="11" borderId="3" xfId="0" applyFont="1" applyFill="1" applyBorder="1" applyAlignment="1">
      <alignment horizontal="center" vertical="center"/>
    </xf>
    <xf numFmtId="0" fontId="3" fillId="11" borderId="3" xfId="0" applyFont="1" applyFill="1" applyBorder="1" applyAlignment="1">
      <alignment horizontal="center" vertical="center"/>
    </xf>
    <xf numFmtId="0" fontId="23" fillId="11" borderId="3" xfId="0" applyFont="1" applyFill="1" applyBorder="1" applyAlignment="1">
      <alignment horizontal="left" vertical="center"/>
    </xf>
    <xf numFmtId="0" fontId="11" fillId="7" borderId="3" xfId="0" applyFont="1" applyFill="1" applyBorder="1" applyAlignment="1">
      <alignment horizontal="center" vertical="center"/>
    </xf>
    <xf numFmtId="0" fontId="21" fillId="7" borderId="3" xfId="0" applyFont="1" applyFill="1" applyBorder="1" applyAlignment="1">
      <alignment horizontal="left" vertical="center"/>
    </xf>
    <xf numFmtId="0" fontId="22" fillId="7" borderId="3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24" fillId="7" borderId="3" xfId="0" applyFont="1" applyFill="1" applyBorder="1" applyAlignment="1">
      <alignment horizontal="left" vertical="center"/>
    </xf>
    <xf numFmtId="0" fontId="11" fillId="6" borderId="3" xfId="0" applyFont="1" applyFill="1" applyBorder="1" applyAlignment="1">
      <alignment horizontal="center" vertical="center"/>
    </xf>
    <xf numFmtId="0" fontId="21" fillId="6" borderId="3" xfId="0" applyFont="1" applyFill="1" applyBorder="1" applyAlignment="1">
      <alignment horizontal="left" vertical="center"/>
    </xf>
    <xf numFmtId="0" fontId="22" fillId="6" borderId="3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24" fillId="6" borderId="3" xfId="0" applyFont="1" applyFill="1" applyBorder="1" applyAlignment="1">
      <alignment horizontal="left" vertical="center"/>
    </xf>
    <xf numFmtId="0" fontId="12" fillId="3" borderId="4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/>
    </xf>
    <xf numFmtId="0" fontId="25" fillId="6" borderId="3" xfId="0" applyFont="1" applyFill="1" applyBorder="1" applyAlignment="1">
      <alignment horizontal="center" vertical="center"/>
    </xf>
    <xf numFmtId="0" fontId="25" fillId="7" borderId="3" xfId="0" applyFont="1" applyFill="1" applyBorder="1" applyAlignment="1">
      <alignment horizontal="center" vertical="center"/>
    </xf>
    <xf numFmtId="0" fontId="26" fillId="3" borderId="4" xfId="0" applyFont="1" applyFill="1" applyBorder="1" applyAlignment="1">
      <alignment horizontal="center" vertical="center"/>
    </xf>
    <xf numFmtId="0" fontId="15" fillId="5" borderId="3" xfId="0" applyFont="1" applyFill="1" applyBorder="1" applyAlignment="1">
      <alignment horizontal="left" vertical="center"/>
    </xf>
    <xf numFmtId="0" fontId="27" fillId="10" borderId="3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A6B12"/>
      <rgbColor rgb="FF800080"/>
      <rgbColor rgb="FF1B6F69"/>
      <rgbColor rgb="FFE8C6A0"/>
      <rgbColor rgb="FF6B7A78"/>
      <rgbColor rgb="FF9999FF"/>
      <rgbColor rgb="FF993366"/>
      <rgbColor rgb="FFFFF7E3"/>
      <rgbColor rgb="FFE4EFED"/>
      <rgbColor rgb="FF660066"/>
      <rgbColor rgb="FFFF8080"/>
      <rgbColor rgb="FF0066CC"/>
      <rgbColor rgb="FFCDD8D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3F7F6"/>
      <rgbColor rgb="FFDDE1E3"/>
      <rgbColor rgb="FFFBEFD6"/>
      <rgbColor rgb="FF99CCFF"/>
      <rgbColor rgb="FFFF99CC"/>
      <rgbColor rgb="FFCC99FF"/>
      <rgbColor rgb="FFF1D486"/>
      <rgbColor rgb="FF3366FF"/>
      <rgbColor rgb="FF33CCCC"/>
      <rgbColor rgb="FF99CC00"/>
      <rgbColor rgb="FFFFCC00"/>
      <rgbColor rgb="FFDB9A34"/>
      <rgbColor rgb="FFFF6600"/>
      <rgbColor rgb="FF666699"/>
      <rgbColor rgb="FF969696"/>
      <rgbColor rgb="FF0E4F4B"/>
      <rgbColor rgb="FF339966"/>
      <rgbColor rgb="FF003300"/>
      <rgbColor rgb="FF333300"/>
      <rgbColor rgb="FF993300"/>
      <rgbColor rgb="FF993366"/>
      <rgbColor rgb="FF333399"/>
      <rgbColor rgb="FF1F2A2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E4F4B"/>
    <pageSetUpPr fitToPage="1"/>
  </sheetPr>
  <dimension ref="A1:N52"/>
  <sheetViews>
    <sheetView showGridLines="0" tabSelected="1" zoomScaleNormal="100" workbookViewId="0">
      <selection activeCell="S31" sqref="S31"/>
    </sheetView>
  </sheetViews>
  <sheetFormatPr baseColWidth="10" defaultColWidth="8.7109375" defaultRowHeight="15" x14ac:dyDescent="0.25"/>
  <cols>
    <col min="1" max="1" width="7.42578125" bestFit="1" customWidth="1"/>
    <col min="2" max="2" width="13" customWidth="1"/>
    <col min="3" max="3" width="10" customWidth="1"/>
    <col min="4" max="4" width="7" customWidth="1"/>
    <col min="5" max="5" width="20" customWidth="1"/>
    <col min="6" max="6" width="11" customWidth="1"/>
    <col min="7" max="7" width="4" customWidth="1"/>
    <col min="8" max="8" width="11" customWidth="1"/>
    <col min="9" max="9" width="20" customWidth="1"/>
    <col min="10" max="10" width="7" customWidth="1"/>
    <col min="11" max="12" width="8" customWidth="1"/>
    <col min="13" max="13" width="15" customWidth="1"/>
    <col min="14" max="14" width="13" hidden="1" customWidth="1"/>
  </cols>
  <sheetData>
    <row r="1" spans="1:13" ht="39.75" customHeight="1" x14ac:dyDescent="0.25">
      <c r="A1" s="14" t="s">
        <v>79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19.5" customHeight="1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4" spans="1:13" ht="19.5" customHeight="1" x14ac:dyDescent="0.25">
      <c r="A4" s="12" t="s">
        <v>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8" customHeight="1" x14ac:dyDescent="0.25">
      <c r="A5" s="11" t="s">
        <v>2</v>
      </c>
      <c r="B5" s="11"/>
      <c r="C5" s="10" t="s">
        <v>3</v>
      </c>
      <c r="D5" s="10"/>
      <c r="E5" s="10"/>
      <c r="F5" s="11" t="s">
        <v>4</v>
      </c>
      <c r="G5" s="11"/>
      <c r="H5" s="9" t="s">
        <v>5</v>
      </c>
      <c r="I5" s="9"/>
      <c r="J5" s="9"/>
      <c r="K5" s="9"/>
      <c r="L5" s="9"/>
      <c r="M5" s="9"/>
    </row>
    <row r="6" spans="1:13" ht="18" customHeight="1" x14ac:dyDescent="0.25">
      <c r="A6" s="11" t="s">
        <v>6</v>
      </c>
      <c r="B6" s="11"/>
      <c r="C6" s="10" t="s">
        <v>7</v>
      </c>
      <c r="D6" s="10"/>
      <c r="E6" s="10"/>
      <c r="F6" s="11" t="s">
        <v>8</v>
      </c>
      <c r="G6" s="11"/>
      <c r="H6" s="9" t="s">
        <v>9</v>
      </c>
      <c r="I6" s="9"/>
      <c r="J6" s="9"/>
      <c r="K6" s="9"/>
      <c r="L6" s="9"/>
      <c r="M6" s="9"/>
    </row>
    <row r="7" spans="1:13" ht="18" customHeight="1" x14ac:dyDescent="0.25">
      <c r="A7" s="11" t="s">
        <v>10</v>
      </c>
      <c r="B7" s="11"/>
      <c r="C7" s="10" t="s">
        <v>11</v>
      </c>
      <c r="D7" s="10"/>
      <c r="E7" s="10"/>
      <c r="F7" s="11" t="s">
        <v>12</v>
      </c>
      <c r="G7" s="11"/>
      <c r="H7" s="9" t="s">
        <v>13</v>
      </c>
      <c r="I7" s="9"/>
      <c r="J7" s="9"/>
      <c r="K7" s="9"/>
      <c r="L7" s="9"/>
      <c r="M7" s="9"/>
    </row>
    <row r="9" spans="1:13" ht="19.5" customHeight="1" x14ac:dyDescent="0.25">
      <c r="A9" s="8" t="s">
        <v>14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</row>
    <row r="10" spans="1:13" x14ac:dyDescent="0.25">
      <c r="A10" s="15" t="s">
        <v>15</v>
      </c>
      <c r="B10" s="7" t="s">
        <v>16</v>
      </c>
      <c r="C10" s="7"/>
      <c r="D10" s="7"/>
      <c r="E10" s="15" t="s">
        <v>17</v>
      </c>
      <c r="F10" s="7" t="s">
        <v>18</v>
      </c>
      <c r="G10" s="7"/>
      <c r="H10" s="7"/>
      <c r="I10" s="7"/>
    </row>
    <row r="11" spans="1:13" ht="18" customHeight="1" x14ac:dyDescent="0.25">
      <c r="A11" s="16">
        <v>1</v>
      </c>
      <c r="B11" s="10" t="s">
        <v>19</v>
      </c>
      <c r="C11" s="10"/>
      <c r="D11" s="10"/>
      <c r="E11" s="17" t="str">
        <f t="shared" ref="E11:E17" si="0">IF(B11="","",UPPER(LEFT(TRIM(MID(B11&amp;" ",FIND(" ",B11&amp;" ")+1,99))&amp;LEFT(B11,1),3)))</f>
        <v>ALP</v>
      </c>
      <c r="F11" s="10" t="s">
        <v>20</v>
      </c>
      <c r="G11" s="10"/>
      <c r="H11" s="10"/>
      <c r="I11" s="10"/>
    </row>
    <row r="12" spans="1:13" ht="18" customHeight="1" x14ac:dyDescent="0.25">
      <c r="A12" s="16">
        <v>2</v>
      </c>
      <c r="B12" s="10" t="s">
        <v>21</v>
      </c>
      <c r="C12" s="10"/>
      <c r="D12" s="10"/>
      <c r="E12" s="17" t="str">
        <f t="shared" si="0"/>
        <v>BET</v>
      </c>
      <c r="F12" s="10" t="s">
        <v>22</v>
      </c>
      <c r="G12" s="10"/>
      <c r="H12" s="10"/>
      <c r="I12" s="10"/>
    </row>
    <row r="13" spans="1:13" ht="18" customHeight="1" x14ac:dyDescent="0.25">
      <c r="A13" s="16">
        <v>3</v>
      </c>
      <c r="B13" s="10" t="s">
        <v>23</v>
      </c>
      <c r="C13" s="10"/>
      <c r="D13" s="10"/>
      <c r="E13" s="17" t="str">
        <f t="shared" si="0"/>
        <v>GAM</v>
      </c>
      <c r="F13" s="10" t="s">
        <v>24</v>
      </c>
      <c r="G13" s="10"/>
      <c r="H13" s="10"/>
      <c r="I13" s="10"/>
    </row>
    <row r="14" spans="1:13" ht="18" customHeight="1" x14ac:dyDescent="0.25">
      <c r="A14" s="16">
        <v>4</v>
      </c>
      <c r="B14" s="10" t="s">
        <v>25</v>
      </c>
      <c r="C14" s="10"/>
      <c r="D14" s="10"/>
      <c r="E14" s="17" t="str">
        <f t="shared" si="0"/>
        <v>DEL</v>
      </c>
      <c r="F14" s="10" t="s">
        <v>26</v>
      </c>
      <c r="G14" s="10"/>
      <c r="H14" s="10"/>
      <c r="I14" s="10"/>
    </row>
    <row r="15" spans="1:13" ht="18" customHeight="1" x14ac:dyDescent="0.25">
      <c r="A15" s="16">
        <v>5</v>
      </c>
      <c r="B15" s="10" t="s">
        <v>27</v>
      </c>
      <c r="C15" s="10"/>
      <c r="D15" s="10"/>
      <c r="E15" s="17" t="str">
        <f t="shared" si="0"/>
        <v>EPS</v>
      </c>
      <c r="F15" s="10" t="s">
        <v>28</v>
      </c>
      <c r="G15" s="10"/>
      <c r="H15" s="10"/>
      <c r="I15" s="10"/>
    </row>
    <row r="16" spans="1:13" ht="18" customHeight="1" x14ac:dyDescent="0.25">
      <c r="A16" s="16">
        <v>6</v>
      </c>
      <c r="B16" s="10" t="s">
        <v>29</v>
      </c>
      <c r="C16" s="10"/>
      <c r="D16" s="10"/>
      <c r="E16" s="17" t="str">
        <f t="shared" si="0"/>
        <v>ZET</v>
      </c>
      <c r="F16" s="10" t="s">
        <v>30</v>
      </c>
      <c r="G16" s="10"/>
      <c r="H16" s="10"/>
      <c r="I16" s="10"/>
    </row>
    <row r="17" spans="1:14" ht="18" customHeight="1" x14ac:dyDescent="0.25">
      <c r="A17" s="16">
        <v>7</v>
      </c>
      <c r="B17" s="10" t="s">
        <v>31</v>
      </c>
      <c r="C17" s="10"/>
      <c r="D17" s="10"/>
      <c r="E17" s="17" t="str">
        <f t="shared" si="0"/>
        <v>ETA</v>
      </c>
      <c r="F17" s="10" t="s">
        <v>32</v>
      </c>
      <c r="G17" s="10"/>
      <c r="H17" s="10"/>
      <c r="I17" s="10"/>
    </row>
    <row r="19" spans="1:14" ht="15.75" customHeight="1" x14ac:dyDescent="0.25">
      <c r="A19" s="6" t="s">
        <v>33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1" spans="1:14" ht="21.75" customHeight="1" x14ac:dyDescent="0.25">
      <c r="A21" s="5" t="s">
        <v>34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4" ht="25.5" customHeight="1" x14ac:dyDescent="0.25">
      <c r="A22" s="18" t="s">
        <v>35</v>
      </c>
      <c r="B22" s="18" t="s">
        <v>36</v>
      </c>
      <c r="C22" s="18" t="s">
        <v>37</v>
      </c>
      <c r="D22" s="18" t="s">
        <v>38</v>
      </c>
      <c r="E22" s="18" t="s">
        <v>39</v>
      </c>
      <c r="F22" s="18" t="s">
        <v>40</v>
      </c>
      <c r="G22" s="18"/>
      <c r="H22" s="18" t="s">
        <v>41</v>
      </c>
      <c r="I22" s="18" t="s">
        <v>42</v>
      </c>
      <c r="J22" s="18" t="s">
        <v>43</v>
      </c>
      <c r="K22" s="18" t="s">
        <v>44</v>
      </c>
      <c r="L22" s="18" t="s">
        <v>45</v>
      </c>
      <c r="M22" s="18" t="s">
        <v>46</v>
      </c>
    </row>
    <row r="23" spans="1:14" ht="18.75" customHeight="1" x14ac:dyDescent="0.25">
      <c r="A23" s="19" t="s">
        <v>47</v>
      </c>
      <c r="B23" s="20">
        <v>46088</v>
      </c>
      <c r="C23" s="21" t="s">
        <v>48</v>
      </c>
      <c r="D23" s="22">
        <v>2</v>
      </c>
      <c r="E23" s="23" t="str">
        <f>IFERROR(INDEX(Spielplan!$B$11:$B$17,D23),"")</f>
        <v>Team Beta</v>
      </c>
      <c r="F23" s="24">
        <v>2</v>
      </c>
      <c r="G23" s="25" t="s">
        <v>49</v>
      </c>
      <c r="H23" s="24">
        <v>1</v>
      </c>
      <c r="I23" s="26" t="str">
        <f>IFERROR(INDEX(Spielplan!$B$11:$B$17,J23),"")</f>
        <v>Team Eta</v>
      </c>
      <c r="J23" s="22">
        <v>7</v>
      </c>
      <c r="K23" s="27">
        <f>IF(AND(F23&lt;&gt;"",H23&lt;&gt;""),IF(F23&gt;H23,3,IF(F23=H23,1,0)),"")</f>
        <v>3</v>
      </c>
      <c r="L23" s="27">
        <f>IF(AND(F23&lt;&gt;"",H23&lt;&gt;""),IF(H23&gt;F23,3,IF(H23=F23,1,0)),"")</f>
        <v>0</v>
      </c>
      <c r="M23" s="28" t="str">
        <f>IF(AND(F23&lt;&gt;"",H23&lt;&gt;""),IF(F23=H23,"Unentschieden",IF(F23&gt;H23,E23,I23)),"—")</f>
        <v>Team Beta</v>
      </c>
      <c r="N23" t="str">
        <f>D23&amp;"-"&amp;J23</f>
        <v>2-7</v>
      </c>
    </row>
    <row r="24" spans="1:14" ht="18.75" customHeight="1" x14ac:dyDescent="0.25">
      <c r="A24" s="29" t="s">
        <v>47</v>
      </c>
      <c r="B24" s="30">
        <v>46088</v>
      </c>
      <c r="C24" s="31" t="s">
        <v>50</v>
      </c>
      <c r="D24" s="32">
        <v>3</v>
      </c>
      <c r="E24" s="33" t="str">
        <f>IFERROR(INDEX(Spielplan!$B$11:$B$17,D24),"")</f>
        <v>Team Gamma</v>
      </c>
      <c r="F24" s="24">
        <v>0</v>
      </c>
      <c r="G24" s="34" t="s">
        <v>49</v>
      </c>
      <c r="H24" s="24">
        <v>0</v>
      </c>
      <c r="I24" s="35" t="str">
        <f>IFERROR(INDEX(Spielplan!$B$11:$B$17,J24),"")</f>
        <v>Team Zeta</v>
      </c>
      <c r="J24" s="32">
        <v>6</v>
      </c>
      <c r="K24" s="36">
        <f>IF(AND(F24&lt;&gt;"",H24&lt;&gt;""),IF(F24&gt;H24,3,IF(F24=H24,1,0)),"")</f>
        <v>1</v>
      </c>
      <c r="L24" s="36">
        <f>IF(AND(F24&lt;&gt;"",H24&lt;&gt;""),IF(H24&gt;F24,3,IF(H24=F24,1,0)),"")</f>
        <v>1</v>
      </c>
      <c r="M24" s="37" t="str">
        <f>IF(AND(F24&lt;&gt;"",H24&lt;&gt;""),IF(F24=H24,"Unentschieden",IF(F24&gt;H24,E24,I24)),"—")</f>
        <v>Unentschieden</v>
      </c>
      <c r="N24" t="str">
        <f>D24&amp;"-"&amp;J24</f>
        <v>3-6</v>
      </c>
    </row>
    <row r="25" spans="1:14" ht="18.75" customHeight="1" x14ac:dyDescent="0.25">
      <c r="A25" s="19" t="s">
        <v>47</v>
      </c>
      <c r="B25" s="20">
        <v>46088</v>
      </c>
      <c r="C25" s="21" t="s">
        <v>51</v>
      </c>
      <c r="D25" s="22">
        <v>4</v>
      </c>
      <c r="E25" s="23" t="str">
        <f>IFERROR(INDEX(Spielplan!$B$11:$B$17,D25),"")</f>
        <v>Team Delta</v>
      </c>
      <c r="F25" s="24">
        <v>3</v>
      </c>
      <c r="G25" s="25" t="s">
        <v>49</v>
      </c>
      <c r="H25" s="24">
        <v>2</v>
      </c>
      <c r="I25" s="26" t="str">
        <f>IFERROR(INDEX(Spielplan!$B$11:$B$17,J25),"")</f>
        <v>Team Epsilon</v>
      </c>
      <c r="J25" s="22">
        <v>5</v>
      </c>
      <c r="K25" s="27">
        <f>IF(AND(F25&lt;&gt;"",H25&lt;&gt;""),IF(F25&gt;H25,3,IF(F25=H25,1,0)),"")</f>
        <v>3</v>
      </c>
      <c r="L25" s="27">
        <f>IF(AND(F25&lt;&gt;"",H25&lt;&gt;""),IF(H25&gt;F25,3,IF(H25=F25,1,0)),"")</f>
        <v>0</v>
      </c>
      <c r="M25" s="28" t="str">
        <f>IF(AND(F25&lt;&gt;"",H25&lt;&gt;""),IF(F25=H25,"Unentschieden",IF(F25&gt;H25,E25,I25)),"—")</f>
        <v>Team Delta</v>
      </c>
      <c r="N25" t="str">
        <f>D25&amp;"-"&amp;J25</f>
        <v>4-5</v>
      </c>
    </row>
    <row r="26" spans="1:14" x14ac:dyDescent="0.25">
      <c r="A26" s="4" t="str">
        <f>IF(INDEX(Spielplan!$B$11:$B$17,1)="","","Runde 1 — Freilos (spielfrei): "&amp;INDEX(Spielplan!$B$11:$B$17,1))</f>
        <v>Runde 1 — Freilos (spielfrei): Team Alpha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pans="1:14" ht="18.75" customHeight="1" x14ac:dyDescent="0.25">
      <c r="A27" s="29" t="s">
        <v>52</v>
      </c>
      <c r="B27" s="30">
        <v>46095</v>
      </c>
      <c r="C27" s="31" t="s">
        <v>48</v>
      </c>
      <c r="D27" s="32">
        <v>1</v>
      </c>
      <c r="E27" s="33" t="str">
        <f>IFERROR(INDEX(Spielplan!$B$11:$B$17,D27),"")</f>
        <v>Team Alpha</v>
      </c>
      <c r="F27" s="24">
        <v>1</v>
      </c>
      <c r="G27" s="34" t="s">
        <v>49</v>
      </c>
      <c r="H27" s="24">
        <v>1</v>
      </c>
      <c r="I27" s="35" t="str">
        <f>IFERROR(INDEX(Spielplan!$B$11:$B$17,J27),"")</f>
        <v>Team Eta</v>
      </c>
      <c r="J27" s="32">
        <v>7</v>
      </c>
      <c r="K27" s="36">
        <f>IF(AND(F27&lt;&gt;"",H27&lt;&gt;""),IF(F27&gt;H27,3,IF(F27=H27,1,0)),"")</f>
        <v>1</v>
      </c>
      <c r="L27" s="36">
        <f>IF(AND(F27&lt;&gt;"",H27&lt;&gt;""),IF(H27&gt;F27,3,IF(H27=F27,1,0)),"")</f>
        <v>1</v>
      </c>
      <c r="M27" s="37" t="str">
        <f>IF(AND(F27&lt;&gt;"",H27&lt;&gt;""),IF(F27=H27,"Unentschieden",IF(F27&gt;H27,E27,I27)),"—")</f>
        <v>Unentschieden</v>
      </c>
      <c r="N27" t="str">
        <f>D27&amp;"-"&amp;J27</f>
        <v>1-7</v>
      </c>
    </row>
    <row r="28" spans="1:14" ht="18.75" customHeight="1" x14ac:dyDescent="0.25">
      <c r="A28" s="19" t="s">
        <v>52</v>
      </c>
      <c r="B28" s="20">
        <v>46095</v>
      </c>
      <c r="C28" s="21" t="s">
        <v>50</v>
      </c>
      <c r="D28" s="22">
        <v>2</v>
      </c>
      <c r="E28" s="23" t="str">
        <f>IFERROR(INDEX(Spielplan!$B$11:$B$17,D28),"")</f>
        <v>Team Beta</v>
      </c>
      <c r="F28" s="24">
        <v>2</v>
      </c>
      <c r="G28" s="25" t="s">
        <v>49</v>
      </c>
      <c r="H28" s="24">
        <v>0</v>
      </c>
      <c r="I28" s="26" t="str">
        <f>IFERROR(INDEX(Spielplan!$B$11:$B$17,J28),"")</f>
        <v>Team Epsilon</v>
      </c>
      <c r="J28" s="22">
        <v>5</v>
      </c>
      <c r="K28" s="27">
        <f>IF(AND(F28&lt;&gt;"",H28&lt;&gt;""),IF(F28&gt;H28,3,IF(F28=H28,1,0)),"")</f>
        <v>3</v>
      </c>
      <c r="L28" s="27">
        <f>IF(AND(F28&lt;&gt;"",H28&lt;&gt;""),IF(H28&gt;F28,3,IF(H28=F28,1,0)),"")</f>
        <v>0</v>
      </c>
      <c r="M28" s="28" t="str">
        <f>IF(AND(F28&lt;&gt;"",H28&lt;&gt;""),IF(F28=H28,"Unentschieden",IF(F28&gt;H28,E28,I28)),"—")</f>
        <v>Team Beta</v>
      </c>
      <c r="N28" t="str">
        <f>D28&amp;"-"&amp;J28</f>
        <v>2-5</v>
      </c>
    </row>
    <row r="29" spans="1:14" ht="18.75" customHeight="1" x14ac:dyDescent="0.25">
      <c r="A29" s="29" t="s">
        <v>52</v>
      </c>
      <c r="B29" s="30">
        <v>46095</v>
      </c>
      <c r="C29" s="31" t="s">
        <v>51</v>
      </c>
      <c r="D29" s="32">
        <v>3</v>
      </c>
      <c r="E29" s="33" t="str">
        <f>IFERROR(INDEX(Spielplan!$B$11:$B$17,D29),"")</f>
        <v>Team Gamma</v>
      </c>
      <c r="F29" s="24">
        <v>1</v>
      </c>
      <c r="G29" s="34" t="s">
        <v>49</v>
      </c>
      <c r="H29" s="24">
        <v>3</v>
      </c>
      <c r="I29" s="35" t="str">
        <f>IFERROR(INDEX(Spielplan!$B$11:$B$17,J29),"")</f>
        <v>Team Delta</v>
      </c>
      <c r="J29" s="32">
        <v>4</v>
      </c>
      <c r="K29" s="36">
        <f>IF(AND(F29&lt;&gt;"",H29&lt;&gt;""),IF(F29&gt;H29,3,IF(F29=H29,1,0)),"")</f>
        <v>0</v>
      </c>
      <c r="L29" s="36">
        <f>IF(AND(F29&lt;&gt;"",H29&lt;&gt;""),IF(H29&gt;F29,3,IF(H29=F29,1,0)),"")</f>
        <v>3</v>
      </c>
      <c r="M29" s="37" t="str">
        <f>IF(AND(F29&lt;&gt;"",H29&lt;&gt;""),IF(F29=H29,"Unentschieden",IF(F29&gt;H29,E29,I29)),"—")</f>
        <v>Team Delta</v>
      </c>
      <c r="N29" t="str">
        <f>D29&amp;"-"&amp;J29</f>
        <v>3-4</v>
      </c>
    </row>
    <row r="30" spans="1:14" x14ac:dyDescent="0.25">
      <c r="A30" s="4" t="str">
        <f>IF(INDEX(Spielplan!$B$11:$B$17,6)="","","Runde 2 — Freilos (spielfrei): "&amp;INDEX(Spielplan!$B$11:$B$17,6))</f>
        <v>Runde 2 — Freilos (spielfrei): Team Zeta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4" ht="18.75" customHeight="1" x14ac:dyDescent="0.25">
      <c r="A31" s="19" t="s">
        <v>53</v>
      </c>
      <c r="B31" s="20">
        <v>46102</v>
      </c>
      <c r="C31" s="21" t="s">
        <v>48</v>
      </c>
      <c r="D31" s="22">
        <v>1</v>
      </c>
      <c r="E31" s="23" t="str">
        <f>IFERROR(INDEX(Spielplan!$B$11:$B$17,D31),"")</f>
        <v>Team Alpha</v>
      </c>
      <c r="F31" s="24">
        <v>2</v>
      </c>
      <c r="G31" s="25" t="s">
        <v>49</v>
      </c>
      <c r="H31" s="24">
        <v>2</v>
      </c>
      <c r="I31" s="26" t="str">
        <f>IFERROR(INDEX(Spielplan!$B$11:$B$17,J31),"")</f>
        <v>Team Zeta</v>
      </c>
      <c r="J31" s="22">
        <v>6</v>
      </c>
      <c r="K31" s="27">
        <f>IF(AND(F31&lt;&gt;"",H31&lt;&gt;""),IF(F31&gt;H31,3,IF(F31=H31,1,0)),"")</f>
        <v>1</v>
      </c>
      <c r="L31" s="27">
        <f>IF(AND(F31&lt;&gt;"",H31&lt;&gt;""),IF(H31&gt;F31,3,IF(H31=F31,1,0)),"")</f>
        <v>1</v>
      </c>
      <c r="M31" s="28" t="str">
        <f>IF(AND(F31&lt;&gt;"",H31&lt;&gt;""),IF(F31=H31,"Unentschieden",IF(F31&gt;H31,E31,I31)),"—")</f>
        <v>Unentschieden</v>
      </c>
      <c r="N31" t="str">
        <f>D31&amp;"-"&amp;J31</f>
        <v>1-6</v>
      </c>
    </row>
    <row r="32" spans="1:14" ht="18.75" customHeight="1" x14ac:dyDescent="0.25">
      <c r="A32" s="29" t="s">
        <v>53</v>
      </c>
      <c r="B32" s="30">
        <v>46102</v>
      </c>
      <c r="C32" s="31" t="s">
        <v>50</v>
      </c>
      <c r="D32" s="32">
        <v>7</v>
      </c>
      <c r="E32" s="33" t="str">
        <f>IFERROR(INDEX(Spielplan!$B$11:$B$17,D32),"")</f>
        <v>Team Eta</v>
      </c>
      <c r="F32" s="24">
        <v>0</v>
      </c>
      <c r="G32" s="34" t="s">
        <v>49</v>
      </c>
      <c r="H32" s="24">
        <v>1</v>
      </c>
      <c r="I32" s="35" t="str">
        <f>IFERROR(INDEX(Spielplan!$B$11:$B$17,J32),"")</f>
        <v>Team Epsilon</v>
      </c>
      <c r="J32" s="32">
        <v>5</v>
      </c>
      <c r="K32" s="36">
        <f>IF(AND(F32&lt;&gt;"",H32&lt;&gt;""),IF(F32&gt;H32,3,IF(F32=H32,1,0)),"")</f>
        <v>0</v>
      </c>
      <c r="L32" s="36">
        <f>IF(AND(F32&lt;&gt;"",H32&lt;&gt;""),IF(H32&gt;F32,3,IF(H32=F32,1,0)),"")</f>
        <v>3</v>
      </c>
      <c r="M32" s="37" t="str">
        <f>IF(AND(F32&lt;&gt;"",H32&lt;&gt;""),IF(F32=H32,"Unentschieden",IF(F32&gt;H32,E32,I32)),"—")</f>
        <v>Team Epsilon</v>
      </c>
      <c r="N32" t="str">
        <f>D32&amp;"-"&amp;J32</f>
        <v>7-5</v>
      </c>
    </row>
    <row r="33" spans="1:14" ht="18.75" customHeight="1" x14ac:dyDescent="0.25">
      <c r="A33" s="19" t="s">
        <v>53</v>
      </c>
      <c r="B33" s="20">
        <v>46102</v>
      </c>
      <c r="C33" s="21" t="s">
        <v>51</v>
      </c>
      <c r="D33" s="22">
        <v>2</v>
      </c>
      <c r="E33" s="23" t="str">
        <f>IFERROR(INDEX(Spielplan!$B$11:$B$17,D33),"")</f>
        <v>Team Beta</v>
      </c>
      <c r="F33" s="24">
        <v>3</v>
      </c>
      <c r="G33" s="25" t="s">
        <v>49</v>
      </c>
      <c r="H33" s="24">
        <v>1</v>
      </c>
      <c r="I33" s="26" t="str">
        <f>IFERROR(INDEX(Spielplan!$B$11:$B$17,J33),"")</f>
        <v>Team Gamma</v>
      </c>
      <c r="J33" s="22">
        <v>3</v>
      </c>
      <c r="K33" s="27">
        <f>IF(AND(F33&lt;&gt;"",H33&lt;&gt;""),IF(F33&gt;H33,3,IF(F33=H33,1,0)),"")</f>
        <v>3</v>
      </c>
      <c r="L33" s="27">
        <f>IF(AND(F33&lt;&gt;"",H33&lt;&gt;""),IF(H33&gt;F33,3,IF(H33=F33,1,0)),"")</f>
        <v>0</v>
      </c>
      <c r="M33" s="28" t="str">
        <f>IF(AND(F33&lt;&gt;"",H33&lt;&gt;""),IF(F33=H33,"Unentschieden",IF(F33&gt;H33,E33,I33)),"—")</f>
        <v>Team Beta</v>
      </c>
      <c r="N33" t="str">
        <f>D33&amp;"-"&amp;J33</f>
        <v>2-3</v>
      </c>
    </row>
    <row r="34" spans="1:14" x14ac:dyDescent="0.25">
      <c r="A34" s="4" t="str">
        <f>IF(INDEX(Spielplan!$B$11:$B$17,4)="","","Runde 3 — Freilos (spielfrei): "&amp;INDEX(Spielplan!$B$11:$B$17,4))</f>
        <v>Runde 3 — Freilos (spielfrei): Team Delta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4" ht="18.75" customHeight="1" x14ac:dyDescent="0.25">
      <c r="A35" s="29" t="s">
        <v>54</v>
      </c>
      <c r="B35" s="30">
        <v>46109</v>
      </c>
      <c r="C35" s="31" t="s">
        <v>48</v>
      </c>
      <c r="D35" s="32">
        <v>1</v>
      </c>
      <c r="E35" s="33" t="str">
        <f>IFERROR(INDEX(Spielplan!$B$11:$B$17,D35),"")</f>
        <v>Team Alpha</v>
      </c>
      <c r="F35" s="24">
        <v>4</v>
      </c>
      <c r="G35" s="34" t="s">
        <v>49</v>
      </c>
      <c r="H35" s="24">
        <v>0</v>
      </c>
      <c r="I35" s="35" t="str">
        <f>IFERROR(INDEX(Spielplan!$B$11:$B$17,J35),"")</f>
        <v>Team Epsilon</v>
      </c>
      <c r="J35" s="32">
        <v>5</v>
      </c>
      <c r="K35" s="36">
        <f>IF(AND(F35&lt;&gt;"",H35&lt;&gt;""),IF(F35&gt;H35,3,IF(F35=H35,1,0)),"")</f>
        <v>3</v>
      </c>
      <c r="L35" s="36">
        <f>IF(AND(F35&lt;&gt;"",H35&lt;&gt;""),IF(H35&gt;F35,3,IF(H35=F35,1,0)),"")</f>
        <v>0</v>
      </c>
      <c r="M35" s="37" t="str">
        <f>IF(AND(F35&lt;&gt;"",H35&lt;&gt;""),IF(F35=H35,"Unentschieden",IF(F35&gt;H35,E35,I35)),"—")</f>
        <v>Team Alpha</v>
      </c>
      <c r="N35" t="str">
        <f>D35&amp;"-"&amp;J35</f>
        <v>1-5</v>
      </c>
    </row>
    <row r="36" spans="1:14" ht="18.75" customHeight="1" x14ac:dyDescent="0.25">
      <c r="A36" s="19" t="s">
        <v>54</v>
      </c>
      <c r="B36" s="20">
        <v>46109</v>
      </c>
      <c r="C36" s="21" t="s">
        <v>50</v>
      </c>
      <c r="D36" s="22">
        <v>6</v>
      </c>
      <c r="E36" s="23" t="str">
        <f>IFERROR(INDEX(Spielplan!$B$11:$B$17,D36),"")</f>
        <v>Team Zeta</v>
      </c>
      <c r="F36" s="24">
        <v>1</v>
      </c>
      <c r="G36" s="25" t="s">
        <v>49</v>
      </c>
      <c r="H36" s="24">
        <v>2</v>
      </c>
      <c r="I36" s="26" t="str">
        <f>IFERROR(INDEX(Spielplan!$B$11:$B$17,J36),"")</f>
        <v>Team Delta</v>
      </c>
      <c r="J36" s="22">
        <v>4</v>
      </c>
      <c r="K36" s="27">
        <f>IF(AND(F36&lt;&gt;"",H36&lt;&gt;""),IF(F36&gt;H36,3,IF(F36=H36,1,0)),"")</f>
        <v>0</v>
      </c>
      <c r="L36" s="27">
        <f>IF(AND(F36&lt;&gt;"",H36&lt;&gt;""),IF(H36&gt;F36,3,IF(H36=F36,1,0)),"")</f>
        <v>3</v>
      </c>
      <c r="M36" s="28" t="str">
        <f>IF(AND(F36&lt;&gt;"",H36&lt;&gt;""),IF(F36=H36,"Unentschieden",IF(F36&gt;H36,E36,I36)),"—")</f>
        <v>Team Delta</v>
      </c>
      <c r="N36" t="str">
        <f>D36&amp;"-"&amp;J36</f>
        <v>6-4</v>
      </c>
    </row>
    <row r="37" spans="1:14" ht="18.75" customHeight="1" x14ac:dyDescent="0.25">
      <c r="A37" s="29" t="s">
        <v>54</v>
      </c>
      <c r="B37" s="30">
        <v>46109</v>
      </c>
      <c r="C37" s="31" t="s">
        <v>51</v>
      </c>
      <c r="D37" s="32">
        <v>7</v>
      </c>
      <c r="E37" s="33" t="str">
        <f>IFERROR(INDEX(Spielplan!$B$11:$B$17,D37),"")</f>
        <v>Team Eta</v>
      </c>
      <c r="F37" s="24">
        <v>2</v>
      </c>
      <c r="G37" s="34" t="s">
        <v>49</v>
      </c>
      <c r="H37" s="24">
        <v>2</v>
      </c>
      <c r="I37" s="35" t="str">
        <f>IFERROR(INDEX(Spielplan!$B$11:$B$17,J37),"")</f>
        <v>Team Gamma</v>
      </c>
      <c r="J37" s="32">
        <v>3</v>
      </c>
      <c r="K37" s="36">
        <f>IF(AND(F37&lt;&gt;"",H37&lt;&gt;""),IF(F37&gt;H37,3,IF(F37=H37,1,0)),"")</f>
        <v>1</v>
      </c>
      <c r="L37" s="36">
        <f>IF(AND(F37&lt;&gt;"",H37&lt;&gt;""),IF(H37&gt;F37,3,IF(H37=F37,1,0)),"")</f>
        <v>1</v>
      </c>
      <c r="M37" s="37" t="str">
        <f>IF(AND(F37&lt;&gt;"",H37&lt;&gt;""),IF(F37=H37,"Unentschieden",IF(F37&gt;H37,E37,I37)),"—")</f>
        <v>Unentschieden</v>
      </c>
      <c r="N37" t="str">
        <f>D37&amp;"-"&amp;J37</f>
        <v>7-3</v>
      </c>
    </row>
    <row r="38" spans="1:14" x14ac:dyDescent="0.25">
      <c r="A38" s="4" t="str">
        <f>IF(INDEX(Spielplan!$B$11:$B$17,2)="","","Runde 4 — Freilos (spielfrei): "&amp;INDEX(Spielplan!$B$11:$B$17,2))</f>
        <v>Runde 4 — Freilos (spielfrei): Team Beta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1:14" ht="18.75" customHeight="1" x14ac:dyDescent="0.25">
      <c r="A39" s="19" t="s">
        <v>55</v>
      </c>
      <c r="B39" s="20">
        <v>46116</v>
      </c>
      <c r="C39" s="21" t="s">
        <v>48</v>
      </c>
      <c r="D39" s="22">
        <v>1</v>
      </c>
      <c r="E39" s="23" t="str">
        <f>IFERROR(INDEX(Spielplan!$B$11:$B$17,D39),"")</f>
        <v>Team Alpha</v>
      </c>
      <c r="F39" s="24">
        <v>1</v>
      </c>
      <c r="G39" s="25" t="s">
        <v>49</v>
      </c>
      <c r="H39" s="24">
        <v>0</v>
      </c>
      <c r="I39" s="26" t="str">
        <f>IFERROR(INDEX(Spielplan!$B$11:$B$17,J39),"")</f>
        <v>Team Delta</v>
      </c>
      <c r="J39" s="22">
        <v>4</v>
      </c>
      <c r="K39" s="27">
        <f>IF(AND(F39&lt;&gt;"",H39&lt;&gt;""),IF(F39&gt;H39,3,IF(F39=H39,1,0)),"")</f>
        <v>3</v>
      </c>
      <c r="L39" s="27">
        <f>IF(AND(F39&lt;&gt;"",H39&lt;&gt;""),IF(H39&gt;F39,3,IF(H39=F39,1,0)),"")</f>
        <v>0</v>
      </c>
      <c r="M39" s="28" t="str">
        <f>IF(AND(F39&lt;&gt;"",H39&lt;&gt;""),IF(F39=H39,"Unentschieden",IF(F39&gt;H39,E39,I39)),"—")</f>
        <v>Team Alpha</v>
      </c>
      <c r="N39" t="str">
        <f>D39&amp;"-"&amp;J39</f>
        <v>1-4</v>
      </c>
    </row>
    <row r="40" spans="1:14" ht="18.75" customHeight="1" x14ac:dyDescent="0.25">
      <c r="A40" s="29" t="s">
        <v>55</v>
      </c>
      <c r="B40" s="30">
        <v>46116</v>
      </c>
      <c r="C40" s="31" t="s">
        <v>50</v>
      </c>
      <c r="D40" s="32">
        <v>5</v>
      </c>
      <c r="E40" s="33" t="str">
        <f>IFERROR(INDEX(Spielplan!$B$11:$B$17,D40),"")</f>
        <v>Team Epsilon</v>
      </c>
      <c r="F40" s="24">
        <v>2</v>
      </c>
      <c r="G40" s="34" t="s">
        <v>49</v>
      </c>
      <c r="H40" s="24">
        <v>3</v>
      </c>
      <c r="I40" s="35" t="str">
        <f>IFERROR(INDEX(Spielplan!$B$11:$B$17,J40),"")</f>
        <v>Team Gamma</v>
      </c>
      <c r="J40" s="32">
        <v>3</v>
      </c>
      <c r="K40" s="36">
        <f>IF(AND(F40&lt;&gt;"",H40&lt;&gt;""),IF(F40&gt;H40,3,IF(F40=H40,1,0)),"")</f>
        <v>0</v>
      </c>
      <c r="L40" s="36">
        <f>IF(AND(F40&lt;&gt;"",H40&lt;&gt;""),IF(H40&gt;F40,3,IF(H40=F40,1,0)),"")</f>
        <v>3</v>
      </c>
      <c r="M40" s="37" t="str">
        <f>IF(AND(F40&lt;&gt;"",H40&lt;&gt;""),IF(F40=H40,"Unentschieden",IF(F40&gt;H40,E40,I40)),"—")</f>
        <v>Team Gamma</v>
      </c>
      <c r="N40" t="str">
        <f>D40&amp;"-"&amp;J40</f>
        <v>5-3</v>
      </c>
    </row>
    <row r="41" spans="1:14" ht="18.75" customHeight="1" x14ac:dyDescent="0.25">
      <c r="A41" s="19" t="s">
        <v>55</v>
      </c>
      <c r="B41" s="20">
        <v>46116</v>
      </c>
      <c r="C41" s="21" t="s">
        <v>51</v>
      </c>
      <c r="D41" s="22">
        <v>6</v>
      </c>
      <c r="E41" s="23" t="str">
        <f>IFERROR(INDEX(Spielplan!$B$11:$B$17,D41),"")</f>
        <v>Team Zeta</v>
      </c>
      <c r="F41" s="24">
        <v>0</v>
      </c>
      <c r="G41" s="25" t="s">
        <v>49</v>
      </c>
      <c r="H41" s="24">
        <v>1</v>
      </c>
      <c r="I41" s="26" t="str">
        <f>IFERROR(INDEX(Spielplan!$B$11:$B$17,J41),"")</f>
        <v>Team Beta</v>
      </c>
      <c r="J41" s="22">
        <v>2</v>
      </c>
      <c r="K41" s="27">
        <f>IF(AND(F41&lt;&gt;"",H41&lt;&gt;""),IF(F41&gt;H41,3,IF(F41=H41,1,0)),"")</f>
        <v>0</v>
      </c>
      <c r="L41" s="27">
        <f>IF(AND(F41&lt;&gt;"",H41&lt;&gt;""),IF(H41&gt;F41,3,IF(H41=F41,1,0)),"")</f>
        <v>3</v>
      </c>
      <c r="M41" s="28" t="str">
        <f>IF(AND(F41&lt;&gt;"",H41&lt;&gt;""),IF(F41=H41,"Unentschieden",IF(F41&gt;H41,E41,I41)),"—")</f>
        <v>Team Beta</v>
      </c>
      <c r="N41" t="str">
        <f>D41&amp;"-"&amp;J41</f>
        <v>6-2</v>
      </c>
    </row>
    <row r="42" spans="1:14" x14ac:dyDescent="0.25">
      <c r="A42" s="4" t="str">
        <f>IF(INDEX(Spielplan!$B$11:$B$17,7)="","","Runde 5 — Freilos (spielfrei): "&amp;INDEX(Spielplan!$B$11:$B$17,7))</f>
        <v>Runde 5 — Freilos (spielfrei): Team Eta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</row>
    <row r="43" spans="1:14" ht="18.75" customHeight="1" x14ac:dyDescent="0.25">
      <c r="A43" s="29" t="s">
        <v>56</v>
      </c>
      <c r="B43" s="30">
        <v>46123</v>
      </c>
      <c r="C43" s="31" t="s">
        <v>48</v>
      </c>
      <c r="D43" s="32">
        <v>1</v>
      </c>
      <c r="E43" s="33" t="str">
        <f>IFERROR(INDEX(Spielplan!$B$11:$B$17,D43),"")</f>
        <v>Team Alpha</v>
      </c>
      <c r="F43" s="24">
        <v>3</v>
      </c>
      <c r="G43" s="34" t="s">
        <v>49</v>
      </c>
      <c r="H43" s="24">
        <v>2</v>
      </c>
      <c r="I43" s="35" t="str">
        <f>IFERROR(INDEX(Spielplan!$B$11:$B$17,J43),"")</f>
        <v>Team Gamma</v>
      </c>
      <c r="J43" s="32">
        <v>3</v>
      </c>
      <c r="K43" s="36">
        <f>IF(AND(F43&lt;&gt;"",H43&lt;&gt;""),IF(F43&gt;H43,3,IF(F43=H43,1,0)),"")</f>
        <v>3</v>
      </c>
      <c r="L43" s="36">
        <f>IF(AND(F43&lt;&gt;"",H43&lt;&gt;""),IF(H43&gt;F43,3,IF(H43=F43,1,0)),"")</f>
        <v>0</v>
      </c>
      <c r="M43" s="37" t="str">
        <f>IF(AND(F43&lt;&gt;"",H43&lt;&gt;""),IF(F43=H43,"Unentschieden",IF(F43&gt;H43,E43,I43)),"—")</f>
        <v>Team Alpha</v>
      </c>
      <c r="N43" t="str">
        <f>D43&amp;"-"&amp;J43</f>
        <v>1-3</v>
      </c>
    </row>
    <row r="44" spans="1:14" ht="18.75" customHeight="1" x14ac:dyDescent="0.25">
      <c r="A44" s="19" t="s">
        <v>56</v>
      </c>
      <c r="B44" s="20">
        <v>46123</v>
      </c>
      <c r="C44" s="21" t="s">
        <v>50</v>
      </c>
      <c r="D44" s="22">
        <v>4</v>
      </c>
      <c r="E44" s="23" t="str">
        <f>IFERROR(INDEX(Spielplan!$B$11:$B$17,D44),"")</f>
        <v>Team Delta</v>
      </c>
      <c r="F44" s="24">
        <v>1</v>
      </c>
      <c r="G44" s="25" t="s">
        <v>49</v>
      </c>
      <c r="H44" s="24">
        <v>1</v>
      </c>
      <c r="I44" s="26" t="str">
        <f>IFERROR(INDEX(Spielplan!$B$11:$B$17,J44),"")</f>
        <v>Team Beta</v>
      </c>
      <c r="J44" s="22">
        <v>2</v>
      </c>
      <c r="K44" s="27">
        <f>IF(AND(F44&lt;&gt;"",H44&lt;&gt;""),IF(F44&gt;H44,3,IF(F44=H44,1,0)),"")</f>
        <v>1</v>
      </c>
      <c r="L44" s="27">
        <f>IF(AND(F44&lt;&gt;"",H44&lt;&gt;""),IF(H44&gt;F44,3,IF(H44=F44,1,0)),"")</f>
        <v>1</v>
      </c>
      <c r="M44" s="28" t="str">
        <f>IF(AND(F44&lt;&gt;"",H44&lt;&gt;""),IF(F44=H44,"Unentschieden",IF(F44&gt;H44,E44,I44)),"—")</f>
        <v>Unentschieden</v>
      </c>
      <c r="N44" t="str">
        <f>D44&amp;"-"&amp;J44</f>
        <v>4-2</v>
      </c>
    </row>
    <row r="45" spans="1:14" ht="18.75" customHeight="1" x14ac:dyDescent="0.25">
      <c r="A45" s="29" t="s">
        <v>56</v>
      </c>
      <c r="B45" s="30">
        <v>46123</v>
      </c>
      <c r="C45" s="31" t="s">
        <v>51</v>
      </c>
      <c r="D45" s="32">
        <v>6</v>
      </c>
      <c r="E45" s="33" t="str">
        <f>IFERROR(INDEX(Spielplan!$B$11:$B$17,D45),"")</f>
        <v>Team Zeta</v>
      </c>
      <c r="F45" s="24">
        <v>2</v>
      </c>
      <c r="G45" s="34" t="s">
        <v>49</v>
      </c>
      <c r="H45" s="24">
        <v>0</v>
      </c>
      <c r="I45" s="35" t="str">
        <f>IFERROR(INDEX(Spielplan!$B$11:$B$17,J45),"")</f>
        <v>Team Eta</v>
      </c>
      <c r="J45" s="32">
        <v>7</v>
      </c>
      <c r="K45" s="36">
        <f>IF(AND(F45&lt;&gt;"",H45&lt;&gt;""),IF(F45&gt;H45,3,IF(F45=H45,1,0)),"")</f>
        <v>3</v>
      </c>
      <c r="L45" s="36">
        <f>IF(AND(F45&lt;&gt;"",H45&lt;&gt;""),IF(H45&gt;F45,3,IF(H45=F45,1,0)),"")</f>
        <v>0</v>
      </c>
      <c r="M45" s="37" t="str">
        <f>IF(AND(F45&lt;&gt;"",H45&lt;&gt;""),IF(F45=H45,"Unentschieden",IF(F45&gt;H45,E45,I45)),"—")</f>
        <v>Team Zeta</v>
      </c>
      <c r="N45" t="str">
        <f>D45&amp;"-"&amp;J45</f>
        <v>6-7</v>
      </c>
    </row>
    <row r="46" spans="1:14" x14ac:dyDescent="0.25">
      <c r="A46" s="4" t="str">
        <f>IF(INDEX(Spielplan!$B$11:$B$17,5)="","","Runde 6 — Freilos (spielfrei): "&amp;INDEX(Spielplan!$B$11:$B$17,5))</f>
        <v>Runde 6 — Freilos (spielfrei): Team Epsilon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4" ht="18.75" customHeight="1" x14ac:dyDescent="0.25">
      <c r="A47" s="19" t="s">
        <v>57</v>
      </c>
      <c r="B47" s="20">
        <v>46130</v>
      </c>
      <c r="C47" s="21" t="s">
        <v>48</v>
      </c>
      <c r="D47" s="22">
        <v>1</v>
      </c>
      <c r="E47" s="23" t="str">
        <f>IFERROR(INDEX(Spielplan!$B$11:$B$17,D47),"")</f>
        <v>Team Alpha</v>
      </c>
      <c r="F47" s="24">
        <v>2</v>
      </c>
      <c r="G47" s="25" t="s">
        <v>49</v>
      </c>
      <c r="H47" s="24">
        <v>1</v>
      </c>
      <c r="I47" s="26" t="str">
        <f>IFERROR(INDEX(Spielplan!$B$11:$B$17,J47),"")</f>
        <v>Team Beta</v>
      </c>
      <c r="J47" s="22">
        <v>2</v>
      </c>
      <c r="K47" s="27">
        <f>IF(AND(F47&lt;&gt;"",H47&lt;&gt;""),IF(F47&gt;H47,3,IF(F47=H47,1,0)),"")</f>
        <v>3</v>
      </c>
      <c r="L47" s="27">
        <f>IF(AND(F47&lt;&gt;"",H47&lt;&gt;""),IF(H47&gt;F47,3,IF(H47=F47,1,0)),"")</f>
        <v>0</v>
      </c>
      <c r="M47" s="28" t="str">
        <f>IF(AND(F47&lt;&gt;"",H47&lt;&gt;""),IF(F47=H47,"Unentschieden",IF(F47&gt;H47,E47,I47)),"—")</f>
        <v>Team Alpha</v>
      </c>
      <c r="N47" t="str">
        <f>D47&amp;"-"&amp;J47</f>
        <v>1-2</v>
      </c>
    </row>
    <row r="48" spans="1:14" ht="18.75" customHeight="1" x14ac:dyDescent="0.25">
      <c r="A48" s="29" t="s">
        <v>57</v>
      </c>
      <c r="B48" s="30">
        <v>46130</v>
      </c>
      <c r="C48" s="31" t="s">
        <v>50</v>
      </c>
      <c r="D48" s="32">
        <v>4</v>
      </c>
      <c r="E48" s="33" t="str">
        <f>IFERROR(INDEX(Spielplan!$B$11:$B$17,D48),"")</f>
        <v>Team Delta</v>
      </c>
      <c r="F48" s="24">
        <v>3</v>
      </c>
      <c r="G48" s="34" t="s">
        <v>49</v>
      </c>
      <c r="H48" s="24">
        <v>3</v>
      </c>
      <c r="I48" s="35" t="str">
        <f>IFERROR(INDEX(Spielplan!$B$11:$B$17,J48),"")</f>
        <v>Team Eta</v>
      </c>
      <c r="J48" s="32">
        <v>7</v>
      </c>
      <c r="K48" s="36">
        <f>IF(AND(F48&lt;&gt;"",H48&lt;&gt;""),IF(F48&gt;H48,3,IF(F48=H48,1,0)),"")</f>
        <v>1</v>
      </c>
      <c r="L48" s="36">
        <f>IF(AND(F48&lt;&gt;"",H48&lt;&gt;""),IF(H48&gt;F48,3,IF(H48=F48,1,0)),"")</f>
        <v>1</v>
      </c>
      <c r="M48" s="37" t="str">
        <f>IF(AND(F48&lt;&gt;"",H48&lt;&gt;""),IF(F48=H48,"Unentschieden",IF(F48&gt;H48,E48,I48)),"—")</f>
        <v>Unentschieden</v>
      </c>
      <c r="N48" t="str">
        <f>D48&amp;"-"&amp;J48</f>
        <v>4-7</v>
      </c>
    </row>
    <row r="49" spans="1:14" ht="18.75" customHeight="1" x14ac:dyDescent="0.25">
      <c r="A49" s="19" t="s">
        <v>57</v>
      </c>
      <c r="B49" s="20">
        <v>46130</v>
      </c>
      <c r="C49" s="21" t="s">
        <v>51</v>
      </c>
      <c r="D49" s="22">
        <v>5</v>
      </c>
      <c r="E49" s="23" t="str">
        <f>IFERROR(INDEX(Spielplan!$B$11:$B$17,D49),"")</f>
        <v>Team Epsilon</v>
      </c>
      <c r="F49" s="24">
        <v>1</v>
      </c>
      <c r="G49" s="25" t="s">
        <v>49</v>
      </c>
      <c r="H49" s="24">
        <v>0</v>
      </c>
      <c r="I49" s="26" t="str">
        <f>IFERROR(INDEX(Spielplan!$B$11:$B$17,J49),"")</f>
        <v>Team Zeta</v>
      </c>
      <c r="J49" s="22">
        <v>6</v>
      </c>
      <c r="K49" s="27">
        <f>IF(AND(F49&lt;&gt;"",H49&lt;&gt;""),IF(F49&gt;H49,3,IF(F49=H49,1,0)),"")</f>
        <v>3</v>
      </c>
      <c r="L49" s="27">
        <f>IF(AND(F49&lt;&gt;"",H49&lt;&gt;""),IF(H49&gt;F49,3,IF(H49=F49,1,0)),"")</f>
        <v>0</v>
      </c>
      <c r="M49" s="28" t="str">
        <f>IF(AND(F49&lt;&gt;"",H49&lt;&gt;""),IF(F49=H49,"Unentschieden",IF(F49&gt;H49,E49,I49)),"—")</f>
        <v>Team Epsilon</v>
      </c>
      <c r="N49" t="str">
        <f>D49&amp;"-"&amp;J49</f>
        <v>5-6</v>
      </c>
    </row>
    <row r="50" spans="1:14" x14ac:dyDescent="0.25">
      <c r="A50" s="4" t="str">
        <f>IF(INDEX(Spielplan!$B$11:$B$17,3)="","","Runde 7 — Freilos (spielfrei): "&amp;INDEX(Spielplan!$B$11:$B$17,3))</f>
        <v>Runde 7 — Freilos (spielfrei): Team Gamma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4" ht="27.75" customHeight="1" x14ac:dyDescent="0.25">
      <c r="A52" s="3" t="s">
        <v>58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</sheetData>
  <mergeCells count="42">
    <mergeCell ref="A38:M38"/>
    <mergeCell ref="A42:M42"/>
    <mergeCell ref="A46:M46"/>
    <mergeCell ref="A50:M50"/>
    <mergeCell ref="A52:M52"/>
    <mergeCell ref="A19:M19"/>
    <mergeCell ref="A21:M21"/>
    <mergeCell ref="A26:M26"/>
    <mergeCell ref="A30:M30"/>
    <mergeCell ref="A34:M34"/>
    <mergeCell ref="B15:D15"/>
    <mergeCell ref="F15:I15"/>
    <mergeCell ref="B16:D16"/>
    <mergeCell ref="F16:I16"/>
    <mergeCell ref="B17:D17"/>
    <mergeCell ref="F17:I17"/>
    <mergeCell ref="B12:D12"/>
    <mergeCell ref="F12:I12"/>
    <mergeCell ref="B13:D13"/>
    <mergeCell ref="F13:I13"/>
    <mergeCell ref="B14:D14"/>
    <mergeCell ref="F14:I14"/>
    <mergeCell ref="A9:M9"/>
    <mergeCell ref="B10:D10"/>
    <mergeCell ref="F10:I10"/>
    <mergeCell ref="B11:D11"/>
    <mergeCell ref="F11:I11"/>
    <mergeCell ref="A6:B6"/>
    <mergeCell ref="C6:E6"/>
    <mergeCell ref="F6:G6"/>
    <mergeCell ref="H6:M6"/>
    <mergeCell ref="A7:B7"/>
    <mergeCell ref="C7:E7"/>
    <mergeCell ref="F7:G7"/>
    <mergeCell ref="H7:M7"/>
    <mergeCell ref="A1:M1"/>
    <mergeCell ref="A2:M2"/>
    <mergeCell ref="A4:M4"/>
    <mergeCell ref="A5:B5"/>
    <mergeCell ref="C5:E5"/>
    <mergeCell ref="F5:G5"/>
    <mergeCell ref="H5:M5"/>
  </mergeCells>
  <pageMargins left="0.3" right="0.3" top="0.4" bottom="0.4" header="0.511811023622047" footer="0.511811023622047"/>
  <pageSetup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DB9A34"/>
    <pageSetUpPr fitToPage="1"/>
  </sheetPr>
  <dimension ref="A1:K25"/>
  <sheetViews>
    <sheetView showGridLines="0" zoomScaleNormal="100" workbookViewId="0">
      <pane ySplit="2" topLeftCell="A3" activePane="bottomLeft" state="frozen"/>
      <selection pane="bottomLeft" sqref="A1:K1"/>
    </sheetView>
  </sheetViews>
  <sheetFormatPr baseColWidth="10" defaultColWidth="8.7109375" defaultRowHeight="15" x14ac:dyDescent="0.25"/>
  <cols>
    <col min="1" max="1" width="6" customWidth="1"/>
    <col min="2" max="2" width="22" customWidth="1"/>
    <col min="3" max="3" width="7" customWidth="1"/>
    <col min="4" max="6" width="6" customWidth="1"/>
    <col min="7" max="9" width="9" customWidth="1"/>
    <col min="10" max="10" width="10" customWidth="1"/>
    <col min="11" max="11" width="14" customWidth="1"/>
  </cols>
  <sheetData>
    <row r="1" spans="1:11" ht="39.75" customHeight="1" x14ac:dyDescent="0.25">
      <c r="A1" s="14" t="s">
        <v>59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19.5" customHeight="1" x14ac:dyDescent="0.25">
      <c r="A2" s="13" t="s">
        <v>60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4" spans="1:11" ht="24" customHeight="1" x14ac:dyDescent="0.3">
      <c r="A4" s="2" t="s">
        <v>61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24" customHeight="1" x14ac:dyDescent="0.25">
      <c r="A5" s="38" t="s">
        <v>62</v>
      </c>
      <c r="B5" s="38" t="s">
        <v>16</v>
      </c>
      <c r="C5" s="38" t="s">
        <v>63</v>
      </c>
      <c r="D5" s="38" t="s">
        <v>64</v>
      </c>
      <c r="E5" s="38" t="s">
        <v>65</v>
      </c>
      <c r="F5" s="38" t="s">
        <v>66</v>
      </c>
      <c r="G5" s="38" t="s">
        <v>67</v>
      </c>
      <c r="H5" s="38" t="s">
        <v>68</v>
      </c>
      <c r="I5" s="38" t="s">
        <v>69</v>
      </c>
      <c r="J5" s="38" t="s">
        <v>70</v>
      </c>
      <c r="K5" s="38"/>
    </row>
    <row r="6" spans="1:11" ht="21.75" customHeight="1" x14ac:dyDescent="0.25">
      <c r="A6" s="39">
        <v>1</v>
      </c>
      <c r="B6" s="40" t="str">
        <f>IFERROR(INDEX($B$17:$B$23,MATCH(LARGE($K$17:$K$23,1),$K$17:$K$23,0)),"")</f>
        <v>Team Alpha</v>
      </c>
      <c r="C6" s="41">
        <f>IFERROR(INDEX($C$17:$C$23,MATCH(LARGE($K$17:$K$23,1),$K$17:$K$23,0)),"")</f>
        <v>6</v>
      </c>
      <c r="D6" s="41">
        <f>IFERROR(INDEX($D$17:$D$23,MATCH(LARGE($K$17:$K$23,1),$K$17:$K$23,0)),"")</f>
        <v>4</v>
      </c>
      <c r="E6" s="41">
        <f>IFERROR(INDEX($E$17:$E$23,MATCH(LARGE($K$17:$K$23,1),$K$17:$K$23,0)),"")</f>
        <v>2</v>
      </c>
      <c r="F6" s="41">
        <f>IFERROR(INDEX($F$17:$F$23,MATCH(LARGE($K$17:$K$23,1),$K$17:$K$23,0)),"")</f>
        <v>0</v>
      </c>
      <c r="G6" s="41">
        <f>IFERROR(INDEX($G$17:$G$23,MATCH(LARGE($K$17:$K$23,1),$K$17:$K$23,0)),"")</f>
        <v>13</v>
      </c>
      <c r="H6" s="41">
        <f>IFERROR(INDEX($H$17:$H$23,MATCH(LARGE($K$17:$K$23,1),$K$17:$K$23,0)),"")</f>
        <v>6</v>
      </c>
      <c r="I6" s="41">
        <f>IFERROR(INDEX($I$17:$I$23,MATCH(LARGE($K$17:$K$23,1),$K$17:$K$23,0)),"")</f>
        <v>7</v>
      </c>
      <c r="J6" s="42">
        <f>IFERROR(INDEX($J$17:$J$23,MATCH(LARGE($K$17:$K$23,1),$K$17:$K$23,0)),"")</f>
        <v>14</v>
      </c>
      <c r="K6" s="43" t="str">
        <f>IF(1=1,"🥇 Turniersieger",IF(1=2,"🥈 Vize",IF(1=3,"🥉 3. Platz","")))</f>
        <v>🥇 Turniersieger</v>
      </c>
    </row>
    <row r="7" spans="1:11" ht="21.75" customHeight="1" x14ac:dyDescent="0.25">
      <c r="A7" s="44">
        <v>2</v>
      </c>
      <c r="B7" s="45" t="str">
        <f>IFERROR(INDEX($B$17:$B$23,MATCH(LARGE($K$17:$K$23,2),$K$17:$K$23,0)),"")</f>
        <v>Team Beta</v>
      </c>
      <c r="C7" s="46">
        <f>IFERROR(INDEX($C$17:$C$23,MATCH(LARGE($K$17:$K$23,2),$K$17:$K$23,0)),"")</f>
        <v>6</v>
      </c>
      <c r="D7" s="46">
        <f>IFERROR(INDEX($D$17:$D$23,MATCH(LARGE($K$17:$K$23,2),$K$17:$K$23,0)),"")</f>
        <v>4</v>
      </c>
      <c r="E7" s="46">
        <f>IFERROR(INDEX($E$17:$E$23,MATCH(LARGE($K$17:$K$23,2),$K$17:$K$23,0)),"")</f>
        <v>1</v>
      </c>
      <c r="F7" s="46">
        <f>IFERROR(INDEX($F$17:$F$23,MATCH(LARGE($K$17:$K$23,2),$K$17:$K$23,0)),"")</f>
        <v>1</v>
      </c>
      <c r="G7" s="46">
        <f>IFERROR(INDEX($G$17:$G$23,MATCH(LARGE($K$17:$K$23,2),$K$17:$K$23,0)),"")</f>
        <v>10</v>
      </c>
      <c r="H7" s="46">
        <f>IFERROR(INDEX($H$17:$H$23,MATCH(LARGE($K$17:$K$23,2),$K$17:$K$23,0)),"")</f>
        <v>5</v>
      </c>
      <c r="I7" s="46">
        <f>IFERROR(INDEX($I$17:$I$23,MATCH(LARGE($K$17:$K$23,2),$K$17:$K$23,0)),"")</f>
        <v>5</v>
      </c>
      <c r="J7" s="47">
        <f>IFERROR(INDEX($J$17:$J$23,MATCH(LARGE($K$17:$K$23,2),$K$17:$K$23,0)),"")</f>
        <v>13</v>
      </c>
      <c r="K7" s="48" t="str">
        <f>IF(2=1,"🥇 Turniersieger",IF(2=2,"🥈 Vize",IF(2=3,"🥉 3. Platz","")))</f>
        <v>🥈 Vize</v>
      </c>
    </row>
    <row r="8" spans="1:11" ht="21.75" customHeight="1" x14ac:dyDescent="0.25">
      <c r="A8" s="49">
        <v>3</v>
      </c>
      <c r="B8" s="50" t="str">
        <f>IFERROR(INDEX($B$17:$B$23,MATCH(LARGE($K$17:$K$23,3),$K$17:$K$23,0)),"")</f>
        <v>Team Delta</v>
      </c>
      <c r="C8" s="51">
        <f>IFERROR(INDEX($C$17:$C$23,MATCH(LARGE($K$17:$K$23,3),$K$17:$K$23,0)),"")</f>
        <v>6</v>
      </c>
      <c r="D8" s="51">
        <f>IFERROR(INDEX($D$17:$D$23,MATCH(LARGE($K$17:$K$23,3),$K$17:$K$23,0)),"")</f>
        <v>3</v>
      </c>
      <c r="E8" s="51">
        <f>IFERROR(INDEX($E$17:$E$23,MATCH(LARGE($K$17:$K$23,3),$K$17:$K$23,0)),"")</f>
        <v>2</v>
      </c>
      <c r="F8" s="51">
        <f>IFERROR(INDEX($F$17:$F$23,MATCH(LARGE($K$17:$K$23,3),$K$17:$K$23,0)),"")</f>
        <v>1</v>
      </c>
      <c r="G8" s="51">
        <f>IFERROR(INDEX($G$17:$G$23,MATCH(LARGE($K$17:$K$23,3),$K$17:$K$23,0)),"")</f>
        <v>12</v>
      </c>
      <c r="H8" s="51">
        <f>IFERROR(INDEX($H$17:$H$23,MATCH(LARGE($K$17:$K$23,3),$K$17:$K$23,0)),"")</f>
        <v>9</v>
      </c>
      <c r="I8" s="51">
        <f>IFERROR(INDEX($I$17:$I$23,MATCH(LARGE($K$17:$K$23,3),$K$17:$K$23,0)),"")</f>
        <v>3</v>
      </c>
      <c r="J8" s="52">
        <f>IFERROR(INDEX($J$17:$J$23,MATCH(LARGE($K$17:$K$23,3),$K$17:$K$23,0)),"")</f>
        <v>11</v>
      </c>
      <c r="K8" s="53" t="str">
        <f>IF(3=1,"🥇 Turniersieger",IF(3=2,"🥈 Vize",IF(3=3,"🥉 3. Platz","")))</f>
        <v>🥉 3. Platz</v>
      </c>
    </row>
    <row r="9" spans="1:11" ht="21.75" customHeight="1" x14ac:dyDescent="0.25">
      <c r="A9" s="54">
        <v>4</v>
      </c>
      <c r="B9" s="55" t="str">
        <f>IFERROR(INDEX($B$17:$B$23,MATCH(LARGE($K$17:$K$23,4),$K$17:$K$23,0)),"")</f>
        <v>Team Epsilon</v>
      </c>
      <c r="C9" s="56">
        <f>IFERROR(INDEX($C$17:$C$23,MATCH(LARGE($K$17:$K$23,4),$K$17:$K$23,0)),"")</f>
        <v>6</v>
      </c>
      <c r="D9" s="56">
        <f>IFERROR(INDEX($D$17:$D$23,MATCH(LARGE($K$17:$K$23,4),$K$17:$K$23,0)),"")</f>
        <v>2</v>
      </c>
      <c r="E9" s="56">
        <f>IFERROR(INDEX($E$17:$E$23,MATCH(LARGE($K$17:$K$23,4),$K$17:$K$23,0)),"")</f>
        <v>0</v>
      </c>
      <c r="F9" s="56">
        <f>IFERROR(INDEX($F$17:$F$23,MATCH(LARGE($K$17:$K$23,4),$K$17:$K$23,0)),"")</f>
        <v>4</v>
      </c>
      <c r="G9" s="56">
        <f>IFERROR(INDEX($G$17:$G$23,MATCH(LARGE($K$17:$K$23,4),$K$17:$K$23,0)),"")</f>
        <v>6</v>
      </c>
      <c r="H9" s="56">
        <f>IFERROR(INDEX($H$17:$H$23,MATCH(LARGE($K$17:$K$23,4),$K$17:$K$23,0)),"")</f>
        <v>12</v>
      </c>
      <c r="I9" s="56">
        <f>IFERROR(INDEX($I$17:$I$23,MATCH(LARGE($K$17:$K$23,4),$K$17:$K$23,0)),"")</f>
        <v>-6</v>
      </c>
      <c r="J9" s="57">
        <f>IFERROR(INDEX($J$17:$J$23,MATCH(LARGE($K$17:$K$23,4),$K$17:$K$23,0)),"")</f>
        <v>6</v>
      </c>
      <c r="K9" s="58" t="str">
        <f>IF(4=1,"🥇 Turniersieger",IF(4=2,"🥈 Vize",IF(4=3,"🥉 3. Platz","")))</f>
        <v/>
      </c>
    </row>
    <row r="10" spans="1:11" ht="21.75" customHeight="1" x14ac:dyDescent="0.25">
      <c r="A10" s="59">
        <v>5</v>
      </c>
      <c r="B10" s="60" t="str">
        <f>IFERROR(INDEX($B$17:$B$23,MATCH(LARGE($K$17:$K$23,5),$K$17:$K$23,0)),"")</f>
        <v>Team Zeta</v>
      </c>
      <c r="C10" s="61">
        <f>IFERROR(INDEX($C$17:$C$23,MATCH(LARGE($K$17:$K$23,5),$K$17:$K$23,0)),"")</f>
        <v>6</v>
      </c>
      <c r="D10" s="61">
        <f>IFERROR(INDEX($D$17:$D$23,MATCH(LARGE($K$17:$K$23,5),$K$17:$K$23,0)),"")</f>
        <v>1</v>
      </c>
      <c r="E10" s="61">
        <f>IFERROR(INDEX($E$17:$E$23,MATCH(LARGE($K$17:$K$23,5),$K$17:$K$23,0)),"")</f>
        <v>2</v>
      </c>
      <c r="F10" s="61">
        <f>IFERROR(INDEX($F$17:$F$23,MATCH(LARGE($K$17:$K$23,5),$K$17:$K$23,0)),"")</f>
        <v>3</v>
      </c>
      <c r="G10" s="61">
        <f>IFERROR(INDEX($G$17:$G$23,MATCH(LARGE($K$17:$K$23,5),$K$17:$K$23,0)),"")</f>
        <v>5</v>
      </c>
      <c r="H10" s="61">
        <f>IFERROR(INDEX($H$17:$H$23,MATCH(LARGE($K$17:$K$23,5),$K$17:$K$23,0)),"")</f>
        <v>6</v>
      </c>
      <c r="I10" s="61">
        <f>IFERROR(INDEX($I$17:$I$23,MATCH(LARGE($K$17:$K$23,5),$K$17:$K$23,0)),"")</f>
        <v>-1</v>
      </c>
      <c r="J10" s="62">
        <f>IFERROR(INDEX($J$17:$J$23,MATCH(LARGE($K$17:$K$23,5),$K$17:$K$23,0)),"")</f>
        <v>5</v>
      </c>
      <c r="K10" s="63" t="str">
        <f>IF(5=1,"🥇 Turniersieger",IF(5=2,"🥈 Vize",IF(5=3,"🥉 3. Platz","")))</f>
        <v/>
      </c>
    </row>
    <row r="11" spans="1:11" ht="21.75" customHeight="1" x14ac:dyDescent="0.25">
      <c r="A11" s="54">
        <v>6</v>
      </c>
      <c r="B11" s="55" t="str">
        <f>IFERROR(INDEX($B$17:$B$23,MATCH(LARGE($K$17:$K$23,6),$K$17:$K$23,0)),"")</f>
        <v>Team Gamma</v>
      </c>
      <c r="C11" s="56">
        <f>IFERROR(INDEX($C$17:$C$23,MATCH(LARGE($K$17:$K$23,6),$K$17:$K$23,0)),"")</f>
        <v>6</v>
      </c>
      <c r="D11" s="56">
        <f>IFERROR(INDEX($D$17:$D$23,MATCH(LARGE($K$17:$K$23,6),$K$17:$K$23,0)),"")</f>
        <v>1</v>
      </c>
      <c r="E11" s="56">
        <f>IFERROR(INDEX($E$17:$E$23,MATCH(LARGE($K$17:$K$23,6),$K$17:$K$23,0)),"")</f>
        <v>2</v>
      </c>
      <c r="F11" s="56">
        <f>IFERROR(INDEX($F$17:$F$23,MATCH(LARGE($K$17:$K$23,6),$K$17:$K$23,0)),"")</f>
        <v>3</v>
      </c>
      <c r="G11" s="56">
        <f>IFERROR(INDEX($G$17:$G$23,MATCH(LARGE($K$17:$K$23,6),$K$17:$K$23,0)),"")</f>
        <v>9</v>
      </c>
      <c r="H11" s="56">
        <f>IFERROR(INDEX($H$17:$H$23,MATCH(LARGE($K$17:$K$23,6),$K$17:$K$23,0)),"")</f>
        <v>13</v>
      </c>
      <c r="I11" s="56">
        <f>IFERROR(INDEX($I$17:$I$23,MATCH(LARGE($K$17:$K$23,6),$K$17:$K$23,0)),"")</f>
        <v>-4</v>
      </c>
      <c r="J11" s="57">
        <f>IFERROR(INDEX($J$17:$J$23,MATCH(LARGE($K$17:$K$23,6),$K$17:$K$23,0)),"")</f>
        <v>5</v>
      </c>
      <c r="K11" s="58" t="str">
        <f>IF(6=1,"🥇 Turniersieger",IF(6=2,"🥈 Vize",IF(6=3,"🥉 3. Platz","")))</f>
        <v/>
      </c>
    </row>
    <row r="12" spans="1:11" ht="21.75" customHeight="1" x14ac:dyDescent="0.25">
      <c r="A12" s="59">
        <v>7</v>
      </c>
      <c r="B12" s="60" t="str">
        <f>IFERROR(INDEX($B$17:$B$23,MATCH(LARGE($K$17:$K$23,7),$K$17:$K$23,0)),"")</f>
        <v>Team Eta</v>
      </c>
      <c r="C12" s="61">
        <f>IFERROR(INDEX($C$17:$C$23,MATCH(LARGE($K$17:$K$23,7),$K$17:$K$23,0)),"")</f>
        <v>6</v>
      </c>
      <c r="D12" s="61">
        <f>IFERROR(INDEX($D$17:$D$23,MATCH(LARGE($K$17:$K$23,7),$K$17:$K$23,0)),"")</f>
        <v>0</v>
      </c>
      <c r="E12" s="61">
        <f>IFERROR(INDEX($E$17:$E$23,MATCH(LARGE($K$17:$K$23,7),$K$17:$K$23,0)),"")</f>
        <v>3</v>
      </c>
      <c r="F12" s="61">
        <f>IFERROR(INDEX($F$17:$F$23,MATCH(LARGE($K$17:$K$23,7),$K$17:$K$23,0)),"")</f>
        <v>3</v>
      </c>
      <c r="G12" s="61">
        <f>IFERROR(INDEX($G$17:$G$23,MATCH(LARGE($K$17:$K$23,7),$K$17:$K$23,0)),"")</f>
        <v>7</v>
      </c>
      <c r="H12" s="61">
        <f>IFERROR(INDEX($H$17:$H$23,MATCH(LARGE($K$17:$K$23,7),$K$17:$K$23,0)),"")</f>
        <v>11</v>
      </c>
      <c r="I12" s="61">
        <f>IFERROR(INDEX($I$17:$I$23,MATCH(LARGE($K$17:$K$23,7),$K$17:$K$23,0)),"")</f>
        <v>-4</v>
      </c>
      <c r="J12" s="62">
        <f>IFERROR(INDEX($J$17:$J$23,MATCH(LARGE($K$17:$K$23,7),$K$17:$K$23,0)),"")</f>
        <v>3</v>
      </c>
      <c r="K12" s="63" t="str">
        <f>IF(7=1,"🥇 Turniersieger",IF(7=2,"🥈 Vize",IF(7=3,"🥉 3. Platz","")))</f>
        <v/>
      </c>
    </row>
    <row r="15" spans="1:11" ht="19.5" customHeight="1" x14ac:dyDescent="0.25">
      <c r="A15" s="8" t="s">
        <v>71</v>
      </c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 ht="24" customHeight="1" x14ac:dyDescent="0.25">
      <c r="A16" s="64" t="s">
        <v>15</v>
      </c>
      <c r="B16" s="64" t="s">
        <v>16</v>
      </c>
      <c r="C16" s="64" t="s">
        <v>63</v>
      </c>
      <c r="D16" s="64" t="s">
        <v>64</v>
      </c>
      <c r="E16" s="64" t="s">
        <v>65</v>
      </c>
      <c r="F16" s="64" t="s">
        <v>66</v>
      </c>
      <c r="G16" s="64" t="s">
        <v>67</v>
      </c>
      <c r="H16" s="64" t="s">
        <v>68</v>
      </c>
      <c r="I16" s="64" t="s">
        <v>69</v>
      </c>
      <c r="J16" s="64" t="s">
        <v>70</v>
      </c>
      <c r="K16" s="64" t="s">
        <v>72</v>
      </c>
    </row>
    <row r="17" spans="1:11" ht="18.75" customHeight="1" x14ac:dyDescent="0.25">
      <c r="A17" s="65">
        <v>1</v>
      </c>
      <c r="B17" s="26" t="str">
        <f>IFERROR(INDEX(Spielplan!$B$11:$B$17,1),"")</f>
        <v>Team Alpha</v>
      </c>
      <c r="C17" s="21">
        <f>COUNTIFS(Spielplan!$E$23:$E$49,$B$17,Spielplan!$F$23:$F$49,"&lt;&gt;")+COUNTIFS(Spielplan!$I$23:$I$49,$B$17,Spielplan!$H$23:$H$49,"&lt;&gt;")</f>
        <v>6</v>
      </c>
      <c r="D17" s="21">
        <f>COUNTIFS(Spielplan!$E$23:$E$49,$B$17,Spielplan!$K$23:$K$49,3)+COUNTIFS(Spielplan!$I$23:$I$49,$B$17,Spielplan!$L$23:$L$49,3)</f>
        <v>4</v>
      </c>
      <c r="E17" s="21">
        <f>COUNTIFS(Spielplan!$E$23:$E$49,$B$17,Spielplan!$K$23:$K$49,1)+COUNTIFS(Spielplan!$I$23:$I$49,$B$17,Spielplan!$L$23:$L$49,1)</f>
        <v>2</v>
      </c>
      <c r="F17" s="21">
        <f>COUNTIFS(Spielplan!$E$23:$E$49,$B$17,Spielplan!$K$23:$K$49,0)+COUNTIFS(Spielplan!$I$23:$I$49,$B$17,Spielplan!$L$23:$L$49,0)</f>
        <v>0</v>
      </c>
      <c r="G17" s="21">
        <f>SUMIFS(Spielplan!$F$23:$F$49,Spielplan!$E$23:$E$49,$B$17)+SUMIFS(Spielplan!$H$23:$H$49,Spielplan!$I$23:$I$49,$B$17)</f>
        <v>13</v>
      </c>
      <c r="H17" s="21">
        <f>SUMIFS(Spielplan!$H$23:$H$49,Spielplan!$E$23:$E$49,$B$17)+SUMIFS(Spielplan!$F$23:$F$49,Spielplan!$I$23:$I$49,$B$17)</f>
        <v>6</v>
      </c>
      <c r="I17" s="21">
        <f t="shared" ref="I17:I23" si="0">G17-H17</f>
        <v>7</v>
      </c>
      <c r="J17" s="66">
        <f>SUMIFS(Spielplan!$K$23:$K$49,Spielplan!$E$23:$E$49,$B$17)+SUMIFS(Spielplan!$L$23:$L$49,Spielplan!$I$23:$I$49,$B$17)</f>
        <v>14</v>
      </c>
      <c r="K17" s="22">
        <f t="shared" ref="K17:K23" si="1">J17*1000000+(I17+1000)*1000+G17*10+(8-A17)</f>
        <v>15007137</v>
      </c>
    </row>
    <row r="18" spans="1:11" ht="18.75" customHeight="1" x14ac:dyDescent="0.25">
      <c r="A18" s="65">
        <v>2</v>
      </c>
      <c r="B18" s="35" t="str">
        <f>IFERROR(INDEX(Spielplan!$B$11:$B$17,2),"")</f>
        <v>Team Beta</v>
      </c>
      <c r="C18" s="31">
        <f>COUNTIFS(Spielplan!$E$23:$E$49,$B$18,Spielplan!$F$23:$F$49,"&lt;&gt;")+COUNTIFS(Spielplan!$I$23:$I$49,$B$18,Spielplan!$H$23:$H$49,"&lt;&gt;")</f>
        <v>6</v>
      </c>
      <c r="D18" s="31">
        <f>COUNTIFS(Spielplan!$E$23:$E$49,$B$18,Spielplan!$K$23:$K$49,3)+COUNTIFS(Spielplan!$I$23:$I$49,$B$18,Spielplan!$L$23:$L$49,3)</f>
        <v>4</v>
      </c>
      <c r="E18" s="31">
        <f>COUNTIFS(Spielplan!$E$23:$E$49,$B$18,Spielplan!$K$23:$K$49,1)+COUNTIFS(Spielplan!$I$23:$I$49,$B$18,Spielplan!$L$23:$L$49,1)</f>
        <v>1</v>
      </c>
      <c r="F18" s="31">
        <f>COUNTIFS(Spielplan!$E$23:$E$49,$B$18,Spielplan!$K$23:$K$49,0)+COUNTIFS(Spielplan!$I$23:$I$49,$B$18,Spielplan!$L$23:$L$49,0)</f>
        <v>1</v>
      </c>
      <c r="G18" s="31">
        <f>SUMIFS(Spielplan!$F$23:$F$49,Spielplan!$E$23:$E$49,$B$18)+SUMIFS(Spielplan!$H$23:$H$49,Spielplan!$I$23:$I$49,$B$18)</f>
        <v>10</v>
      </c>
      <c r="H18" s="31">
        <f>SUMIFS(Spielplan!$H$23:$H$49,Spielplan!$E$23:$E$49,$B$18)+SUMIFS(Spielplan!$F$23:$F$49,Spielplan!$I$23:$I$49,$B$18)</f>
        <v>5</v>
      </c>
      <c r="I18" s="31">
        <f t="shared" si="0"/>
        <v>5</v>
      </c>
      <c r="J18" s="67">
        <f>SUMIFS(Spielplan!$K$23:$K$49,Spielplan!$E$23:$E$49,$B$18)+SUMIFS(Spielplan!$L$23:$L$49,Spielplan!$I$23:$I$49,$B$18)</f>
        <v>13</v>
      </c>
      <c r="K18" s="32">
        <f t="shared" si="1"/>
        <v>14005106</v>
      </c>
    </row>
    <row r="19" spans="1:11" ht="18.75" customHeight="1" x14ac:dyDescent="0.25">
      <c r="A19" s="65">
        <v>3</v>
      </c>
      <c r="B19" s="26" t="str">
        <f>IFERROR(INDEX(Spielplan!$B$11:$B$17,3),"")</f>
        <v>Team Gamma</v>
      </c>
      <c r="C19" s="21">
        <f>COUNTIFS(Spielplan!$E$23:$E$49,$B$19,Spielplan!$F$23:$F$49,"&lt;&gt;")+COUNTIFS(Spielplan!$I$23:$I$49,$B$19,Spielplan!$H$23:$H$49,"&lt;&gt;")</f>
        <v>6</v>
      </c>
      <c r="D19" s="21">
        <f>COUNTIFS(Spielplan!$E$23:$E$49,$B$19,Spielplan!$K$23:$K$49,3)+COUNTIFS(Spielplan!$I$23:$I$49,$B$19,Spielplan!$L$23:$L$49,3)</f>
        <v>1</v>
      </c>
      <c r="E19" s="21">
        <f>COUNTIFS(Spielplan!$E$23:$E$49,$B$19,Spielplan!$K$23:$K$49,1)+COUNTIFS(Spielplan!$I$23:$I$49,$B$19,Spielplan!$L$23:$L$49,1)</f>
        <v>2</v>
      </c>
      <c r="F19" s="21">
        <f>COUNTIFS(Spielplan!$E$23:$E$49,$B$19,Spielplan!$K$23:$K$49,0)+COUNTIFS(Spielplan!$I$23:$I$49,$B$19,Spielplan!$L$23:$L$49,0)</f>
        <v>3</v>
      </c>
      <c r="G19" s="21">
        <f>SUMIFS(Spielplan!$F$23:$F$49,Spielplan!$E$23:$E$49,$B$19)+SUMIFS(Spielplan!$H$23:$H$49,Spielplan!$I$23:$I$49,$B$19)</f>
        <v>9</v>
      </c>
      <c r="H19" s="21">
        <f>SUMIFS(Spielplan!$H$23:$H$49,Spielplan!$E$23:$E$49,$B$19)+SUMIFS(Spielplan!$F$23:$F$49,Spielplan!$I$23:$I$49,$B$19)</f>
        <v>13</v>
      </c>
      <c r="I19" s="21">
        <f t="shared" si="0"/>
        <v>-4</v>
      </c>
      <c r="J19" s="66">
        <f>SUMIFS(Spielplan!$K$23:$K$49,Spielplan!$E$23:$E$49,$B$19)+SUMIFS(Spielplan!$L$23:$L$49,Spielplan!$I$23:$I$49,$B$19)</f>
        <v>5</v>
      </c>
      <c r="K19" s="22">
        <f t="shared" si="1"/>
        <v>5996095</v>
      </c>
    </row>
    <row r="20" spans="1:11" ht="18.75" customHeight="1" x14ac:dyDescent="0.25">
      <c r="A20" s="65">
        <v>4</v>
      </c>
      <c r="B20" s="35" t="str">
        <f>IFERROR(INDEX(Spielplan!$B$11:$B$17,4),"")</f>
        <v>Team Delta</v>
      </c>
      <c r="C20" s="31">
        <f>COUNTIFS(Spielplan!$E$23:$E$49,$B$20,Spielplan!$F$23:$F$49,"&lt;&gt;")+COUNTIFS(Spielplan!$I$23:$I$49,$B$20,Spielplan!$H$23:$H$49,"&lt;&gt;")</f>
        <v>6</v>
      </c>
      <c r="D20" s="31">
        <f>COUNTIFS(Spielplan!$E$23:$E$49,$B$20,Spielplan!$K$23:$K$49,3)+COUNTIFS(Spielplan!$I$23:$I$49,$B$20,Spielplan!$L$23:$L$49,3)</f>
        <v>3</v>
      </c>
      <c r="E20" s="31">
        <f>COUNTIFS(Spielplan!$E$23:$E$49,$B$20,Spielplan!$K$23:$K$49,1)+COUNTIFS(Spielplan!$I$23:$I$49,$B$20,Spielplan!$L$23:$L$49,1)</f>
        <v>2</v>
      </c>
      <c r="F20" s="31">
        <f>COUNTIFS(Spielplan!$E$23:$E$49,$B$20,Spielplan!$K$23:$K$49,0)+COUNTIFS(Spielplan!$I$23:$I$49,$B$20,Spielplan!$L$23:$L$49,0)</f>
        <v>1</v>
      </c>
      <c r="G20" s="31">
        <f>SUMIFS(Spielplan!$F$23:$F$49,Spielplan!$E$23:$E$49,$B$20)+SUMIFS(Spielplan!$H$23:$H$49,Spielplan!$I$23:$I$49,$B$20)</f>
        <v>12</v>
      </c>
      <c r="H20" s="31">
        <f>SUMIFS(Spielplan!$H$23:$H$49,Spielplan!$E$23:$E$49,$B$20)+SUMIFS(Spielplan!$F$23:$F$49,Spielplan!$I$23:$I$49,$B$20)</f>
        <v>9</v>
      </c>
      <c r="I20" s="31">
        <f t="shared" si="0"/>
        <v>3</v>
      </c>
      <c r="J20" s="67">
        <f>SUMIFS(Spielplan!$K$23:$K$49,Spielplan!$E$23:$E$49,$B$20)+SUMIFS(Spielplan!$L$23:$L$49,Spielplan!$I$23:$I$49,$B$20)</f>
        <v>11</v>
      </c>
      <c r="K20" s="32">
        <f t="shared" si="1"/>
        <v>12003124</v>
      </c>
    </row>
    <row r="21" spans="1:11" ht="18.75" customHeight="1" x14ac:dyDescent="0.25">
      <c r="A21" s="65">
        <v>5</v>
      </c>
      <c r="B21" s="26" t="str">
        <f>IFERROR(INDEX(Spielplan!$B$11:$B$17,5),"")</f>
        <v>Team Epsilon</v>
      </c>
      <c r="C21" s="21">
        <f>COUNTIFS(Spielplan!$E$23:$E$49,$B$21,Spielplan!$F$23:$F$49,"&lt;&gt;")+COUNTIFS(Spielplan!$I$23:$I$49,$B$21,Spielplan!$H$23:$H$49,"&lt;&gt;")</f>
        <v>6</v>
      </c>
      <c r="D21" s="21">
        <f>COUNTIFS(Spielplan!$E$23:$E$49,$B$21,Spielplan!$K$23:$K$49,3)+COUNTIFS(Spielplan!$I$23:$I$49,$B$21,Spielplan!$L$23:$L$49,3)</f>
        <v>2</v>
      </c>
      <c r="E21" s="21">
        <f>COUNTIFS(Spielplan!$E$23:$E$49,$B$21,Spielplan!$K$23:$K$49,1)+COUNTIFS(Spielplan!$I$23:$I$49,$B$21,Spielplan!$L$23:$L$49,1)</f>
        <v>0</v>
      </c>
      <c r="F21" s="21">
        <f>COUNTIFS(Spielplan!$E$23:$E$49,$B$21,Spielplan!$K$23:$K$49,0)+COUNTIFS(Spielplan!$I$23:$I$49,$B$21,Spielplan!$L$23:$L$49,0)</f>
        <v>4</v>
      </c>
      <c r="G21" s="21">
        <f>SUMIFS(Spielplan!$F$23:$F$49,Spielplan!$E$23:$E$49,$B$21)+SUMIFS(Spielplan!$H$23:$H$49,Spielplan!$I$23:$I$49,$B$21)</f>
        <v>6</v>
      </c>
      <c r="H21" s="21">
        <f>SUMIFS(Spielplan!$H$23:$H$49,Spielplan!$E$23:$E$49,$B$21)+SUMIFS(Spielplan!$F$23:$F$49,Spielplan!$I$23:$I$49,$B$21)</f>
        <v>12</v>
      </c>
      <c r="I21" s="21">
        <f t="shared" si="0"/>
        <v>-6</v>
      </c>
      <c r="J21" s="66">
        <f>SUMIFS(Spielplan!$K$23:$K$49,Spielplan!$E$23:$E$49,$B$21)+SUMIFS(Spielplan!$L$23:$L$49,Spielplan!$I$23:$I$49,$B$21)</f>
        <v>6</v>
      </c>
      <c r="K21" s="22">
        <f t="shared" si="1"/>
        <v>6994063</v>
      </c>
    </row>
    <row r="22" spans="1:11" ht="18.75" customHeight="1" x14ac:dyDescent="0.25">
      <c r="A22" s="65">
        <v>6</v>
      </c>
      <c r="B22" s="35" t="str">
        <f>IFERROR(INDEX(Spielplan!$B$11:$B$17,6),"")</f>
        <v>Team Zeta</v>
      </c>
      <c r="C22" s="31">
        <f>COUNTIFS(Spielplan!$E$23:$E$49,$B$22,Spielplan!$F$23:$F$49,"&lt;&gt;")+COUNTIFS(Spielplan!$I$23:$I$49,$B$22,Spielplan!$H$23:$H$49,"&lt;&gt;")</f>
        <v>6</v>
      </c>
      <c r="D22" s="31">
        <f>COUNTIFS(Spielplan!$E$23:$E$49,$B$22,Spielplan!$K$23:$K$49,3)+COUNTIFS(Spielplan!$I$23:$I$49,$B$22,Spielplan!$L$23:$L$49,3)</f>
        <v>1</v>
      </c>
      <c r="E22" s="31">
        <f>COUNTIFS(Spielplan!$E$23:$E$49,$B$22,Spielplan!$K$23:$K$49,1)+COUNTIFS(Spielplan!$I$23:$I$49,$B$22,Spielplan!$L$23:$L$49,1)</f>
        <v>2</v>
      </c>
      <c r="F22" s="31">
        <f>COUNTIFS(Spielplan!$E$23:$E$49,$B$22,Spielplan!$K$23:$K$49,0)+COUNTIFS(Spielplan!$I$23:$I$49,$B$22,Spielplan!$L$23:$L$49,0)</f>
        <v>3</v>
      </c>
      <c r="G22" s="31">
        <f>SUMIFS(Spielplan!$F$23:$F$49,Spielplan!$E$23:$E$49,$B$22)+SUMIFS(Spielplan!$H$23:$H$49,Spielplan!$I$23:$I$49,$B$22)</f>
        <v>5</v>
      </c>
      <c r="H22" s="31">
        <f>SUMIFS(Spielplan!$H$23:$H$49,Spielplan!$E$23:$E$49,$B$22)+SUMIFS(Spielplan!$F$23:$F$49,Spielplan!$I$23:$I$49,$B$22)</f>
        <v>6</v>
      </c>
      <c r="I22" s="31">
        <f t="shared" si="0"/>
        <v>-1</v>
      </c>
      <c r="J22" s="67">
        <f>SUMIFS(Spielplan!$K$23:$K$49,Spielplan!$E$23:$E$49,$B$22)+SUMIFS(Spielplan!$L$23:$L$49,Spielplan!$I$23:$I$49,$B$22)</f>
        <v>5</v>
      </c>
      <c r="K22" s="32">
        <f t="shared" si="1"/>
        <v>5999052</v>
      </c>
    </row>
    <row r="23" spans="1:11" ht="18.75" customHeight="1" x14ac:dyDescent="0.25">
      <c r="A23" s="65">
        <v>7</v>
      </c>
      <c r="B23" s="26" t="str">
        <f>IFERROR(INDEX(Spielplan!$B$11:$B$17,7),"")</f>
        <v>Team Eta</v>
      </c>
      <c r="C23" s="21">
        <f>COUNTIFS(Spielplan!$E$23:$E$49,$B$23,Spielplan!$F$23:$F$49,"&lt;&gt;")+COUNTIFS(Spielplan!$I$23:$I$49,$B$23,Spielplan!$H$23:$H$49,"&lt;&gt;")</f>
        <v>6</v>
      </c>
      <c r="D23" s="21">
        <f>COUNTIFS(Spielplan!$E$23:$E$49,$B$23,Spielplan!$K$23:$K$49,3)+COUNTIFS(Spielplan!$I$23:$I$49,$B$23,Spielplan!$L$23:$L$49,3)</f>
        <v>0</v>
      </c>
      <c r="E23" s="21">
        <f>COUNTIFS(Spielplan!$E$23:$E$49,$B$23,Spielplan!$K$23:$K$49,1)+COUNTIFS(Spielplan!$I$23:$I$49,$B$23,Spielplan!$L$23:$L$49,1)</f>
        <v>3</v>
      </c>
      <c r="F23" s="21">
        <f>COUNTIFS(Spielplan!$E$23:$E$49,$B$23,Spielplan!$K$23:$K$49,0)+COUNTIFS(Spielplan!$I$23:$I$49,$B$23,Spielplan!$L$23:$L$49,0)</f>
        <v>3</v>
      </c>
      <c r="G23" s="21">
        <f>SUMIFS(Spielplan!$F$23:$F$49,Spielplan!$E$23:$E$49,$B$23)+SUMIFS(Spielplan!$H$23:$H$49,Spielplan!$I$23:$I$49,$B$23)</f>
        <v>7</v>
      </c>
      <c r="H23" s="21">
        <f>SUMIFS(Spielplan!$H$23:$H$49,Spielplan!$E$23:$E$49,$B$23)+SUMIFS(Spielplan!$F$23:$F$49,Spielplan!$I$23:$I$49,$B$23)</f>
        <v>11</v>
      </c>
      <c r="I23" s="21">
        <f t="shared" si="0"/>
        <v>-4</v>
      </c>
      <c r="J23" s="66">
        <f>SUMIFS(Spielplan!$K$23:$K$49,Spielplan!$E$23:$E$49,$B$23)+SUMIFS(Spielplan!$L$23:$L$49,Spielplan!$I$23:$I$49,$B$23)</f>
        <v>3</v>
      </c>
      <c r="K23" s="22">
        <f t="shared" si="1"/>
        <v>3996071</v>
      </c>
    </row>
    <row r="25" spans="1:11" x14ac:dyDescent="0.25">
      <c r="A25" s="6" t="s">
        <v>73</v>
      </c>
      <c r="B25" s="6"/>
      <c r="C25" s="6"/>
      <c r="D25" s="6"/>
      <c r="E25" s="6"/>
      <c r="F25" s="6"/>
      <c r="G25" s="6"/>
      <c r="H25" s="6"/>
      <c r="I25" s="6"/>
      <c r="J25" s="6"/>
      <c r="K25" s="6"/>
    </row>
  </sheetData>
  <mergeCells count="5">
    <mergeCell ref="A1:K1"/>
    <mergeCell ref="A2:K2"/>
    <mergeCell ref="A4:K4"/>
    <mergeCell ref="A15:K15"/>
    <mergeCell ref="A25:K25"/>
  </mergeCells>
  <conditionalFormatting sqref="J6:J12">
    <cfRule type="dataBar" priority="2">
      <dataBar>
        <cfvo type="num" val="0"/>
        <cfvo type="max"/>
        <color rgb="FF1B6F69"/>
      </dataBar>
      <extLst>
        <ext xmlns:x14="http://schemas.microsoft.com/office/spreadsheetml/2009/9/main" uri="{B025F937-C7B1-47D3-B67F-A62EFF666E3E}">
          <x14:id>{BE1D2856-1471-47F0-BDAD-BEC86B98C0CC}</x14:id>
        </ext>
      </extLst>
    </cfRule>
  </conditionalFormatting>
  <pageMargins left="0.3" right="0.3" top="1" bottom="1" header="0.511811023622047" footer="0.511811023622047"/>
  <pageSetup fitToHeight="0" orientation="landscape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E1D2856-1471-47F0-BDAD-BEC86B98C0CC}">
            <x14:dataBar axisPosition="none">
              <x14:cfvo type="num">
                <xm:f>0</xm:f>
              </x14:cfvo>
              <x14:cfvo type="max"/>
              <x14:negativeFillColor rgb="FF1B6F69"/>
            </x14:dataBar>
          </x14:cfRule>
          <xm:sqref>J6:J12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1B6F69"/>
    <pageSetUpPr fitToPage="1"/>
  </sheetPr>
  <dimension ref="A1:J13"/>
  <sheetViews>
    <sheetView showGridLines="0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J1"/>
    </sheetView>
  </sheetViews>
  <sheetFormatPr baseColWidth="10" defaultColWidth="8.7109375" defaultRowHeight="15" x14ac:dyDescent="0.25"/>
  <cols>
    <col min="1" max="1" width="4" customWidth="1"/>
    <col min="2" max="2" width="20" customWidth="1"/>
    <col min="3" max="9" width="11" customWidth="1"/>
    <col min="10" max="10" width="4" customWidth="1"/>
  </cols>
  <sheetData>
    <row r="1" spans="1:10" ht="39.75" customHeight="1" x14ac:dyDescent="0.25">
      <c r="A1" s="14" t="s">
        <v>74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19.5" customHeight="1" x14ac:dyDescent="0.25">
      <c r="A2" s="13" t="s">
        <v>75</v>
      </c>
      <c r="B2" s="13"/>
      <c r="C2" s="13"/>
      <c r="D2" s="13"/>
      <c r="E2" s="13"/>
      <c r="F2" s="13"/>
      <c r="G2" s="13"/>
      <c r="H2" s="13"/>
      <c r="I2" s="13"/>
      <c r="J2" s="13"/>
    </row>
    <row r="4" spans="1:10" ht="33.75" customHeight="1" x14ac:dyDescent="0.25">
      <c r="A4" s="1" t="s">
        <v>76</v>
      </c>
      <c r="B4" s="1"/>
      <c r="C4" s="64" t="str">
        <f>IFERROR(INDEX(Spielplan!$B$11:$B$17,1),"")</f>
        <v>Team Alpha</v>
      </c>
      <c r="D4" s="64" t="str">
        <f>IFERROR(INDEX(Spielplan!$B$11:$B$17,2),"")</f>
        <v>Team Beta</v>
      </c>
      <c r="E4" s="64" t="str">
        <f>IFERROR(INDEX(Spielplan!$B$11:$B$17,3),"")</f>
        <v>Team Gamma</v>
      </c>
      <c r="F4" s="64" t="str">
        <f>IFERROR(INDEX(Spielplan!$B$11:$B$17,4),"")</f>
        <v>Team Delta</v>
      </c>
      <c r="G4" s="64" t="str">
        <f>IFERROR(INDEX(Spielplan!$B$11:$B$17,5),"")</f>
        <v>Team Epsilon</v>
      </c>
      <c r="H4" s="64" t="str">
        <f>IFERROR(INDEX(Spielplan!$B$11:$B$17,6),"")</f>
        <v>Team Zeta</v>
      </c>
      <c r="I4" s="64" t="str">
        <f>IFERROR(INDEX(Spielplan!$B$11:$B$17,7),"")</f>
        <v>Team Eta</v>
      </c>
    </row>
    <row r="5" spans="1:10" ht="21.75" customHeight="1" x14ac:dyDescent="0.25">
      <c r="A5" s="68">
        <v>1</v>
      </c>
      <c r="B5" s="69" t="str">
        <f>IFERROR(INDEX(Spielplan!$B$11:$B$17,1),"")</f>
        <v>Team Alpha</v>
      </c>
      <c r="C5" s="70" t="s">
        <v>77</v>
      </c>
      <c r="D5" s="56" t="str">
        <f>IFERROR(IF(INDEX(Spielplan!$F$23:$F$49,MATCH("1-2",Spielplan!$N$23:$N$49,0))="","–",INDEX(Spielplan!$F$23:$F$49,MATCH("1-2",Spielplan!$N$23:$N$49,0))&amp;":"&amp;INDEX(Spielplan!$H$23:$H$49,MATCH("1-2",Spielplan!$N$23:$N$49,0))),IFERROR(IF(INDEX(Spielplan!$F$23:$F$49,MATCH("2-1",Spielplan!$N$23:$N$49,0))="","–",INDEX(Spielplan!$H$23:$H$49,MATCH("2-1",Spielplan!$N$23:$N$49,0))&amp;":"&amp;INDEX(Spielplan!$F$23:$F$49,MATCH("2-1",Spielplan!$N$23:$N$49,0))),""))</f>
        <v>2:1</v>
      </c>
      <c r="E5" s="61" t="str">
        <f>IFERROR(IF(INDEX(Spielplan!$F$23:$F$49,MATCH("1-3",Spielplan!$N$23:$N$49,0))="","–",INDEX(Spielplan!$F$23:$F$49,MATCH("1-3",Spielplan!$N$23:$N$49,0))&amp;":"&amp;INDEX(Spielplan!$H$23:$H$49,MATCH("1-3",Spielplan!$N$23:$N$49,0))),IFERROR(IF(INDEX(Spielplan!$F$23:$F$49,MATCH("3-1",Spielplan!$N$23:$N$49,0))="","–",INDEX(Spielplan!$H$23:$H$49,MATCH("3-1",Spielplan!$N$23:$N$49,0))&amp;":"&amp;INDEX(Spielplan!$F$23:$F$49,MATCH("3-1",Spielplan!$N$23:$N$49,0))),""))</f>
        <v>3:2</v>
      </c>
      <c r="F5" s="56" t="str">
        <f>IFERROR(IF(INDEX(Spielplan!$F$23:$F$49,MATCH("1-4",Spielplan!$N$23:$N$49,0))="","–",INDEX(Spielplan!$F$23:$F$49,MATCH("1-4",Spielplan!$N$23:$N$49,0))&amp;":"&amp;INDEX(Spielplan!$H$23:$H$49,MATCH("1-4",Spielplan!$N$23:$N$49,0))),IFERROR(IF(INDEX(Spielplan!$F$23:$F$49,MATCH("4-1",Spielplan!$N$23:$N$49,0))="","–",INDEX(Spielplan!$H$23:$H$49,MATCH("4-1",Spielplan!$N$23:$N$49,0))&amp;":"&amp;INDEX(Spielplan!$F$23:$F$49,MATCH("4-1",Spielplan!$N$23:$N$49,0))),""))</f>
        <v>1:0</v>
      </c>
      <c r="G5" s="61" t="str">
        <f>IFERROR(IF(INDEX(Spielplan!$F$23:$F$49,MATCH("1-5",Spielplan!$N$23:$N$49,0))="","–",INDEX(Spielplan!$F$23:$F$49,MATCH("1-5",Spielplan!$N$23:$N$49,0))&amp;":"&amp;INDEX(Spielplan!$H$23:$H$49,MATCH("1-5",Spielplan!$N$23:$N$49,0))),IFERROR(IF(INDEX(Spielplan!$F$23:$F$49,MATCH("5-1",Spielplan!$N$23:$N$49,0))="","–",INDEX(Spielplan!$H$23:$H$49,MATCH("5-1",Spielplan!$N$23:$N$49,0))&amp;":"&amp;INDEX(Spielplan!$F$23:$F$49,MATCH("5-1",Spielplan!$N$23:$N$49,0))),""))</f>
        <v>4:0</v>
      </c>
      <c r="H5" s="56" t="str">
        <f>IFERROR(IF(INDEX(Spielplan!$F$23:$F$49,MATCH("1-6",Spielplan!$N$23:$N$49,0))="","–",INDEX(Spielplan!$F$23:$F$49,MATCH("1-6",Spielplan!$N$23:$N$49,0))&amp;":"&amp;INDEX(Spielplan!$H$23:$H$49,MATCH("1-6",Spielplan!$N$23:$N$49,0))),IFERROR(IF(INDEX(Spielplan!$F$23:$F$49,MATCH("6-1",Spielplan!$N$23:$N$49,0))="","–",INDEX(Spielplan!$H$23:$H$49,MATCH("6-1",Spielplan!$N$23:$N$49,0))&amp;":"&amp;INDEX(Spielplan!$F$23:$F$49,MATCH("6-1",Spielplan!$N$23:$N$49,0))),""))</f>
        <v>2:2</v>
      </c>
      <c r="I5" s="61" t="str">
        <f>IFERROR(IF(INDEX(Spielplan!$F$23:$F$49,MATCH("1-7",Spielplan!$N$23:$N$49,0))="","–",INDEX(Spielplan!$F$23:$F$49,MATCH("1-7",Spielplan!$N$23:$N$49,0))&amp;":"&amp;INDEX(Spielplan!$H$23:$H$49,MATCH("1-7",Spielplan!$N$23:$N$49,0))),IFERROR(IF(INDEX(Spielplan!$F$23:$F$49,MATCH("7-1",Spielplan!$N$23:$N$49,0))="","–",INDEX(Spielplan!$H$23:$H$49,MATCH("7-1",Spielplan!$N$23:$N$49,0))&amp;":"&amp;INDEX(Spielplan!$F$23:$F$49,MATCH("7-1",Spielplan!$N$23:$N$49,0))),""))</f>
        <v>1:1</v>
      </c>
    </row>
    <row r="6" spans="1:10" ht="21.75" customHeight="1" x14ac:dyDescent="0.25">
      <c r="A6" s="68">
        <v>2</v>
      </c>
      <c r="B6" s="69" t="str">
        <f>IFERROR(INDEX(Spielplan!$B$11:$B$17,2),"")</f>
        <v>Team Beta</v>
      </c>
      <c r="C6" s="56" t="str">
        <f>IFERROR(IF(INDEX(Spielplan!$F$23:$F$49,MATCH("2-1",Spielplan!$N$23:$N$49,0))="","–",INDEX(Spielplan!$F$23:$F$49,MATCH("2-1",Spielplan!$N$23:$N$49,0))&amp;":"&amp;INDEX(Spielplan!$H$23:$H$49,MATCH("2-1",Spielplan!$N$23:$N$49,0))),IFERROR(IF(INDEX(Spielplan!$F$23:$F$49,MATCH("1-2",Spielplan!$N$23:$N$49,0))="","–",INDEX(Spielplan!$H$23:$H$49,MATCH("1-2",Spielplan!$N$23:$N$49,0))&amp;":"&amp;INDEX(Spielplan!$F$23:$F$49,MATCH("1-2",Spielplan!$N$23:$N$49,0))),""))</f>
        <v>1:2</v>
      </c>
      <c r="D6" s="70" t="s">
        <v>77</v>
      </c>
      <c r="E6" s="56" t="str">
        <f>IFERROR(IF(INDEX(Spielplan!$F$23:$F$49,MATCH("2-3",Spielplan!$N$23:$N$49,0))="","–",INDEX(Spielplan!$F$23:$F$49,MATCH("2-3",Spielplan!$N$23:$N$49,0))&amp;":"&amp;INDEX(Spielplan!$H$23:$H$49,MATCH("2-3",Spielplan!$N$23:$N$49,0))),IFERROR(IF(INDEX(Spielplan!$F$23:$F$49,MATCH("3-2",Spielplan!$N$23:$N$49,0))="","–",INDEX(Spielplan!$H$23:$H$49,MATCH("3-2",Spielplan!$N$23:$N$49,0))&amp;":"&amp;INDEX(Spielplan!$F$23:$F$49,MATCH("3-2",Spielplan!$N$23:$N$49,0))),""))</f>
        <v>3:1</v>
      </c>
      <c r="F6" s="61" t="str">
        <f>IFERROR(IF(INDEX(Spielplan!$F$23:$F$49,MATCH("2-4",Spielplan!$N$23:$N$49,0))="","–",INDEX(Spielplan!$F$23:$F$49,MATCH("2-4",Spielplan!$N$23:$N$49,0))&amp;":"&amp;INDEX(Spielplan!$H$23:$H$49,MATCH("2-4",Spielplan!$N$23:$N$49,0))),IFERROR(IF(INDEX(Spielplan!$F$23:$F$49,MATCH("4-2",Spielplan!$N$23:$N$49,0))="","–",INDEX(Spielplan!$H$23:$H$49,MATCH("4-2",Spielplan!$N$23:$N$49,0))&amp;":"&amp;INDEX(Spielplan!$F$23:$F$49,MATCH("4-2",Spielplan!$N$23:$N$49,0))),""))</f>
        <v>1:1</v>
      </c>
      <c r="G6" s="56" t="str">
        <f>IFERROR(IF(INDEX(Spielplan!$F$23:$F$49,MATCH("2-5",Spielplan!$N$23:$N$49,0))="","–",INDEX(Spielplan!$F$23:$F$49,MATCH("2-5",Spielplan!$N$23:$N$49,0))&amp;":"&amp;INDEX(Spielplan!$H$23:$H$49,MATCH("2-5",Spielplan!$N$23:$N$49,0))),IFERROR(IF(INDEX(Spielplan!$F$23:$F$49,MATCH("5-2",Spielplan!$N$23:$N$49,0))="","–",INDEX(Spielplan!$H$23:$H$49,MATCH("5-2",Spielplan!$N$23:$N$49,0))&amp;":"&amp;INDEX(Spielplan!$F$23:$F$49,MATCH("5-2",Spielplan!$N$23:$N$49,0))),""))</f>
        <v>2:0</v>
      </c>
      <c r="H6" s="61" t="str">
        <f>IFERROR(IF(INDEX(Spielplan!$F$23:$F$49,MATCH("2-6",Spielplan!$N$23:$N$49,0))="","–",INDEX(Spielplan!$F$23:$F$49,MATCH("2-6",Spielplan!$N$23:$N$49,0))&amp;":"&amp;INDEX(Spielplan!$H$23:$H$49,MATCH("2-6",Spielplan!$N$23:$N$49,0))),IFERROR(IF(INDEX(Spielplan!$F$23:$F$49,MATCH("6-2",Spielplan!$N$23:$N$49,0))="","–",INDEX(Spielplan!$H$23:$H$49,MATCH("6-2",Spielplan!$N$23:$N$49,0))&amp;":"&amp;INDEX(Spielplan!$F$23:$F$49,MATCH("6-2",Spielplan!$N$23:$N$49,0))),""))</f>
        <v>1:0</v>
      </c>
      <c r="I6" s="56" t="str">
        <f>IFERROR(IF(INDEX(Spielplan!$F$23:$F$49,MATCH("2-7",Spielplan!$N$23:$N$49,0))="","–",INDEX(Spielplan!$F$23:$F$49,MATCH("2-7",Spielplan!$N$23:$N$49,0))&amp;":"&amp;INDEX(Spielplan!$H$23:$H$49,MATCH("2-7",Spielplan!$N$23:$N$49,0))),IFERROR(IF(INDEX(Spielplan!$F$23:$F$49,MATCH("7-2",Spielplan!$N$23:$N$49,0))="","–",INDEX(Spielplan!$H$23:$H$49,MATCH("7-2",Spielplan!$N$23:$N$49,0))&amp;":"&amp;INDEX(Spielplan!$F$23:$F$49,MATCH("7-2",Spielplan!$N$23:$N$49,0))),""))</f>
        <v>2:1</v>
      </c>
    </row>
    <row r="7" spans="1:10" ht="21.75" customHeight="1" x14ac:dyDescent="0.25">
      <c r="A7" s="68">
        <v>3</v>
      </c>
      <c r="B7" s="69" t="str">
        <f>IFERROR(INDEX(Spielplan!$B$11:$B$17,3),"")</f>
        <v>Team Gamma</v>
      </c>
      <c r="C7" s="61" t="str">
        <f>IFERROR(IF(INDEX(Spielplan!$F$23:$F$49,MATCH("3-1",Spielplan!$N$23:$N$49,0))="","–",INDEX(Spielplan!$F$23:$F$49,MATCH("3-1",Spielplan!$N$23:$N$49,0))&amp;":"&amp;INDEX(Spielplan!$H$23:$H$49,MATCH("3-1",Spielplan!$N$23:$N$49,0))),IFERROR(IF(INDEX(Spielplan!$F$23:$F$49,MATCH("1-3",Spielplan!$N$23:$N$49,0))="","–",INDEX(Spielplan!$H$23:$H$49,MATCH("1-3",Spielplan!$N$23:$N$49,0))&amp;":"&amp;INDEX(Spielplan!$F$23:$F$49,MATCH("1-3",Spielplan!$N$23:$N$49,0))),""))</f>
        <v>2:3</v>
      </c>
      <c r="D7" s="56" t="str">
        <f>IFERROR(IF(INDEX(Spielplan!$F$23:$F$49,MATCH("3-2",Spielplan!$N$23:$N$49,0))="","–",INDEX(Spielplan!$F$23:$F$49,MATCH("3-2",Spielplan!$N$23:$N$49,0))&amp;":"&amp;INDEX(Spielplan!$H$23:$H$49,MATCH("3-2",Spielplan!$N$23:$N$49,0))),IFERROR(IF(INDEX(Spielplan!$F$23:$F$49,MATCH("2-3",Spielplan!$N$23:$N$49,0))="","–",INDEX(Spielplan!$H$23:$H$49,MATCH("2-3",Spielplan!$N$23:$N$49,0))&amp;":"&amp;INDEX(Spielplan!$F$23:$F$49,MATCH("2-3",Spielplan!$N$23:$N$49,0))),""))</f>
        <v>1:3</v>
      </c>
      <c r="E7" s="70" t="s">
        <v>77</v>
      </c>
      <c r="F7" s="56" t="str">
        <f>IFERROR(IF(INDEX(Spielplan!$F$23:$F$49,MATCH("3-4",Spielplan!$N$23:$N$49,0))="","–",INDEX(Spielplan!$F$23:$F$49,MATCH("3-4",Spielplan!$N$23:$N$49,0))&amp;":"&amp;INDEX(Spielplan!$H$23:$H$49,MATCH("3-4",Spielplan!$N$23:$N$49,0))),IFERROR(IF(INDEX(Spielplan!$F$23:$F$49,MATCH("4-3",Spielplan!$N$23:$N$49,0))="","–",INDEX(Spielplan!$H$23:$H$49,MATCH("4-3",Spielplan!$N$23:$N$49,0))&amp;":"&amp;INDEX(Spielplan!$F$23:$F$49,MATCH("4-3",Spielplan!$N$23:$N$49,0))),""))</f>
        <v>1:3</v>
      </c>
      <c r="G7" s="61" t="str">
        <f>IFERROR(IF(INDEX(Spielplan!$F$23:$F$49,MATCH("3-5",Spielplan!$N$23:$N$49,0))="","–",INDEX(Spielplan!$F$23:$F$49,MATCH("3-5",Spielplan!$N$23:$N$49,0))&amp;":"&amp;INDEX(Spielplan!$H$23:$H$49,MATCH("3-5",Spielplan!$N$23:$N$49,0))),IFERROR(IF(INDEX(Spielplan!$F$23:$F$49,MATCH("5-3",Spielplan!$N$23:$N$49,0))="","–",INDEX(Spielplan!$H$23:$H$49,MATCH("5-3",Spielplan!$N$23:$N$49,0))&amp;":"&amp;INDEX(Spielplan!$F$23:$F$49,MATCH("5-3",Spielplan!$N$23:$N$49,0))),""))</f>
        <v>3:2</v>
      </c>
      <c r="H7" s="56" t="str">
        <f>IFERROR(IF(INDEX(Spielplan!$F$23:$F$49,MATCH("3-6",Spielplan!$N$23:$N$49,0))="","–",INDEX(Spielplan!$F$23:$F$49,MATCH("3-6",Spielplan!$N$23:$N$49,0))&amp;":"&amp;INDEX(Spielplan!$H$23:$H$49,MATCH("3-6",Spielplan!$N$23:$N$49,0))),IFERROR(IF(INDEX(Spielplan!$F$23:$F$49,MATCH("6-3",Spielplan!$N$23:$N$49,0))="","–",INDEX(Spielplan!$H$23:$H$49,MATCH("6-3",Spielplan!$N$23:$N$49,0))&amp;":"&amp;INDEX(Spielplan!$F$23:$F$49,MATCH("6-3",Spielplan!$N$23:$N$49,0))),""))</f>
        <v>0:0</v>
      </c>
      <c r="I7" s="61" t="str">
        <f>IFERROR(IF(INDEX(Spielplan!$F$23:$F$49,MATCH("3-7",Spielplan!$N$23:$N$49,0))="","–",INDEX(Spielplan!$F$23:$F$49,MATCH("3-7",Spielplan!$N$23:$N$49,0))&amp;":"&amp;INDEX(Spielplan!$H$23:$H$49,MATCH("3-7",Spielplan!$N$23:$N$49,0))),IFERROR(IF(INDEX(Spielplan!$F$23:$F$49,MATCH("7-3",Spielplan!$N$23:$N$49,0))="","–",INDEX(Spielplan!$H$23:$H$49,MATCH("7-3",Spielplan!$N$23:$N$49,0))&amp;":"&amp;INDEX(Spielplan!$F$23:$F$49,MATCH("7-3",Spielplan!$N$23:$N$49,0))),""))</f>
        <v>2:2</v>
      </c>
    </row>
    <row r="8" spans="1:10" ht="21.75" customHeight="1" x14ac:dyDescent="0.25">
      <c r="A8" s="68">
        <v>4</v>
      </c>
      <c r="B8" s="69" t="str">
        <f>IFERROR(INDEX(Spielplan!$B$11:$B$17,4),"")</f>
        <v>Team Delta</v>
      </c>
      <c r="C8" s="56" t="str">
        <f>IFERROR(IF(INDEX(Spielplan!$F$23:$F$49,MATCH("4-1",Spielplan!$N$23:$N$49,0))="","–",INDEX(Spielplan!$F$23:$F$49,MATCH("4-1",Spielplan!$N$23:$N$49,0))&amp;":"&amp;INDEX(Spielplan!$H$23:$H$49,MATCH("4-1",Spielplan!$N$23:$N$49,0))),IFERROR(IF(INDEX(Spielplan!$F$23:$F$49,MATCH("1-4",Spielplan!$N$23:$N$49,0))="","–",INDEX(Spielplan!$H$23:$H$49,MATCH("1-4",Spielplan!$N$23:$N$49,0))&amp;":"&amp;INDEX(Spielplan!$F$23:$F$49,MATCH("1-4",Spielplan!$N$23:$N$49,0))),""))</f>
        <v>0:1</v>
      </c>
      <c r="D8" s="61" t="str">
        <f>IFERROR(IF(INDEX(Spielplan!$F$23:$F$49,MATCH("4-2",Spielplan!$N$23:$N$49,0))="","–",INDEX(Spielplan!$F$23:$F$49,MATCH("4-2",Spielplan!$N$23:$N$49,0))&amp;":"&amp;INDEX(Spielplan!$H$23:$H$49,MATCH("4-2",Spielplan!$N$23:$N$49,0))),IFERROR(IF(INDEX(Spielplan!$F$23:$F$49,MATCH("2-4",Spielplan!$N$23:$N$49,0))="","–",INDEX(Spielplan!$H$23:$H$49,MATCH("2-4",Spielplan!$N$23:$N$49,0))&amp;":"&amp;INDEX(Spielplan!$F$23:$F$49,MATCH("2-4",Spielplan!$N$23:$N$49,0))),""))</f>
        <v>1:1</v>
      </c>
      <c r="E8" s="56" t="str">
        <f>IFERROR(IF(INDEX(Spielplan!$F$23:$F$49,MATCH("4-3",Spielplan!$N$23:$N$49,0))="","–",INDEX(Spielplan!$F$23:$F$49,MATCH("4-3",Spielplan!$N$23:$N$49,0))&amp;":"&amp;INDEX(Spielplan!$H$23:$H$49,MATCH("4-3",Spielplan!$N$23:$N$49,0))),IFERROR(IF(INDEX(Spielplan!$F$23:$F$49,MATCH("3-4",Spielplan!$N$23:$N$49,0))="","–",INDEX(Spielplan!$H$23:$H$49,MATCH("3-4",Spielplan!$N$23:$N$49,0))&amp;":"&amp;INDEX(Spielplan!$F$23:$F$49,MATCH("3-4",Spielplan!$N$23:$N$49,0))),""))</f>
        <v>3:1</v>
      </c>
      <c r="F8" s="70" t="s">
        <v>77</v>
      </c>
      <c r="G8" s="56" t="str">
        <f>IFERROR(IF(INDEX(Spielplan!$F$23:$F$49,MATCH("4-5",Spielplan!$N$23:$N$49,0))="","–",INDEX(Spielplan!$F$23:$F$49,MATCH("4-5",Spielplan!$N$23:$N$49,0))&amp;":"&amp;INDEX(Spielplan!$H$23:$H$49,MATCH("4-5",Spielplan!$N$23:$N$49,0))),IFERROR(IF(INDEX(Spielplan!$F$23:$F$49,MATCH("5-4",Spielplan!$N$23:$N$49,0))="","–",INDEX(Spielplan!$H$23:$H$49,MATCH("5-4",Spielplan!$N$23:$N$49,0))&amp;":"&amp;INDEX(Spielplan!$F$23:$F$49,MATCH("5-4",Spielplan!$N$23:$N$49,0))),""))</f>
        <v>3:2</v>
      </c>
      <c r="H8" s="61" t="str">
        <f>IFERROR(IF(INDEX(Spielplan!$F$23:$F$49,MATCH("4-6",Spielplan!$N$23:$N$49,0))="","–",INDEX(Spielplan!$F$23:$F$49,MATCH("4-6",Spielplan!$N$23:$N$49,0))&amp;":"&amp;INDEX(Spielplan!$H$23:$H$49,MATCH("4-6",Spielplan!$N$23:$N$49,0))),IFERROR(IF(INDEX(Spielplan!$F$23:$F$49,MATCH("6-4",Spielplan!$N$23:$N$49,0))="","–",INDEX(Spielplan!$H$23:$H$49,MATCH("6-4",Spielplan!$N$23:$N$49,0))&amp;":"&amp;INDEX(Spielplan!$F$23:$F$49,MATCH("6-4",Spielplan!$N$23:$N$49,0))),""))</f>
        <v>2:1</v>
      </c>
      <c r="I8" s="56" t="str">
        <f>IFERROR(IF(INDEX(Spielplan!$F$23:$F$49,MATCH("4-7",Spielplan!$N$23:$N$49,0))="","–",INDEX(Spielplan!$F$23:$F$49,MATCH("4-7",Spielplan!$N$23:$N$49,0))&amp;":"&amp;INDEX(Spielplan!$H$23:$H$49,MATCH("4-7",Spielplan!$N$23:$N$49,0))),IFERROR(IF(INDEX(Spielplan!$F$23:$F$49,MATCH("7-4",Spielplan!$N$23:$N$49,0))="","–",INDEX(Spielplan!$H$23:$H$49,MATCH("7-4",Spielplan!$N$23:$N$49,0))&amp;":"&amp;INDEX(Spielplan!$F$23:$F$49,MATCH("7-4",Spielplan!$N$23:$N$49,0))),""))</f>
        <v>3:3</v>
      </c>
    </row>
    <row r="9" spans="1:10" ht="21.75" customHeight="1" x14ac:dyDescent="0.25">
      <c r="A9" s="68">
        <v>5</v>
      </c>
      <c r="B9" s="69" t="str">
        <f>IFERROR(INDEX(Spielplan!$B$11:$B$17,5),"")</f>
        <v>Team Epsilon</v>
      </c>
      <c r="C9" s="61" t="str">
        <f>IFERROR(IF(INDEX(Spielplan!$F$23:$F$49,MATCH("5-1",Spielplan!$N$23:$N$49,0))="","–",INDEX(Spielplan!$F$23:$F$49,MATCH("5-1",Spielplan!$N$23:$N$49,0))&amp;":"&amp;INDEX(Spielplan!$H$23:$H$49,MATCH("5-1",Spielplan!$N$23:$N$49,0))),IFERROR(IF(INDEX(Spielplan!$F$23:$F$49,MATCH("1-5",Spielplan!$N$23:$N$49,0))="","–",INDEX(Spielplan!$H$23:$H$49,MATCH("1-5",Spielplan!$N$23:$N$49,0))&amp;":"&amp;INDEX(Spielplan!$F$23:$F$49,MATCH("1-5",Spielplan!$N$23:$N$49,0))),""))</f>
        <v>0:4</v>
      </c>
      <c r="D9" s="56" t="str">
        <f>IFERROR(IF(INDEX(Spielplan!$F$23:$F$49,MATCH("5-2",Spielplan!$N$23:$N$49,0))="","–",INDEX(Spielplan!$F$23:$F$49,MATCH("5-2",Spielplan!$N$23:$N$49,0))&amp;":"&amp;INDEX(Spielplan!$H$23:$H$49,MATCH("5-2",Spielplan!$N$23:$N$49,0))),IFERROR(IF(INDEX(Spielplan!$F$23:$F$49,MATCH("2-5",Spielplan!$N$23:$N$49,0))="","–",INDEX(Spielplan!$H$23:$H$49,MATCH("2-5",Spielplan!$N$23:$N$49,0))&amp;":"&amp;INDEX(Spielplan!$F$23:$F$49,MATCH("2-5",Spielplan!$N$23:$N$49,0))),""))</f>
        <v>0:2</v>
      </c>
      <c r="E9" s="61" t="str">
        <f>IFERROR(IF(INDEX(Spielplan!$F$23:$F$49,MATCH("5-3",Spielplan!$N$23:$N$49,0))="","–",INDEX(Spielplan!$F$23:$F$49,MATCH("5-3",Spielplan!$N$23:$N$49,0))&amp;":"&amp;INDEX(Spielplan!$H$23:$H$49,MATCH("5-3",Spielplan!$N$23:$N$49,0))),IFERROR(IF(INDEX(Spielplan!$F$23:$F$49,MATCH("3-5",Spielplan!$N$23:$N$49,0))="","–",INDEX(Spielplan!$H$23:$H$49,MATCH("3-5",Spielplan!$N$23:$N$49,0))&amp;":"&amp;INDEX(Spielplan!$F$23:$F$49,MATCH("3-5",Spielplan!$N$23:$N$49,0))),""))</f>
        <v>2:3</v>
      </c>
      <c r="F9" s="56" t="str">
        <f>IFERROR(IF(INDEX(Spielplan!$F$23:$F$49,MATCH("5-4",Spielplan!$N$23:$N$49,0))="","–",INDEX(Spielplan!$F$23:$F$49,MATCH("5-4",Spielplan!$N$23:$N$49,0))&amp;":"&amp;INDEX(Spielplan!$H$23:$H$49,MATCH("5-4",Spielplan!$N$23:$N$49,0))),IFERROR(IF(INDEX(Spielplan!$F$23:$F$49,MATCH("4-5",Spielplan!$N$23:$N$49,0))="","–",INDEX(Spielplan!$H$23:$H$49,MATCH("4-5",Spielplan!$N$23:$N$49,0))&amp;":"&amp;INDEX(Spielplan!$F$23:$F$49,MATCH("4-5",Spielplan!$N$23:$N$49,0))),""))</f>
        <v>2:3</v>
      </c>
      <c r="G9" s="70" t="s">
        <v>77</v>
      </c>
      <c r="H9" s="56" t="str">
        <f>IFERROR(IF(INDEX(Spielplan!$F$23:$F$49,MATCH("5-6",Spielplan!$N$23:$N$49,0))="","–",INDEX(Spielplan!$F$23:$F$49,MATCH("5-6",Spielplan!$N$23:$N$49,0))&amp;":"&amp;INDEX(Spielplan!$H$23:$H$49,MATCH("5-6",Spielplan!$N$23:$N$49,0))),IFERROR(IF(INDEX(Spielplan!$F$23:$F$49,MATCH("6-5",Spielplan!$N$23:$N$49,0))="","–",INDEX(Spielplan!$H$23:$H$49,MATCH("6-5",Spielplan!$N$23:$N$49,0))&amp;":"&amp;INDEX(Spielplan!$F$23:$F$49,MATCH("6-5",Spielplan!$N$23:$N$49,0))),""))</f>
        <v>1:0</v>
      </c>
      <c r="I9" s="61" t="str">
        <f>IFERROR(IF(INDEX(Spielplan!$F$23:$F$49,MATCH("5-7",Spielplan!$N$23:$N$49,0))="","–",INDEX(Spielplan!$F$23:$F$49,MATCH("5-7",Spielplan!$N$23:$N$49,0))&amp;":"&amp;INDEX(Spielplan!$H$23:$H$49,MATCH("5-7",Spielplan!$N$23:$N$49,0))),IFERROR(IF(INDEX(Spielplan!$F$23:$F$49,MATCH("7-5",Spielplan!$N$23:$N$49,0))="","–",INDEX(Spielplan!$H$23:$H$49,MATCH("7-5",Spielplan!$N$23:$N$49,0))&amp;":"&amp;INDEX(Spielplan!$F$23:$F$49,MATCH("7-5",Spielplan!$N$23:$N$49,0))),""))</f>
        <v>1:0</v>
      </c>
    </row>
    <row r="10" spans="1:10" ht="21.75" customHeight="1" x14ac:dyDescent="0.25">
      <c r="A10" s="68">
        <v>6</v>
      </c>
      <c r="B10" s="69" t="str">
        <f>IFERROR(INDEX(Spielplan!$B$11:$B$17,6),"")</f>
        <v>Team Zeta</v>
      </c>
      <c r="C10" s="56" t="str">
        <f>IFERROR(IF(INDEX(Spielplan!$F$23:$F$49,MATCH("6-1",Spielplan!$N$23:$N$49,0))="","–",INDEX(Spielplan!$F$23:$F$49,MATCH("6-1",Spielplan!$N$23:$N$49,0))&amp;":"&amp;INDEX(Spielplan!$H$23:$H$49,MATCH("6-1",Spielplan!$N$23:$N$49,0))),IFERROR(IF(INDEX(Spielplan!$F$23:$F$49,MATCH("1-6",Spielplan!$N$23:$N$49,0))="","–",INDEX(Spielplan!$H$23:$H$49,MATCH("1-6",Spielplan!$N$23:$N$49,0))&amp;":"&amp;INDEX(Spielplan!$F$23:$F$49,MATCH("1-6",Spielplan!$N$23:$N$49,0))),""))</f>
        <v>2:2</v>
      </c>
      <c r="D10" s="61" t="str">
        <f>IFERROR(IF(INDEX(Spielplan!$F$23:$F$49,MATCH("6-2",Spielplan!$N$23:$N$49,0))="","–",INDEX(Spielplan!$F$23:$F$49,MATCH("6-2",Spielplan!$N$23:$N$49,0))&amp;":"&amp;INDEX(Spielplan!$H$23:$H$49,MATCH("6-2",Spielplan!$N$23:$N$49,0))),IFERROR(IF(INDEX(Spielplan!$F$23:$F$49,MATCH("2-6",Spielplan!$N$23:$N$49,0))="","–",INDEX(Spielplan!$H$23:$H$49,MATCH("2-6",Spielplan!$N$23:$N$49,0))&amp;":"&amp;INDEX(Spielplan!$F$23:$F$49,MATCH("2-6",Spielplan!$N$23:$N$49,0))),""))</f>
        <v>0:1</v>
      </c>
      <c r="E10" s="56" t="str">
        <f>IFERROR(IF(INDEX(Spielplan!$F$23:$F$49,MATCH("6-3",Spielplan!$N$23:$N$49,0))="","–",INDEX(Spielplan!$F$23:$F$49,MATCH("6-3",Spielplan!$N$23:$N$49,0))&amp;":"&amp;INDEX(Spielplan!$H$23:$H$49,MATCH("6-3",Spielplan!$N$23:$N$49,0))),IFERROR(IF(INDEX(Spielplan!$F$23:$F$49,MATCH("3-6",Spielplan!$N$23:$N$49,0))="","–",INDEX(Spielplan!$H$23:$H$49,MATCH("3-6",Spielplan!$N$23:$N$49,0))&amp;":"&amp;INDEX(Spielplan!$F$23:$F$49,MATCH("3-6",Spielplan!$N$23:$N$49,0))),""))</f>
        <v>0:0</v>
      </c>
      <c r="F10" s="61" t="str">
        <f>IFERROR(IF(INDEX(Spielplan!$F$23:$F$49,MATCH("6-4",Spielplan!$N$23:$N$49,0))="","–",INDEX(Spielplan!$F$23:$F$49,MATCH("6-4",Spielplan!$N$23:$N$49,0))&amp;":"&amp;INDEX(Spielplan!$H$23:$H$49,MATCH("6-4",Spielplan!$N$23:$N$49,0))),IFERROR(IF(INDEX(Spielplan!$F$23:$F$49,MATCH("4-6",Spielplan!$N$23:$N$49,0))="","–",INDEX(Spielplan!$H$23:$H$49,MATCH("4-6",Spielplan!$N$23:$N$49,0))&amp;":"&amp;INDEX(Spielplan!$F$23:$F$49,MATCH("4-6",Spielplan!$N$23:$N$49,0))),""))</f>
        <v>1:2</v>
      </c>
      <c r="G10" s="56" t="str">
        <f>IFERROR(IF(INDEX(Spielplan!$F$23:$F$49,MATCH("6-5",Spielplan!$N$23:$N$49,0))="","–",INDEX(Spielplan!$F$23:$F$49,MATCH("6-5",Spielplan!$N$23:$N$49,0))&amp;":"&amp;INDEX(Spielplan!$H$23:$H$49,MATCH("6-5",Spielplan!$N$23:$N$49,0))),IFERROR(IF(INDEX(Spielplan!$F$23:$F$49,MATCH("5-6",Spielplan!$N$23:$N$49,0))="","–",INDEX(Spielplan!$H$23:$H$49,MATCH("5-6",Spielplan!$N$23:$N$49,0))&amp;":"&amp;INDEX(Spielplan!$F$23:$F$49,MATCH("5-6",Spielplan!$N$23:$N$49,0))),""))</f>
        <v>0:1</v>
      </c>
      <c r="H10" s="70" t="s">
        <v>77</v>
      </c>
      <c r="I10" s="56" t="str">
        <f>IFERROR(IF(INDEX(Spielplan!$F$23:$F$49,MATCH("6-7",Spielplan!$N$23:$N$49,0))="","–",INDEX(Spielplan!$F$23:$F$49,MATCH("6-7",Spielplan!$N$23:$N$49,0))&amp;":"&amp;INDEX(Spielplan!$H$23:$H$49,MATCH("6-7",Spielplan!$N$23:$N$49,0))),IFERROR(IF(INDEX(Spielplan!$F$23:$F$49,MATCH("7-6",Spielplan!$N$23:$N$49,0))="","–",INDEX(Spielplan!$H$23:$H$49,MATCH("7-6",Spielplan!$N$23:$N$49,0))&amp;":"&amp;INDEX(Spielplan!$F$23:$F$49,MATCH("7-6",Spielplan!$N$23:$N$49,0))),""))</f>
        <v>2:0</v>
      </c>
    </row>
    <row r="11" spans="1:10" ht="21.75" customHeight="1" x14ac:dyDescent="0.25">
      <c r="A11" s="68">
        <v>7</v>
      </c>
      <c r="B11" s="69" t="str">
        <f>IFERROR(INDEX(Spielplan!$B$11:$B$17,7),"")</f>
        <v>Team Eta</v>
      </c>
      <c r="C11" s="61" t="str">
        <f>IFERROR(IF(INDEX(Spielplan!$F$23:$F$49,MATCH("7-1",Spielplan!$N$23:$N$49,0))="","–",INDEX(Spielplan!$F$23:$F$49,MATCH("7-1",Spielplan!$N$23:$N$49,0))&amp;":"&amp;INDEX(Spielplan!$H$23:$H$49,MATCH("7-1",Spielplan!$N$23:$N$49,0))),IFERROR(IF(INDEX(Spielplan!$F$23:$F$49,MATCH("1-7",Spielplan!$N$23:$N$49,0))="","–",INDEX(Spielplan!$H$23:$H$49,MATCH("1-7",Spielplan!$N$23:$N$49,0))&amp;":"&amp;INDEX(Spielplan!$F$23:$F$49,MATCH("1-7",Spielplan!$N$23:$N$49,0))),""))</f>
        <v>1:1</v>
      </c>
      <c r="D11" s="56" t="str">
        <f>IFERROR(IF(INDEX(Spielplan!$F$23:$F$49,MATCH("7-2",Spielplan!$N$23:$N$49,0))="","–",INDEX(Spielplan!$F$23:$F$49,MATCH("7-2",Spielplan!$N$23:$N$49,0))&amp;":"&amp;INDEX(Spielplan!$H$23:$H$49,MATCH("7-2",Spielplan!$N$23:$N$49,0))),IFERROR(IF(INDEX(Spielplan!$F$23:$F$49,MATCH("2-7",Spielplan!$N$23:$N$49,0))="","–",INDEX(Spielplan!$H$23:$H$49,MATCH("2-7",Spielplan!$N$23:$N$49,0))&amp;":"&amp;INDEX(Spielplan!$F$23:$F$49,MATCH("2-7",Spielplan!$N$23:$N$49,0))),""))</f>
        <v>1:2</v>
      </c>
      <c r="E11" s="61" t="str">
        <f>IFERROR(IF(INDEX(Spielplan!$F$23:$F$49,MATCH("7-3",Spielplan!$N$23:$N$49,0))="","–",INDEX(Spielplan!$F$23:$F$49,MATCH("7-3",Spielplan!$N$23:$N$49,0))&amp;":"&amp;INDEX(Spielplan!$H$23:$H$49,MATCH("7-3",Spielplan!$N$23:$N$49,0))),IFERROR(IF(INDEX(Spielplan!$F$23:$F$49,MATCH("3-7",Spielplan!$N$23:$N$49,0))="","–",INDEX(Spielplan!$H$23:$H$49,MATCH("3-7",Spielplan!$N$23:$N$49,0))&amp;":"&amp;INDEX(Spielplan!$F$23:$F$49,MATCH("3-7",Spielplan!$N$23:$N$49,0))),""))</f>
        <v>2:2</v>
      </c>
      <c r="F11" s="56" t="str">
        <f>IFERROR(IF(INDEX(Spielplan!$F$23:$F$49,MATCH("7-4",Spielplan!$N$23:$N$49,0))="","–",INDEX(Spielplan!$F$23:$F$49,MATCH("7-4",Spielplan!$N$23:$N$49,0))&amp;":"&amp;INDEX(Spielplan!$H$23:$H$49,MATCH("7-4",Spielplan!$N$23:$N$49,0))),IFERROR(IF(INDEX(Spielplan!$F$23:$F$49,MATCH("4-7",Spielplan!$N$23:$N$49,0))="","–",INDEX(Spielplan!$H$23:$H$49,MATCH("4-7",Spielplan!$N$23:$N$49,0))&amp;":"&amp;INDEX(Spielplan!$F$23:$F$49,MATCH("4-7",Spielplan!$N$23:$N$49,0))),""))</f>
        <v>3:3</v>
      </c>
      <c r="G11" s="61" t="str">
        <f>IFERROR(IF(INDEX(Spielplan!$F$23:$F$49,MATCH("7-5",Spielplan!$N$23:$N$49,0))="","–",INDEX(Spielplan!$F$23:$F$49,MATCH("7-5",Spielplan!$N$23:$N$49,0))&amp;":"&amp;INDEX(Spielplan!$H$23:$H$49,MATCH("7-5",Spielplan!$N$23:$N$49,0))),IFERROR(IF(INDEX(Spielplan!$F$23:$F$49,MATCH("5-7",Spielplan!$N$23:$N$49,0))="","–",INDEX(Spielplan!$H$23:$H$49,MATCH("5-7",Spielplan!$N$23:$N$49,0))&amp;":"&amp;INDEX(Spielplan!$F$23:$F$49,MATCH("5-7",Spielplan!$N$23:$N$49,0))),""))</f>
        <v>0:1</v>
      </c>
      <c r="H11" s="56" t="str">
        <f>IFERROR(IF(INDEX(Spielplan!$F$23:$F$49,MATCH("7-6",Spielplan!$N$23:$N$49,0))="","–",INDEX(Spielplan!$F$23:$F$49,MATCH("7-6",Spielplan!$N$23:$N$49,0))&amp;":"&amp;INDEX(Spielplan!$H$23:$H$49,MATCH("7-6",Spielplan!$N$23:$N$49,0))),IFERROR(IF(INDEX(Spielplan!$F$23:$F$49,MATCH("6-7",Spielplan!$N$23:$N$49,0))="","–",INDEX(Spielplan!$H$23:$H$49,MATCH("6-7",Spielplan!$N$23:$N$49,0))&amp;":"&amp;INDEX(Spielplan!$F$23:$F$49,MATCH("6-7",Spielplan!$N$23:$N$49,0))),""))</f>
        <v>0:2</v>
      </c>
      <c r="I11" s="70" t="s">
        <v>77</v>
      </c>
    </row>
    <row r="13" spans="1:10" ht="15.75" customHeight="1" x14ac:dyDescent="0.25">
      <c r="A13" s="6" t="s">
        <v>78</v>
      </c>
      <c r="B13" s="6"/>
      <c r="C13" s="6"/>
      <c r="D13" s="6"/>
      <c r="E13" s="6"/>
      <c r="F13" s="6"/>
      <c r="G13" s="6"/>
      <c r="H13" s="6"/>
      <c r="I13" s="6"/>
      <c r="J13" s="6"/>
    </row>
  </sheetData>
  <mergeCells count="4">
    <mergeCell ref="A1:J1"/>
    <mergeCell ref="A2:J2"/>
    <mergeCell ref="A4:B4"/>
    <mergeCell ref="A13:J13"/>
  </mergeCells>
  <pageMargins left="0.3" right="0.3" top="1" bottom="1" header="0.511811023622047" footer="0.511811023622047"/>
  <pageSetup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Spielplan</vt:lpstr>
      <vt:lpstr>Tabelle</vt:lpstr>
      <vt:lpstr>Kreuztabelle</vt:lpstr>
      <vt:lpstr>Kreuztabelle!Druckbereich</vt:lpstr>
      <vt:lpstr>Spielplan!Druckbereich</vt:lpstr>
      <vt:lpstr>Tabelle!Druckbereich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2026-08-11T05:52:46Z</dcterms:created>
  <dcterms:modified xsi:type="dcterms:W3CDTF">2026-08-11T08:57:41Z</dcterms:modified>
  <dc:language>en-US</dc:language>
</cp:coreProperties>
</file>