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09228C0D-A799-434C-BB77-7A637C3BA7F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ielplan" sheetId="1" r:id="rId1"/>
    <sheet name="Tabelle" sheetId="2" r:id="rId2"/>
  </sheets>
  <definedNames>
    <definedName name="_xlnm.Print_Titles" localSheetId="0">Spielplan!$24:$24</definedName>
    <definedName name="_xlnm.Print_Titles" localSheetId="1">Tabelle!$7:$7</definedName>
    <definedName name="Punkte_Nieder">Spielplan!$I$10</definedName>
    <definedName name="Punkte_Remis">Spielplan!$I$9</definedName>
    <definedName name="Punkte_Sieg">Spielplan!$I$8</definedName>
    <definedName name="Saison">Spielplan!$C$10</definedName>
    <definedName name="SP_GastNr">Spielplan!$Q$25:$Q$39</definedName>
    <definedName name="SP_HeimNr">Spielplan!$P$25:$P$39</definedName>
    <definedName name="SP_Key">Spielplan!$X$25:$X$39</definedName>
    <definedName name="SP_Played">Spielplan!$V$25:$V$39</definedName>
    <definedName name="SP_TG0">Spielplan!$S$25:$S$39</definedName>
    <definedName name="SP_TH0">Spielplan!$R$25:$R$39</definedName>
    <definedName name="T_Nr">Tabelle!$P$8:$P$13</definedName>
    <definedName name="T_Rang">Tabelle!$Z$8:$Z$13</definedName>
    <definedName name="T_Sort">Tabelle!$Y$8:$Y$13</definedName>
    <definedName name="Team_Kuerzel">Spielplan!$C$15:$C$20</definedName>
    <definedName name="Team_Namen">Spielplan!$D$15:$D$20</definedName>
    <definedName name="Team_Nr">Spielplan!$B$15:$B$20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4" i="2" l="1"/>
  <c r="B23" i="2"/>
  <c r="B22" i="2"/>
  <c r="B21" i="2"/>
  <c r="I20" i="2"/>
  <c r="B20" i="2"/>
  <c r="E19" i="2"/>
  <c r="B19" i="2"/>
  <c r="I18" i="2"/>
  <c r="H18" i="2"/>
  <c r="G18" i="2"/>
  <c r="F18" i="2"/>
  <c r="E18" i="2"/>
  <c r="D18" i="2"/>
  <c r="B3" i="2"/>
  <c r="X39" i="1"/>
  <c r="V39" i="1"/>
  <c r="J39" i="1" s="1"/>
  <c r="S39" i="1"/>
  <c r="R39" i="1"/>
  <c r="H39" i="1"/>
  <c r="D39" i="1"/>
  <c r="X38" i="1"/>
  <c r="V38" i="1"/>
  <c r="J38" i="1" s="1"/>
  <c r="S38" i="1"/>
  <c r="R38" i="1"/>
  <c r="H38" i="1"/>
  <c r="D38" i="1"/>
  <c r="X37" i="1"/>
  <c r="V37" i="1"/>
  <c r="S37" i="1"/>
  <c r="R37" i="1"/>
  <c r="J37" i="1"/>
  <c r="I37" i="1"/>
  <c r="H37" i="1"/>
  <c r="D37" i="1"/>
  <c r="X36" i="1"/>
  <c r="V36" i="1"/>
  <c r="J36" i="1" s="1"/>
  <c r="S36" i="1"/>
  <c r="R36" i="1"/>
  <c r="H36" i="1"/>
  <c r="D36" i="1"/>
  <c r="X35" i="1"/>
  <c r="V35" i="1"/>
  <c r="J35" i="1" s="1"/>
  <c r="S35" i="1"/>
  <c r="R35" i="1"/>
  <c r="H35" i="1"/>
  <c r="D35" i="1"/>
  <c r="X34" i="1"/>
  <c r="V34" i="1"/>
  <c r="J34" i="1" s="1"/>
  <c r="S34" i="1"/>
  <c r="R34" i="1"/>
  <c r="H34" i="1"/>
  <c r="D34" i="1"/>
  <c r="X33" i="1"/>
  <c r="V33" i="1"/>
  <c r="J33" i="1" s="1"/>
  <c r="S33" i="1"/>
  <c r="R33" i="1"/>
  <c r="H33" i="1"/>
  <c r="D33" i="1"/>
  <c r="X32" i="1"/>
  <c r="V32" i="1"/>
  <c r="J32" i="1" s="1"/>
  <c r="S32" i="1"/>
  <c r="R32" i="1"/>
  <c r="H32" i="1"/>
  <c r="D32" i="1"/>
  <c r="X31" i="1"/>
  <c r="V31" i="1"/>
  <c r="J31" i="1" s="1"/>
  <c r="S31" i="1"/>
  <c r="R31" i="1"/>
  <c r="H31" i="1"/>
  <c r="D31" i="1"/>
  <c r="I31" i="1" s="1"/>
  <c r="X30" i="1"/>
  <c r="V30" i="1"/>
  <c r="J30" i="1" s="1"/>
  <c r="S30" i="1"/>
  <c r="R30" i="1"/>
  <c r="H30" i="1"/>
  <c r="D30" i="1"/>
  <c r="X29" i="1"/>
  <c r="D21" i="2" s="1"/>
  <c r="V29" i="1"/>
  <c r="J29" i="1" s="1"/>
  <c r="S29" i="1"/>
  <c r="R29" i="1"/>
  <c r="I29" i="1" s="1"/>
  <c r="H29" i="1"/>
  <c r="D29" i="1"/>
  <c r="X28" i="1"/>
  <c r="V28" i="1"/>
  <c r="J28" i="1" s="1"/>
  <c r="S28" i="1"/>
  <c r="R28" i="1"/>
  <c r="H28" i="1"/>
  <c r="D28" i="1"/>
  <c r="I28" i="1" s="1"/>
  <c r="X27" i="1"/>
  <c r="V27" i="1"/>
  <c r="S27" i="1"/>
  <c r="R27" i="1"/>
  <c r="I27" i="1" s="1"/>
  <c r="J27" i="1"/>
  <c r="H27" i="1"/>
  <c r="D27" i="1"/>
  <c r="X26" i="1"/>
  <c r="V26" i="1"/>
  <c r="J26" i="1" s="1"/>
  <c r="S26" i="1"/>
  <c r="R26" i="1"/>
  <c r="I26" i="1"/>
  <c r="H26" i="1"/>
  <c r="D26" i="1"/>
  <c r="X25" i="1"/>
  <c r="H24" i="2" s="1"/>
  <c r="V25" i="1"/>
  <c r="J25" i="1" s="1"/>
  <c r="S25" i="1"/>
  <c r="R25" i="1"/>
  <c r="F19" i="1" s="1"/>
  <c r="H25" i="1"/>
  <c r="D25" i="1"/>
  <c r="H19" i="1"/>
  <c r="B3" i="1"/>
  <c r="H21" i="2" l="1"/>
  <c r="I21" i="2"/>
  <c r="I38" i="1"/>
  <c r="I33" i="1"/>
  <c r="D22" i="2"/>
  <c r="E22" i="2"/>
  <c r="F22" i="2"/>
  <c r="H22" i="2"/>
  <c r="I36" i="1"/>
  <c r="F19" i="2"/>
  <c r="G19" i="2"/>
  <c r="I22" i="2"/>
  <c r="Q8" i="2"/>
  <c r="Q9" i="2"/>
  <c r="Q10" i="2"/>
  <c r="Q11" i="2"/>
  <c r="Q12" i="2"/>
  <c r="Q13" i="2"/>
  <c r="H19" i="2"/>
  <c r="R8" i="2"/>
  <c r="R9" i="2"/>
  <c r="X9" i="2" s="1"/>
  <c r="Y9" i="2" s="1"/>
  <c r="R10" i="2"/>
  <c r="X10" i="2" s="1"/>
  <c r="R11" i="2"/>
  <c r="X11" i="2" s="1"/>
  <c r="R12" i="2"/>
  <c r="R13" i="2"/>
  <c r="I19" i="2"/>
  <c r="D23" i="2"/>
  <c r="S8" i="2"/>
  <c r="S10" i="2"/>
  <c r="S11" i="2"/>
  <c r="S13" i="2"/>
  <c r="E23" i="2"/>
  <c r="I34" i="1"/>
  <c r="I39" i="1"/>
  <c r="S9" i="2"/>
  <c r="S12" i="2"/>
  <c r="T8" i="2"/>
  <c r="T9" i="2"/>
  <c r="T10" i="2"/>
  <c r="T11" i="2"/>
  <c r="T12" i="2"/>
  <c r="T13" i="2"/>
  <c r="D20" i="2"/>
  <c r="F23" i="2"/>
  <c r="U8" i="2"/>
  <c r="U9" i="2"/>
  <c r="W9" i="2" s="1"/>
  <c r="U10" i="2"/>
  <c r="U11" i="2"/>
  <c r="U12" i="2"/>
  <c r="U13" i="2"/>
  <c r="F20" i="2"/>
  <c r="G23" i="2"/>
  <c r="V8" i="2"/>
  <c r="V9" i="2"/>
  <c r="V10" i="2"/>
  <c r="V11" i="2"/>
  <c r="V12" i="2"/>
  <c r="V13" i="2"/>
  <c r="G20" i="2"/>
  <c r="I23" i="2"/>
  <c r="F15" i="1"/>
  <c r="I32" i="1"/>
  <c r="H20" i="2"/>
  <c r="D24" i="2"/>
  <c r="E24" i="2"/>
  <c r="F24" i="2"/>
  <c r="I25" i="1"/>
  <c r="I30" i="1"/>
  <c r="E21" i="2"/>
  <c r="G24" i="2"/>
  <c r="I35" i="1"/>
  <c r="G21" i="2"/>
  <c r="X8" i="2" l="1"/>
  <c r="W13" i="2"/>
  <c r="W12" i="2"/>
  <c r="W11" i="2"/>
  <c r="W10" i="2"/>
  <c r="W8" i="2"/>
  <c r="X13" i="2"/>
  <c r="Y13" i="2" s="1"/>
  <c r="X12" i="2"/>
  <c r="Y12" i="2" s="1"/>
  <c r="Y11" i="2"/>
  <c r="Y10" i="2"/>
  <c r="Y8" i="2" l="1"/>
  <c r="Z8" i="2" l="1"/>
  <c r="Z9" i="2"/>
  <c r="Z13" i="2"/>
  <c r="Z12" i="2"/>
  <c r="Z11" i="2"/>
  <c r="Z10" i="2"/>
  <c r="D13" i="2" l="1"/>
  <c r="D12" i="2"/>
  <c r="D11" i="2"/>
  <c r="K11" i="2" s="1"/>
  <c r="D10" i="2"/>
  <c r="K10" i="2" s="1"/>
  <c r="D9" i="2"/>
  <c r="K9" i="2" s="1"/>
  <c r="D8" i="2"/>
  <c r="K8" i="2" s="1"/>
  <c r="C13" i="2"/>
  <c r="C12" i="2"/>
  <c r="C11" i="2"/>
  <c r="C10" i="2"/>
  <c r="C9" i="2"/>
  <c r="C8" i="2"/>
  <c r="J12" i="2"/>
  <c r="J8" i="2"/>
  <c r="J13" i="2"/>
  <c r="J11" i="2"/>
  <c r="J10" i="2"/>
  <c r="J9" i="2"/>
  <c r="L13" i="2"/>
  <c r="L12" i="2"/>
  <c r="L11" i="2"/>
  <c r="L10" i="2"/>
  <c r="L9" i="2"/>
  <c r="L8" i="2"/>
  <c r="I13" i="2"/>
  <c r="I12" i="2"/>
  <c r="I11" i="2"/>
  <c r="I10" i="2"/>
  <c r="I9" i="2"/>
  <c r="I8" i="2"/>
  <c r="H13" i="2"/>
  <c r="H12" i="2"/>
  <c r="H11" i="2"/>
  <c r="H10" i="2"/>
  <c r="H9" i="2"/>
  <c r="H8" i="2"/>
  <c r="G13" i="2"/>
  <c r="G12" i="2"/>
  <c r="G11" i="2"/>
  <c r="G10" i="2"/>
  <c r="G9" i="2"/>
  <c r="G8" i="2"/>
  <c r="F13" i="2"/>
  <c r="F12" i="2"/>
  <c r="F11" i="2"/>
  <c r="F10" i="2"/>
  <c r="F9" i="2"/>
  <c r="F8" i="2"/>
  <c r="E13" i="2"/>
  <c r="E12" i="2"/>
  <c r="E11" i="2"/>
  <c r="E10" i="2"/>
  <c r="E9" i="2"/>
  <c r="E8" i="2"/>
  <c r="K12" i="2" l="1"/>
  <c r="H15" i="1"/>
  <c r="B5" i="2"/>
  <c r="K13" i="2"/>
</calcChain>
</file>

<file path=xl/sharedStrings.xml><?xml version="1.0" encoding="utf-8"?>
<sst xmlns="http://schemas.openxmlformats.org/spreadsheetml/2006/main" count="92" uniqueCount="68">
  <si>
    <t>[ IHR LOGO ]</t>
  </si>
  <si>
    <t>TURNIERDATEN</t>
  </si>
  <si>
    <t>SPIELMODUS &amp; WERTUNG</t>
  </si>
  <si>
    <t>Turnier</t>
  </si>
  <si>
    <t>Musterpokal 2026</t>
  </si>
  <si>
    <t>Anzahl Mannschaften</t>
  </si>
  <si>
    <t>Veranstalter</t>
  </si>
  <si>
    <t>SV Musterstadt e. V.</t>
  </si>
  <si>
    <t>Punkte je Sieg</t>
  </si>
  <si>
    <t>Spielort</t>
  </si>
  <si>
    <t>Sportzentrum Musterstadt</t>
  </si>
  <si>
    <t>Punkte je Unentschieden</t>
  </si>
  <si>
    <t>Saison</t>
  </si>
  <si>
    <t>Punkte je Niederlage</t>
  </si>
  <si>
    <t>Turnierleitung</t>
  </si>
  <si>
    <t>M. Mustermann</t>
  </si>
  <si>
    <t>Spielmodus</t>
  </si>
  <si>
    <t>Einfachrunde</t>
  </si>
  <si>
    <t>TEILNEHMER</t>
  </si>
  <si>
    <t>Nr.</t>
  </si>
  <si>
    <t>Kürzel</t>
  </si>
  <si>
    <t>Mannschaft</t>
  </si>
  <si>
    <t>SPIELE GESPIELT</t>
  </si>
  <si>
    <t>TABELLENFÜHRER</t>
  </si>
  <si>
    <t>MUS</t>
  </si>
  <si>
    <t>SV Musterstadt</t>
  </si>
  <si>
    <t>BLA</t>
  </si>
  <si>
    <t>FC Blautal</t>
  </si>
  <si>
    <t>GRN</t>
  </si>
  <si>
    <t>TSV Grünberg</t>
  </si>
  <si>
    <t>ROT</t>
  </si>
  <si>
    <t>SC Rotbach</t>
  </si>
  <si>
    <t>TORE GESAMT</t>
  </si>
  <si>
    <t>SPIELE OFFEN</t>
  </si>
  <si>
    <t>WEI</t>
  </si>
  <si>
    <t>SpVgg Weidenfeld</t>
  </si>
  <si>
    <t>ADL</t>
  </si>
  <si>
    <t>VfL Adlerhorst</t>
  </si>
  <si>
    <t>SPIELPLAN &amp; ERGEBNISSE</t>
  </si>
  <si>
    <t>Spieltag</t>
  </si>
  <si>
    <t>Heim</t>
  </si>
  <si>
    <t>Tore</t>
  </si>
  <si>
    <t>:</t>
  </si>
  <si>
    <t>Gast</t>
  </si>
  <si>
    <t>Sieger</t>
  </si>
  <si>
    <t>Status</t>
  </si>
  <si>
    <t>Hinweis: Nur die hellgrünen Felder (Kürzel, Mannschaften, Punkte-Regeln und Tore) ausfüllen. Sieger, Status und die gesamte Tabelle werden automatisch berechnet.</t>
  </si>
  <si>
    <t>ABSCHLUSSTABELLE</t>
  </si>
  <si>
    <t>Platz</t>
  </si>
  <si>
    <t>Sp</t>
  </si>
  <si>
    <t>S</t>
  </si>
  <si>
    <t>U</t>
  </si>
  <si>
    <t>N</t>
  </si>
  <si>
    <t>Tore +</t>
  </si>
  <si>
    <t>Tore −</t>
  </si>
  <si>
    <t>Tordiff</t>
  </si>
  <si>
    <t>Form</t>
  </si>
  <si>
    <t>Punkte</t>
  </si>
  <si>
    <t>Sp = Spiele · S = Siege · U = Unentschieden · N = Niederlagen · Tordiff = Tordifferenz · Form = Ø Punkte je Spiel</t>
  </si>
  <si>
    <t>KREUZTABELLE – ERGEBNISSE</t>
  </si>
  <si>
    <t>Heim ╲ Gast</t>
  </si>
  <si>
    <t>—</t>
  </si>
  <si>
    <t>HINWEISE ZUR WERTUNG</t>
  </si>
  <si>
    <t>•  Die Platzierung richtet sich nach: 1. Punkte, 2. Tordifferenz, 3. mehr erzielte Tore.</t>
  </si>
  <si>
    <t>•  Punkteschema frei einstellbar im Blatt „Spielplan“ (Standard: Sieg 3, Unentschieden 1, Niederlage 0).</t>
  </si>
  <si>
    <t>•  Die Kreuztabelle zeigt jedes Ergebnis aus Sicht der Heimmannschaft (Zeile) gegen den Gast (Spalte).</t>
  </si>
  <si>
    <t>•  „–“ bedeutet: Spiel noch nicht gespielt. Die Diagonale bleibt leer (kein Spiel gegen sich selbst).</t>
  </si>
  <si>
    <t>SPIELPLAN – 6 MANNSCHAFTEN JEDER GEGEN JEDEN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</si>
</sst>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-0;0"/>
  </numFmts>
  <fonts count="31" x14ac:knownFonts="1">
    <font>
      <sz val="11"/>
      <color theme="1"/>
      <name val="Calibri"/>
      <family val="2"/>
      <charset val="1"/>
    </font>
    <font>
      <b/>
      <sz val="17"/>
      <color rgb="FFFFFFFF"/>
      <name val="Calibri"/>
      <charset val="1"/>
    </font>
    <font>
      <i/>
      <sz val="10"/>
      <color rgb="FF9FB0C8"/>
      <name val="Calibri"/>
      <charset val="1"/>
    </font>
    <font>
      <sz val="10.5"/>
      <color rgb="FFC9D4E5"/>
      <name val="Calibri"/>
      <charset val="1"/>
    </font>
    <font>
      <b/>
      <sz val="11"/>
      <color rgb="FF16233A"/>
      <name val="Calibri"/>
      <charset val="1"/>
    </font>
    <font>
      <sz val="10"/>
      <color rgb="FF5A6577"/>
      <name val="Calibri"/>
      <charset val="1"/>
    </font>
    <font>
      <b/>
      <sz val="10.5"/>
      <color rgb="FF141B27"/>
      <name val="Calibri"/>
      <charset val="1"/>
    </font>
    <font>
      <b/>
      <sz val="9.5"/>
      <color rgb="FFFFFFFF"/>
      <name val="Calibri"/>
      <charset val="1"/>
    </font>
    <font>
      <b/>
      <sz val="7.5"/>
      <color rgb="FF5A6577"/>
      <name val="Calibri"/>
      <charset val="1"/>
    </font>
    <font>
      <b/>
      <sz val="8.5"/>
      <color rgb="FFFFFFFF"/>
      <name val="Calibri"/>
      <charset val="1"/>
    </font>
    <font>
      <b/>
      <sz val="10"/>
      <color rgb="FF16233A"/>
      <name val="Calibri"/>
      <charset val="1"/>
    </font>
    <font>
      <b/>
      <sz val="10"/>
      <color rgb="FF6E9614"/>
      <name val="Calibri"/>
      <charset val="1"/>
    </font>
    <font>
      <sz val="10.5"/>
      <color rgb="FF141B27"/>
      <name val="Calibri"/>
      <charset val="1"/>
    </font>
    <font>
      <b/>
      <sz val="14"/>
      <color rgb="FF16233A"/>
      <name val="Calibri"/>
      <charset val="1"/>
    </font>
    <font>
      <b/>
      <sz val="14"/>
      <color rgb="FF8FBF1F"/>
      <name val="Calibri"/>
      <charset val="1"/>
    </font>
    <font>
      <b/>
      <sz val="8.5"/>
      <color rgb="FF5A6577"/>
      <name val="Calibri"/>
      <charset val="1"/>
    </font>
    <font>
      <b/>
      <sz val="11"/>
      <color rgb="FFFFFFFF"/>
      <name val="Calibri"/>
      <charset val="1"/>
    </font>
    <font>
      <sz val="9.5"/>
      <color rgb="FF5A6577"/>
      <name val="Calibri"/>
      <charset val="1"/>
    </font>
    <font>
      <b/>
      <sz val="10.5"/>
      <color rgb="FF5A6577"/>
      <name val="Calibri"/>
      <charset val="1"/>
    </font>
    <font>
      <b/>
      <sz val="10"/>
      <color rgb="FF24365C"/>
      <name val="Calibri"/>
      <charset val="1"/>
    </font>
    <font>
      <b/>
      <sz val="9.5"/>
      <color rgb="FF141B27"/>
      <name val="Calibri"/>
      <charset val="1"/>
    </font>
    <font>
      <i/>
      <sz val="9"/>
      <color rgb="FF5A6577"/>
      <name val="Calibri"/>
      <charset val="1"/>
    </font>
    <font>
      <b/>
      <sz val="12"/>
      <color rgb="FFFFFFFF"/>
      <name val="Calibri"/>
      <charset val="1"/>
    </font>
    <font>
      <b/>
      <sz val="11"/>
      <color rgb="FF141B27"/>
      <name val="Calibri"/>
      <charset val="1"/>
    </font>
    <font>
      <b/>
      <sz val="12"/>
      <color rgb="FF16233A"/>
      <name val="Calibri"/>
      <charset val="1"/>
    </font>
    <font>
      <sz val="11"/>
      <color rgb="FF141B27"/>
      <name val="Calibri"/>
      <charset val="1"/>
    </font>
    <font>
      <i/>
      <sz val="8.5"/>
      <color rgb="FF5A6577"/>
      <name val="Calibri"/>
      <charset val="1"/>
    </font>
    <font>
      <b/>
      <sz val="9"/>
      <color rgb="FFFFFFFF"/>
      <name val="Calibri"/>
      <charset val="1"/>
    </font>
    <font>
      <b/>
      <sz val="9"/>
      <color rgb="FF141B27"/>
      <name val="Calibri"/>
      <charset val="1"/>
    </font>
    <font>
      <sz val="10"/>
      <color rgb="FF141B27"/>
      <name val="Calibri"/>
      <charset val="1"/>
    </font>
    <font>
      <sz val="9.5"/>
      <color rgb="FF141B27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8FBF1F"/>
        <bgColor rgb="FF6E9614"/>
      </patternFill>
    </fill>
    <fill>
      <patternFill patternType="solid">
        <fgColor rgb="FF16233A"/>
        <bgColor rgb="FF141B27"/>
      </patternFill>
    </fill>
    <fill>
      <patternFill patternType="solid">
        <fgColor rgb="FFFBFEF0"/>
        <bgColor rgb="FFFFFFFF"/>
      </patternFill>
    </fill>
    <fill>
      <patternFill patternType="solid">
        <fgColor rgb="FFEEF2F7"/>
        <bgColor rgb="FFF3F6FA"/>
      </patternFill>
    </fill>
    <fill>
      <patternFill patternType="solid">
        <fgColor rgb="FF24365C"/>
        <bgColor rgb="FF16233A"/>
      </patternFill>
    </fill>
    <fill>
      <patternFill patternType="solid">
        <fgColor rgb="FFF6F8FB"/>
        <bgColor rgb="FFF3F6FA"/>
      </patternFill>
    </fill>
    <fill>
      <patternFill patternType="solid">
        <fgColor rgb="FFFFFFFF"/>
        <bgColor rgb="FFFBFEF0"/>
      </patternFill>
    </fill>
    <fill>
      <patternFill patternType="solid">
        <fgColor rgb="FFF3F6FA"/>
        <bgColor rgb="FFF6F8FB"/>
      </patternFill>
    </fill>
    <fill>
      <patternFill patternType="solid">
        <fgColor rgb="FFFBEFC9"/>
        <bgColor rgb="FFFBE8C8"/>
      </patternFill>
    </fill>
    <fill>
      <patternFill patternType="solid">
        <fgColor rgb="FFE7B23C"/>
        <bgColor rgb="FFCF9C63"/>
      </patternFill>
    </fill>
    <fill>
      <patternFill patternType="solid">
        <fgColor rgb="FFC7CDD6"/>
        <bgColor rgb="FFC9D4E5"/>
      </patternFill>
    </fill>
    <fill>
      <patternFill patternType="solid">
        <fgColor rgb="FFCF9C63"/>
        <bgColor rgb="FFE7B23C"/>
      </patternFill>
    </fill>
    <fill>
      <patternFill patternType="solid">
        <fgColor rgb="FFDDE3EC"/>
        <bgColor rgb="FFD3DAE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8FBF1F"/>
      </bottom>
      <diagonal/>
    </border>
    <border>
      <left style="thin">
        <color rgb="FFCFE08C"/>
      </left>
      <right style="thin">
        <color rgb="FFCFE08C"/>
      </right>
      <top style="thin">
        <color rgb="FFCFE08C"/>
      </top>
      <bottom style="thin">
        <color rgb="FFCFE08C"/>
      </bottom>
      <diagonal/>
    </border>
    <border>
      <left style="thin">
        <color rgb="FFD3DAE4"/>
      </left>
      <right style="thin">
        <color rgb="FFD3DAE4"/>
      </right>
      <top style="thin">
        <color rgb="FFD3DAE4"/>
      </top>
      <bottom style="thin">
        <color rgb="FFD3DAE4"/>
      </bottom>
      <diagonal/>
    </border>
    <border>
      <left style="thin">
        <color rgb="FF24365C"/>
      </left>
      <right style="thin">
        <color rgb="FF24365C"/>
      </right>
      <top style="thin">
        <color rgb="FF24365C"/>
      </top>
      <bottom style="thin">
        <color rgb="FF24365C"/>
      </bottom>
      <diagonal/>
    </border>
    <border>
      <left style="thin">
        <color rgb="FFD3DAE4"/>
      </left>
      <right style="thin">
        <color rgb="FFD3DAE4"/>
      </right>
      <top style="medium">
        <color rgb="FF8FBF1F"/>
      </top>
      <bottom style="thin">
        <color rgb="FFD3DAE4"/>
      </bottom>
      <diagonal/>
    </border>
    <border>
      <left style="thin">
        <color rgb="FF16233A"/>
      </left>
      <right style="thin">
        <color rgb="FF16233A"/>
      </right>
      <top style="thin">
        <color rgb="FF16233A"/>
      </top>
      <bottom style="thin">
        <color rgb="FF16233A"/>
      </bottom>
      <diagonal/>
    </border>
    <border>
      <left style="thin">
        <color rgb="FFE7B23C"/>
      </left>
      <right style="thin">
        <color rgb="FFE7B23C"/>
      </right>
      <top style="medium">
        <color rgb="FFE7B23C"/>
      </top>
      <bottom style="medium">
        <color rgb="FFE7B23C"/>
      </bottom>
      <diagonal/>
    </border>
    <border>
      <left/>
      <right style="thin">
        <color rgb="FF24365C"/>
      </right>
      <top/>
      <bottom style="thin">
        <color rgb="FF24365C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6" fillId="6" borderId="4" xfId="0" applyFont="1" applyFill="1" applyBorder="1" applyAlignment="1">
      <alignment horizontal="center" vertical="center"/>
    </xf>
    <xf numFmtId="1" fontId="13" fillId="7" borderId="3" xfId="0" applyNumberFormat="1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4" fillId="3" borderId="3" xfId="0" applyFont="1" applyFill="1" applyBorder="1" applyAlignment="1">
      <alignment horizontal="left" vertical="center" indent="1"/>
    </xf>
    <xf numFmtId="0" fontId="13" fillId="7" borderId="3" xfId="0" applyFont="1" applyFill="1" applyBorder="1" applyAlignment="1">
      <alignment horizontal="left" vertical="center" indent="1"/>
    </xf>
    <xf numFmtId="0" fontId="9" fillId="3" borderId="5" xfId="0" applyFont="1" applyFill="1" applyBorder="1" applyAlignment="1">
      <alignment horizontal="left" vertical="center" indent="1"/>
    </xf>
    <xf numFmtId="0" fontId="8" fillId="7" borderId="5" xfId="0" applyFont="1" applyFill="1" applyBorder="1" applyAlignment="1">
      <alignment horizontal="left" vertical="center" indent="1"/>
    </xf>
    <xf numFmtId="0" fontId="6" fillId="5" borderId="3" xfId="0" applyFont="1" applyFill="1" applyBorder="1" applyAlignment="1">
      <alignment horizontal="left" vertical="center" indent="1"/>
    </xf>
    <xf numFmtId="1" fontId="6" fillId="4" borderId="2" xfId="0" applyNumberFormat="1" applyFont="1" applyFill="1" applyBorder="1" applyAlignment="1">
      <alignment horizontal="left" vertical="center" indent="1"/>
    </xf>
    <xf numFmtId="1" fontId="6" fillId="5" borderId="3" xfId="0" applyNumberFormat="1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 applyAlignment="1">
      <alignment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indent="1"/>
    </xf>
    <xf numFmtId="0" fontId="10" fillId="8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0" fillId="7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indent="1"/>
    </xf>
    <xf numFmtId="0" fontId="17" fillId="8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left" vertical="center" indent="1"/>
    </xf>
    <xf numFmtId="1" fontId="6" fillId="4" borderId="2" xfId="0" applyNumberFormat="1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9" fillId="8" borderId="3" xfId="0" applyFont="1" applyFill="1" applyBorder="1" applyAlignment="1">
      <alignment horizontal="left" vertical="center" indent="1"/>
    </xf>
    <xf numFmtId="0" fontId="20" fillId="8" borderId="3" xfId="0" applyFont="1" applyFill="1" applyBorder="1" applyAlignment="1">
      <alignment horizontal="center" vertical="center"/>
    </xf>
    <xf numFmtId="1" fontId="0" fillId="0" borderId="0" xfId="0" applyNumberFormat="1"/>
    <xf numFmtId="0" fontId="17" fillId="9" borderId="3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left" vertical="center" indent="1"/>
    </xf>
    <xf numFmtId="0" fontId="18" fillId="9" borderId="0" xfId="0" applyFont="1" applyFill="1" applyAlignment="1">
      <alignment horizontal="center" vertical="center"/>
    </xf>
    <xf numFmtId="0" fontId="19" fillId="9" borderId="3" xfId="0" applyFont="1" applyFill="1" applyBorder="1" applyAlignment="1">
      <alignment horizontal="left" vertical="center" indent="1"/>
    </xf>
    <xf numFmtId="0" fontId="20" fillId="9" borderId="3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left" vertical="center" indent="1"/>
    </xf>
    <xf numFmtId="0" fontId="12" fillId="8" borderId="3" xfId="0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left" vertical="center" indent="1"/>
    </xf>
    <xf numFmtId="0" fontId="12" fillId="9" borderId="3" xfId="0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2" fillId="13" borderId="3" xfId="0" applyFont="1" applyFill="1" applyBorder="1" applyAlignment="1">
      <alignment horizontal="center" vertical="center"/>
    </xf>
    <xf numFmtId="0" fontId="25" fillId="9" borderId="3" xfId="0" applyFont="1" applyFill="1" applyBorder="1" applyAlignment="1">
      <alignment horizontal="left" vertical="center" indent="1"/>
    </xf>
    <xf numFmtId="0" fontId="25" fillId="8" borderId="3" xfId="0" applyFont="1" applyFill="1" applyBorder="1" applyAlignment="1">
      <alignment horizontal="left" vertical="center" indent="1"/>
    </xf>
    <xf numFmtId="0" fontId="27" fillId="3" borderId="6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center"/>
    </xf>
    <xf numFmtId="0" fontId="29" fillId="9" borderId="3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4" fillId="10" borderId="7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28" fillId="7" borderId="3" xfId="0" applyFont="1" applyFill="1" applyBorder="1" applyAlignment="1">
      <alignment horizontal="left" vertical="center" indent="1"/>
    </xf>
    <xf numFmtId="0" fontId="30" fillId="0" borderId="0" xfId="0" applyFont="1" applyAlignment="1">
      <alignment horizontal="left" vertical="center" wrapText="1" indent="1"/>
    </xf>
  </cellXfs>
  <cellStyles count="1">
    <cellStyle name="Standard" xfId="0" builtinId="0"/>
  </cellStyles>
  <dxfs count="4">
    <dxf>
      <font>
        <b/>
        <sz val="10"/>
        <color rgb="FFB23A2E"/>
        <name val="Calibri"/>
        <charset val="1"/>
      </font>
    </dxf>
    <dxf>
      <font>
        <b/>
        <sz val="10"/>
        <color rgb="FF2E7D5B"/>
        <name val="Calibri"/>
        <charset val="1"/>
      </font>
    </dxf>
    <dxf>
      <font>
        <b/>
        <sz val="9"/>
        <color rgb="FFC8871B"/>
        <name val="Calibri"/>
        <charset val="1"/>
      </font>
      <fill>
        <patternFill>
          <bgColor rgb="FFFBE8C8"/>
        </patternFill>
      </fill>
    </dxf>
    <dxf>
      <font>
        <b/>
        <sz val="9"/>
        <color rgb="FF2E7D5B"/>
        <name val="Calibri"/>
        <charset val="1"/>
      </font>
      <fill>
        <patternFill>
          <bgColor rgb="FFD8E7C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E9614"/>
      <rgbColor rgb="FF800080"/>
      <rgbColor rgb="FF008080"/>
      <rgbColor rgb="FFC7CDD6"/>
      <rgbColor rgb="FF808080"/>
      <rgbColor rgb="FF9FB0C8"/>
      <rgbColor rgb="FF993366"/>
      <rgbColor rgb="FFFBFEF0"/>
      <rgbColor rgb="FFEEF2F7"/>
      <rgbColor rgb="FF660066"/>
      <rgbColor rgb="FFCF9C63"/>
      <rgbColor rgb="FF0066CC"/>
      <rgbColor rgb="FFC9D4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6FA"/>
      <rgbColor rgb="FFD8E7CB"/>
      <rgbColor rgb="FFFBEFC9"/>
      <rgbColor rgb="FFD3DAE4"/>
      <rgbColor rgb="FFF6F8FB"/>
      <rgbColor rgb="FFDDE3EC"/>
      <rgbColor rgb="FFFBE8C8"/>
      <rgbColor rgb="FF3366FF"/>
      <rgbColor rgb="FF33CCCC"/>
      <rgbColor rgb="FF8FBF1F"/>
      <rgbColor rgb="FFCFE08C"/>
      <rgbColor rgb="FFE7B23C"/>
      <rgbColor rgb="FFC8871B"/>
      <rgbColor rgb="FF5A6577"/>
      <rgbColor rgb="FF969696"/>
      <rgbColor rgb="FF16233A"/>
      <rgbColor rgb="FF2E7D5B"/>
      <rgbColor rgb="FF141B27"/>
      <rgbColor rgb="FF333300"/>
      <rgbColor rgb="FFB23A2E"/>
      <rgbColor rgb="FF993366"/>
      <rgbColor rgb="FF333399"/>
      <rgbColor rgb="FF24365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showGridLines="0" tabSelected="1" zoomScaleNormal="100" workbookViewId="0">
      <selection activeCell="Y42" sqref="Y42"/>
    </sheetView>
  </sheetViews>
  <sheetFormatPr baseColWidth="10" defaultColWidth="8.7109375" defaultRowHeight="15" x14ac:dyDescent="0.25"/>
  <cols>
    <col min="1" max="1" width="2.140625" customWidth="1"/>
    <col min="2" max="2" width="11" customWidth="1"/>
    <col min="3" max="3" width="6.5703125" customWidth="1"/>
    <col min="4" max="4" width="19" customWidth="1"/>
    <col min="5" max="5" width="6.5703125" customWidth="1"/>
    <col min="6" max="6" width="3.42578125" customWidth="1"/>
    <col min="7" max="7" width="8.42578125" customWidth="1"/>
    <col min="8" max="8" width="19" customWidth="1"/>
    <col min="9" max="9" width="14" customWidth="1"/>
    <col min="10" max="10" width="13" customWidth="1"/>
    <col min="11" max="11" width="2.140625" customWidth="1"/>
    <col min="16" max="24" width="10" hidden="1" customWidth="1"/>
  </cols>
  <sheetData>
    <row r="1" spans="1:11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0" customHeight="1" x14ac:dyDescent="0.25">
      <c r="A2" s="16"/>
      <c r="B2" s="14" t="s">
        <v>67</v>
      </c>
      <c r="C2" s="14"/>
      <c r="D2" s="14"/>
      <c r="E2" s="14"/>
      <c r="F2" s="14"/>
      <c r="G2" s="14"/>
      <c r="H2" s="14"/>
      <c r="I2" s="13" t="s">
        <v>0</v>
      </c>
      <c r="J2" s="13"/>
      <c r="K2" s="16"/>
    </row>
    <row r="3" spans="1:11" ht="19.5" customHeight="1" x14ac:dyDescent="0.25">
      <c r="A3" s="16"/>
      <c r="B3" s="12" t="str">
        <f>"6 Mannschaften · Rundenturnier · Saison "&amp;Saison</f>
        <v>6 Mannschaften · Rundenturnier · Saison 2026</v>
      </c>
      <c r="C3" s="12"/>
      <c r="D3" s="12"/>
      <c r="E3" s="12"/>
      <c r="F3" s="12"/>
      <c r="G3" s="12"/>
      <c r="H3" s="12"/>
      <c r="I3" s="13"/>
      <c r="J3" s="13"/>
      <c r="K3" s="16"/>
    </row>
    <row r="4" spans="1:11" ht="6" customHeight="1" x14ac:dyDescent="0.25"/>
    <row r="5" spans="1:11" x14ac:dyDescent="0.25">
      <c r="B5" s="15"/>
      <c r="C5" s="17" t="s">
        <v>1</v>
      </c>
      <c r="H5" s="15"/>
      <c r="I5" s="17" t="s">
        <v>2</v>
      </c>
    </row>
    <row r="6" spans="1:11" x14ac:dyDescent="0.25">
      <c r="B6" s="18"/>
      <c r="C6" s="18"/>
      <c r="D6" s="18"/>
      <c r="E6" s="18"/>
      <c r="F6" s="18"/>
      <c r="H6" s="18"/>
      <c r="I6" s="18"/>
      <c r="J6" s="18"/>
    </row>
    <row r="7" spans="1:11" ht="18.75" customHeight="1" x14ac:dyDescent="0.25">
      <c r="B7" s="19" t="s">
        <v>3</v>
      </c>
      <c r="C7" s="11" t="s">
        <v>4</v>
      </c>
      <c r="D7" s="11"/>
      <c r="E7" s="11"/>
      <c r="F7" s="11"/>
      <c r="H7" s="19" t="s">
        <v>5</v>
      </c>
      <c r="I7" s="10">
        <v>6</v>
      </c>
      <c r="J7" s="10"/>
    </row>
    <row r="8" spans="1:11" ht="18.75" customHeight="1" x14ac:dyDescent="0.25">
      <c r="B8" s="19" t="s">
        <v>6</v>
      </c>
      <c r="C8" s="11" t="s">
        <v>7</v>
      </c>
      <c r="D8" s="11"/>
      <c r="E8" s="11"/>
      <c r="F8" s="11"/>
      <c r="H8" s="19" t="s">
        <v>8</v>
      </c>
      <c r="I8" s="9">
        <v>3</v>
      </c>
      <c r="J8" s="9"/>
    </row>
    <row r="9" spans="1:11" ht="18.75" customHeight="1" x14ac:dyDescent="0.25">
      <c r="B9" s="19" t="s">
        <v>9</v>
      </c>
      <c r="C9" s="11" t="s">
        <v>10</v>
      </c>
      <c r="D9" s="11"/>
      <c r="E9" s="11"/>
      <c r="F9" s="11"/>
      <c r="H9" s="19" t="s">
        <v>11</v>
      </c>
      <c r="I9" s="9">
        <v>1</v>
      </c>
      <c r="J9" s="9"/>
    </row>
    <row r="10" spans="1:11" ht="18.75" customHeight="1" x14ac:dyDescent="0.25">
      <c r="B10" s="19" t="s">
        <v>12</v>
      </c>
      <c r="C10" s="11">
        <v>2026</v>
      </c>
      <c r="D10" s="11"/>
      <c r="E10" s="11"/>
      <c r="F10" s="11"/>
      <c r="H10" s="19" t="s">
        <v>13</v>
      </c>
      <c r="I10" s="9">
        <v>0</v>
      </c>
      <c r="J10" s="9"/>
    </row>
    <row r="11" spans="1:11" ht="18.75" customHeight="1" x14ac:dyDescent="0.25">
      <c r="B11" s="19" t="s">
        <v>14</v>
      </c>
      <c r="C11" s="11" t="s">
        <v>15</v>
      </c>
      <c r="D11" s="11"/>
      <c r="E11" s="11"/>
      <c r="F11" s="11"/>
      <c r="H11" s="19" t="s">
        <v>16</v>
      </c>
      <c r="I11" s="8" t="s">
        <v>17</v>
      </c>
      <c r="J11" s="8"/>
    </row>
    <row r="12" spans="1:11" ht="6" customHeight="1" x14ac:dyDescent="0.25"/>
    <row r="13" spans="1:11" x14ac:dyDescent="0.25">
      <c r="B13" s="15"/>
      <c r="C13" s="17" t="s">
        <v>18</v>
      </c>
    </row>
    <row r="14" spans="1:11" ht="16.5" customHeight="1" x14ac:dyDescent="0.25">
      <c r="B14" s="20" t="s">
        <v>19</v>
      </c>
      <c r="C14" s="20" t="s">
        <v>20</v>
      </c>
      <c r="D14" s="21" t="s">
        <v>21</v>
      </c>
      <c r="F14" s="7" t="s">
        <v>22</v>
      </c>
      <c r="G14" s="7"/>
      <c r="H14" s="6" t="s">
        <v>23</v>
      </c>
      <c r="I14" s="6"/>
      <c r="J14" s="6"/>
    </row>
    <row r="15" spans="1:11" ht="18" customHeight="1" x14ac:dyDescent="0.25">
      <c r="B15" s="22">
        <v>1</v>
      </c>
      <c r="C15" s="23" t="s">
        <v>24</v>
      </c>
      <c r="D15" s="24" t="s">
        <v>25</v>
      </c>
      <c r="F15" s="5" t="str">
        <f>SUM(SP_Played)&amp;" / "&amp;COUNTA(SP_Key)</f>
        <v>12 / 15</v>
      </c>
      <c r="G15" s="5"/>
      <c r="H15" s="4" t="str">
        <f>IF(SUM(SP_Played)=0,"–",Tabelle!C8)</f>
        <v>SV Musterstadt</v>
      </c>
      <c r="I15" s="4"/>
      <c r="J15" s="4"/>
    </row>
    <row r="16" spans="1:11" ht="18" customHeight="1" x14ac:dyDescent="0.25">
      <c r="B16" s="25">
        <v>2</v>
      </c>
      <c r="C16" s="23" t="s">
        <v>26</v>
      </c>
      <c r="D16" s="24" t="s">
        <v>27</v>
      </c>
      <c r="F16" s="5"/>
      <c r="G16" s="5"/>
      <c r="H16" s="4"/>
      <c r="I16" s="4"/>
      <c r="J16" s="4"/>
    </row>
    <row r="17" spans="2:24" ht="18" customHeight="1" x14ac:dyDescent="0.25">
      <c r="B17" s="22">
        <v>3</v>
      </c>
      <c r="C17" s="23" t="s">
        <v>28</v>
      </c>
      <c r="D17" s="24" t="s">
        <v>29</v>
      </c>
    </row>
    <row r="18" spans="2:24" ht="18" customHeight="1" x14ac:dyDescent="0.25">
      <c r="B18" s="25">
        <v>4</v>
      </c>
      <c r="C18" s="23" t="s">
        <v>30</v>
      </c>
      <c r="D18" s="24" t="s">
        <v>31</v>
      </c>
      <c r="F18" s="7" t="s">
        <v>32</v>
      </c>
      <c r="G18" s="7"/>
      <c r="H18" s="3" t="s">
        <v>33</v>
      </c>
      <c r="I18" s="3"/>
      <c r="J18" s="3"/>
    </row>
    <row r="19" spans="2:24" ht="18" customHeight="1" x14ac:dyDescent="0.25">
      <c r="B19" s="22">
        <v>5</v>
      </c>
      <c r="C19" s="23" t="s">
        <v>34</v>
      </c>
      <c r="D19" s="24" t="s">
        <v>35</v>
      </c>
      <c r="F19" s="2">
        <f>SUM(SP_TH0)+SUM(SP_TG0)</f>
        <v>33</v>
      </c>
      <c r="G19" s="2"/>
      <c r="H19" s="2">
        <f>COUNTA(SP_Key)-SUM(SP_Played)</f>
        <v>3</v>
      </c>
      <c r="I19" s="2"/>
      <c r="J19" s="2"/>
    </row>
    <row r="20" spans="2:24" ht="18" customHeight="1" x14ac:dyDescent="0.25">
      <c r="B20" s="25">
        <v>6</v>
      </c>
      <c r="C20" s="23" t="s">
        <v>36</v>
      </c>
      <c r="D20" s="24" t="s">
        <v>37</v>
      </c>
      <c r="F20" s="2"/>
      <c r="G20" s="2"/>
      <c r="H20" s="2"/>
      <c r="I20" s="2"/>
      <c r="J20" s="2"/>
    </row>
    <row r="21" spans="2:24" ht="6" customHeight="1" x14ac:dyDescent="0.25"/>
    <row r="22" spans="2:24" x14ac:dyDescent="0.25">
      <c r="B22" s="15"/>
      <c r="C22" s="17" t="s">
        <v>38</v>
      </c>
    </row>
    <row r="23" spans="2:24" x14ac:dyDescent="0.25">
      <c r="B23" s="18"/>
      <c r="C23" s="18"/>
      <c r="D23" s="18"/>
      <c r="E23" s="18"/>
      <c r="F23" s="18"/>
      <c r="G23" s="18"/>
      <c r="H23" s="18"/>
      <c r="I23" s="18"/>
      <c r="J23" s="18"/>
    </row>
    <row r="24" spans="2:24" ht="18" customHeight="1" x14ac:dyDescent="0.25">
      <c r="B24" s="26" t="s">
        <v>39</v>
      </c>
      <c r="C24" s="26" t="s">
        <v>19</v>
      </c>
      <c r="D24" s="27" t="s">
        <v>40</v>
      </c>
      <c r="E24" s="26" t="s">
        <v>41</v>
      </c>
      <c r="F24" s="26" t="s">
        <v>42</v>
      </c>
      <c r="G24" s="26" t="s">
        <v>41</v>
      </c>
      <c r="H24" s="27" t="s">
        <v>43</v>
      </c>
      <c r="I24" s="27" t="s">
        <v>44</v>
      </c>
      <c r="J24" s="26" t="s">
        <v>45</v>
      </c>
    </row>
    <row r="25" spans="2:24" ht="18.75" customHeight="1" x14ac:dyDescent="0.25">
      <c r="B25" s="1">
        <v>1</v>
      </c>
      <c r="C25" s="28">
        <v>1</v>
      </c>
      <c r="D25" s="29" t="str">
        <f>INDEX(Team_Namen,1)</f>
        <v>SV Musterstadt</v>
      </c>
      <c r="E25" s="30">
        <v>2</v>
      </c>
      <c r="F25" s="31" t="s">
        <v>42</v>
      </c>
      <c r="G25" s="30">
        <v>1</v>
      </c>
      <c r="H25" s="29" t="str">
        <f>INDEX(Team_Namen,6)</f>
        <v>VfL Adlerhorst</v>
      </c>
      <c r="I25" s="32" t="str">
        <f t="shared" ref="I25:I39" si="0">IF(V25=0,"",IF(R25&gt;S25,D25,IF(R25&lt;S25,H25,"Unentschieden")))</f>
        <v>SV Musterstadt</v>
      </c>
      <c r="J25" s="33" t="str">
        <f t="shared" ref="J25:J39" si="1">IF(V25=1,"Gespielt","Offen")</f>
        <v>Gespielt</v>
      </c>
      <c r="P25">
        <v>1</v>
      </c>
      <c r="Q25">
        <v>6</v>
      </c>
      <c r="R25" s="34">
        <f t="shared" ref="R25:R39" si="2">IF(ISNUMBER(E25),E25,0)</f>
        <v>2</v>
      </c>
      <c r="S25" s="34">
        <f t="shared" ref="S25:S39" si="3">IF(ISNUMBER(G25),G25,0)</f>
        <v>1</v>
      </c>
      <c r="V25">
        <f t="shared" ref="V25:V39" si="4">IF(AND(ISNUMBER(E25),ISNUMBER(G25)),1,0)</f>
        <v>1</v>
      </c>
      <c r="X25" t="str">
        <f t="shared" ref="X25:X39" si="5">P25&amp;"-"&amp;Q25</f>
        <v>1-6</v>
      </c>
    </row>
    <row r="26" spans="2:24" ht="18.75" customHeight="1" x14ac:dyDescent="0.25">
      <c r="B26" s="1"/>
      <c r="C26" s="35">
        <v>2</v>
      </c>
      <c r="D26" s="36" t="str">
        <f>INDEX(Team_Namen,2)</f>
        <v>FC Blautal</v>
      </c>
      <c r="E26" s="30">
        <v>1</v>
      </c>
      <c r="F26" s="37" t="s">
        <v>42</v>
      </c>
      <c r="G26" s="30">
        <v>1</v>
      </c>
      <c r="H26" s="36" t="str">
        <f>INDEX(Team_Namen,5)</f>
        <v>SpVgg Weidenfeld</v>
      </c>
      <c r="I26" s="38" t="str">
        <f t="shared" si="0"/>
        <v>Unentschieden</v>
      </c>
      <c r="J26" s="39" t="str">
        <f t="shared" si="1"/>
        <v>Gespielt</v>
      </c>
      <c r="P26">
        <v>2</v>
      </c>
      <c r="Q26">
        <v>5</v>
      </c>
      <c r="R26" s="34">
        <f t="shared" si="2"/>
        <v>1</v>
      </c>
      <c r="S26" s="34">
        <f t="shared" si="3"/>
        <v>1</v>
      </c>
      <c r="V26">
        <f t="shared" si="4"/>
        <v>1</v>
      </c>
      <c r="X26" t="str">
        <f t="shared" si="5"/>
        <v>2-5</v>
      </c>
    </row>
    <row r="27" spans="2:24" ht="18.75" customHeight="1" x14ac:dyDescent="0.25">
      <c r="B27" s="1"/>
      <c r="C27" s="28">
        <v>3</v>
      </c>
      <c r="D27" s="29" t="str">
        <f>INDEX(Team_Namen,3)</f>
        <v>TSV Grünberg</v>
      </c>
      <c r="E27" s="30">
        <v>0</v>
      </c>
      <c r="F27" s="31" t="s">
        <v>42</v>
      </c>
      <c r="G27" s="30">
        <v>2</v>
      </c>
      <c r="H27" s="29" t="str">
        <f>INDEX(Team_Namen,4)</f>
        <v>SC Rotbach</v>
      </c>
      <c r="I27" s="32" t="str">
        <f t="shared" si="0"/>
        <v>SC Rotbach</v>
      </c>
      <c r="J27" s="33" t="str">
        <f t="shared" si="1"/>
        <v>Gespielt</v>
      </c>
      <c r="P27">
        <v>3</v>
      </c>
      <c r="Q27">
        <v>4</v>
      </c>
      <c r="R27" s="34">
        <f t="shared" si="2"/>
        <v>0</v>
      </c>
      <c r="S27" s="34">
        <f t="shared" si="3"/>
        <v>2</v>
      </c>
      <c r="V27">
        <f t="shared" si="4"/>
        <v>1</v>
      </c>
      <c r="X27" t="str">
        <f t="shared" si="5"/>
        <v>3-4</v>
      </c>
    </row>
    <row r="28" spans="2:24" ht="18.75" customHeight="1" x14ac:dyDescent="0.25">
      <c r="B28" s="57">
        <v>2</v>
      </c>
      <c r="C28" s="35">
        <v>4</v>
      </c>
      <c r="D28" s="36" t="str">
        <f>INDEX(Team_Namen,1)</f>
        <v>SV Musterstadt</v>
      </c>
      <c r="E28" s="30">
        <v>3</v>
      </c>
      <c r="F28" s="37" t="s">
        <v>42</v>
      </c>
      <c r="G28" s="30">
        <v>0</v>
      </c>
      <c r="H28" s="36" t="str">
        <f>INDEX(Team_Namen,5)</f>
        <v>SpVgg Weidenfeld</v>
      </c>
      <c r="I28" s="38" t="str">
        <f t="shared" si="0"/>
        <v>SV Musterstadt</v>
      </c>
      <c r="J28" s="39" t="str">
        <f t="shared" si="1"/>
        <v>Gespielt</v>
      </c>
      <c r="P28">
        <v>1</v>
      </c>
      <c r="Q28">
        <v>5</v>
      </c>
      <c r="R28" s="34">
        <f t="shared" si="2"/>
        <v>3</v>
      </c>
      <c r="S28" s="34">
        <f t="shared" si="3"/>
        <v>0</v>
      </c>
      <c r="V28">
        <f t="shared" si="4"/>
        <v>1</v>
      </c>
      <c r="X28" t="str">
        <f t="shared" si="5"/>
        <v>1-5</v>
      </c>
    </row>
    <row r="29" spans="2:24" ht="18.75" customHeight="1" x14ac:dyDescent="0.25">
      <c r="B29" s="57"/>
      <c r="C29" s="28">
        <v>5</v>
      </c>
      <c r="D29" s="29" t="str">
        <f>INDEX(Team_Namen,6)</f>
        <v>VfL Adlerhorst</v>
      </c>
      <c r="E29" s="30">
        <v>1</v>
      </c>
      <c r="F29" s="31" t="s">
        <v>42</v>
      </c>
      <c r="G29" s="30">
        <v>2</v>
      </c>
      <c r="H29" s="29" t="str">
        <f>INDEX(Team_Namen,4)</f>
        <v>SC Rotbach</v>
      </c>
      <c r="I29" s="32" t="str">
        <f t="shared" si="0"/>
        <v>SC Rotbach</v>
      </c>
      <c r="J29" s="33" t="str">
        <f t="shared" si="1"/>
        <v>Gespielt</v>
      </c>
      <c r="P29">
        <v>6</v>
      </c>
      <c r="Q29">
        <v>4</v>
      </c>
      <c r="R29" s="34">
        <f t="shared" si="2"/>
        <v>1</v>
      </c>
      <c r="S29" s="34">
        <f t="shared" si="3"/>
        <v>2</v>
      </c>
      <c r="V29">
        <f t="shared" si="4"/>
        <v>1</v>
      </c>
      <c r="X29" t="str">
        <f t="shared" si="5"/>
        <v>6-4</v>
      </c>
    </row>
    <row r="30" spans="2:24" ht="18.75" customHeight="1" x14ac:dyDescent="0.25">
      <c r="B30" s="57"/>
      <c r="C30" s="35">
        <v>6</v>
      </c>
      <c r="D30" s="36" t="str">
        <f>INDEX(Team_Namen,2)</f>
        <v>FC Blautal</v>
      </c>
      <c r="E30" s="30">
        <v>2</v>
      </c>
      <c r="F30" s="37" t="s">
        <v>42</v>
      </c>
      <c r="G30" s="30">
        <v>2</v>
      </c>
      <c r="H30" s="36" t="str">
        <f>INDEX(Team_Namen,3)</f>
        <v>TSV Grünberg</v>
      </c>
      <c r="I30" s="38" t="str">
        <f t="shared" si="0"/>
        <v>Unentschieden</v>
      </c>
      <c r="J30" s="39" t="str">
        <f t="shared" si="1"/>
        <v>Gespielt</v>
      </c>
      <c r="P30">
        <v>2</v>
      </c>
      <c r="Q30">
        <v>3</v>
      </c>
      <c r="R30" s="34">
        <f t="shared" si="2"/>
        <v>2</v>
      </c>
      <c r="S30" s="34">
        <f t="shared" si="3"/>
        <v>2</v>
      </c>
      <c r="V30">
        <f t="shared" si="4"/>
        <v>1</v>
      </c>
      <c r="X30" t="str">
        <f t="shared" si="5"/>
        <v>2-3</v>
      </c>
    </row>
    <row r="31" spans="2:24" ht="18.75" customHeight="1" x14ac:dyDescent="0.25">
      <c r="B31" s="1">
        <v>3</v>
      </c>
      <c r="C31" s="28">
        <v>7</v>
      </c>
      <c r="D31" s="29" t="str">
        <f>INDEX(Team_Namen,1)</f>
        <v>SV Musterstadt</v>
      </c>
      <c r="E31" s="30">
        <v>1</v>
      </c>
      <c r="F31" s="31" t="s">
        <v>42</v>
      </c>
      <c r="G31" s="30">
        <v>0</v>
      </c>
      <c r="H31" s="29" t="str">
        <f>INDEX(Team_Namen,4)</f>
        <v>SC Rotbach</v>
      </c>
      <c r="I31" s="32" t="str">
        <f t="shared" si="0"/>
        <v>SV Musterstadt</v>
      </c>
      <c r="J31" s="33" t="str">
        <f t="shared" si="1"/>
        <v>Gespielt</v>
      </c>
      <c r="P31">
        <v>1</v>
      </c>
      <c r="Q31">
        <v>4</v>
      </c>
      <c r="R31" s="34">
        <f t="shared" si="2"/>
        <v>1</v>
      </c>
      <c r="S31" s="34">
        <f t="shared" si="3"/>
        <v>0</v>
      </c>
      <c r="V31">
        <f t="shared" si="4"/>
        <v>1</v>
      </c>
      <c r="X31" t="str">
        <f t="shared" si="5"/>
        <v>1-4</v>
      </c>
    </row>
    <row r="32" spans="2:24" ht="18.75" customHeight="1" x14ac:dyDescent="0.25">
      <c r="B32" s="1"/>
      <c r="C32" s="35">
        <v>8</v>
      </c>
      <c r="D32" s="36" t="str">
        <f>INDEX(Team_Namen,5)</f>
        <v>SpVgg Weidenfeld</v>
      </c>
      <c r="E32" s="30">
        <v>0</v>
      </c>
      <c r="F32" s="37" t="s">
        <v>42</v>
      </c>
      <c r="G32" s="30">
        <v>3</v>
      </c>
      <c r="H32" s="36" t="str">
        <f>INDEX(Team_Namen,3)</f>
        <v>TSV Grünberg</v>
      </c>
      <c r="I32" s="38" t="str">
        <f t="shared" si="0"/>
        <v>TSV Grünberg</v>
      </c>
      <c r="J32" s="39" t="str">
        <f t="shared" si="1"/>
        <v>Gespielt</v>
      </c>
      <c r="P32">
        <v>5</v>
      </c>
      <c r="Q32">
        <v>3</v>
      </c>
      <c r="R32" s="34">
        <f t="shared" si="2"/>
        <v>0</v>
      </c>
      <c r="S32" s="34">
        <f t="shared" si="3"/>
        <v>3</v>
      </c>
      <c r="V32">
        <f t="shared" si="4"/>
        <v>1</v>
      </c>
      <c r="X32" t="str">
        <f t="shared" si="5"/>
        <v>5-3</v>
      </c>
    </row>
    <row r="33" spans="2:24" ht="18.75" customHeight="1" x14ac:dyDescent="0.25">
      <c r="B33" s="1"/>
      <c r="C33" s="28">
        <v>9</v>
      </c>
      <c r="D33" s="29" t="str">
        <f>INDEX(Team_Namen,6)</f>
        <v>VfL Adlerhorst</v>
      </c>
      <c r="E33" s="30">
        <v>2</v>
      </c>
      <c r="F33" s="31" t="s">
        <v>42</v>
      </c>
      <c r="G33" s="30">
        <v>2</v>
      </c>
      <c r="H33" s="29" t="str">
        <f>INDEX(Team_Namen,2)</f>
        <v>FC Blautal</v>
      </c>
      <c r="I33" s="32" t="str">
        <f t="shared" si="0"/>
        <v>Unentschieden</v>
      </c>
      <c r="J33" s="33" t="str">
        <f t="shared" si="1"/>
        <v>Gespielt</v>
      </c>
      <c r="P33">
        <v>6</v>
      </c>
      <c r="Q33">
        <v>2</v>
      </c>
      <c r="R33" s="34">
        <f t="shared" si="2"/>
        <v>2</v>
      </c>
      <c r="S33" s="34">
        <f t="shared" si="3"/>
        <v>2</v>
      </c>
      <c r="V33">
        <f t="shared" si="4"/>
        <v>1</v>
      </c>
      <c r="X33" t="str">
        <f t="shared" si="5"/>
        <v>6-2</v>
      </c>
    </row>
    <row r="34" spans="2:24" ht="18.75" customHeight="1" x14ac:dyDescent="0.25">
      <c r="B34" s="57">
        <v>4</v>
      </c>
      <c r="C34" s="35">
        <v>10</v>
      </c>
      <c r="D34" s="36" t="str">
        <f>INDEX(Team_Namen,1)</f>
        <v>SV Musterstadt</v>
      </c>
      <c r="E34" s="30">
        <v>1</v>
      </c>
      <c r="F34" s="37" t="s">
        <v>42</v>
      </c>
      <c r="G34" s="30">
        <v>1</v>
      </c>
      <c r="H34" s="36" t="str">
        <f>INDEX(Team_Namen,3)</f>
        <v>TSV Grünberg</v>
      </c>
      <c r="I34" s="38" t="str">
        <f t="shared" si="0"/>
        <v>Unentschieden</v>
      </c>
      <c r="J34" s="39" t="str">
        <f t="shared" si="1"/>
        <v>Gespielt</v>
      </c>
      <c r="P34">
        <v>1</v>
      </c>
      <c r="Q34">
        <v>3</v>
      </c>
      <c r="R34" s="34">
        <f t="shared" si="2"/>
        <v>1</v>
      </c>
      <c r="S34" s="34">
        <f t="shared" si="3"/>
        <v>1</v>
      </c>
      <c r="V34">
        <f t="shared" si="4"/>
        <v>1</v>
      </c>
      <c r="X34" t="str">
        <f t="shared" si="5"/>
        <v>1-3</v>
      </c>
    </row>
    <row r="35" spans="2:24" ht="18.75" customHeight="1" x14ac:dyDescent="0.25">
      <c r="B35" s="57"/>
      <c r="C35" s="28">
        <v>11</v>
      </c>
      <c r="D35" s="29" t="str">
        <f>INDEX(Team_Namen,4)</f>
        <v>SC Rotbach</v>
      </c>
      <c r="E35" s="30">
        <v>3</v>
      </c>
      <c r="F35" s="31" t="s">
        <v>42</v>
      </c>
      <c r="G35" s="30">
        <v>1</v>
      </c>
      <c r="H35" s="29" t="str">
        <f>INDEX(Team_Namen,2)</f>
        <v>FC Blautal</v>
      </c>
      <c r="I35" s="32" t="str">
        <f t="shared" si="0"/>
        <v>SC Rotbach</v>
      </c>
      <c r="J35" s="33" t="str">
        <f t="shared" si="1"/>
        <v>Gespielt</v>
      </c>
      <c r="P35">
        <v>4</v>
      </c>
      <c r="Q35">
        <v>2</v>
      </c>
      <c r="R35" s="34">
        <f t="shared" si="2"/>
        <v>3</v>
      </c>
      <c r="S35" s="34">
        <f t="shared" si="3"/>
        <v>1</v>
      </c>
      <c r="V35">
        <f t="shared" si="4"/>
        <v>1</v>
      </c>
      <c r="X35" t="str">
        <f t="shared" si="5"/>
        <v>4-2</v>
      </c>
    </row>
    <row r="36" spans="2:24" ht="18.75" customHeight="1" x14ac:dyDescent="0.25">
      <c r="B36" s="57"/>
      <c r="C36" s="35">
        <v>12</v>
      </c>
      <c r="D36" s="36" t="str">
        <f>INDEX(Team_Namen,5)</f>
        <v>SpVgg Weidenfeld</v>
      </c>
      <c r="E36" s="30">
        <v>2</v>
      </c>
      <c r="F36" s="37" t="s">
        <v>42</v>
      </c>
      <c r="G36" s="30">
        <v>0</v>
      </c>
      <c r="H36" s="36" t="str">
        <f>INDEX(Team_Namen,6)</f>
        <v>VfL Adlerhorst</v>
      </c>
      <c r="I36" s="38" t="str">
        <f t="shared" si="0"/>
        <v>SpVgg Weidenfeld</v>
      </c>
      <c r="J36" s="39" t="str">
        <f t="shared" si="1"/>
        <v>Gespielt</v>
      </c>
      <c r="P36">
        <v>5</v>
      </c>
      <c r="Q36">
        <v>6</v>
      </c>
      <c r="R36" s="34">
        <f t="shared" si="2"/>
        <v>2</v>
      </c>
      <c r="S36" s="34">
        <f t="shared" si="3"/>
        <v>0</v>
      </c>
      <c r="V36">
        <f t="shared" si="4"/>
        <v>1</v>
      </c>
      <c r="X36" t="str">
        <f t="shared" si="5"/>
        <v>5-6</v>
      </c>
    </row>
    <row r="37" spans="2:24" ht="18.75" customHeight="1" x14ac:dyDescent="0.25">
      <c r="B37" s="1">
        <v>5</v>
      </c>
      <c r="C37" s="28">
        <v>13</v>
      </c>
      <c r="D37" s="29" t="str">
        <f>INDEX(Team_Namen,1)</f>
        <v>SV Musterstadt</v>
      </c>
      <c r="E37" s="30"/>
      <c r="F37" s="31" t="s">
        <v>42</v>
      </c>
      <c r="G37" s="30"/>
      <c r="H37" s="29" t="str">
        <f>INDEX(Team_Namen,2)</f>
        <v>FC Blautal</v>
      </c>
      <c r="I37" s="32" t="str">
        <f t="shared" si="0"/>
        <v/>
      </c>
      <c r="J37" s="33" t="str">
        <f t="shared" si="1"/>
        <v>Offen</v>
      </c>
      <c r="P37">
        <v>1</v>
      </c>
      <c r="Q37">
        <v>2</v>
      </c>
      <c r="R37">
        <f t="shared" si="2"/>
        <v>0</v>
      </c>
      <c r="S37">
        <f t="shared" si="3"/>
        <v>0</v>
      </c>
      <c r="V37">
        <f t="shared" si="4"/>
        <v>0</v>
      </c>
      <c r="X37" t="str">
        <f t="shared" si="5"/>
        <v>1-2</v>
      </c>
    </row>
    <row r="38" spans="2:24" ht="18.75" customHeight="1" x14ac:dyDescent="0.25">
      <c r="B38" s="1"/>
      <c r="C38" s="35">
        <v>14</v>
      </c>
      <c r="D38" s="36" t="str">
        <f>INDEX(Team_Namen,3)</f>
        <v>TSV Grünberg</v>
      </c>
      <c r="E38" s="30"/>
      <c r="F38" s="37" t="s">
        <v>42</v>
      </c>
      <c r="G38" s="30"/>
      <c r="H38" s="36" t="str">
        <f>INDEX(Team_Namen,6)</f>
        <v>VfL Adlerhorst</v>
      </c>
      <c r="I38" s="38" t="str">
        <f t="shared" si="0"/>
        <v/>
      </c>
      <c r="J38" s="39" t="str">
        <f t="shared" si="1"/>
        <v>Offen</v>
      </c>
      <c r="P38">
        <v>3</v>
      </c>
      <c r="Q38">
        <v>6</v>
      </c>
      <c r="R38">
        <f t="shared" si="2"/>
        <v>0</v>
      </c>
      <c r="S38">
        <f t="shared" si="3"/>
        <v>0</v>
      </c>
      <c r="V38">
        <f t="shared" si="4"/>
        <v>0</v>
      </c>
      <c r="X38" t="str">
        <f t="shared" si="5"/>
        <v>3-6</v>
      </c>
    </row>
    <row r="39" spans="2:24" ht="18.75" customHeight="1" x14ac:dyDescent="0.25">
      <c r="B39" s="1"/>
      <c r="C39" s="28">
        <v>15</v>
      </c>
      <c r="D39" s="29" t="str">
        <f>INDEX(Team_Namen,4)</f>
        <v>SC Rotbach</v>
      </c>
      <c r="E39" s="30"/>
      <c r="F39" s="31" t="s">
        <v>42</v>
      </c>
      <c r="G39" s="30"/>
      <c r="H39" s="29" t="str">
        <f>INDEX(Team_Namen,5)</f>
        <v>SpVgg Weidenfeld</v>
      </c>
      <c r="I39" s="32" t="str">
        <f t="shared" si="0"/>
        <v/>
      </c>
      <c r="J39" s="33" t="str">
        <f t="shared" si="1"/>
        <v>Offen</v>
      </c>
      <c r="P39">
        <v>4</v>
      </c>
      <c r="Q39">
        <v>5</v>
      </c>
      <c r="R39">
        <f t="shared" si="2"/>
        <v>0</v>
      </c>
      <c r="S39">
        <f t="shared" si="3"/>
        <v>0</v>
      </c>
      <c r="V39">
        <f t="shared" si="4"/>
        <v>0</v>
      </c>
      <c r="X39" t="str">
        <f t="shared" si="5"/>
        <v>4-5</v>
      </c>
    </row>
    <row r="41" spans="2:24" ht="25.5" customHeight="1" x14ac:dyDescent="0.25">
      <c r="B41" s="58" t="s">
        <v>46</v>
      </c>
      <c r="C41" s="58"/>
      <c r="D41" s="58"/>
      <c r="E41" s="58"/>
      <c r="F41" s="58"/>
      <c r="G41" s="58"/>
      <c r="H41" s="58"/>
      <c r="I41" s="58"/>
      <c r="J41" s="58"/>
    </row>
  </sheetData>
  <mergeCells count="27">
    <mergeCell ref="B28:B30"/>
    <mergeCell ref="B31:B33"/>
    <mergeCell ref="B34:B36"/>
    <mergeCell ref="B37:B39"/>
    <mergeCell ref="B41:J41"/>
    <mergeCell ref="F18:G18"/>
    <mergeCell ref="H18:J18"/>
    <mergeCell ref="F19:G20"/>
    <mergeCell ref="H19:J20"/>
    <mergeCell ref="B25:B27"/>
    <mergeCell ref="C11:F11"/>
    <mergeCell ref="I11:J11"/>
    <mergeCell ref="F14:G14"/>
    <mergeCell ref="H14:J14"/>
    <mergeCell ref="F15:G16"/>
    <mergeCell ref="H15:J16"/>
    <mergeCell ref="C8:F8"/>
    <mergeCell ref="I8:J8"/>
    <mergeCell ref="C9:F9"/>
    <mergeCell ref="I9:J9"/>
    <mergeCell ref="C10:F10"/>
    <mergeCell ref="I10:J10"/>
    <mergeCell ref="B2:H2"/>
    <mergeCell ref="I2:J3"/>
    <mergeCell ref="B3:H3"/>
    <mergeCell ref="C7:F7"/>
    <mergeCell ref="I7:J7"/>
  </mergeCells>
  <conditionalFormatting sqref="J25:J39">
    <cfRule type="cellIs" dxfId="3" priority="2" operator="equal">
      <formula>"Gespielt"</formula>
    </cfRule>
    <cfRule type="cellIs" dxfId="2" priority="3" operator="equal">
      <formula>"Offen"</formula>
    </cfRule>
  </conditionalFormatting>
  <pageMargins left="0.3" right="0.3" top="0.4" bottom="0.4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1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2.140625" customWidth="1"/>
    <col min="2" max="2" width="6.5703125" customWidth="1"/>
    <col min="3" max="3" width="21" customWidth="1"/>
    <col min="4" max="4" width="6.5703125" customWidth="1"/>
    <col min="5" max="8" width="5" customWidth="1"/>
    <col min="9" max="10" width="7.42578125" customWidth="1"/>
    <col min="11" max="11" width="7" customWidth="1"/>
    <col min="12" max="12" width="8" customWidth="1"/>
    <col min="13" max="13" width="2.140625" customWidth="1"/>
    <col min="16" max="29" width="11" hidden="1" customWidth="1"/>
  </cols>
  <sheetData>
    <row r="1" spans="1:26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6" ht="30" customHeight="1" x14ac:dyDescent="0.25">
      <c r="A2" s="16"/>
      <c r="B2" s="14" t="s">
        <v>47</v>
      </c>
      <c r="C2" s="14"/>
      <c r="D2" s="14"/>
      <c r="E2" s="14"/>
      <c r="F2" s="14"/>
      <c r="G2" s="14"/>
      <c r="H2" s="14"/>
      <c r="I2" s="13" t="s">
        <v>0</v>
      </c>
      <c r="J2" s="13"/>
      <c r="K2" s="13"/>
      <c r="L2" s="13"/>
    </row>
    <row r="3" spans="1:26" ht="19.5" customHeight="1" x14ac:dyDescent="0.25">
      <c r="A3" s="16"/>
      <c r="B3" s="12" t="str">
        <f ca="1">"Jeder gegen Jeden · Stand: "&amp;RIGHT("0"&amp;DAY(TODAY()),2)&amp;"."&amp;RIGHT("0"&amp;MONTH(TODAY()),2)&amp;"."&amp;YEAR(TODAY())</f>
        <v>Jeder gegen Jeden · Stand: 14.08.2026</v>
      </c>
      <c r="C3" s="12"/>
      <c r="D3" s="12"/>
      <c r="E3" s="12"/>
      <c r="F3" s="12"/>
      <c r="G3" s="12"/>
      <c r="H3" s="12"/>
      <c r="I3" s="13"/>
      <c r="J3" s="13"/>
      <c r="K3" s="13"/>
      <c r="L3" s="13"/>
    </row>
    <row r="4" spans="1:26" ht="6" customHeight="1" x14ac:dyDescent="0.25"/>
    <row r="5" spans="1:26" ht="21.75" customHeight="1" x14ac:dyDescent="0.25">
      <c r="B5" s="59" t="str">
        <f>IF(SUM(SP_Played)=0,"Noch keine Ergebnisse erfasst – bitte Tore im Spielplan eintragen.","Tabellenführer: "&amp;C8&amp;"   ·   "&amp;L8&amp;" Punkte   ·   Tordifferenz "&amp;IF(J8&gt;=0,"+","")&amp;J8)</f>
        <v>Tabellenführer: SV Musterstadt   ·   10 Punkte   ·   Tordifferenz +5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26" ht="6" customHeight="1" x14ac:dyDescent="0.25"/>
    <row r="7" spans="1:26" ht="18" customHeight="1" x14ac:dyDescent="0.25">
      <c r="B7" s="26" t="s">
        <v>48</v>
      </c>
      <c r="C7" s="27" t="s">
        <v>21</v>
      </c>
      <c r="D7" s="26" t="s">
        <v>49</v>
      </c>
      <c r="E7" s="26" t="s">
        <v>50</v>
      </c>
      <c r="F7" s="26" t="s">
        <v>51</v>
      </c>
      <c r="G7" s="26" t="s">
        <v>52</v>
      </c>
      <c r="H7" s="26" t="s">
        <v>53</v>
      </c>
      <c r="I7" s="26" t="s">
        <v>54</v>
      </c>
      <c r="J7" s="26" t="s">
        <v>55</v>
      </c>
      <c r="K7" s="26" t="s">
        <v>56</v>
      </c>
      <c r="L7" s="26" t="s">
        <v>57</v>
      </c>
    </row>
    <row r="8" spans="1:26" ht="21" customHeight="1" x14ac:dyDescent="0.25">
      <c r="B8" s="40">
        <v>1</v>
      </c>
      <c r="C8" s="41" t="str">
        <f>INDEX(Team_Namen,INDEX($P$8:$P$13,MATCH(1,$Z$8:$Z$13,0)))</f>
        <v>SV Musterstadt</v>
      </c>
      <c r="D8" s="42">
        <f>INDEX($Q$8:$Q$13,MATCH(1,$Z$8:$Z$13,0))</f>
        <v>4</v>
      </c>
      <c r="E8" s="42">
        <f>INDEX($R$8:$R$13,MATCH(1,$Z$8:$Z$13,0))</f>
        <v>3</v>
      </c>
      <c r="F8" s="42">
        <f>INDEX($S$8:$S$13,MATCH(1,$Z$8:$Z$13,0))</f>
        <v>1</v>
      </c>
      <c r="G8" s="42">
        <f>INDEX($T$8:$T$13,MATCH(1,$Z$8:$Z$13,0))</f>
        <v>0</v>
      </c>
      <c r="H8" s="42">
        <f>INDEX($U$8:$U$13,MATCH(1,$Z$8:$Z$13,0))</f>
        <v>7</v>
      </c>
      <c r="I8" s="42">
        <f>INDEX($V$8:$V$13,MATCH(1,$Z$8:$Z$13,0))</f>
        <v>2</v>
      </c>
      <c r="J8" s="43">
        <f>INDEX($W$8:$W$13,MATCH(1,$Z$8:$Z$13,0))</f>
        <v>5</v>
      </c>
      <c r="K8" s="28" t="str">
        <f t="shared" ref="K8:K13" si="0">IF(D8=0,"–",TEXT(L8/D8,"0.0"))</f>
        <v>03</v>
      </c>
      <c r="L8" s="44">
        <f>INDEX($X$8:$X$13,MATCH(1,$Z$8:$Z$13,0))</f>
        <v>10</v>
      </c>
      <c r="P8">
        <v>1</v>
      </c>
      <c r="Q8">
        <f>SUMPRODUCT((SP_HeimNr=1)*SP_Played)+SUMPRODUCT((SP_GastNr=1)*SP_Played)</f>
        <v>4</v>
      </c>
      <c r="R8">
        <f>SUMPRODUCT((SP_HeimNr=1)*SP_Played*(SP_TH0&gt;SP_TG0))+SUMPRODUCT((SP_GastNr=1)*SP_Played*(SP_TG0&gt;SP_TH0))</f>
        <v>3</v>
      </c>
      <c r="S8">
        <f>SUMPRODUCT((SP_HeimNr=1)*SP_Played*(SP_TH0=SP_TG0))+SUMPRODUCT((SP_GastNr=1)*SP_Played*(SP_TG0=SP_TH0))</f>
        <v>1</v>
      </c>
      <c r="T8">
        <f>SUMPRODUCT((SP_HeimNr=1)*SP_Played*(SP_TH0&lt;SP_TG0))+SUMPRODUCT((SP_GastNr=1)*SP_Played*(SP_TG0&lt;SP_TH0))</f>
        <v>0</v>
      </c>
      <c r="U8">
        <f>SUMPRODUCT((SP_HeimNr=1)*SP_Played*SP_TH0)+SUMPRODUCT((SP_GastNr=1)*SP_Played*SP_TG0)</f>
        <v>7</v>
      </c>
      <c r="V8">
        <f>SUMPRODUCT((SP_HeimNr=1)*SP_Played*SP_TG0)+SUMPRODUCT((SP_GastNr=1)*SP_Played*SP_TH0)</f>
        <v>2</v>
      </c>
      <c r="W8">
        <f t="shared" ref="W8:W13" si="1">U8-V8</f>
        <v>5</v>
      </c>
      <c r="X8">
        <f t="shared" ref="X8:X13" si="2">R8*Punkte_Sieg+S8*Punkte_Remis+T8*Punkte_Nieder</f>
        <v>10</v>
      </c>
      <c r="Y8">
        <f>X8*10000000+(W8+100)*10000+U8*10+(7-1)</f>
        <v>101050076</v>
      </c>
      <c r="Z8">
        <f t="shared" ref="Z8:Z13" si="3">RANK(Y8,$Y$8:$Y$13,0)</f>
        <v>1</v>
      </c>
    </row>
    <row r="9" spans="1:26" ht="21" customHeight="1" x14ac:dyDescent="0.25">
      <c r="B9" s="45">
        <v>2</v>
      </c>
      <c r="C9" s="46" t="str">
        <f>INDEX(Team_Namen,INDEX($P$8:$P$13,MATCH(2,$Z$8:$Z$13,0)))</f>
        <v>SC Rotbach</v>
      </c>
      <c r="D9" s="47">
        <f>INDEX($Q$8:$Q$13,MATCH(2,$Z$8:$Z$13,0))</f>
        <v>4</v>
      </c>
      <c r="E9" s="47">
        <f>INDEX($R$8:$R$13,MATCH(2,$Z$8:$Z$13,0))</f>
        <v>3</v>
      </c>
      <c r="F9" s="47">
        <f>INDEX($S$8:$S$13,MATCH(2,$Z$8:$Z$13,0))</f>
        <v>0</v>
      </c>
      <c r="G9" s="47">
        <f>INDEX($T$8:$T$13,MATCH(2,$Z$8:$Z$13,0))</f>
        <v>1</v>
      </c>
      <c r="H9" s="47">
        <f>INDEX($U$8:$U$13,MATCH(2,$Z$8:$Z$13,0))</f>
        <v>7</v>
      </c>
      <c r="I9" s="47">
        <f>INDEX($V$8:$V$13,MATCH(2,$Z$8:$Z$13,0))</f>
        <v>3</v>
      </c>
      <c r="J9" s="48">
        <f>INDEX($W$8:$W$13,MATCH(2,$Z$8:$Z$13,0))</f>
        <v>4</v>
      </c>
      <c r="K9" s="35" t="str">
        <f t="shared" si="0"/>
        <v>02</v>
      </c>
      <c r="L9" s="49">
        <f>INDEX($X$8:$X$13,MATCH(2,$Z$8:$Z$13,0))</f>
        <v>9</v>
      </c>
      <c r="P9">
        <v>2</v>
      </c>
      <c r="Q9">
        <f>SUMPRODUCT((SP_HeimNr=2)*SP_Played)+SUMPRODUCT((SP_GastNr=2)*SP_Played)</f>
        <v>4</v>
      </c>
      <c r="R9">
        <f>SUMPRODUCT((SP_HeimNr=2)*SP_Played*(SP_TH0&gt;SP_TG0))+SUMPRODUCT((SP_GastNr=2)*SP_Played*(SP_TG0&gt;SP_TH0))</f>
        <v>0</v>
      </c>
      <c r="S9">
        <f>SUMPRODUCT((SP_HeimNr=2)*SP_Played*(SP_TH0=SP_TG0))+SUMPRODUCT((SP_GastNr=2)*SP_Played*(SP_TG0=SP_TH0))</f>
        <v>3</v>
      </c>
      <c r="T9">
        <f>SUMPRODUCT((SP_HeimNr=2)*SP_Played*(SP_TH0&lt;SP_TG0))+SUMPRODUCT((SP_GastNr=2)*SP_Played*(SP_TG0&lt;SP_TH0))</f>
        <v>1</v>
      </c>
      <c r="U9">
        <f>SUMPRODUCT((SP_HeimNr=2)*SP_Played*SP_TH0)+SUMPRODUCT((SP_GastNr=2)*SP_Played*SP_TG0)</f>
        <v>6</v>
      </c>
      <c r="V9">
        <f>SUMPRODUCT((SP_HeimNr=2)*SP_Played*SP_TG0)+SUMPRODUCT((SP_GastNr=2)*SP_Played*SP_TH0)</f>
        <v>8</v>
      </c>
      <c r="W9">
        <f t="shared" si="1"/>
        <v>-2</v>
      </c>
      <c r="X9">
        <f t="shared" si="2"/>
        <v>3</v>
      </c>
      <c r="Y9">
        <f>X9*10000000+(W9+100)*10000+U9*10+(7-2)</f>
        <v>30980065</v>
      </c>
      <c r="Z9">
        <f t="shared" si="3"/>
        <v>5</v>
      </c>
    </row>
    <row r="10" spans="1:26" ht="21" customHeight="1" x14ac:dyDescent="0.25">
      <c r="B10" s="50">
        <v>3</v>
      </c>
      <c r="C10" s="41" t="str">
        <f>INDEX(Team_Namen,INDEX($P$8:$P$13,MATCH(3,$Z$8:$Z$13,0)))</f>
        <v>TSV Grünberg</v>
      </c>
      <c r="D10" s="42">
        <f>INDEX($Q$8:$Q$13,MATCH(3,$Z$8:$Z$13,0))</f>
        <v>4</v>
      </c>
      <c r="E10" s="42">
        <f>INDEX($R$8:$R$13,MATCH(3,$Z$8:$Z$13,0))</f>
        <v>1</v>
      </c>
      <c r="F10" s="42">
        <f>INDEX($S$8:$S$13,MATCH(3,$Z$8:$Z$13,0))</f>
        <v>2</v>
      </c>
      <c r="G10" s="42">
        <f>INDEX($T$8:$T$13,MATCH(3,$Z$8:$Z$13,0))</f>
        <v>1</v>
      </c>
      <c r="H10" s="42">
        <f>INDEX($U$8:$U$13,MATCH(3,$Z$8:$Z$13,0))</f>
        <v>6</v>
      </c>
      <c r="I10" s="42">
        <f>INDEX($V$8:$V$13,MATCH(3,$Z$8:$Z$13,0))</f>
        <v>5</v>
      </c>
      <c r="J10" s="43">
        <f>INDEX($W$8:$W$13,MATCH(3,$Z$8:$Z$13,0))</f>
        <v>1</v>
      </c>
      <c r="K10" s="28" t="str">
        <f t="shared" si="0"/>
        <v>01</v>
      </c>
      <c r="L10" s="44">
        <f>INDEX($X$8:$X$13,MATCH(3,$Z$8:$Z$13,0))</f>
        <v>5</v>
      </c>
      <c r="P10">
        <v>3</v>
      </c>
      <c r="Q10">
        <f>SUMPRODUCT((SP_HeimNr=3)*SP_Played)+SUMPRODUCT((SP_GastNr=3)*SP_Played)</f>
        <v>4</v>
      </c>
      <c r="R10">
        <f>SUMPRODUCT((SP_HeimNr=3)*SP_Played*(SP_TH0&gt;SP_TG0))+SUMPRODUCT((SP_GastNr=3)*SP_Played*(SP_TG0&gt;SP_TH0))</f>
        <v>1</v>
      </c>
      <c r="S10">
        <f>SUMPRODUCT((SP_HeimNr=3)*SP_Played*(SP_TH0=SP_TG0))+SUMPRODUCT((SP_GastNr=3)*SP_Played*(SP_TG0=SP_TH0))</f>
        <v>2</v>
      </c>
      <c r="T10">
        <f>SUMPRODUCT((SP_HeimNr=3)*SP_Played*(SP_TH0&lt;SP_TG0))+SUMPRODUCT((SP_GastNr=3)*SP_Played*(SP_TG0&lt;SP_TH0))</f>
        <v>1</v>
      </c>
      <c r="U10">
        <f>SUMPRODUCT((SP_HeimNr=3)*SP_Played*SP_TH0)+SUMPRODUCT((SP_GastNr=3)*SP_Played*SP_TG0)</f>
        <v>6</v>
      </c>
      <c r="V10">
        <f>SUMPRODUCT((SP_HeimNr=3)*SP_Played*SP_TG0)+SUMPRODUCT((SP_GastNr=3)*SP_Played*SP_TH0)</f>
        <v>5</v>
      </c>
      <c r="W10">
        <f t="shared" si="1"/>
        <v>1</v>
      </c>
      <c r="X10">
        <f t="shared" si="2"/>
        <v>5</v>
      </c>
      <c r="Y10">
        <f>X10*10000000+(W10+100)*10000+U10*10+(7-3)</f>
        <v>51010064</v>
      </c>
      <c r="Z10">
        <f t="shared" si="3"/>
        <v>3</v>
      </c>
    </row>
    <row r="11" spans="1:26" ht="21" customHeight="1" x14ac:dyDescent="0.25">
      <c r="B11" s="49">
        <v>4</v>
      </c>
      <c r="C11" s="51" t="str">
        <f>INDEX(Team_Namen,INDEX($P$8:$P$13,MATCH(4,$Z$8:$Z$13,0)))</f>
        <v>SpVgg Weidenfeld</v>
      </c>
      <c r="D11" s="47">
        <f>INDEX($Q$8:$Q$13,MATCH(4,$Z$8:$Z$13,0))</f>
        <v>4</v>
      </c>
      <c r="E11" s="47">
        <f>INDEX($R$8:$R$13,MATCH(4,$Z$8:$Z$13,0))</f>
        <v>1</v>
      </c>
      <c r="F11" s="47">
        <f>INDEX($S$8:$S$13,MATCH(4,$Z$8:$Z$13,0))</f>
        <v>1</v>
      </c>
      <c r="G11" s="47">
        <f>INDEX($T$8:$T$13,MATCH(4,$Z$8:$Z$13,0))</f>
        <v>2</v>
      </c>
      <c r="H11" s="47">
        <f>INDEX($U$8:$U$13,MATCH(4,$Z$8:$Z$13,0))</f>
        <v>3</v>
      </c>
      <c r="I11" s="47">
        <f>INDEX($V$8:$V$13,MATCH(4,$Z$8:$Z$13,0))</f>
        <v>7</v>
      </c>
      <c r="J11" s="48">
        <f>INDEX($W$8:$W$13,MATCH(4,$Z$8:$Z$13,0))</f>
        <v>-4</v>
      </c>
      <c r="K11" s="35" t="str">
        <f t="shared" si="0"/>
        <v>01</v>
      </c>
      <c r="L11" s="49">
        <f>INDEX($X$8:$X$13,MATCH(4,$Z$8:$Z$13,0))</f>
        <v>4</v>
      </c>
      <c r="P11">
        <v>4</v>
      </c>
      <c r="Q11">
        <f>SUMPRODUCT((SP_HeimNr=4)*SP_Played)+SUMPRODUCT((SP_GastNr=4)*SP_Played)</f>
        <v>4</v>
      </c>
      <c r="R11">
        <f>SUMPRODUCT((SP_HeimNr=4)*SP_Played*(SP_TH0&gt;SP_TG0))+SUMPRODUCT((SP_GastNr=4)*SP_Played*(SP_TG0&gt;SP_TH0))</f>
        <v>3</v>
      </c>
      <c r="S11">
        <f>SUMPRODUCT((SP_HeimNr=4)*SP_Played*(SP_TH0=SP_TG0))+SUMPRODUCT((SP_GastNr=4)*SP_Played*(SP_TG0=SP_TH0))</f>
        <v>0</v>
      </c>
      <c r="T11">
        <f>SUMPRODUCT((SP_HeimNr=4)*SP_Played*(SP_TH0&lt;SP_TG0))+SUMPRODUCT((SP_GastNr=4)*SP_Played*(SP_TG0&lt;SP_TH0))</f>
        <v>1</v>
      </c>
      <c r="U11">
        <f>SUMPRODUCT((SP_HeimNr=4)*SP_Played*SP_TH0)+SUMPRODUCT((SP_GastNr=4)*SP_Played*SP_TG0)</f>
        <v>7</v>
      </c>
      <c r="V11">
        <f>SUMPRODUCT((SP_HeimNr=4)*SP_Played*SP_TG0)+SUMPRODUCT((SP_GastNr=4)*SP_Played*SP_TH0)</f>
        <v>3</v>
      </c>
      <c r="W11">
        <f t="shared" si="1"/>
        <v>4</v>
      </c>
      <c r="X11">
        <f t="shared" si="2"/>
        <v>9</v>
      </c>
      <c r="Y11">
        <f>X11*10000000+(W11+100)*10000+U11*10+(7-4)</f>
        <v>91040073</v>
      </c>
      <c r="Z11">
        <f t="shared" si="3"/>
        <v>2</v>
      </c>
    </row>
    <row r="12" spans="1:26" ht="21" customHeight="1" x14ac:dyDescent="0.25">
      <c r="B12" s="44">
        <v>5</v>
      </c>
      <c r="C12" s="52" t="str">
        <f>INDEX(Team_Namen,INDEX($P$8:$P$13,MATCH(5,$Z$8:$Z$13,0)))</f>
        <v>FC Blautal</v>
      </c>
      <c r="D12" s="42">
        <f>INDEX($Q$8:$Q$13,MATCH(5,$Z$8:$Z$13,0))</f>
        <v>4</v>
      </c>
      <c r="E12" s="42">
        <f>INDEX($R$8:$R$13,MATCH(5,$Z$8:$Z$13,0))</f>
        <v>0</v>
      </c>
      <c r="F12" s="42">
        <f>INDEX($S$8:$S$13,MATCH(5,$Z$8:$Z$13,0))</f>
        <v>3</v>
      </c>
      <c r="G12" s="42">
        <f>INDEX($T$8:$T$13,MATCH(5,$Z$8:$Z$13,0))</f>
        <v>1</v>
      </c>
      <c r="H12" s="42">
        <f>INDEX($U$8:$U$13,MATCH(5,$Z$8:$Z$13,0))</f>
        <v>6</v>
      </c>
      <c r="I12" s="42">
        <f>INDEX($V$8:$V$13,MATCH(5,$Z$8:$Z$13,0))</f>
        <v>8</v>
      </c>
      <c r="J12" s="43">
        <f>INDEX($W$8:$W$13,MATCH(5,$Z$8:$Z$13,0))</f>
        <v>-2</v>
      </c>
      <c r="K12" s="28" t="str">
        <f t="shared" si="0"/>
        <v>01</v>
      </c>
      <c r="L12" s="44">
        <f>INDEX($X$8:$X$13,MATCH(5,$Z$8:$Z$13,0))</f>
        <v>3</v>
      </c>
      <c r="P12">
        <v>5</v>
      </c>
      <c r="Q12">
        <f>SUMPRODUCT((SP_HeimNr=5)*SP_Played)+SUMPRODUCT((SP_GastNr=5)*SP_Played)</f>
        <v>4</v>
      </c>
      <c r="R12">
        <f>SUMPRODUCT((SP_HeimNr=5)*SP_Played*(SP_TH0&gt;SP_TG0))+SUMPRODUCT((SP_GastNr=5)*SP_Played*(SP_TG0&gt;SP_TH0))</f>
        <v>1</v>
      </c>
      <c r="S12">
        <f>SUMPRODUCT((SP_HeimNr=5)*SP_Played*(SP_TH0=SP_TG0))+SUMPRODUCT((SP_GastNr=5)*SP_Played*(SP_TG0=SP_TH0))</f>
        <v>1</v>
      </c>
      <c r="T12">
        <f>SUMPRODUCT((SP_HeimNr=5)*SP_Played*(SP_TH0&lt;SP_TG0))+SUMPRODUCT((SP_GastNr=5)*SP_Played*(SP_TG0&lt;SP_TH0))</f>
        <v>2</v>
      </c>
      <c r="U12">
        <f>SUMPRODUCT((SP_HeimNr=5)*SP_Played*SP_TH0)+SUMPRODUCT((SP_GastNr=5)*SP_Played*SP_TG0)</f>
        <v>3</v>
      </c>
      <c r="V12">
        <f>SUMPRODUCT((SP_HeimNr=5)*SP_Played*SP_TG0)+SUMPRODUCT((SP_GastNr=5)*SP_Played*SP_TH0)</f>
        <v>7</v>
      </c>
      <c r="W12">
        <f t="shared" si="1"/>
        <v>-4</v>
      </c>
      <c r="X12">
        <f t="shared" si="2"/>
        <v>4</v>
      </c>
      <c r="Y12">
        <f>X12*10000000+(W12+100)*10000+U12*10+(7-5)</f>
        <v>40960032</v>
      </c>
      <c r="Z12">
        <f t="shared" si="3"/>
        <v>4</v>
      </c>
    </row>
    <row r="13" spans="1:26" ht="21" customHeight="1" x14ac:dyDescent="0.25">
      <c r="B13" s="49">
        <v>6</v>
      </c>
      <c r="C13" s="51" t="str">
        <f>INDEX(Team_Namen,INDEX($P$8:$P$13,MATCH(6,$Z$8:$Z$13,0)))</f>
        <v>VfL Adlerhorst</v>
      </c>
      <c r="D13" s="47">
        <f>INDEX($Q$8:$Q$13,MATCH(6,$Z$8:$Z$13,0))</f>
        <v>4</v>
      </c>
      <c r="E13" s="47">
        <f>INDEX($R$8:$R$13,MATCH(6,$Z$8:$Z$13,0))</f>
        <v>0</v>
      </c>
      <c r="F13" s="47">
        <f>INDEX($S$8:$S$13,MATCH(6,$Z$8:$Z$13,0))</f>
        <v>1</v>
      </c>
      <c r="G13" s="47">
        <f>INDEX($T$8:$T$13,MATCH(6,$Z$8:$Z$13,0))</f>
        <v>3</v>
      </c>
      <c r="H13" s="47">
        <f>INDEX($U$8:$U$13,MATCH(6,$Z$8:$Z$13,0))</f>
        <v>4</v>
      </c>
      <c r="I13" s="47">
        <f>INDEX($V$8:$V$13,MATCH(6,$Z$8:$Z$13,0))</f>
        <v>8</v>
      </c>
      <c r="J13" s="48">
        <f>INDEX($W$8:$W$13,MATCH(6,$Z$8:$Z$13,0))</f>
        <v>-4</v>
      </c>
      <c r="K13" s="35" t="str">
        <f t="shared" si="0"/>
        <v>00</v>
      </c>
      <c r="L13" s="49">
        <f>INDEX($X$8:$X$13,MATCH(6,$Z$8:$Z$13,0))</f>
        <v>1</v>
      </c>
      <c r="P13">
        <v>6</v>
      </c>
      <c r="Q13">
        <f>SUMPRODUCT((SP_HeimNr=6)*SP_Played)+SUMPRODUCT((SP_GastNr=6)*SP_Played)</f>
        <v>4</v>
      </c>
      <c r="R13">
        <f>SUMPRODUCT((SP_HeimNr=6)*SP_Played*(SP_TH0&gt;SP_TG0))+SUMPRODUCT((SP_GastNr=6)*SP_Played*(SP_TG0&gt;SP_TH0))</f>
        <v>0</v>
      </c>
      <c r="S13">
        <f>SUMPRODUCT((SP_HeimNr=6)*SP_Played*(SP_TH0=SP_TG0))+SUMPRODUCT((SP_GastNr=6)*SP_Played*(SP_TG0=SP_TH0))</f>
        <v>1</v>
      </c>
      <c r="T13">
        <f>SUMPRODUCT((SP_HeimNr=6)*SP_Played*(SP_TH0&lt;SP_TG0))+SUMPRODUCT((SP_GastNr=6)*SP_Played*(SP_TG0&lt;SP_TH0))</f>
        <v>3</v>
      </c>
      <c r="U13">
        <f>SUMPRODUCT((SP_HeimNr=6)*SP_Played*SP_TH0)+SUMPRODUCT((SP_GastNr=6)*SP_Played*SP_TG0)</f>
        <v>4</v>
      </c>
      <c r="V13">
        <f>SUMPRODUCT((SP_HeimNr=6)*SP_Played*SP_TG0)+SUMPRODUCT((SP_GastNr=6)*SP_Played*SP_TH0)</f>
        <v>8</v>
      </c>
      <c r="W13">
        <f t="shared" si="1"/>
        <v>-4</v>
      </c>
      <c r="X13">
        <f t="shared" si="2"/>
        <v>1</v>
      </c>
      <c r="Y13">
        <f>X13*10000000+(W13+100)*10000+U13*10+(7-6)</f>
        <v>10960041</v>
      </c>
      <c r="Z13">
        <f t="shared" si="3"/>
        <v>6</v>
      </c>
    </row>
    <row r="14" spans="1:26" ht="15.75" customHeight="1" x14ac:dyDescent="0.25">
      <c r="B14" s="60" t="s">
        <v>58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6" spans="1:26" x14ac:dyDescent="0.25">
      <c r="B16" s="15"/>
      <c r="C16" s="17" t="s">
        <v>59</v>
      </c>
    </row>
    <row r="17" spans="2:12" x14ac:dyDescent="0.2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2:12" ht="16.5" customHeight="1" x14ac:dyDescent="0.25">
      <c r="B18" s="61" t="s">
        <v>60</v>
      </c>
      <c r="C18" s="61"/>
      <c r="D18" s="53" t="str">
        <f>INDEX(Team_Kuerzel,1)</f>
        <v>MUS</v>
      </c>
      <c r="E18" s="53" t="str">
        <f>INDEX(Team_Kuerzel,2)</f>
        <v>BLA</v>
      </c>
      <c r="F18" s="53" t="str">
        <f>INDEX(Team_Kuerzel,3)</f>
        <v>GRN</v>
      </c>
      <c r="G18" s="53" t="str">
        <f>INDEX(Team_Kuerzel,4)</f>
        <v>ROT</v>
      </c>
      <c r="H18" s="53" t="str">
        <f>INDEX(Team_Kuerzel,5)</f>
        <v>WEI</v>
      </c>
      <c r="I18" s="53" t="str">
        <f>INDEX(Team_Kuerzel,6)</f>
        <v>ADL</v>
      </c>
    </row>
    <row r="19" spans="2:12" ht="18" customHeight="1" x14ac:dyDescent="0.25">
      <c r="B19" s="62" t="str">
        <f>INDEX(Team_Kuerzel,1)&amp;"  "&amp;INDEX(Team_Namen,1)</f>
        <v>MUS  SV Musterstadt</v>
      </c>
      <c r="C19" s="62"/>
      <c r="D19" s="54" t="s">
        <v>61</v>
      </c>
      <c r="E19" s="55" t="str">
        <f>IFERROR(IF(INDEX(SP_Played,MATCH("1-2",SP_Key,0))=1,INDEX(SP_TH0,MATCH("1-2",SP_Key,0))&amp;":"&amp;INDEX(SP_TG0,MATCH("1-2",SP_Key,0)),"–"),IFERROR(IF(INDEX(SP_Played,MATCH("2-1",SP_Key,0))=1,INDEX(SP_TG0,MATCH("2-1",SP_Key,0))&amp;":"&amp;INDEX(SP_TH0,MATCH("2-1",SP_Key,0)),"–"),"–"))</f>
        <v>–</v>
      </c>
      <c r="F19" s="55" t="str">
        <f>IFERROR(IF(INDEX(SP_Played,MATCH("1-3",SP_Key,0))=1,INDEX(SP_TH0,MATCH("1-3",SP_Key,0))&amp;":"&amp;INDEX(SP_TG0,MATCH("1-3",SP_Key,0)),"–"),IFERROR(IF(INDEX(SP_Played,MATCH("3-1",SP_Key,0))=1,INDEX(SP_TG0,MATCH("3-1",SP_Key,0))&amp;":"&amp;INDEX(SP_TH0,MATCH("3-1",SP_Key,0)),"–"),"–"))</f>
        <v>1:1</v>
      </c>
      <c r="G19" s="55" t="str">
        <f>IFERROR(IF(INDEX(SP_Played,MATCH("1-4",SP_Key,0))=1,INDEX(SP_TH0,MATCH("1-4",SP_Key,0))&amp;":"&amp;INDEX(SP_TG0,MATCH("1-4",SP_Key,0)),"–"),IFERROR(IF(INDEX(SP_Played,MATCH("4-1",SP_Key,0))=1,INDEX(SP_TG0,MATCH("4-1",SP_Key,0))&amp;":"&amp;INDEX(SP_TH0,MATCH("4-1",SP_Key,0)),"–"),"–"))</f>
        <v>1:0</v>
      </c>
      <c r="H19" s="55" t="str">
        <f>IFERROR(IF(INDEX(SP_Played,MATCH("1-5",SP_Key,0))=1,INDEX(SP_TH0,MATCH("1-5",SP_Key,0))&amp;":"&amp;INDEX(SP_TG0,MATCH("1-5",SP_Key,0)),"–"),IFERROR(IF(INDEX(SP_Played,MATCH("5-1",SP_Key,0))=1,INDEX(SP_TG0,MATCH("5-1",SP_Key,0))&amp;":"&amp;INDEX(SP_TH0,MATCH("5-1",SP_Key,0)),"–"),"–"))</f>
        <v>3:0</v>
      </c>
      <c r="I19" s="55" t="str">
        <f>IFERROR(IF(INDEX(SP_Played,MATCH("1-6",SP_Key,0))=1,INDEX(SP_TH0,MATCH("1-6",SP_Key,0))&amp;":"&amp;INDEX(SP_TG0,MATCH("1-6",SP_Key,0)),"–"),IFERROR(IF(INDEX(SP_Played,MATCH("6-1",SP_Key,0))=1,INDEX(SP_TG0,MATCH("6-1",SP_Key,0))&amp;":"&amp;INDEX(SP_TH0,MATCH("6-1",SP_Key,0)),"–"),"–"))</f>
        <v>2:1</v>
      </c>
    </row>
    <row r="20" spans="2:12" ht="18" customHeight="1" x14ac:dyDescent="0.25">
      <c r="B20" s="62" t="str">
        <f>INDEX(Team_Kuerzel,2)&amp;"  "&amp;INDEX(Team_Namen,2)</f>
        <v>BLA  FC Blautal</v>
      </c>
      <c r="C20" s="62"/>
      <c r="D20" s="56" t="str">
        <f>IFERROR(IF(INDEX(SP_Played,MATCH("2-1",SP_Key,0))=1,INDEX(SP_TH0,MATCH("2-1",SP_Key,0))&amp;":"&amp;INDEX(SP_TG0,MATCH("2-1",SP_Key,0)),"–"),IFERROR(IF(INDEX(SP_Played,MATCH("1-2",SP_Key,0))=1,INDEX(SP_TG0,MATCH("1-2",SP_Key,0))&amp;":"&amp;INDEX(SP_TH0,MATCH("1-2",SP_Key,0)),"–"),"–"))</f>
        <v>–</v>
      </c>
      <c r="E20" s="54" t="s">
        <v>61</v>
      </c>
      <c r="F20" s="56" t="str">
        <f>IFERROR(IF(INDEX(SP_Played,MATCH("2-3",SP_Key,0))=1,INDEX(SP_TH0,MATCH("2-3",SP_Key,0))&amp;":"&amp;INDEX(SP_TG0,MATCH("2-3",SP_Key,0)),"–"),IFERROR(IF(INDEX(SP_Played,MATCH("3-2",SP_Key,0))=1,INDEX(SP_TG0,MATCH("3-2",SP_Key,0))&amp;":"&amp;INDEX(SP_TH0,MATCH("3-2",SP_Key,0)),"–"),"–"))</f>
        <v>2:2</v>
      </c>
      <c r="G20" s="56" t="str">
        <f>IFERROR(IF(INDEX(SP_Played,MATCH("2-4",SP_Key,0))=1,INDEX(SP_TH0,MATCH("2-4",SP_Key,0))&amp;":"&amp;INDEX(SP_TG0,MATCH("2-4",SP_Key,0)),"–"),IFERROR(IF(INDEX(SP_Played,MATCH("4-2",SP_Key,0))=1,INDEX(SP_TG0,MATCH("4-2",SP_Key,0))&amp;":"&amp;INDEX(SP_TH0,MATCH("4-2",SP_Key,0)),"–"),"–"))</f>
        <v>1:3</v>
      </c>
      <c r="H20" s="56" t="str">
        <f>IFERROR(IF(INDEX(SP_Played,MATCH("2-5",SP_Key,0))=1,INDEX(SP_TH0,MATCH("2-5",SP_Key,0))&amp;":"&amp;INDEX(SP_TG0,MATCH("2-5",SP_Key,0)),"–"),IFERROR(IF(INDEX(SP_Played,MATCH("5-2",SP_Key,0))=1,INDEX(SP_TG0,MATCH("5-2",SP_Key,0))&amp;":"&amp;INDEX(SP_TH0,MATCH("5-2",SP_Key,0)),"–"),"–"))</f>
        <v>1:1</v>
      </c>
      <c r="I20" s="56" t="str">
        <f>IFERROR(IF(INDEX(SP_Played,MATCH("2-6",SP_Key,0))=1,INDEX(SP_TH0,MATCH("2-6",SP_Key,0))&amp;":"&amp;INDEX(SP_TG0,MATCH("2-6",SP_Key,0)),"–"),IFERROR(IF(INDEX(SP_Played,MATCH("6-2",SP_Key,0))=1,INDEX(SP_TG0,MATCH("6-2",SP_Key,0))&amp;":"&amp;INDEX(SP_TH0,MATCH("6-2",SP_Key,0)),"–"),"–"))</f>
        <v>2:2</v>
      </c>
    </row>
    <row r="21" spans="2:12" ht="18" customHeight="1" x14ac:dyDescent="0.25">
      <c r="B21" s="62" t="str">
        <f>INDEX(Team_Kuerzel,3)&amp;"  "&amp;INDEX(Team_Namen,3)</f>
        <v>GRN  TSV Grünberg</v>
      </c>
      <c r="C21" s="62"/>
      <c r="D21" s="55" t="str">
        <f>IFERROR(IF(INDEX(SP_Played,MATCH("3-1",SP_Key,0))=1,INDEX(SP_TH0,MATCH("3-1",SP_Key,0))&amp;":"&amp;INDEX(SP_TG0,MATCH("3-1",SP_Key,0)),"–"),IFERROR(IF(INDEX(SP_Played,MATCH("1-3",SP_Key,0))=1,INDEX(SP_TG0,MATCH("1-3",SP_Key,0))&amp;":"&amp;INDEX(SP_TH0,MATCH("1-3",SP_Key,0)),"–"),"–"))</f>
        <v>1:1</v>
      </c>
      <c r="E21" s="55" t="str">
        <f>IFERROR(IF(INDEX(SP_Played,MATCH("3-2",SP_Key,0))=1,INDEX(SP_TH0,MATCH("3-2",SP_Key,0))&amp;":"&amp;INDEX(SP_TG0,MATCH("3-2",SP_Key,0)),"–"),IFERROR(IF(INDEX(SP_Played,MATCH("2-3",SP_Key,0))=1,INDEX(SP_TG0,MATCH("2-3",SP_Key,0))&amp;":"&amp;INDEX(SP_TH0,MATCH("2-3",SP_Key,0)),"–"),"–"))</f>
        <v>2:2</v>
      </c>
      <c r="F21" s="54" t="s">
        <v>61</v>
      </c>
      <c r="G21" s="55" t="str">
        <f>IFERROR(IF(INDEX(SP_Played,MATCH("3-4",SP_Key,0))=1,INDEX(SP_TH0,MATCH("3-4",SP_Key,0))&amp;":"&amp;INDEX(SP_TG0,MATCH("3-4",SP_Key,0)),"–"),IFERROR(IF(INDEX(SP_Played,MATCH("4-3",SP_Key,0))=1,INDEX(SP_TG0,MATCH("4-3",SP_Key,0))&amp;":"&amp;INDEX(SP_TH0,MATCH("4-3",SP_Key,0)),"–"),"–"))</f>
        <v>0:2</v>
      </c>
      <c r="H21" s="55" t="str">
        <f>IFERROR(IF(INDEX(SP_Played,MATCH("3-5",SP_Key,0))=1,INDEX(SP_TH0,MATCH("3-5",SP_Key,0))&amp;":"&amp;INDEX(SP_TG0,MATCH("3-5",SP_Key,0)),"–"),IFERROR(IF(INDEX(SP_Played,MATCH("5-3",SP_Key,0))=1,INDEX(SP_TG0,MATCH("5-3",SP_Key,0))&amp;":"&amp;INDEX(SP_TH0,MATCH("5-3",SP_Key,0)),"–"),"–"))</f>
        <v>3:0</v>
      </c>
      <c r="I21" s="55" t="str">
        <f>IFERROR(IF(INDEX(SP_Played,MATCH("3-6",SP_Key,0))=1,INDEX(SP_TH0,MATCH("3-6",SP_Key,0))&amp;":"&amp;INDEX(SP_TG0,MATCH("3-6",SP_Key,0)),"–"),IFERROR(IF(INDEX(SP_Played,MATCH("6-3",SP_Key,0))=1,INDEX(SP_TG0,MATCH("6-3",SP_Key,0))&amp;":"&amp;INDEX(SP_TH0,MATCH("6-3",SP_Key,0)),"–"),"–"))</f>
        <v>–</v>
      </c>
    </row>
    <row r="22" spans="2:12" ht="18" customHeight="1" x14ac:dyDescent="0.25">
      <c r="B22" s="62" t="str">
        <f>INDEX(Team_Kuerzel,4)&amp;"  "&amp;INDEX(Team_Namen,4)</f>
        <v>ROT  SC Rotbach</v>
      </c>
      <c r="C22" s="62"/>
      <c r="D22" s="56" t="str">
        <f>IFERROR(IF(INDEX(SP_Played,MATCH("4-1",SP_Key,0))=1,INDEX(SP_TH0,MATCH("4-1",SP_Key,0))&amp;":"&amp;INDEX(SP_TG0,MATCH("4-1",SP_Key,0)),"–"),IFERROR(IF(INDEX(SP_Played,MATCH("1-4",SP_Key,0))=1,INDEX(SP_TG0,MATCH("1-4",SP_Key,0))&amp;":"&amp;INDEX(SP_TH0,MATCH("1-4",SP_Key,0)),"–"),"–"))</f>
        <v>0:1</v>
      </c>
      <c r="E22" s="56" t="str">
        <f>IFERROR(IF(INDEX(SP_Played,MATCH("4-2",SP_Key,0))=1,INDEX(SP_TH0,MATCH("4-2",SP_Key,0))&amp;":"&amp;INDEX(SP_TG0,MATCH("4-2",SP_Key,0)),"–"),IFERROR(IF(INDEX(SP_Played,MATCH("2-4",SP_Key,0))=1,INDEX(SP_TG0,MATCH("2-4",SP_Key,0))&amp;":"&amp;INDEX(SP_TH0,MATCH("2-4",SP_Key,0)),"–"),"–"))</f>
        <v>3:1</v>
      </c>
      <c r="F22" s="56" t="str">
        <f>IFERROR(IF(INDEX(SP_Played,MATCH("4-3",SP_Key,0))=1,INDEX(SP_TH0,MATCH("4-3",SP_Key,0))&amp;":"&amp;INDEX(SP_TG0,MATCH("4-3",SP_Key,0)),"–"),IFERROR(IF(INDEX(SP_Played,MATCH("3-4",SP_Key,0))=1,INDEX(SP_TG0,MATCH("3-4",SP_Key,0))&amp;":"&amp;INDEX(SP_TH0,MATCH("3-4",SP_Key,0)),"–"),"–"))</f>
        <v>2:0</v>
      </c>
      <c r="G22" s="54" t="s">
        <v>61</v>
      </c>
      <c r="H22" s="56" t="str">
        <f>IFERROR(IF(INDEX(SP_Played,MATCH("4-5",SP_Key,0))=1,INDEX(SP_TH0,MATCH("4-5",SP_Key,0))&amp;":"&amp;INDEX(SP_TG0,MATCH("4-5",SP_Key,0)),"–"),IFERROR(IF(INDEX(SP_Played,MATCH("5-4",SP_Key,0))=1,INDEX(SP_TG0,MATCH("5-4",SP_Key,0))&amp;":"&amp;INDEX(SP_TH0,MATCH("5-4",SP_Key,0)),"–"),"–"))</f>
        <v>–</v>
      </c>
      <c r="I22" s="56" t="str">
        <f>IFERROR(IF(INDEX(SP_Played,MATCH("4-6",SP_Key,0))=1,INDEX(SP_TH0,MATCH("4-6",SP_Key,0))&amp;":"&amp;INDEX(SP_TG0,MATCH("4-6",SP_Key,0)),"–"),IFERROR(IF(INDEX(SP_Played,MATCH("6-4",SP_Key,0))=1,INDEX(SP_TG0,MATCH("6-4",SP_Key,0))&amp;":"&amp;INDEX(SP_TH0,MATCH("6-4",SP_Key,0)),"–"),"–"))</f>
        <v>2:1</v>
      </c>
    </row>
    <row r="23" spans="2:12" ht="18" customHeight="1" x14ac:dyDescent="0.25">
      <c r="B23" s="62" t="str">
        <f>INDEX(Team_Kuerzel,5)&amp;"  "&amp;INDEX(Team_Namen,5)</f>
        <v>WEI  SpVgg Weidenfeld</v>
      </c>
      <c r="C23" s="62"/>
      <c r="D23" s="55" t="str">
        <f>IFERROR(IF(INDEX(SP_Played,MATCH("5-1",SP_Key,0))=1,INDEX(SP_TH0,MATCH("5-1",SP_Key,0))&amp;":"&amp;INDEX(SP_TG0,MATCH("5-1",SP_Key,0)),"–"),IFERROR(IF(INDEX(SP_Played,MATCH("1-5",SP_Key,0))=1,INDEX(SP_TG0,MATCH("1-5",SP_Key,0))&amp;":"&amp;INDEX(SP_TH0,MATCH("1-5",SP_Key,0)),"–"),"–"))</f>
        <v>0:3</v>
      </c>
      <c r="E23" s="55" t="str">
        <f>IFERROR(IF(INDEX(SP_Played,MATCH("5-2",SP_Key,0))=1,INDEX(SP_TH0,MATCH("5-2",SP_Key,0))&amp;":"&amp;INDEX(SP_TG0,MATCH("5-2",SP_Key,0)),"–"),IFERROR(IF(INDEX(SP_Played,MATCH("2-5",SP_Key,0))=1,INDEX(SP_TG0,MATCH("2-5",SP_Key,0))&amp;":"&amp;INDEX(SP_TH0,MATCH("2-5",SP_Key,0)),"–"),"–"))</f>
        <v>1:1</v>
      </c>
      <c r="F23" s="55" t="str">
        <f>IFERROR(IF(INDEX(SP_Played,MATCH("5-3",SP_Key,0))=1,INDEX(SP_TH0,MATCH("5-3",SP_Key,0))&amp;":"&amp;INDEX(SP_TG0,MATCH("5-3",SP_Key,0)),"–"),IFERROR(IF(INDEX(SP_Played,MATCH("3-5",SP_Key,0))=1,INDEX(SP_TG0,MATCH("3-5",SP_Key,0))&amp;":"&amp;INDEX(SP_TH0,MATCH("3-5",SP_Key,0)),"–"),"–"))</f>
        <v>0:3</v>
      </c>
      <c r="G23" s="55" t="str">
        <f>IFERROR(IF(INDEX(SP_Played,MATCH("5-4",SP_Key,0))=1,INDEX(SP_TH0,MATCH("5-4",SP_Key,0))&amp;":"&amp;INDEX(SP_TG0,MATCH("5-4",SP_Key,0)),"–"),IFERROR(IF(INDEX(SP_Played,MATCH("4-5",SP_Key,0))=1,INDEX(SP_TG0,MATCH("4-5",SP_Key,0))&amp;":"&amp;INDEX(SP_TH0,MATCH("4-5",SP_Key,0)),"–"),"–"))</f>
        <v>–</v>
      </c>
      <c r="H23" s="54" t="s">
        <v>61</v>
      </c>
      <c r="I23" s="55" t="str">
        <f>IFERROR(IF(INDEX(SP_Played,MATCH("5-6",SP_Key,0))=1,INDEX(SP_TH0,MATCH("5-6",SP_Key,0))&amp;":"&amp;INDEX(SP_TG0,MATCH("5-6",SP_Key,0)),"–"),IFERROR(IF(INDEX(SP_Played,MATCH("6-5",SP_Key,0))=1,INDEX(SP_TG0,MATCH("6-5",SP_Key,0))&amp;":"&amp;INDEX(SP_TH0,MATCH("6-5",SP_Key,0)),"–"),"–"))</f>
        <v>2:0</v>
      </c>
    </row>
    <row r="24" spans="2:12" ht="18" customHeight="1" x14ac:dyDescent="0.25">
      <c r="B24" s="62" t="str">
        <f>INDEX(Team_Kuerzel,6)&amp;"  "&amp;INDEX(Team_Namen,6)</f>
        <v>ADL  VfL Adlerhorst</v>
      </c>
      <c r="C24" s="62"/>
      <c r="D24" s="56" t="str">
        <f>IFERROR(IF(INDEX(SP_Played,MATCH("6-1",SP_Key,0))=1,INDEX(SP_TH0,MATCH("6-1",SP_Key,0))&amp;":"&amp;INDEX(SP_TG0,MATCH("6-1",SP_Key,0)),"–"),IFERROR(IF(INDEX(SP_Played,MATCH("1-6",SP_Key,0))=1,INDEX(SP_TG0,MATCH("1-6",SP_Key,0))&amp;":"&amp;INDEX(SP_TH0,MATCH("1-6",SP_Key,0)),"–"),"–"))</f>
        <v>1:2</v>
      </c>
      <c r="E24" s="56" t="str">
        <f>IFERROR(IF(INDEX(SP_Played,MATCH("6-2",SP_Key,0))=1,INDEX(SP_TH0,MATCH("6-2",SP_Key,0))&amp;":"&amp;INDEX(SP_TG0,MATCH("6-2",SP_Key,0)),"–"),IFERROR(IF(INDEX(SP_Played,MATCH("2-6",SP_Key,0))=1,INDEX(SP_TG0,MATCH("2-6",SP_Key,0))&amp;":"&amp;INDEX(SP_TH0,MATCH("2-6",SP_Key,0)),"–"),"–"))</f>
        <v>2:2</v>
      </c>
      <c r="F24" s="56" t="str">
        <f>IFERROR(IF(INDEX(SP_Played,MATCH("6-3",SP_Key,0))=1,INDEX(SP_TH0,MATCH("6-3",SP_Key,0))&amp;":"&amp;INDEX(SP_TG0,MATCH("6-3",SP_Key,0)),"–"),IFERROR(IF(INDEX(SP_Played,MATCH("3-6",SP_Key,0))=1,INDEX(SP_TG0,MATCH("3-6",SP_Key,0))&amp;":"&amp;INDEX(SP_TH0,MATCH("3-6",SP_Key,0)),"–"),"–"))</f>
        <v>–</v>
      </c>
      <c r="G24" s="56" t="str">
        <f>IFERROR(IF(INDEX(SP_Played,MATCH("6-4",SP_Key,0))=1,INDEX(SP_TH0,MATCH("6-4",SP_Key,0))&amp;":"&amp;INDEX(SP_TG0,MATCH("6-4",SP_Key,0)),"–"),IFERROR(IF(INDEX(SP_Played,MATCH("4-6",SP_Key,0))=1,INDEX(SP_TG0,MATCH("4-6",SP_Key,0))&amp;":"&amp;INDEX(SP_TH0,MATCH("4-6",SP_Key,0)),"–"),"–"))</f>
        <v>1:2</v>
      </c>
      <c r="H24" s="56" t="str">
        <f>IFERROR(IF(INDEX(SP_Played,MATCH("6-5",SP_Key,0))=1,INDEX(SP_TH0,MATCH("6-5",SP_Key,0))&amp;":"&amp;INDEX(SP_TG0,MATCH("6-5",SP_Key,0)),"–"),IFERROR(IF(INDEX(SP_Played,MATCH("5-6",SP_Key,0))=1,INDEX(SP_TG0,MATCH("5-6",SP_Key,0))&amp;":"&amp;INDEX(SP_TH0,MATCH("5-6",SP_Key,0)),"–"),"–"))</f>
        <v>0:2</v>
      </c>
      <c r="I24" s="54" t="s">
        <v>61</v>
      </c>
    </row>
    <row r="26" spans="2:12" x14ac:dyDescent="0.25">
      <c r="B26" s="15"/>
      <c r="C26" s="17" t="s">
        <v>62</v>
      </c>
    </row>
    <row r="27" spans="2:12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2" ht="18" customHeight="1" x14ac:dyDescent="0.25">
      <c r="B28" s="63" t="s">
        <v>63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2:12" ht="18" customHeight="1" x14ac:dyDescent="0.25">
      <c r="B29" s="63" t="s">
        <v>64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2:12" ht="18" customHeight="1" x14ac:dyDescent="0.25">
      <c r="B30" s="63" t="s">
        <v>65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2:12" ht="18" customHeight="1" x14ac:dyDescent="0.25">
      <c r="B31" s="63" t="s">
        <v>66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</row>
  </sheetData>
  <mergeCells count="16">
    <mergeCell ref="B31:L31"/>
    <mergeCell ref="B23:C23"/>
    <mergeCell ref="B24:C24"/>
    <mergeCell ref="B28:L28"/>
    <mergeCell ref="B29:L29"/>
    <mergeCell ref="B30:L30"/>
    <mergeCell ref="B18:C18"/>
    <mergeCell ref="B19:C19"/>
    <mergeCell ref="B20:C20"/>
    <mergeCell ref="B21:C21"/>
    <mergeCell ref="B22:C22"/>
    <mergeCell ref="B2:H2"/>
    <mergeCell ref="I2:L3"/>
    <mergeCell ref="B3:H3"/>
    <mergeCell ref="B5:L5"/>
    <mergeCell ref="B14:L14"/>
  </mergeCells>
  <conditionalFormatting sqref="J8:J13">
    <cfRule type="cellIs" dxfId="1" priority="3" operator="greaterThan">
      <formula>0</formula>
    </cfRule>
    <cfRule type="cellIs" dxfId="0" priority="4" operator="lessThan">
      <formula>0</formula>
    </cfRule>
  </conditionalFormatting>
  <conditionalFormatting sqref="L8:L13">
    <cfRule type="dataBar" priority="2">
      <dataBar>
        <cfvo type="num" val="0"/>
        <cfvo type="num" val="15"/>
        <color rgb="FF8FBF1F"/>
      </dataBar>
      <extLst>
        <ext xmlns:x14="http://schemas.microsoft.com/office/spreadsheetml/2009/9/main" uri="{B025F937-C7B1-47D3-B67F-A62EFF666E3E}">
          <x14:id>{00E7E2F3-C7F3-44A4-B213-8C647C15D981}</x14:id>
        </ext>
      </extLst>
    </cfRule>
  </conditionalFormatting>
  <pageMargins left="0.4" right="0.4" top="0.4" bottom="0.4" header="0.511811023622047" footer="0.511811023622047"/>
  <pageSetup paperSize="9"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E7E2F3-C7F3-44A4-B213-8C647C15D981}">
            <x14:dataBar axisPosition="none">
              <x14:cfvo type="num">
                <xm:f>0</xm:f>
              </x14:cfvo>
              <x14:cfvo type="num">
                <xm:f>15</xm:f>
              </x14:cfvo>
              <x14:negativeFillColor rgb="FF8FBF1F"/>
            </x14:dataBar>
          </x14:cfRule>
          <xm:sqref>L8:L13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18</vt:i4>
      </vt:variant>
    </vt:vector>
  </HeadingPairs>
  <TitlesOfParts>
    <vt:vector size="20" baseType="lpstr">
      <vt:lpstr>Spielplan</vt:lpstr>
      <vt:lpstr>Tabelle</vt:lpstr>
      <vt:lpstr>Spielplan!Drucktitel</vt:lpstr>
      <vt:lpstr>Tabelle!Drucktitel</vt:lpstr>
      <vt:lpstr>Punkte_Nieder</vt:lpstr>
      <vt:lpstr>Punkte_Remis</vt:lpstr>
      <vt:lpstr>Punkte_Sieg</vt:lpstr>
      <vt:lpstr>Saison</vt:lpstr>
      <vt:lpstr>SP_GastNr</vt:lpstr>
      <vt:lpstr>SP_HeimNr</vt:lpstr>
      <vt:lpstr>SP_Key</vt:lpstr>
      <vt:lpstr>SP_Played</vt:lpstr>
      <vt:lpstr>SP_TG0</vt:lpstr>
      <vt:lpstr>SP_TH0</vt:lpstr>
      <vt:lpstr>T_Nr</vt:lpstr>
      <vt:lpstr>T_Rang</vt:lpstr>
      <vt:lpstr>T_Sort</vt:lpstr>
      <vt:lpstr>Team_Kuerzel</vt:lpstr>
      <vt:lpstr>Team_Namen</vt:lpstr>
      <vt:lpstr>Team_Nr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2026-08-14T08:15:06Z</dcterms:created>
  <dcterms:modified xsi:type="dcterms:W3CDTF">2026-08-14T08:31:19Z</dcterms:modified>
  <dc:language>en-US</dc:language>
</cp:coreProperties>
</file>