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BD544769-5075-43F6-8FA0-17944E4E034E}" xr6:coauthVersionLast="47" xr6:coauthVersionMax="47" xr10:uidLastSave="{00000000-0000-0000-0000-000000000000}"/>
  <bookViews>
    <workbookView xWindow="1170" yWindow="1170" windowWidth="25500" windowHeight="13500" tabRatio="500" xr2:uid="{00000000-000D-0000-FFFF-FFFF00000000}"/>
  </bookViews>
  <sheets>
    <sheet name="Spielplan" sheetId="1" r:id="rId1"/>
    <sheet name="Tabelle" sheetId="2" r:id="rId2"/>
  </sheets>
  <definedNames>
    <definedName name="_xlnm.Print_Titles" localSheetId="0">Spielplan!$24:$24</definedName>
    <definedName name="Gewinnsaetze">Spielplan!$K$6</definedName>
    <definedName name="Punkte_Nieder">Spielplan!$K$9</definedName>
    <definedName name="Punkte_Sieg">Spielplan!$K$8</definedName>
    <definedName name="SP_BG0">Spielplan!$U$25:$U$52</definedName>
    <definedName name="SP_BH0">Spielplan!$T$25:$T$52</definedName>
    <definedName name="SP_E0">Spielplan!$R$25:$R$52</definedName>
    <definedName name="SP_G0">Spielplan!$S$25:$S$52</definedName>
    <definedName name="SP_GastNr">Spielplan!$Q$25:$Q$52</definedName>
    <definedName name="SP_HeimNr">Spielplan!$P$25:$P$52</definedName>
    <definedName name="SP_Key">Spielplan!$X$25:$X$52</definedName>
    <definedName name="SP_Played">Spielplan!$V$25:$V$52</definedName>
    <definedName name="SP_resH">Spielplan!$W$25:$W$52</definedName>
    <definedName name="Teilnehmer_Kuerzel">Spielplan!$E$14:$E$21</definedName>
    <definedName name="Teilnehmer_Namen">Spielplan!$C$14:$C$21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" i="1" l="1"/>
  <c r="C26" i="2"/>
  <c r="C25" i="2"/>
  <c r="C24" i="2"/>
  <c r="C23" i="2"/>
  <c r="C22" i="2"/>
  <c r="C21" i="2"/>
  <c r="C20" i="2"/>
  <c r="C19" i="2"/>
  <c r="K18" i="2"/>
  <c r="J18" i="2"/>
  <c r="I18" i="2"/>
  <c r="H18" i="2"/>
  <c r="G18" i="2"/>
  <c r="F18" i="2"/>
  <c r="E18" i="2"/>
  <c r="D18" i="2"/>
  <c r="R15" i="2"/>
  <c r="Q15" i="2"/>
  <c r="R14" i="2"/>
  <c r="Q14" i="2"/>
  <c r="R13" i="2"/>
  <c r="Q13" i="2"/>
  <c r="R12" i="2"/>
  <c r="Q12" i="2"/>
  <c r="R11" i="2"/>
  <c r="Q11" i="2"/>
  <c r="R10" i="2"/>
  <c r="Q10" i="2"/>
  <c r="R9" i="2"/>
  <c r="Q9" i="2"/>
  <c r="R8" i="2"/>
  <c r="Q8" i="2"/>
  <c r="B3" i="2"/>
  <c r="X52" i="1"/>
  <c r="V52" i="1"/>
  <c r="W52" i="1" s="1"/>
  <c r="U52" i="1"/>
  <c r="T52" i="1"/>
  <c r="S52" i="1"/>
  <c r="R52" i="1"/>
  <c r="Q52" i="1"/>
  <c r="P52" i="1"/>
  <c r="H52" i="1"/>
  <c r="D52" i="1"/>
  <c r="W51" i="1"/>
  <c r="V51" i="1"/>
  <c r="U51" i="1"/>
  <c r="T51" i="1"/>
  <c r="S51" i="1"/>
  <c r="R51" i="1"/>
  <c r="Q51" i="1"/>
  <c r="X51" i="1" s="1"/>
  <c r="P51" i="1"/>
  <c r="M51" i="1"/>
  <c r="L51" i="1"/>
  <c r="H51" i="1"/>
  <c r="D51" i="1"/>
  <c r="X50" i="1"/>
  <c r="V50" i="1"/>
  <c r="M50" i="1" s="1"/>
  <c r="U50" i="1"/>
  <c r="T50" i="1"/>
  <c r="S50" i="1"/>
  <c r="R50" i="1"/>
  <c r="Q50" i="1"/>
  <c r="P50" i="1"/>
  <c r="H50" i="1"/>
  <c r="D50" i="1"/>
  <c r="X49" i="1"/>
  <c r="W49" i="1"/>
  <c r="V49" i="1"/>
  <c r="U49" i="1"/>
  <c r="T49" i="1"/>
  <c r="S49" i="1"/>
  <c r="R49" i="1"/>
  <c r="Q49" i="1"/>
  <c r="P49" i="1"/>
  <c r="M49" i="1"/>
  <c r="L49" i="1"/>
  <c r="H49" i="1"/>
  <c r="D49" i="1"/>
  <c r="V48" i="1"/>
  <c r="M48" i="1" s="1"/>
  <c r="U48" i="1"/>
  <c r="T48" i="1"/>
  <c r="S48" i="1"/>
  <c r="R48" i="1"/>
  <c r="Q48" i="1"/>
  <c r="P48" i="1"/>
  <c r="X48" i="1" s="1"/>
  <c r="H48" i="1"/>
  <c r="D48" i="1"/>
  <c r="X47" i="1"/>
  <c r="W47" i="1"/>
  <c r="V47" i="1"/>
  <c r="L47" i="1" s="1"/>
  <c r="U47" i="1"/>
  <c r="T47" i="1"/>
  <c r="S47" i="1"/>
  <c r="R47" i="1"/>
  <c r="Q47" i="1"/>
  <c r="P47" i="1"/>
  <c r="M47" i="1"/>
  <c r="H47" i="1"/>
  <c r="D47" i="1"/>
  <c r="X46" i="1"/>
  <c r="V46" i="1"/>
  <c r="M46" i="1" s="1"/>
  <c r="U46" i="1"/>
  <c r="T46" i="1"/>
  <c r="S46" i="1"/>
  <c r="R46" i="1"/>
  <c r="Q46" i="1"/>
  <c r="P46" i="1"/>
  <c r="H46" i="1"/>
  <c r="D46" i="1"/>
  <c r="V45" i="1"/>
  <c r="L45" i="1" s="1"/>
  <c r="U45" i="1"/>
  <c r="T45" i="1"/>
  <c r="S45" i="1"/>
  <c r="R45" i="1"/>
  <c r="Q45" i="1"/>
  <c r="P45" i="1"/>
  <c r="X45" i="1" s="1"/>
  <c r="M45" i="1"/>
  <c r="H45" i="1"/>
  <c r="D45" i="1"/>
  <c r="X44" i="1"/>
  <c r="V44" i="1"/>
  <c r="W44" i="1" s="1"/>
  <c r="U44" i="1"/>
  <c r="T44" i="1"/>
  <c r="S44" i="1"/>
  <c r="R44" i="1"/>
  <c r="Q44" i="1"/>
  <c r="P44" i="1"/>
  <c r="H44" i="1"/>
  <c r="D44" i="1"/>
  <c r="X43" i="1"/>
  <c r="V43" i="1"/>
  <c r="M43" i="1" s="1"/>
  <c r="U43" i="1"/>
  <c r="T43" i="1"/>
  <c r="S43" i="1"/>
  <c r="R43" i="1"/>
  <c r="Q43" i="1"/>
  <c r="P43" i="1"/>
  <c r="H43" i="1"/>
  <c r="D43" i="1"/>
  <c r="V42" i="1"/>
  <c r="W42" i="1" s="1"/>
  <c r="U42" i="1"/>
  <c r="T42" i="1"/>
  <c r="S42" i="1"/>
  <c r="R42" i="1"/>
  <c r="Q42" i="1"/>
  <c r="P42" i="1"/>
  <c r="X42" i="1" s="1"/>
  <c r="M42" i="1"/>
  <c r="L42" i="1"/>
  <c r="H42" i="1"/>
  <c r="D42" i="1"/>
  <c r="X41" i="1"/>
  <c r="V41" i="1"/>
  <c r="W41" i="1" s="1"/>
  <c r="U41" i="1"/>
  <c r="T41" i="1"/>
  <c r="S41" i="1"/>
  <c r="R41" i="1"/>
  <c r="Q41" i="1"/>
  <c r="P41" i="1"/>
  <c r="H41" i="1"/>
  <c r="D41" i="1"/>
  <c r="V40" i="1"/>
  <c r="M40" i="1" s="1"/>
  <c r="U40" i="1"/>
  <c r="T40" i="1"/>
  <c r="S40" i="1"/>
  <c r="R40" i="1"/>
  <c r="Q40" i="1"/>
  <c r="P40" i="1"/>
  <c r="X40" i="1" s="1"/>
  <c r="H40" i="1"/>
  <c r="D40" i="1"/>
  <c r="V39" i="1"/>
  <c r="W39" i="1" s="1"/>
  <c r="U39" i="1"/>
  <c r="T39" i="1"/>
  <c r="S39" i="1"/>
  <c r="R39" i="1"/>
  <c r="Q39" i="1"/>
  <c r="P39" i="1"/>
  <c r="X39" i="1" s="1"/>
  <c r="M39" i="1"/>
  <c r="H39" i="1"/>
  <c r="L39" i="1" s="1"/>
  <c r="D39" i="1"/>
  <c r="X38" i="1"/>
  <c r="V38" i="1"/>
  <c r="W38" i="1" s="1"/>
  <c r="U38" i="1"/>
  <c r="T38" i="1"/>
  <c r="S38" i="1"/>
  <c r="R38" i="1"/>
  <c r="Q38" i="1"/>
  <c r="P38" i="1"/>
  <c r="H38" i="1"/>
  <c r="D38" i="1"/>
  <c r="V37" i="1"/>
  <c r="W37" i="1" s="1"/>
  <c r="U37" i="1"/>
  <c r="T37" i="1"/>
  <c r="S37" i="1"/>
  <c r="R37" i="1"/>
  <c r="Q37" i="1"/>
  <c r="P37" i="1"/>
  <c r="X37" i="1" s="1"/>
  <c r="H37" i="1"/>
  <c r="D37" i="1"/>
  <c r="X36" i="1"/>
  <c r="V36" i="1"/>
  <c r="L36" i="1" s="1"/>
  <c r="U36" i="1"/>
  <c r="T36" i="1"/>
  <c r="S36" i="1"/>
  <c r="R36" i="1"/>
  <c r="Q36" i="1"/>
  <c r="P36" i="1"/>
  <c r="H36" i="1"/>
  <c r="D36" i="1"/>
  <c r="V35" i="1"/>
  <c r="W35" i="1" s="1"/>
  <c r="U35" i="1"/>
  <c r="T35" i="1"/>
  <c r="S35" i="1"/>
  <c r="R35" i="1"/>
  <c r="Q35" i="1"/>
  <c r="P35" i="1"/>
  <c r="X35" i="1" s="1"/>
  <c r="H35" i="1"/>
  <c r="D35" i="1"/>
  <c r="X34" i="1"/>
  <c r="V34" i="1"/>
  <c r="W34" i="1" s="1"/>
  <c r="U34" i="1"/>
  <c r="T34" i="1"/>
  <c r="S34" i="1"/>
  <c r="R34" i="1"/>
  <c r="Q34" i="1"/>
  <c r="P34" i="1"/>
  <c r="H34" i="1"/>
  <c r="D34" i="1"/>
  <c r="V33" i="1"/>
  <c r="M33" i="1" s="1"/>
  <c r="U33" i="1"/>
  <c r="T33" i="1"/>
  <c r="S33" i="1"/>
  <c r="R33" i="1"/>
  <c r="Q33" i="1"/>
  <c r="X33" i="1" s="1"/>
  <c r="P33" i="1"/>
  <c r="H33" i="1"/>
  <c r="D33" i="1"/>
  <c r="L33" i="1" s="1"/>
  <c r="X32" i="1"/>
  <c r="V32" i="1"/>
  <c r="W32" i="1" s="1"/>
  <c r="U32" i="1"/>
  <c r="T32" i="1"/>
  <c r="S32" i="1"/>
  <c r="R32" i="1"/>
  <c r="Q32" i="1"/>
  <c r="P32" i="1"/>
  <c r="H32" i="1"/>
  <c r="D32" i="1"/>
  <c r="W31" i="1"/>
  <c r="V31" i="1"/>
  <c r="U31" i="1"/>
  <c r="T31" i="1"/>
  <c r="S31" i="1"/>
  <c r="R31" i="1"/>
  <c r="Q31" i="1"/>
  <c r="X31" i="1" s="1"/>
  <c r="P31" i="1"/>
  <c r="M31" i="1"/>
  <c r="H31" i="1"/>
  <c r="L31" i="1" s="1"/>
  <c r="D31" i="1"/>
  <c r="X30" i="1"/>
  <c r="W30" i="1"/>
  <c r="V30" i="1"/>
  <c r="M30" i="1" s="1"/>
  <c r="U30" i="1"/>
  <c r="T30" i="1"/>
  <c r="S30" i="1"/>
  <c r="R30" i="1"/>
  <c r="Q30" i="1"/>
  <c r="P30" i="1"/>
  <c r="H30" i="1"/>
  <c r="D30" i="1"/>
  <c r="X29" i="1"/>
  <c r="W29" i="1"/>
  <c r="V29" i="1"/>
  <c r="U29" i="1"/>
  <c r="T29" i="1"/>
  <c r="S29" i="1"/>
  <c r="R29" i="1"/>
  <c r="Q29" i="1"/>
  <c r="P29" i="1"/>
  <c r="M29" i="1"/>
  <c r="L29" i="1"/>
  <c r="H29" i="1"/>
  <c r="D29" i="1"/>
  <c r="V28" i="1"/>
  <c r="M28" i="1" s="1"/>
  <c r="U28" i="1"/>
  <c r="T28" i="1"/>
  <c r="S28" i="1"/>
  <c r="R28" i="1"/>
  <c r="Q28" i="1"/>
  <c r="P28" i="1"/>
  <c r="X28" i="1" s="1"/>
  <c r="H28" i="1"/>
  <c r="D28" i="1"/>
  <c r="X27" i="1"/>
  <c r="W27" i="1"/>
  <c r="V27" i="1"/>
  <c r="L27" i="1" s="1"/>
  <c r="U27" i="1"/>
  <c r="T27" i="1"/>
  <c r="S27" i="1"/>
  <c r="R27" i="1"/>
  <c r="Q27" i="1"/>
  <c r="P27" i="1"/>
  <c r="M27" i="1"/>
  <c r="H27" i="1"/>
  <c r="D27" i="1"/>
  <c r="X26" i="1"/>
  <c r="V26" i="1"/>
  <c r="X8" i="2" s="1"/>
  <c r="U26" i="1"/>
  <c r="T26" i="1"/>
  <c r="S26" i="1"/>
  <c r="R26" i="1"/>
  <c r="Q26" i="1"/>
  <c r="P26" i="1"/>
  <c r="H26" i="1"/>
  <c r="D26" i="1"/>
  <c r="V25" i="1"/>
  <c r="Y9" i="2" s="1"/>
  <c r="U25" i="1"/>
  <c r="T25" i="1"/>
  <c r="S25" i="1"/>
  <c r="R25" i="1"/>
  <c r="Q25" i="1"/>
  <c r="P25" i="1"/>
  <c r="V15" i="2" s="1"/>
  <c r="M25" i="1"/>
  <c r="H25" i="1"/>
  <c r="D25" i="1"/>
  <c r="K10" i="1"/>
  <c r="W15" i="2" l="1"/>
  <c r="Z15" i="2" s="1"/>
  <c r="W26" i="1"/>
  <c r="W46" i="1"/>
  <c r="W43" i="1"/>
  <c r="M36" i="1"/>
  <c r="W40" i="1"/>
  <c r="L44" i="1"/>
  <c r="W10" i="2"/>
  <c r="X15" i="2"/>
  <c r="AA15" i="2" s="1"/>
  <c r="X25" i="1"/>
  <c r="L35" i="1"/>
  <c r="M38" i="1"/>
  <c r="Y10" i="2"/>
  <c r="Y15" i="2"/>
  <c r="L52" i="1"/>
  <c r="V11" i="2"/>
  <c r="Z11" i="2" s="1"/>
  <c r="X10" i="2"/>
  <c r="AA10" i="2" s="1"/>
  <c r="M32" i="1"/>
  <c r="W36" i="1"/>
  <c r="M52" i="1"/>
  <c r="W11" i="2"/>
  <c r="S12" i="2"/>
  <c r="S11" i="2"/>
  <c r="W25" i="1"/>
  <c r="L38" i="1"/>
  <c r="M41" i="1"/>
  <c r="W45" i="1"/>
  <c r="L32" i="1"/>
  <c r="M35" i="1"/>
  <c r="L26" i="1"/>
  <c r="W33" i="1"/>
  <c r="L46" i="1"/>
  <c r="X11" i="2"/>
  <c r="AA11" i="2" s="1"/>
  <c r="V10" i="2"/>
  <c r="Z10" i="2" s="1"/>
  <c r="W28" i="1"/>
  <c r="T12" i="2" s="1"/>
  <c r="L41" i="1"/>
  <c r="M44" i="1"/>
  <c r="W48" i="1"/>
  <c r="H14" i="1"/>
  <c r="M26" i="1"/>
  <c r="L43" i="1"/>
  <c r="W50" i="1"/>
  <c r="Y11" i="2"/>
  <c r="S13" i="2"/>
  <c r="X12" i="2"/>
  <c r="K14" i="1"/>
  <c r="L40" i="1"/>
  <c r="W12" i="2"/>
  <c r="L34" i="1"/>
  <c r="M37" i="1"/>
  <c r="M34" i="1"/>
  <c r="Y12" i="2"/>
  <c r="V9" i="2"/>
  <c r="Z9" i="2" s="1"/>
  <c r="H18" i="1"/>
  <c r="L37" i="1"/>
  <c r="V13" i="2"/>
  <c r="Z13" i="2" s="1"/>
  <c r="V12" i="2"/>
  <c r="S8" i="2"/>
  <c r="L28" i="1"/>
  <c r="L48" i="1"/>
  <c r="V8" i="2"/>
  <c r="L25" i="1"/>
  <c r="W8" i="2"/>
  <c r="S9" i="2"/>
  <c r="W13" i="2"/>
  <c r="S14" i="2"/>
  <c r="X13" i="2"/>
  <c r="Y8" i="2"/>
  <c r="AA8" i="2" s="1"/>
  <c r="Y13" i="2"/>
  <c r="V14" i="2"/>
  <c r="Z14" i="2" s="1"/>
  <c r="W9" i="2"/>
  <c r="S10" i="2"/>
  <c r="L50" i="1"/>
  <c r="X9" i="2"/>
  <c r="AA9" i="2" s="1"/>
  <c r="X14" i="2"/>
  <c r="AA14" i="2" s="1"/>
  <c r="T15" i="2"/>
  <c r="W14" i="2"/>
  <c r="S15" i="2"/>
  <c r="L30" i="1"/>
  <c r="Y14" i="2"/>
  <c r="J26" i="2" l="1"/>
  <c r="F24" i="2"/>
  <c r="K21" i="2"/>
  <c r="G19" i="2"/>
  <c r="I26" i="2"/>
  <c r="E24" i="2"/>
  <c r="J21" i="2"/>
  <c r="F19" i="2"/>
  <c r="H21" i="2"/>
  <c r="H26" i="2"/>
  <c r="D24" i="2"/>
  <c r="I21" i="2"/>
  <c r="E19" i="2"/>
  <c r="G26" i="2"/>
  <c r="F26" i="2"/>
  <c r="K23" i="2"/>
  <c r="G21" i="2"/>
  <c r="E26" i="2"/>
  <c r="J23" i="2"/>
  <c r="E21" i="2"/>
  <c r="D26" i="2"/>
  <c r="I23" i="2"/>
  <c r="D21" i="2"/>
  <c r="G23" i="2"/>
  <c r="G20" i="2"/>
  <c r="K25" i="2"/>
  <c r="F23" i="2"/>
  <c r="K20" i="2"/>
  <c r="I25" i="2"/>
  <c r="E23" i="2"/>
  <c r="J20" i="2"/>
  <c r="K22" i="2"/>
  <c r="H25" i="2"/>
  <c r="D23" i="2"/>
  <c r="I20" i="2"/>
  <c r="G25" i="2"/>
  <c r="H20" i="2"/>
  <c r="F25" i="2"/>
  <c r="E25" i="2"/>
  <c r="J22" i="2"/>
  <c r="F20" i="2"/>
  <c r="D25" i="2"/>
  <c r="I22" i="2"/>
  <c r="D20" i="2"/>
  <c r="H22" i="2"/>
  <c r="K24" i="2"/>
  <c r="F22" i="2"/>
  <c r="K19" i="2"/>
  <c r="J24" i="2"/>
  <c r="E22" i="2"/>
  <c r="J19" i="2"/>
  <c r="D22" i="2"/>
  <c r="I19" i="2"/>
  <c r="H24" i="2"/>
  <c r="G24" i="2"/>
  <c r="H19" i="2"/>
  <c r="AA13" i="2"/>
  <c r="U14" i="2"/>
  <c r="AA12" i="2"/>
  <c r="U12" i="2"/>
  <c r="AB12" i="2" s="1"/>
  <c r="AC12" i="2" s="1"/>
  <c r="T10" i="2"/>
  <c r="T14" i="2"/>
  <c r="T8" i="2"/>
  <c r="U8" i="2" s="1"/>
  <c r="T9" i="2"/>
  <c r="T13" i="2"/>
  <c r="T11" i="2"/>
  <c r="U13" i="2"/>
  <c r="Z8" i="2"/>
  <c r="U15" i="2"/>
  <c r="AB15" i="2" s="1"/>
  <c r="AC15" i="2" s="1"/>
  <c r="Z12" i="2"/>
  <c r="AB13" i="2" l="1"/>
  <c r="AC13" i="2" s="1"/>
  <c r="AB8" i="2"/>
  <c r="AC8" i="2" s="1"/>
  <c r="U10" i="2"/>
  <c r="AB10" i="2" s="1"/>
  <c r="AC10" i="2" s="1"/>
  <c r="AD10" i="2" s="1"/>
  <c r="AB14" i="2"/>
  <c r="AC14" i="2" s="1"/>
  <c r="U11" i="2"/>
  <c r="AB11" i="2" s="1"/>
  <c r="AC11" i="2" s="1"/>
  <c r="AD11" i="2" s="1"/>
  <c r="U9" i="2"/>
  <c r="AB9" i="2" s="1"/>
  <c r="AC9" i="2" s="1"/>
  <c r="AD9" i="2" l="1"/>
  <c r="AD8" i="2"/>
  <c r="AD13" i="2"/>
  <c r="AD15" i="2"/>
  <c r="AD14" i="2"/>
  <c r="AD12" i="2"/>
  <c r="F12" i="2" l="1"/>
  <c r="D12" i="2"/>
  <c r="E13" i="2"/>
  <c r="I12" i="2"/>
  <c r="E8" i="2"/>
  <c r="D13" i="2"/>
  <c r="H12" i="2"/>
  <c r="L11" i="2"/>
  <c r="D8" i="2"/>
  <c r="C8" i="2"/>
  <c r="J11" i="2"/>
  <c r="C13" i="2"/>
  <c r="G12" i="2"/>
  <c r="K11" i="2"/>
  <c r="E12" i="2"/>
  <c r="I11" i="2"/>
  <c r="L15" i="2"/>
  <c r="K15" i="2"/>
  <c r="C12" i="2"/>
  <c r="G11" i="2"/>
  <c r="K10" i="2"/>
  <c r="F11" i="2"/>
  <c r="J10" i="2"/>
  <c r="H10" i="2"/>
  <c r="C11" i="2"/>
  <c r="G10" i="2"/>
  <c r="K9" i="2"/>
  <c r="L10" i="2"/>
  <c r="J15" i="2"/>
  <c r="I15" i="2"/>
  <c r="E11" i="2"/>
  <c r="I10" i="2"/>
  <c r="D11" i="2"/>
  <c r="L9" i="2"/>
  <c r="F15" i="2"/>
  <c r="J14" i="2"/>
  <c r="F10" i="2"/>
  <c r="J9" i="2"/>
  <c r="H15" i="2"/>
  <c r="L14" i="2"/>
  <c r="G15" i="2"/>
  <c r="K14" i="2"/>
  <c r="E15" i="2"/>
  <c r="I14" i="2"/>
  <c r="E10" i="2"/>
  <c r="I9" i="2"/>
  <c r="G8" i="2"/>
  <c r="J12" i="2"/>
  <c r="H11" i="2"/>
  <c r="D15" i="2"/>
  <c r="H14" i="2"/>
  <c r="L13" i="2"/>
  <c r="D10" i="2"/>
  <c r="H9" i="2"/>
  <c r="L8" i="2"/>
  <c r="H13" i="2"/>
  <c r="L12" i="2"/>
  <c r="D9" i="2"/>
  <c r="H8" i="2"/>
  <c r="C15" i="2"/>
  <c r="G14" i="2"/>
  <c r="K13" i="2"/>
  <c r="C10" i="2"/>
  <c r="G9" i="2"/>
  <c r="K8" i="2"/>
  <c r="D14" i="2"/>
  <c r="F14" i="2"/>
  <c r="J13" i="2"/>
  <c r="F9" i="2"/>
  <c r="J8" i="2"/>
  <c r="E14" i="2"/>
  <c r="I13" i="2"/>
  <c r="E9" i="2"/>
  <c r="I8" i="2"/>
  <c r="C14" i="2"/>
  <c r="G13" i="2"/>
  <c r="K12" i="2"/>
  <c r="C9" i="2"/>
  <c r="F13" i="2"/>
  <c r="F8" i="2"/>
  <c r="K18" i="1" l="1"/>
  <c r="B5" i="2"/>
</calcChain>
</file>

<file path=xl/sharedStrings.xml><?xml version="1.0" encoding="utf-8"?>
<sst xmlns="http://schemas.openxmlformats.org/spreadsheetml/2006/main" count="148" uniqueCount="82">
  <si>
    <t>TURNIERDATEN</t>
  </si>
  <si>
    <t>SPIELMODUS &amp; WERTUNG</t>
  </si>
  <si>
    <t>Wettbewerb</t>
  </si>
  <si>
    <t>Vereinsturnier 2026</t>
  </si>
  <si>
    <t>Gewinnsätze je Spiel</t>
  </si>
  <si>
    <t>Veranstalter</t>
  </si>
  <si>
    <t>TTV Musterstadt e. V.</t>
  </si>
  <si>
    <t>Satzgewinn bis (Punkte)</t>
  </si>
  <si>
    <t>Spielort</t>
  </si>
  <si>
    <t>Sporthalle am Ahornweg, Musterstadt</t>
  </si>
  <si>
    <t>Punkte je Sieg</t>
  </si>
  <si>
    <t>Zeitraum</t>
  </si>
  <si>
    <t>07.03.2026 – 18.04.2026</t>
  </si>
  <si>
    <t>Punkte je Niederlage</t>
  </si>
  <si>
    <t>Spielmodus</t>
  </si>
  <si>
    <t>Rundenturnier (7 Spielrunden)</t>
  </si>
  <si>
    <t>Teilnehmer / Spiele</t>
  </si>
  <si>
    <t>TEILNEHMER</t>
  </si>
  <si>
    <t>TURNIER-KENNZAHLEN</t>
  </si>
  <si>
    <t>Nr</t>
  </si>
  <si>
    <t>Name</t>
  </si>
  <si>
    <t>Kürzel</t>
  </si>
  <si>
    <t>Michael Berger</t>
  </si>
  <si>
    <t>BER</t>
  </si>
  <si>
    <t>Andreas Roth</t>
  </si>
  <si>
    <t>ROT</t>
  </si>
  <si>
    <t>Stefan Krause</t>
  </si>
  <si>
    <t>KRA</t>
  </si>
  <si>
    <t>Thomas Vogel</t>
  </si>
  <si>
    <t>VOG</t>
  </si>
  <si>
    <t>Gespielte Spiele</t>
  </si>
  <si>
    <t>Sätze gesamt</t>
  </si>
  <si>
    <t>Daniel Sommer</t>
  </si>
  <si>
    <t>SOM</t>
  </si>
  <si>
    <t>Markus Lehmann</t>
  </si>
  <si>
    <t>LEH</t>
  </si>
  <si>
    <t>Christian Baumann</t>
  </si>
  <si>
    <t>BAU</t>
  </si>
  <si>
    <t>Patrick Winter</t>
  </si>
  <si>
    <t>WIN</t>
  </si>
  <si>
    <t>Ballpunkte gesamt</t>
  </si>
  <si>
    <t>Tabellenführer</t>
  </si>
  <si>
    <t>SPIELPLAN – JEDER GEGEN JEDEN</t>
  </si>
  <si>
    <t>Runde</t>
  </si>
  <si>
    <t>Heim</t>
  </si>
  <si>
    <t>Sätze</t>
  </si>
  <si>
    <t>Gast</t>
  </si>
  <si>
    <t>Ballpunkte</t>
  </si>
  <si>
    <t>Sieger</t>
  </si>
  <si>
    <t>Status</t>
  </si>
  <si>
    <t>1. Runde</t>
  </si>
  <si>
    <t>:</t>
  </si>
  <si>
    <t>2. Runde</t>
  </si>
  <si>
    <t>3. Runde</t>
  </si>
  <si>
    <t>4. Runde</t>
  </si>
  <si>
    <t>5. Runde</t>
  </si>
  <si>
    <t>6. Runde</t>
  </si>
  <si>
    <t>7. Runde</t>
  </si>
  <si>
    <t>SO NUTZEN SIE DIESE VORLAGE</t>
  </si>
  <si>
    <t>1.  Tragen Sie Teilnehmer, Verein und Spielmodus oben ein. Der Spielplan (jeder gegen jeden) ist bereits fertig erzeugt.</t>
  </si>
  <si>
    <t>2.  Erfassen Sie je Spiel nur das Satzergebnis (z. B. 3 : 1) in den cremefarbenen Feldern – Sieger und Status berechnen sich automatisch.</t>
  </si>
  <si>
    <t>3.  Die Ballpunkte (Summe aller Sätze, z. B. 41 : 33) sind optional und dienen als zweites Feinkriterium für die Tabelle.</t>
  </si>
  <si>
    <t>4.  Ein Spiel gilt als „Beendet“, sobald ein Spieler die eingestellte Anzahl Gewinnsätze erreicht. Unentschieden gibt es beim Tischtennis nicht.</t>
  </si>
  <si>
    <t>5.  Die Abschlusstabelle und die Kreuztabelle im Blatt „Tabelle“ aktualisieren sich vollautomatisch.</t>
  </si>
  <si>
    <t xml:space="preserve">  ABSCHLUSSTABELLE</t>
  </si>
  <si>
    <t>Platz</t>
  </si>
  <si>
    <t>Spieler</t>
  </si>
  <si>
    <t>Sp</t>
  </si>
  <si>
    <t>S</t>
  </si>
  <si>
    <t>N</t>
  </si>
  <si>
    <t>Satz±</t>
  </si>
  <si>
    <t>Ballpkt.</t>
  </si>
  <si>
    <t>Ball±</t>
  </si>
  <si>
    <t>Punkte</t>
  </si>
  <si>
    <t>KREUZTABELLE  ·  ERGEBNISSE AUS SICHT DER ZEILE (Sätze)</t>
  </si>
  <si>
    <t>—</t>
  </si>
  <si>
    <t>HINWEISE ZUR WERTUNG</t>
  </si>
  <si>
    <t>•  Wertungsreihenfolge (analog Wettspielordnung): 1. Punkte  →  2. Satzverhältnis (Differenz gewonnener/verlorener Sätze)  →  3. Ballpunktverhältnis.</t>
  </si>
  <si>
    <t>•  Ein Sieg zählt 2 Punkte, eine Niederlage 0 Punkte (oben frei einstellbar). Im Tischtennis-Einzel gibt es kein Unentschieden.</t>
  </si>
  <si>
    <t>•  „Sätze“ zeigt gewonnene : verlorene Sätze, „Ballpkt.“ die Summe aller Ballpunkte gewonnen : verloren über alle Spiele.</t>
  </si>
  <si>
    <t>•  Die Kreuztabelle liest sich zeilenweise: die Zelle zeigt das Satzergebnis des Zeilenspielers gegen den Spaltenspieler.  „–“ = noch nicht gespielt.</t>
  </si>
  <si>
    <t>TISCHTENNIS TURNIER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</si>
</sst>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+0;\-0;0"/>
  </numFmts>
  <fonts count="26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b/>
      <sz val="10.5"/>
      <color rgb="FFFFFFFF"/>
      <name val="Calibri"/>
      <charset val="1"/>
    </font>
    <font>
      <b/>
      <sz val="10"/>
      <color rgb="FF1E3A6E"/>
      <name val="Calibri"/>
      <charset val="1"/>
    </font>
    <font>
      <sz val="10"/>
      <color rgb="FF17233A"/>
      <name val="Calibri"/>
      <charset val="1"/>
    </font>
    <font>
      <b/>
      <sz val="10"/>
      <color rgb="FF17233A"/>
      <name val="Calibri"/>
      <charset val="1"/>
    </font>
    <font>
      <i/>
      <sz val="9.5"/>
      <color rgb="FF7C8894"/>
      <name val="Calibri"/>
      <charset val="1"/>
    </font>
    <font>
      <b/>
      <sz val="9.5"/>
      <color rgb="FFFFFFFF"/>
      <name val="Calibri"/>
      <charset val="1"/>
    </font>
    <font>
      <b/>
      <sz val="10"/>
      <color rgb="FF2E5AA8"/>
      <name val="Calibri"/>
      <charset val="1"/>
    </font>
    <font>
      <b/>
      <sz val="18"/>
      <color rgb="FF1E3A6E"/>
      <name val="Calibri"/>
      <charset val="1"/>
    </font>
    <font>
      <b/>
      <sz val="9"/>
      <color rgb="FF7C8894"/>
      <name val="Calibri"/>
      <charset val="1"/>
    </font>
    <font>
      <b/>
      <sz val="12"/>
      <color rgb="FFEE7A30"/>
      <name val="Calibri"/>
      <charset val="1"/>
    </font>
    <font>
      <b/>
      <sz val="11"/>
      <color rgb="FFFFFFFF"/>
      <name val="Calibri"/>
      <charset val="1"/>
    </font>
    <font>
      <b/>
      <sz val="10"/>
      <color rgb="FFFFFFFF"/>
      <name val="Calibri"/>
      <charset val="1"/>
    </font>
    <font>
      <sz val="9.5"/>
      <color rgb="FF17233A"/>
      <name val="Calibri"/>
      <charset val="1"/>
    </font>
    <font>
      <b/>
      <sz val="11"/>
      <color rgb="FF17233A"/>
      <name val="Calibri"/>
      <charset val="1"/>
    </font>
    <font>
      <b/>
      <sz val="10"/>
      <color rgb="FF7C8894"/>
      <name val="Calibri"/>
      <charset val="1"/>
    </font>
    <font>
      <sz val="9"/>
      <color rgb="FF7C8894"/>
      <name val="Calibri"/>
      <charset val="1"/>
    </font>
    <font>
      <b/>
      <sz val="9.5"/>
      <color rgb="FF17233A"/>
      <name val="Calibri"/>
      <charset val="1"/>
    </font>
    <font>
      <sz val="9"/>
      <color rgb="FF17233A"/>
      <name val="Calibri"/>
      <charset val="1"/>
    </font>
    <font>
      <b/>
      <sz val="11.5"/>
      <color rgb="FF17233A"/>
      <name val="Calibri"/>
      <charset val="1"/>
    </font>
    <font>
      <b/>
      <sz val="10.5"/>
      <color rgb="FF17233A"/>
      <name val="Calibri"/>
      <charset val="1"/>
    </font>
    <font>
      <b/>
      <sz val="11"/>
      <color rgb="FF1E3A6E"/>
      <name val="Calibri"/>
      <charset val="1"/>
    </font>
    <font>
      <sz val="10.5"/>
      <color rgb="FF17233A"/>
      <name val="Calibri"/>
      <charset val="1"/>
    </font>
    <font>
      <b/>
      <sz val="9"/>
      <color rgb="FFFFFFFF"/>
      <name val="Calibri"/>
      <charset val="1"/>
    </font>
    <font>
      <b/>
      <sz val="9.5"/>
      <color rgb="FF1E3A6E"/>
      <name val="Calibri"/>
      <charset val="1"/>
    </font>
  </fonts>
  <fills count="14">
    <fill>
      <patternFill patternType="none"/>
    </fill>
    <fill>
      <patternFill patternType="gray125"/>
    </fill>
    <fill>
      <patternFill patternType="solid">
        <fgColor rgb="FFEE7A30"/>
        <bgColor rgb="FFC8871B"/>
      </patternFill>
    </fill>
    <fill>
      <patternFill patternType="solid">
        <fgColor rgb="FF1E3A6E"/>
        <bgColor rgb="FF333399"/>
      </patternFill>
    </fill>
    <fill>
      <patternFill patternType="solid">
        <fgColor rgb="FF2E5AA8"/>
        <bgColor rgb="FF3366FF"/>
      </patternFill>
    </fill>
    <fill>
      <patternFill patternType="solid">
        <fgColor rgb="FFFFFFFF"/>
        <bgColor rgb="FFF2F5FA"/>
      </patternFill>
    </fill>
    <fill>
      <patternFill patternType="solid">
        <fgColor rgb="FFFFF4E6"/>
        <bgColor rgb="FFF2F5FA"/>
      </patternFill>
    </fill>
    <fill>
      <patternFill patternType="solid">
        <fgColor rgb="FF17233A"/>
        <bgColor rgb="FF1E3A6E"/>
      </patternFill>
    </fill>
    <fill>
      <patternFill patternType="solid">
        <fgColor rgb="FFE9EFF9"/>
        <bgColor rgb="FFE6EAF1"/>
      </patternFill>
    </fill>
    <fill>
      <patternFill patternType="solid">
        <fgColor rgb="FFF2F5FA"/>
        <bgColor rgb="FFE9EFF9"/>
      </patternFill>
    </fill>
    <fill>
      <patternFill patternType="solid">
        <fgColor rgb="FFE7B23C"/>
        <bgColor rgb="FFD9A46B"/>
      </patternFill>
    </fill>
    <fill>
      <patternFill patternType="solid">
        <fgColor rgb="FFC7CDD6"/>
        <bgColor rgb="FFC9D3E4"/>
      </patternFill>
    </fill>
    <fill>
      <patternFill patternType="solid">
        <fgColor rgb="FFD9A46B"/>
        <bgColor rgb="FFE7B23C"/>
      </patternFill>
    </fill>
    <fill>
      <patternFill patternType="solid">
        <fgColor rgb="FFE6EAF1"/>
        <bgColor rgb="FFE9EFF9"/>
      </patternFill>
    </fill>
  </fills>
  <borders count="8">
    <border>
      <left/>
      <right/>
      <top/>
      <bottom/>
      <diagonal/>
    </border>
    <border>
      <left style="thin">
        <color rgb="FFECC58A"/>
      </left>
      <right style="thin">
        <color rgb="FFECC58A"/>
      </right>
      <top style="thin">
        <color rgb="FFECC58A"/>
      </top>
      <bottom style="thin">
        <color rgb="FFECC58A"/>
      </bottom>
      <diagonal/>
    </border>
    <border>
      <left style="thin">
        <color rgb="FFC9D3E4"/>
      </left>
      <right style="thin">
        <color rgb="FFC9D3E4"/>
      </right>
      <top style="thin">
        <color rgb="FFC9D3E4"/>
      </top>
      <bottom style="thin">
        <color rgb="FFC9D3E4"/>
      </bottom>
      <diagonal/>
    </border>
    <border>
      <left style="thin">
        <color rgb="FFDCE4F0"/>
      </left>
      <right style="thin">
        <color rgb="FFDCE4F0"/>
      </right>
      <top style="thick">
        <color rgb="FFEE7A30"/>
      </top>
      <bottom/>
      <diagonal/>
    </border>
    <border>
      <left style="thin">
        <color rgb="FFDCE4F0"/>
      </left>
      <right style="thin">
        <color rgb="FFDCE4F0"/>
      </right>
      <top/>
      <bottom style="thin">
        <color rgb="FFDCE4F0"/>
      </bottom>
      <diagonal/>
    </border>
    <border>
      <left style="thin">
        <color rgb="FFD5DEEC"/>
      </left>
      <right style="thin">
        <color rgb="FFD5DEEC"/>
      </right>
      <top style="thin">
        <color rgb="FFD5DEEC"/>
      </top>
      <bottom style="thin">
        <color rgb="FFD5DEE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1">
    <xf numFmtId="0" fontId="0" fillId="0" borderId="0"/>
  </cellStyleXfs>
  <cellXfs count="74">
    <xf numFmtId="0" fontId="0" fillId="0" borderId="0" xfId="0"/>
    <xf numFmtId="3" fontId="9" fillId="5" borderId="3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1" fontId="9" fillId="5" borderId="3" xfId="0" applyNumberFormat="1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1" fontId="5" fillId="6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0" fillId="2" borderId="0" xfId="0" applyFill="1"/>
    <xf numFmtId="0" fontId="0" fillId="5" borderId="0" xfId="0" applyFill="1"/>
    <xf numFmtId="0" fontId="3" fillId="0" borderId="0" xfId="0" applyFont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right" vertical="center"/>
    </xf>
    <xf numFmtId="0" fontId="7" fillId="7" borderId="5" xfId="0" applyFont="1" applyFill="1" applyBorder="1" applyAlignment="1">
      <alignment horizontal="left" vertical="center"/>
    </xf>
    <xf numFmtId="0" fontId="14" fillId="8" borderId="5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right" vertical="center"/>
    </xf>
    <xf numFmtId="1" fontId="15" fillId="6" borderId="5" xfId="0" applyNumberFormat="1" applyFont="1" applyFill="1" applyBorder="1" applyAlignment="1">
      <alignment horizontal="center" vertical="center"/>
    </xf>
    <xf numFmtId="0" fontId="16" fillId="8" borderId="5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left" vertical="center"/>
    </xf>
    <xf numFmtId="1" fontId="14" fillId="6" borderId="5" xfId="0" applyNumberFormat="1" applyFont="1" applyFill="1" applyBorder="1" applyAlignment="1">
      <alignment horizontal="center" vertical="center"/>
    </xf>
    <xf numFmtId="0" fontId="17" fillId="8" borderId="5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18" fillId="8" borderId="5" xfId="0" applyFont="1" applyFill="1" applyBorder="1" applyAlignment="1">
      <alignment horizontal="center" vertical="center"/>
    </xf>
    <xf numFmtId="1" fontId="0" fillId="0" borderId="0" xfId="0" applyNumberFormat="1"/>
    <xf numFmtId="0" fontId="14" fillId="5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right" vertical="center"/>
    </xf>
    <xf numFmtId="0" fontId="16" fillId="5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left" vertical="center"/>
    </xf>
    <xf numFmtId="0" fontId="17" fillId="5" borderId="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0" fontId="7" fillId="7" borderId="0" xfId="0" applyFont="1" applyFill="1" applyAlignment="1">
      <alignment horizontal="left" vertical="center"/>
    </xf>
    <xf numFmtId="0" fontId="15" fillId="10" borderId="5" xfId="0" applyFont="1" applyFill="1" applyBorder="1" applyAlignment="1">
      <alignment horizontal="center" vertical="center"/>
    </xf>
    <xf numFmtId="0" fontId="21" fillId="5" borderId="5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  <xf numFmtId="0" fontId="15" fillId="11" borderId="5" xfId="0" applyFont="1" applyFill="1" applyBorder="1" applyAlignment="1">
      <alignment horizontal="center" vertical="center"/>
    </xf>
    <xf numFmtId="0" fontId="21" fillId="9" borderId="5" xfId="0" applyFont="1" applyFill="1" applyBorder="1" applyAlignment="1">
      <alignment horizontal="left" vertical="center"/>
    </xf>
    <xf numFmtId="0" fontId="8" fillId="9" borderId="5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164" fontId="4" fillId="9" borderId="5" xfId="0" applyNumberFormat="1" applyFont="1" applyFill="1" applyBorder="1" applyAlignment="1">
      <alignment horizontal="center" vertical="center"/>
    </xf>
    <xf numFmtId="0" fontId="22" fillId="9" borderId="5" xfId="0" applyFont="1" applyFill="1" applyBorder="1" applyAlignment="1">
      <alignment horizontal="center" vertical="center"/>
    </xf>
    <xf numFmtId="0" fontId="15" fillId="12" borderId="5" xfId="0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center" vertical="center"/>
    </xf>
    <xf numFmtId="0" fontId="23" fillId="9" borderId="5" xfId="0" applyFont="1" applyFill="1" applyBorder="1" applyAlignment="1">
      <alignment horizontal="left" vertical="center"/>
    </xf>
    <xf numFmtId="0" fontId="15" fillId="5" borderId="5" xfId="0" applyFont="1" applyFill="1" applyBorder="1" applyAlignment="1">
      <alignment horizontal="center" vertical="center"/>
    </xf>
    <xf numFmtId="0" fontId="23" fillId="5" borderId="5" xfId="0" applyFont="1" applyFill="1" applyBorder="1" applyAlignment="1">
      <alignment horizontal="left" vertical="center"/>
    </xf>
    <xf numFmtId="0" fontId="0" fillId="7" borderId="7" xfId="0" applyFill="1" applyBorder="1"/>
    <xf numFmtId="0" fontId="7" fillId="7" borderId="7" xfId="0" applyFont="1" applyFill="1" applyBorder="1" applyAlignment="1">
      <alignment horizontal="left" vertical="center"/>
    </xf>
    <xf numFmtId="0" fontId="24" fillId="4" borderId="7" xfId="0" applyFont="1" applyFill="1" applyBorder="1" applyAlignment="1">
      <alignment horizontal="center" vertical="center"/>
    </xf>
    <xf numFmtId="0" fontId="25" fillId="8" borderId="5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0" fontId="17" fillId="13" borderId="5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left" vertical="center"/>
    </xf>
    <xf numFmtId="0" fontId="7" fillId="7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left" vertical="center"/>
    </xf>
    <xf numFmtId="0" fontId="19" fillId="9" borderId="0" xfId="0" applyFont="1" applyFill="1" applyAlignment="1">
      <alignment horizontal="left" vertical="center" wrapText="1"/>
    </xf>
    <xf numFmtId="0" fontId="20" fillId="10" borderId="0" xfId="0" applyFont="1" applyFill="1" applyAlignment="1">
      <alignment horizontal="center" vertical="center"/>
    </xf>
  </cellXfs>
  <cellStyles count="1">
    <cellStyle name="Standard" xfId="0" builtinId="0"/>
  </cellStyles>
  <dxfs count="3">
    <dxf>
      <font>
        <b/>
        <sz val="9"/>
        <color rgb="FFFFFFFF"/>
        <name val="Calibri"/>
        <charset val="1"/>
      </font>
      <fill>
        <patternFill>
          <bgColor rgb="FFC8871B"/>
        </patternFill>
      </fill>
    </dxf>
    <dxf>
      <font>
        <b/>
        <sz val="9"/>
        <color rgb="FFFFFFFF"/>
        <name val="Calibri"/>
        <charset val="1"/>
      </font>
      <fill>
        <patternFill>
          <bgColor rgb="FF2E7D5B"/>
        </patternFill>
      </fill>
    </dxf>
    <dxf>
      <font>
        <b/>
        <sz val="10"/>
        <color rgb="FF1E3A6E"/>
        <name val="Calibri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C8871B"/>
      <rgbColor rgb="FF800080"/>
      <rgbColor rgb="FF008080"/>
      <rgbColor rgb="FFBBBBBB"/>
      <rgbColor rgb="FF7C8894"/>
      <rgbColor rgb="FF9999FF"/>
      <rgbColor rgb="FF993366"/>
      <rgbColor rgb="FFFFF4E6"/>
      <rgbColor rgb="FFE9EFF9"/>
      <rgbColor rgb="FF660066"/>
      <rgbColor rgb="FFD9A46B"/>
      <rgbColor rgb="FF2E5AA8"/>
      <rgbColor rgb="FFC9D3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EAF1"/>
      <rgbColor rgb="FFDCE4F0"/>
      <rgbColor rgb="FFF2F5FA"/>
      <rgbColor rgb="FFC7CDD6"/>
      <rgbColor rgb="FFFF99CC"/>
      <rgbColor rgb="FFD5DEEC"/>
      <rgbColor rgb="FFECC58A"/>
      <rgbColor rgb="FF3366FF"/>
      <rgbColor rgb="FF33CCCC"/>
      <rgbColor rgb="FF99CC00"/>
      <rgbColor rgb="FFFFCC00"/>
      <rgbColor rgb="FFE7B23C"/>
      <rgbColor rgb="FFEE7A30"/>
      <rgbColor rgb="FF666699"/>
      <rgbColor rgb="FF969696"/>
      <rgbColor rgb="FF1E3A6E"/>
      <rgbColor rgb="FF2E7D5B"/>
      <rgbColor rgb="FF003300"/>
      <rgbColor rgb="FF333300"/>
      <rgbColor rgb="FF993300"/>
      <rgbColor rgb="FF993366"/>
      <rgbColor rgb="FF333399"/>
      <rgbColor rgb="FF17233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59"/>
  <sheetViews>
    <sheetView showGridLines="0" tabSelected="1" zoomScaleNormal="100" workbookViewId="0">
      <selection activeCell="B4" sqref="B4"/>
    </sheetView>
  </sheetViews>
  <sheetFormatPr baseColWidth="10" defaultColWidth="8.7109375" defaultRowHeight="15" x14ac:dyDescent="0.25"/>
  <cols>
    <col min="1" max="1" width="2.140625" customWidth="1"/>
    <col min="2" max="2" width="11" customWidth="1"/>
    <col min="3" max="3" width="5.5703125" customWidth="1"/>
    <col min="4" max="4" width="21" customWidth="1"/>
    <col min="5" max="5" width="5" customWidth="1"/>
    <col min="6" max="6" width="2.5703125" customWidth="1"/>
    <col min="7" max="7" width="5" customWidth="1"/>
    <col min="8" max="8" width="21" customWidth="1"/>
    <col min="9" max="9" width="6.5703125" customWidth="1"/>
    <col min="10" max="10" width="2.5703125" customWidth="1"/>
    <col min="11" max="11" width="6.5703125" customWidth="1"/>
    <col min="12" max="12" width="19" customWidth="1"/>
    <col min="13" max="13" width="12.42578125" customWidth="1"/>
    <col min="16" max="24" width="9" hidden="1" customWidth="1"/>
  </cols>
  <sheetData>
    <row r="1" spans="2:13" ht="6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2:13" ht="33.75" customHeight="1" x14ac:dyDescent="0.25">
      <c r="B2" s="14" t="s">
        <v>81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2:13" ht="18" customHeight="1" x14ac:dyDescent="0.25">
      <c r="B3" s="13" t="str">
        <f>"Tischtennis-Turnier · Einzel · Jeder gegen jeden · Best of "&amp;(K6*2-1)&amp;" · Saison 2027"</f>
        <v>Tischtennis-Turnier · Einzel · Jeder gegen jeden · Best of 5 · Saison 2027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2:13" ht="6" customHeight="1" x14ac:dyDescent="0.25"/>
    <row r="5" spans="2:13" ht="18" customHeight="1" x14ac:dyDescent="0.25">
      <c r="B5" s="12" t="s">
        <v>0</v>
      </c>
      <c r="C5" s="12"/>
      <c r="D5" s="12"/>
      <c r="E5" s="12"/>
      <c r="F5" s="12"/>
      <c r="G5" s="16"/>
      <c r="H5" s="12" t="s">
        <v>1</v>
      </c>
      <c r="I5" s="12"/>
      <c r="J5" s="12"/>
      <c r="K5" s="12"/>
      <c r="L5" s="12"/>
      <c r="M5" s="12"/>
    </row>
    <row r="6" spans="2:13" ht="16.5" customHeight="1" x14ac:dyDescent="0.25">
      <c r="B6" s="17" t="s">
        <v>2</v>
      </c>
      <c r="C6" s="11" t="s">
        <v>3</v>
      </c>
      <c r="D6" s="11"/>
      <c r="E6" s="11"/>
      <c r="F6" s="11"/>
      <c r="H6" s="10" t="s">
        <v>4</v>
      </c>
      <c r="I6" s="10"/>
      <c r="J6" s="10"/>
      <c r="K6" s="9">
        <v>3</v>
      </c>
      <c r="L6" s="9"/>
      <c r="M6" s="9"/>
    </row>
    <row r="7" spans="2:13" ht="16.5" customHeight="1" x14ac:dyDescent="0.25">
      <c r="B7" s="17" t="s">
        <v>5</v>
      </c>
      <c r="C7" s="11" t="s">
        <v>6</v>
      </c>
      <c r="D7" s="11"/>
      <c r="E7" s="11"/>
      <c r="F7" s="11"/>
      <c r="H7" s="10" t="s">
        <v>7</v>
      </c>
      <c r="I7" s="10"/>
      <c r="J7" s="10"/>
      <c r="K7" s="9">
        <v>11</v>
      </c>
      <c r="L7" s="9"/>
      <c r="M7" s="9"/>
    </row>
    <row r="8" spans="2:13" ht="16.5" customHeight="1" x14ac:dyDescent="0.25">
      <c r="B8" s="17" t="s">
        <v>8</v>
      </c>
      <c r="C8" s="11" t="s">
        <v>9</v>
      </c>
      <c r="D8" s="11"/>
      <c r="E8" s="11"/>
      <c r="F8" s="11"/>
      <c r="H8" s="10" t="s">
        <v>10</v>
      </c>
      <c r="I8" s="10"/>
      <c r="J8" s="10"/>
      <c r="K8" s="9">
        <v>2</v>
      </c>
      <c r="L8" s="9"/>
      <c r="M8" s="9"/>
    </row>
    <row r="9" spans="2:13" ht="16.5" customHeight="1" x14ac:dyDescent="0.25">
      <c r="B9" s="17" t="s">
        <v>11</v>
      </c>
      <c r="C9" s="11" t="s">
        <v>12</v>
      </c>
      <c r="D9" s="11"/>
      <c r="E9" s="11"/>
      <c r="F9" s="11"/>
      <c r="H9" s="10" t="s">
        <v>13</v>
      </c>
      <c r="I9" s="10"/>
      <c r="J9" s="10"/>
      <c r="K9" s="9">
        <v>0</v>
      </c>
      <c r="L9" s="9"/>
      <c r="M9" s="9"/>
    </row>
    <row r="10" spans="2:13" ht="16.5" customHeight="1" x14ac:dyDescent="0.25">
      <c r="B10" s="17" t="s">
        <v>14</v>
      </c>
      <c r="C10" s="11" t="s">
        <v>15</v>
      </c>
      <c r="D10" s="11"/>
      <c r="E10" s="11"/>
      <c r="F10" s="11"/>
      <c r="H10" s="10" t="s">
        <v>16</v>
      </c>
      <c r="I10" s="10"/>
      <c r="J10" s="10"/>
      <c r="K10" s="8" t="str">
        <f>"8 / "&amp;COUNT($C$25:$C$52)&amp;" Spiele"</f>
        <v>8 / 28 Spiele</v>
      </c>
      <c r="L10" s="8"/>
      <c r="M10" s="8"/>
    </row>
    <row r="11" spans="2:13" ht="6" customHeight="1" x14ac:dyDescent="0.25"/>
    <row r="12" spans="2:13" ht="18" customHeight="1" x14ac:dyDescent="0.25">
      <c r="B12" s="12" t="s">
        <v>17</v>
      </c>
      <c r="C12" s="12"/>
      <c r="D12" s="12"/>
      <c r="E12" s="12"/>
      <c r="F12" s="12"/>
      <c r="G12" s="16"/>
      <c r="H12" s="12" t="s">
        <v>18</v>
      </c>
      <c r="I12" s="12"/>
      <c r="J12" s="12"/>
      <c r="K12" s="12"/>
      <c r="L12" s="12"/>
      <c r="M12" s="12"/>
    </row>
    <row r="13" spans="2:13" x14ac:dyDescent="0.25">
      <c r="B13" s="18" t="s">
        <v>19</v>
      </c>
      <c r="C13" s="7" t="s">
        <v>20</v>
      </c>
      <c r="D13" s="7"/>
      <c r="E13" s="6" t="s">
        <v>21</v>
      </c>
      <c r="F13" s="6"/>
    </row>
    <row r="14" spans="2:13" ht="15" customHeight="1" x14ac:dyDescent="0.25">
      <c r="B14" s="19">
        <v>1</v>
      </c>
      <c r="C14" s="11" t="s">
        <v>22</v>
      </c>
      <c r="D14" s="11"/>
      <c r="E14" s="5" t="s">
        <v>23</v>
      </c>
      <c r="F14" s="5"/>
      <c r="H14" s="4" t="str">
        <f>SUM($V$25:$V$52)&amp;" / "&amp;COUNT($C$25:$C$52)</f>
        <v>24 / 28</v>
      </c>
      <c r="I14" s="4"/>
      <c r="J14" s="4"/>
      <c r="K14" s="3">
        <f>SUMPRODUCT($V$25:$V$52,($R$25:$R$52+$S$25:$S$52))</f>
        <v>101</v>
      </c>
      <c r="L14" s="3"/>
      <c r="M14" s="3"/>
    </row>
    <row r="15" spans="2:13" ht="15" customHeight="1" x14ac:dyDescent="0.25">
      <c r="B15" s="19">
        <v>2</v>
      </c>
      <c r="C15" s="11" t="s">
        <v>24</v>
      </c>
      <c r="D15" s="11"/>
      <c r="E15" s="5" t="s">
        <v>25</v>
      </c>
      <c r="F15" s="5"/>
      <c r="H15" s="4"/>
      <c r="I15" s="4"/>
      <c r="J15" s="4"/>
      <c r="K15" s="3"/>
      <c r="L15" s="3"/>
      <c r="M15" s="3"/>
    </row>
    <row r="16" spans="2:13" ht="15" customHeight="1" x14ac:dyDescent="0.25">
      <c r="B16" s="19">
        <v>3</v>
      </c>
      <c r="C16" s="11" t="s">
        <v>26</v>
      </c>
      <c r="D16" s="11"/>
      <c r="E16" s="5" t="s">
        <v>27</v>
      </c>
      <c r="F16" s="5"/>
      <c r="H16" s="4"/>
      <c r="I16" s="4"/>
      <c r="J16" s="4"/>
      <c r="K16" s="3"/>
      <c r="L16" s="3"/>
      <c r="M16" s="3"/>
    </row>
    <row r="17" spans="2:24" ht="15" customHeight="1" x14ac:dyDescent="0.25">
      <c r="B17" s="19">
        <v>4</v>
      </c>
      <c r="C17" s="11" t="s">
        <v>28</v>
      </c>
      <c r="D17" s="11"/>
      <c r="E17" s="5" t="s">
        <v>29</v>
      </c>
      <c r="F17" s="5"/>
      <c r="H17" s="2" t="s">
        <v>30</v>
      </c>
      <c r="I17" s="2"/>
      <c r="J17" s="2"/>
      <c r="K17" s="2" t="s">
        <v>31</v>
      </c>
      <c r="L17" s="2"/>
      <c r="M17" s="2"/>
    </row>
    <row r="18" spans="2:24" ht="15" customHeight="1" x14ac:dyDescent="0.25">
      <c r="B18" s="19">
        <v>5</v>
      </c>
      <c r="C18" s="11" t="s">
        <v>32</v>
      </c>
      <c r="D18" s="11"/>
      <c r="E18" s="5" t="s">
        <v>33</v>
      </c>
      <c r="F18" s="5"/>
      <c r="H18" s="1">
        <f>SUMPRODUCT($V$25:$V$52,($T$25:$T$52+$U$25:$U$52))</f>
        <v>1878</v>
      </c>
      <c r="I18" s="1"/>
      <c r="J18" s="1"/>
      <c r="K18" s="66" t="str">
        <f>IFERROR(Tabelle!$C$8,"–")</f>
        <v>Stefan Krause</v>
      </c>
      <c r="L18" s="66"/>
      <c r="M18" s="66"/>
    </row>
    <row r="19" spans="2:24" ht="15" customHeight="1" x14ac:dyDescent="0.25">
      <c r="B19" s="19">
        <v>6</v>
      </c>
      <c r="C19" s="11" t="s">
        <v>34</v>
      </c>
      <c r="D19" s="11"/>
      <c r="E19" s="5" t="s">
        <v>35</v>
      </c>
      <c r="F19" s="5"/>
      <c r="H19" s="1"/>
      <c r="I19" s="1"/>
      <c r="J19" s="1"/>
      <c r="K19" s="66"/>
      <c r="L19" s="66"/>
      <c r="M19" s="66"/>
    </row>
    <row r="20" spans="2:24" ht="15" customHeight="1" x14ac:dyDescent="0.25">
      <c r="B20" s="19">
        <v>7</v>
      </c>
      <c r="C20" s="11" t="s">
        <v>36</v>
      </c>
      <c r="D20" s="11"/>
      <c r="E20" s="5" t="s">
        <v>37</v>
      </c>
      <c r="F20" s="5"/>
      <c r="H20" s="1"/>
      <c r="I20" s="1"/>
      <c r="J20" s="1"/>
      <c r="K20" s="66"/>
      <c r="L20" s="66"/>
      <c r="M20" s="66"/>
    </row>
    <row r="21" spans="2:24" ht="15" customHeight="1" x14ac:dyDescent="0.25">
      <c r="B21" s="19">
        <v>8</v>
      </c>
      <c r="C21" s="11" t="s">
        <v>38</v>
      </c>
      <c r="D21" s="11"/>
      <c r="E21" s="5" t="s">
        <v>39</v>
      </c>
      <c r="F21" s="5"/>
      <c r="H21" s="2" t="s">
        <v>40</v>
      </c>
      <c r="I21" s="2"/>
      <c r="J21" s="2"/>
      <c r="K21" s="2" t="s">
        <v>41</v>
      </c>
      <c r="L21" s="2"/>
      <c r="M21" s="2"/>
    </row>
    <row r="22" spans="2:24" ht="6" customHeight="1" x14ac:dyDescent="0.25"/>
    <row r="23" spans="2:24" ht="19.5" customHeight="1" x14ac:dyDescent="0.25">
      <c r="B23" s="67" t="s">
        <v>42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</row>
    <row r="24" spans="2:24" ht="18" customHeight="1" x14ac:dyDescent="0.25">
      <c r="B24" s="20" t="s">
        <v>43</v>
      </c>
      <c r="C24" s="21" t="s">
        <v>19</v>
      </c>
      <c r="D24" s="22" t="s">
        <v>44</v>
      </c>
      <c r="E24" s="68" t="s">
        <v>45</v>
      </c>
      <c r="F24" s="68"/>
      <c r="G24" s="68"/>
      <c r="H24" s="23" t="s">
        <v>46</v>
      </c>
      <c r="I24" s="68" t="s">
        <v>47</v>
      </c>
      <c r="J24" s="68"/>
      <c r="K24" s="68"/>
      <c r="L24" s="21" t="s">
        <v>48</v>
      </c>
      <c r="M24" s="21" t="s">
        <v>49</v>
      </c>
    </row>
    <row r="25" spans="2:24" ht="16.5" customHeight="1" x14ac:dyDescent="0.25">
      <c r="B25" s="69" t="s">
        <v>50</v>
      </c>
      <c r="C25" s="24">
        <v>1</v>
      </c>
      <c r="D25" s="25" t="str">
        <f>INDEX(Teilnehmer_Namen,1)</f>
        <v>Michael Berger</v>
      </c>
      <c r="E25" s="26">
        <v>3</v>
      </c>
      <c r="F25" s="27" t="s">
        <v>51</v>
      </c>
      <c r="G25" s="26">
        <v>1</v>
      </c>
      <c r="H25" s="28" t="str">
        <f>INDEX(Teilnehmer_Namen,8)</f>
        <v>Patrick Winter</v>
      </c>
      <c r="I25" s="29">
        <v>40</v>
      </c>
      <c r="J25" s="30" t="s">
        <v>51</v>
      </c>
      <c r="K25" s="29">
        <v>35</v>
      </c>
      <c r="L25" s="31" t="str">
        <f t="shared" ref="L25:L52" si="0">IF(V25=1,IF(E25&gt;G25,D25,H25),"")</f>
        <v>Michael Berger</v>
      </c>
      <c r="M25" s="32" t="str">
        <f t="shared" ref="M25:M52" si="1">IF(V25=1,"Beendet","Ausstehend")</f>
        <v>Beendet</v>
      </c>
      <c r="P25">
        <f>1</f>
        <v>1</v>
      </c>
      <c r="Q25">
        <f>8</f>
        <v>8</v>
      </c>
      <c r="R25" s="33">
        <f t="shared" ref="R25:R52" si="2">IF(ISNUMBER(E25),E25,0)</f>
        <v>3</v>
      </c>
      <c r="S25" s="33">
        <f t="shared" ref="S25:S52" si="3">IF(ISNUMBER(G25),G25,0)</f>
        <v>1</v>
      </c>
      <c r="T25" s="33">
        <f t="shared" ref="T25:T52" si="4">IF(ISNUMBER(I25),I25,0)</f>
        <v>40</v>
      </c>
      <c r="U25" s="33">
        <f t="shared" ref="U25:U52" si="5">IF(ISNUMBER(K25),K25,0)</f>
        <v>35</v>
      </c>
      <c r="V25">
        <f t="shared" ref="V25:V52" si="6">IF(AND(ISNUMBER(E25),ISNUMBER(G25),E25&lt;&gt;G25,MAX(E25,G25)&gt;=$K$6),1,0)</f>
        <v>1</v>
      </c>
      <c r="W25" t="str">
        <f t="shared" ref="W25:W52" si="7">IF(V25=1,IF(E25&gt;G25,"H","G"),"")</f>
        <v>H</v>
      </c>
      <c r="X25" t="str">
        <f t="shared" ref="X25:X52" si="8">P25&amp;"-"&amp;Q25</f>
        <v>1-8</v>
      </c>
    </row>
    <row r="26" spans="2:24" ht="16.5" customHeight="1" x14ac:dyDescent="0.25">
      <c r="B26" s="69"/>
      <c r="C26" s="24">
        <v>2</v>
      </c>
      <c r="D26" s="25" t="str">
        <f>INDEX(Teilnehmer_Namen,2)</f>
        <v>Andreas Roth</v>
      </c>
      <c r="E26" s="26">
        <v>3</v>
      </c>
      <c r="F26" s="27" t="s">
        <v>51</v>
      </c>
      <c r="G26" s="26">
        <v>1</v>
      </c>
      <c r="H26" s="28" t="str">
        <f>INDEX(Teilnehmer_Namen,7)</f>
        <v>Christian Baumann</v>
      </c>
      <c r="I26" s="29">
        <v>42</v>
      </c>
      <c r="J26" s="30" t="s">
        <v>51</v>
      </c>
      <c r="K26" s="29">
        <v>33</v>
      </c>
      <c r="L26" s="31" t="str">
        <f t="shared" si="0"/>
        <v>Andreas Roth</v>
      </c>
      <c r="M26" s="32" t="str">
        <f t="shared" si="1"/>
        <v>Beendet</v>
      </c>
      <c r="P26">
        <f>2</f>
        <v>2</v>
      </c>
      <c r="Q26">
        <f>7</f>
        <v>7</v>
      </c>
      <c r="R26" s="33">
        <f t="shared" si="2"/>
        <v>3</v>
      </c>
      <c r="S26" s="33">
        <f t="shared" si="3"/>
        <v>1</v>
      </c>
      <c r="T26" s="33">
        <f t="shared" si="4"/>
        <v>42</v>
      </c>
      <c r="U26" s="33">
        <f t="shared" si="5"/>
        <v>33</v>
      </c>
      <c r="V26">
        <f t="shared" si="6"/>
        <v>1</v>
      </c>
      <c r="W26" t="str">
        <f t="shared" si="7"/>
        <v>H</v>
      </c>
      <c r="X26" t="str">
        <f t="shared" si="8"/>
        <v>2-7</v>
      </c>
    </row>
    <row r="27" spans="2:24" ht="16.5" customHeight="1" x14ac:dyDescent="0.25">
      <c r="B27" s="69"/>
      <c r="C27" s="24">
        <v>3</v>
      </c>
      <c r="D27" s="25" t="str">
        <f>INDEX(Teilnehmer_Namen,3)</f>
        <v>Stefan Krause</v>
      </c>
      <c r="E27" s="26">
        <v>3</v>
      </c>
      <c r="F27" s="27" t="s">
        <v>51</v>
      </c>
      <c r="G27" s="26">
        <v>1</v>
      </c>
      <c r="H27" s="28" t="str">
        <f>INDEX(Teilnehmer_Namen,6)</f>
        <v>Markus Lehmann</v>
      </c>
      <c r="I27" s="29">
        <v>43</v>
      </c>
      <c r="J27" s="30" t="s">
        <v>51</v>
      </c>
      <c r="K27" s="29">
        <v>33</v>
      </c>
      <c r="L27" s="31" t="str">
        <f t="shared" si="0"/>
        <v>Stefan Krause</v>
      </c>
      <c r="M27" s="32" t="str">
        <f t="shared" si="1"/>
        <v>Beendet</v>
      </c>
      <c r="P27">
        <f>3</f>
        <v>3</v>
      </c>
      <c r="Q27">
        <f>6</f>
        <v>6</v>
      </c>
      <c r="R27" s="33">
        <f t="shared" si="2"/>
        <v>3</v>
      </c>
      <c r="S27" s="33">
        <f t="shared" si="3"/>
        <v>1</v>
      </c>
      <c r="T27" s="33">
        <f t="shared" si="4"/>
        <v>43</v>
      </c>
      <c r="U27" s="33">
        <f t="shared" si="5"/>
        <v>33</v>
      </c>
      <c r="V27">
        <f t="shared" si="6"/>
        <v>1</v>
      </c>
      <c r="W27" t="str">
        <f t="shared" si="7"/>
        <v>H</v>
      </c>
      <c r="X27" t="str">
        <f t="shared" si="8"/>
        <v>3-6</v>
      </c>
    </row>
    <row r="28" spans="2:24" ht="16.5" customHeight="1" x14ac:dyDescent="0.25">
      <c r="B28" s="69"/>
      <c r="C28" s="24">
        <v>4</v>
      </c>
      <c r="D28" s="25" t="str">
        <f>INDEX(Teilnehmer_Namen,4)</f>
        <v>Thomas Vogel</v>
      </c>
      <c r="E28" s="26">
        <v>3</v>
      </c>
      <c r="F28" s="27" t="s">
        <v>51</v>
      </c>
      <c r="G28" s="26">
        <v>2</v>
      </c>
      <c r="H28" s="28" t="str">
        <f>INDEX(Teilnehmer_Namen,5)</f>
        <v>Daniel Sommer</v>
      </c>
      <c r="I28" s="29">
        <v>46</v>
      </c>
      <c r="J28" s="30" t="s">
        <v>51</v>
      </c>
      <c r="K28" s="29">
        <v>44</v>
      </c>
      <c r="L28" s="31" t="str">
        <f t="shared" si="0"/>
        <v>Thomas Vogel</v>
      </c>
      <c r="M28" s="32" t="str">
        <f t="shared" si="1"/>
        <v>Beendet</v>
      </c>
      <c r="P28">
        <f>4</f>
        <v>4</v>
      </c>
      <c r="Q28">
        <f>5</f>
        <v>5</v>
      </c>
      <c r="R28" s="33">
        <f t="shared" si="2"/>
        <v>3</v>
      </c>
      <c r="S28" s="33">
        <f t="shared" si="3"/>
        <v>2</v>
      </c>
      <c r="T28" s="33">
        <f t="shared" si="4"/>
        <v>46</v>
      </c>
      <c r="U28" s="33">
        <f t="shared" si="5"/>
        <v>44</v>
      </c>
      <c r="V28">
        <f t="shared" si="6"/>
        <v>1</v>
      </c>
      <c r="W28" t="str">
        <f t="shared" si="7"/>
        <v>H</v>
      </c>
      <c r="X28" t="str">
        <f t="shared" si="8"/>
        <v>4-5</v>
      </c>
    </row>
    <row r="29" spans="2:24" ht="16.5" customHeight="1" x14ac:dyDescent="0.25">
      <c r="B29" s="70" t="s">
        <v>52</v>
      </c>
      <c r="C29" s="34">
        <v>5</v>
      </c>
      <c r="D29" s="35" t="str">
        <f>INDEX(Teilnehmer_Namen,1)</f>
        <v>Michael Berger</v>
      </c>
      <c r="E29" s="26">
        <v>3</v>
      </c>
      <c r="F29" s="36" t="s">
        <v>51</v>
      </c>
      <c r="G29" s="26">
        <v>0</v>
      </c>
      <c r="H29" s="37" t="str">
        <f>INDEX(Teilnehmer_Namen,7)</f>
        <v>Christian Baumann</v>
      </c>
      <c r="I29" s="29">
        <v>33</v>
      </c>
      <c r="J29" s="38" t="s">
        <v>51</v>
      </c>
      <c r="K29" s="29">
        <v>24</v>
      </c>
      <c r="L29" s="39" t="str">
        <f t="shared" si="0"/>
        <v>Michael Berger</v>
      </c>
      <c r="M29" s="40" t="str">
        <f t="shared" si="1"/>
        <v>Beendet</v>
      </c>
      <c r="P29">
        <f>1</f>
        <v>1</v>
      </c>
      <c r="Q29">
        <f>7</f>
        <v>7</v>
      </c>
      <c r="R29" s="33">
        <f t="shared" si="2"/>
        <v>3</v>
      </c>
      <c r="S29" s="33">
        <f t="shared" si="3"/>
        <v>0</v>
      </c>
      <c r="T29" s="33">
        <f t="shared" si="4"/>
        <v>33</v>
      </c>
      <c r="U29" s="33">
        <f t="shared" si="5"/>
        <v>24</v>
      </c>
      <c r="V29">
        <f t="shared" si="6"/>
        <v>1</v>
      </c>
      <c r="W29" t="str">
        <f t="shared" si="7"/>
        <v>H</v>
      </c>
      <c r="X29" t="str">
        <f t="shared" si="8"/>
        <v>1-7</v>
      </c>
    </row>
    <row r="30" spans="2:24" ht="16.5" customHeight="1" x14ac:dyDescent="0.25">
      <c r="B30" s="70"/>
      <c r="C30" s="34">
        <v>6</v>
      </c>
      <c r="D30" s="35" t="str">
        <f>INDEX(Teilnehmer_Namen,8)</f>
        <v>Patrick Winter</v>
      </c>
      <c r="E30" s="26">
        <v>2</v>
      </c>
      <c r="F30" s="36" t="s">
        <v>51</v>
      </c>
      <c r="G30" s="26">
        <v>3</v>
      </c>
      <c r="H30" s="37" t="str">
        <f>INDEX(Teilnehmer_Namen,6)</f>
        <v>Markus Lehmann</v>
      </c>
      <c r="I30" s="29">
        <v>50</v>
      </c>
      <c r="J30" s="38" t="s">
        <v>51</v>
      </c>
      <c r="K30" s="29">
        <v>49</v>
      </c>
      <c r="L30" s="39" t="str">
        <f t="shared" si="0"/>
        <v>Markus Lehmann</v>
      </c>
      <c r="M30" s="40" t="str">
        <f t="shared" si="1"/>
        <v>Beendet</v>
      </c>
      <c r="P30">
        <f>8</f>
        <v>8</v>
      </c>
      <c r="Q30">
        <f>6</f>
        <v>6</v>
      </c>
      <c r="R30" s="33">
        <f t="shared" si="2"/>
        <v>2</v>
      </c>
      <c r="S30" s="33">
        <f t="shared" si="3"/>
        <v>3</v>
      </c>
      <c r="T30" s="33">
        <f t="shared" si="4"/>
        <v>50</v>
      </c>
      <c r="U30" s="33">
        <f t="shared" si="5"/>
        <v>49</v>
      </c>
      <c r="V30">
        <f t="shared" si="6"/>
        <v>1</v>
      </c>
      <c r="W30" t="str">
        <f t="shared" si="7"/>
        <v>G</v>
      </c>
      <c r="X30" t="str">
        <f t="shared" si="8"/>
        <v>8-6</v>
      </c>
    </row>
    <row r="31" spans="2:24" ht="16.5" customHeight="1" x14ac:dyDescent="0.25">
      <c r="B31" s="70"/>
      <c r="C31" s="34">
        <v>7</v>
      </c>
      <c r="D31" s="35" t="str">
        <f>INDEX(Teilnehmer_Namen,2)</f>
        <v>Andreas Roth</v>
      </c>
      <c r="E31" s="26">
        <v>2</v>
      </c>
      <c r="F31" s="36" t="s">
        <v>51</v>
      </c>
      <c r="G31" s="26">
        <v>3</v>
      </c>
      <c r="H31" s="37" t="str">
        <f>INDEX(Teilnehmer_Namen,5)</f>
        <v>Daniel Sommer</v>
      </c>
      <c r="I31" s="29">
        <v>43</v>
      </c>
      <c r="J31" s="38" t="s">
        <v>51</v>
      </c>
      <c r="K31" s="29">
        <v>49</v>
      </c>
      <c r="L31" s="39" t="str">
        <f t="shared" si="0"/>
        <v>Daniel Sommer</v>
      </c>
      <c r="M31" s="40" t="str">
        <f t="shared" si="1"/>
        <v>Beendet</v>
      </c>
      <c r="P31">
        <f>2</f>
        <v>2</v>
      </c>
      <c r="Q31">
        <f>5</f>
        <v>5</v>
      </c>
      <c r="R31" s="33">
        <f t="shared" si="2"/>
        <v>2</v>
      </c>
      <c r="S31" s="33">
        <f t="shared" si="3"/>
        <v>3</v>
      </c>
      <c r="T31" s="33">
        <f t="shared" si="4"/>
        <v>43</v>
      </c>
      <c r="U31" s="33">
        <f t="shared" si="5"/>
        <v>49</v>
      </c>
      <c r="V31">
        <f t="shared" si="6"/>
        <v>1</v>
      </c>
      <c r="W31" t="str">
        <f t="shared" si="7"/>
        <v>G</v>
      </c>
      <c r="X31" t="str">
        <f t="shared" si="8"/>
        <v>2-5</v>
      </c>
    </row>
    <row r="32" spans="2:24" ht="16.5" customHeight="1" x14ac:dyDescent="0.25">
      <c r="B32" s="70"/>
      <c r="C32" s="34">
        <v>8</v>
      </c>
      <c r="D32" s="35" t="str">
        <f>INDEX(Teilnehmer_Namen,3)</f>
        <v>Stefan Krause</v>
      </c>
      <c r="E32" s="26">
        <v>3</v>
      </c>
      <c r="F32" s="36" t="s">
        <v>51</v>
      </c>
      <c r="G32" s="26">
        <v>1</v>
      </c>
      <c r="H32" s="37" t="str">
        <f>INDEX(Teilnehmer_Namen,4)</f>
        <v>Thomas Vogel</v>
      </c>
      <c r="I32" s="29">
        <v>42</v>
      </c>
      <c r="J32" s="38" t="s">
        <v>51</v>
      </c>
      <c r="K32" s="29">
        <v>34</v>
      </c>
      <c r="L32" s="39" t="str">
        <f t="shared" si="0"/>
        <v>Stefan Krause</v>
      </c>
      <c r="M32" s="40" t="str">
        <f t="shared" si="1"/>
        <v>Beendet</v>
      </c>
      <c r="P32">
        <f>3</f>
        <v>3</v>
      </c>
      <c r="Q32">
        <f>4</f>
        <v>4</v>
      </c>
      <c r="R32" s="33">
        <f t="shared" si="2"/>
        <v>3</v>
      </c>
      <c r="S32" s="33">
        <f t="shared" si="3"/>
        <v>1</v>
      </c>
      <c r="T32" s="33">
        <f t="shared" si="4"/>
        <v>42</v>
      </c>
      <c r="U32" s="33">
        <f t="shared" si="5"/>
        <v>34</v>
      </c>
      <c r="V32">
        <f t="shared" si="6"/>
        <v>1</v>
      </c>
      <c r="W32" t="str">
        <f t="shared" si="7"/>
        <v>H</v>
      </c>
      <c r="X32" t="str">
        <f t="shared" si="8"/>
        <v>3-4</v>
      </c>
    </row>
    <row r="33" spans="2:24" ht="16.5" customHeight="1" x14ac:dyDescent="0.25">
      <c r="B33" s="69" t="s">
        <v>53</v>
      </c>
      <c r="C33" s="24">
        <v>9</v>
      </c>
      <c r="D33" s="25" t="str">
        <f>INDEX(Teilnehmer_Namen,1)</f>
        <v>Michael Berger</v>
      </c>
      <c r="E33" s="26">
        <v>3</v>
      </c>
      <c r="F33" s="27" t="s">
        <v>51</v>
      </c>
      <c r="G33" s="26">
        <v>1</v>
      </c>
      <c r="H33" s="28" t="str">
        <f>INDEX(Teilnehmer_Namen,6)</f>
        <v>Markus Lehmann</v>
      </c>
      <c r="I33" s="29">
        <v>42</v>
      </c>
      <c r="J33" s="30" t="s">
        <v>51</v>
      </c>
      <c r="K33" s="29">
        <v>39</v>
      </c>
      <c r="L33" s="31" t="str">
        <f t="shared" si="0"/>
        <v>Michael Berger</v>
      </c>
      <c r="M33" s="32" t="str">
        <f t="shared" si="1"/>
        <v>Beendet</v>
      </c>
      <c r="P33">
        <f>1</f>
        <v>1</v>
      </c>
      <c r="Q33">
        <f>6</f>
        <v>6</v>
      </c>
      <c r="R33" s="33">
        <f t="shared" si="2"/>
        <v>3</v>
      </c>
      <c r="S33" s="33">
        <f t="shared" si="3"/>
        <v>1</v>
      </c>
      <c r="T33" s="33">
        <f t="shared" si="4"/>
        <v>42</v>
      </c>
      <c r="U33" s="33">
        <f t="shared" si="5"/>
        <v>39</v>
      </c>
      <c r="V33">
        <f t="shared" si="6"/>
        <v>1</v>
      </c>
      <c r="W33" t="str">
        <f t="shared" si="7"/>
        <v>H</v>
      </c>
      <c r="X33" t="str">
        <f t="shared" si="8"/>
        <v>1-6</v>
      </c>
    </row>
    <row r="34" spans="2:24" ht="16.5" customHeight="1" x14ac:dyDescent="0.25">
      <c r="B34" s="69"/>
      <c r="C34" s="24">
        <v>10</v>
      </c>
      <c r="D34" s="25" t="str">
        <f>INDEX(Teilnehmer_Namen,7)</f>
        <v>Christian Baumann</v>
      </c>
      <c r="E34" s="26">
        <v>3</v>
      </c>
      <c r="F34" s="27" t="s">
        <v>51</v>
      </c>
      <c r="G34" s="26">
        <v>2</v>
      </c>
      <c r="H34" s="28" t="str">
        <f>INDEX(Teilnehmer_Namen,5)</f>
        <v>Daniel Sommer</v>
      </c>
      <c r="I34" s="29">
        <v>47</v>
      </c>
      <c r="J34" s="30" t="s">
        <v>51</v>
      </c>
      <c r="K34" s="29">
        <v>43</v>
      </c>
      <c r="L34" s="31" t="str">
        <f t="shared" si="0"/>
        <v>Christian Baumann</v>
      </c>
      <c r="M34" s="32" t="str">
        <f t="shared" si="1"/>
        <v>Beendet</v>
      </c>
      <c r="P34">
        <f>7</f>
        <v>7</v>
      </c>
      <c r="Q34">
        <f>5</f>
        <v>5</v>
      </c>
      <c r="R34" s="33">
        <f t="shared" si="2"/>
        <v>3</v>
      </c>
      <c r="S34" s="33">
        <f t="shared" si="3"/>
        <v>2</v>
      </c>
      <c r="T34" s="33">
        <f t="shared" si="4"/>
        <v>47</v>
      </c>
      <c r="U34" s="33">
        <f t="shared" si="5"/>
        <v>43</v>
      </c>
      <c r="V34">
        <f t="shared" si="6"/>
        <v>1</v>
      </c>
      <c r="W34" t="str">
        <f t="shared" si="7"/>
        <v>H</v>
      </c>
      <c r="X34" t="str">
        <f t="shared" si="8"/>
        <v>7-5</v>
      </c>
    </row>
    <row r="35" spans="2:24" ht="16.5" customHeight="1" x14ac:dyDescent="0.25">
      <c r="B35" s="69"/>
      <c r="C35" s="24">
        <v>11</v>
      </c>
      <c r="D35" s="25" t="str">
        <f>INDEX(Teilnehmer_Namen,8)</f>
        <v>Patrick Winter</v>
      </c>
      <c r="E35" s="26">
        <v>3</v>
      </c>
      <c r="F35" s="27" t="s">
        <v>51</v>
      </c>
      <c r="G35" s="26">
        <v>1</v>
      </c>
      <c r="H35" s="28" t="str">
        <f>INDEX(Teilnehmer_Namen,4)</f>
        <v>Thomas Vogel</v>
      </c>
      <c r="I35" s="29">
        <v>41</v>
      </c>
      <c r="J35" s="30" t="s">
        <v>51</v>
      </c>
      <c r="K35" s="29">
        <v>34</v>
      </c>
      <c r="L35" s="31" t="str">
        <f t="shared" si="0"/>
        <v>Patrick Winter</v>
      </c>
      <c r="M35" s="32" t="str">
        <f t="shared" si="1"/>
        <v>Beendet</v>
      </c>
      <c r="P35">
        <f>8</f>
        <v>8</v>
      </c>
      <c r="Q35">
        <f>4</f>
        <v>4</v>
      </c>
      <c r="R35" s="33">
        <f t="shared" si="2"/>
        <v>3</v>
      </c>
      <c r="S35" s="33">
        <f t="shared" si="3"/>
        <v>1</v>
      </c>
      <c r="T35" s="33">
        <f t="shared" si="4"/>
        <v>41</v>
      </c>
      <c r="U35" s="33">
        <f t="shared" si="5"/>
        <v>34</v>
      </c>
      <c r="V35">
        <f t="shared" si="6"/>
        <v>1</v>
      </c>
      <c r="W35" t="str">
        <f t="shared" si="7"/>
        <v>H</v>
      </c>
      <c r="X35" t="str">
        <f t="shared" si="8"/>
        <v>8-4</v>
      </c>
    </row>
    <row r="36" spans="2:24" ht="16.5" customHeight="1" x14ac:dyDescent="0.25">
      <c r="B36" s="69"/>
      <c r="C36" s="24">
        <v>12</v>
      </c>
      <c r="D36" s="25" t="str">
        <f>INDEX(Teilnehmer_Namen,2)</f>
        <v>Andreas Roth</v>
      </c>
      <c r="E36" s="26">
        <v>2</v>
      </c>
      <c r="F36" s="27" t="s">
        <v>51</v>
      </c>
      <c r="G36" s="26">
        <v>3</v>
      </c>
      <c r="H36" s="28" t="str">
        <f>INDEX(Teilnehmer_Namen,3)</f>
        <v>Stefan Krause</v>
      </c>
      <c r="I36" s="29">
        <v>47</v>
      </c>
      <c r="J36" s="30" t="s">
        <v>51</v>
      </c>
      <c r="K36" s="29">
        <v>47</v>
      </c>
      <c r="L36" s="31" t="str">
        <f t="shared" si="0"/>
        <v>Stefan Krause</v>
      </c>
      <c r="M36" s="32" t="str">
        <f t="shared" si="1"/>
        <v>Beendet</v>
      </c>
      <c r="P36">
        <f>2</f>
        <v>2</v>
      </c>
      <c r="Q36">
        <f>3</f>
        <v>3</v>
      </c>
      <c r="R36" s="33">
        <f t="shared" si="2"/>
        <v>2</v>
      </c>
      <c r="S36" s="33">
        <f t="shared" si="3"/>
        <v>3</v>
      </c>
      <c r="T36" s="33">
        <f t="shared" si="4"/>
        <v>47</v>
      </c>
      <c r="U36" s="33">
        <f t="shared" si="5"/>
        <v>47</v>
      </c>
      <c r="V36">
        <f t="shared" si="6"/>
        <v>1</v>
      </c>
      <c r="W36" t="str">
        <f t="shared" si="7"/>
        <v>G</v>
      </c>
      <c r="X36" t="str">
        <f t="shared" si="8"/>
        <v>2-3</v>
      </c>
    </row>
    <row r="37" spans="2:24" ht="16.5" customHeight="1" x14ac:dyDescent="0.25">
      <c r="B37" s="70" t="s">
        <v>54</v>
      </c>
      <c r="C37" s="34">
        <v>13</v>
      </c>
      <c r="D37" s="35" t="str">
        <f>INDEX(Teilnehmer_Namen,1)</f>
        <v>Michael Berger</v>
      </c>
      <c r="E37" s="26">
        <v>3</v>
      </c>
      <c r="F37" s="36" t="s">
        <v>51</v>
      </c>
      <c r="G37" s="26">
        <v>0</v>
      </c>
      <c r="H37" s="37" t="str">
        <f>INDEX(Teilnehmer_Namen,5)</f>
        <v>Daniel Sommer</v>
      </c>
      <c r="I37" s="29">
        <v>33</v>
      </c>
      <c r="J37" s="38" t="s">
        <v>51</v>
      </c>
      <c r="K37" s="29">
        <v>23</v>
      </c>
      <c r="L37" s="39" t="str">
        <f t="shared" si="0"/>
        <v>Michael Berger</v>
      </c>
      <c r="M37" s="40" t="str">
        <f t="shared" si="1"/>
        <v>Beendet</v>
      </c>
      <c r="P37">
        <f>1</f>
        <v>1</v>
      </c>
      <c r="Q37">
        <f>5</f>
        <v>5</v>
      </c>
      <c r="R37" s="33">
        <f t="shared" si="2"/>
        <v>3</v>
      </c>
      <c r="S37" s="33">
        <f t="shared" si="3"/>
        <v>0</v>
      </c>
      <c r="T37" s="33">
        <f t="shared" si="4"/>
        <v>33</v>
      </c>
      <c r="U37" s="33">
        <f t="shared" si="5"/>
        <v>23</v>
      </c>
      <c r="V37">
        <f t="shared" si="6"/>
        <v>1</v>
      </c>
      <c r="W37" t="str">
        <f t="shared" si="7"/>
        <v>H</v>
      </c>
      <c r="X37" t="str">
        <f t="shared" si="8"/>
        <v>1-5</v>
      </c>
    </row>
    <row r="38" spans="2:24" ht="16.5" customHeight="1" x14ac:dyDescent="0.25">
      <c r="B38" s="70"/>
      <c r="C38" s="34">
        <v>14</v>
      </c>
      <c r="D38" s="35" t="str">
        <f>INDEX(Teilnehmer_Namen,6)</f>
        <v>Markus Lehmann</v>
      </c>
      <c r="E38" s="26">
        <v>3</v>
      </c>
      <c r="F38" s="36" t="s">
        <v>51</v>
      </c>
      <c r="G38" s="26">
        <v>1</v>
      </c>
      <c r="H38" s="37" t="str">
        <f>INDEX(Teilnehmer_Namen,4)</f>
        <v>Thomas Vogel</v>
      </c>
      <c r="I38" s="29">
        <v>41</v>
      </c>
      <c r="J38" s="38" t="s">
        <v>51</v>
      </c>
      <c r="K38" s="29">
        <v>35</v>
      </c>
      <c r="L38" s="39" t="str">
        <f t="shared" si="0"/>
        <v>Markus Lehmann</v>
      </c>
      <c r="M38" s="40" t="str">
        <f t="shared" si="1"/>
        <v>Beendet</v>
      </c>
      <c r="P38">
        <f>6</f>
        <v>6</v>
      </c>
      <c r="Q38">
        <f>4</f>
        <v>4</v>
      </c>
      <c r="R38" s="33">
        <f t="shared" si="2"/>
        <v>3</v>
      </c>
      <c r="S38" s="33">
        <f t="shared" si="3"/>
        <v>1</v>
      </c>
      <c r="T38" s="33">
        <f t="shared" si="4"/>
        <v>41</v>
      </c>
      <c r="U38" s="33">
        <f t="shared" si="5"/>
        <v>35</v>
      </c>
      <c r="V38">
        <f t="shared" si="6"/>
        <v>1</v>
      </c>
      <c r="W38" t="str">
        <f t="shared" si="7"/>
        <v>H</v>
      </c>
      <c r="X38" t="str">
        <f t="shared" si="8"/>
        <v>6-4</v>
      </c>
    </row>
    <row r="39" spans="2:24" ht="16.5" customHeight="1" x14ac:dyDescent="0.25">
      <c r="B39" s="70"/>
      <c r="C39" s="34">
        <v>15</v>
      </c>
      <c r="D39" s="35" t="str">
        <f>INDEX(Teilnehmer_Namen,7)</f>
        <v>Christian Baumann</v>
      </c>
      <c r="E39" s="26">
        <v>1</v>
      </c>
      <c r="F39" s="36" t="s">
        <v>51</v>
      </c>
      <c r="G39" s="26">
        <v>3</v>
      </c>
      <c r="H39" s="37" t="str">
        <f>INDEX(Teilnehmer_Namen,3)</f>
        <v>Stefan Krause</v>
      </c>
      <c r="I39" s="29">
        <v>32</v>
      </c>
      <c r="J39" s="38" t="s">
        <v>51</v>
      </c>
      <c r="K39" s="29">
        <v>41</v>
      </c>
      <c r="L39" s="39" t="str">
        <f t="shared" si="0"/>
        <v>Stefan Krause</v>
      </c>
      <c r="M39" s="40" t="str">
        <f t="shared" si="1"/>
        <v>Beendet</v>
      </c>
      <c r="P39">
        <f>7</f>
        <v>7</v>
      </c>
      <c r="Q39">
        <f>3</f>
        <v>3</v>
      </c>
      <c r="R39" s="33">
        <f t="shared" si="2"/>
        <v>1</v>
      </c>
      <c r="S39" s="33">
        <f t="shared" si="3"/>
        <v>3</v>
      </c>
      <c r="T39" s="33">
        <f t="shared" si="4"/>
        <v>32</v>
      </c>
      <c r="U39" s="33">
        <f t="shared" si="5"/>
        <v>41</v>
      </c>
      <c r="V39">
        <f t="shared" si="6"/>
        <v>1</v>
      </c>
      <c r="W39" t="str">
        <f t="shared" si="7"/>
        <v>G</v>
      </c>
      <c r="X39" t="str">
        <f t="shared" si="8"/>
        <v>7-3</v>
      </c>
    </row>
    <row r="40" spans="2:24" ht="16.5" customHeight="1" x14ac:dyDescent="0.25">
      <c r="B40" s="70"/>
      <c r="C40" s="34">
        <v>16</v>
      </c>
      <c r="D40" s="35" t="str">
        <f>INDEX(Teilnehmer_Namen,8)</f>
        <v>Patrick Winter</v>
      </c>
      <c r="E40" s="26">
        <v>2</v>
      </c>
      <c r="F40" s="36" t="s">
        <v>51</v>
      </c>
      <c r="G40" s="26">
        <v>3</v>
      </c>
      <c r="H40" s="37" t="str">
        <f>INDEX(Teilnehmer_Namen,2)</f>
        <v>Andreas Roth</v>
      </c>
      <c r="I40" s="29">
        <v>39</v>
      </c>
      <c r="J40" s="38" t="s">
        <v>51</v>
      </c>
      <c r="K40" s="29">
        <v>50</v>
      </c>
      <c r="L40" s="39" t="str">
        <f t="shared" si="0"/>
        <v>Andreas Roth</v>
      </c>
      <c r="M40" s="40" t="str">
        <f t="shared" si="1"/>
        <v>Beendet</v>
      </c>
      <c r="P40">
        <f>8</f>
        <v>8</v>
      </c>
      <c r="Q40">
        <f>2</f>
        <v>2</v>
      </c>
      <c r="R40" s="33">
        <f t="shared" si="2"/>
        <v>2</v>
      </c>
      <c r="S40" s="33">
        <f t="shared" si="3"/>
        <v>3</v>
      </c>
      <c r="T40" s="33">
        <f t="shared" si="4"/>
        <v>39</v>
      </c>
      <c r="U40" s="33">
        <f t="shared" si="5"/>
        <v>50</v>
      </c>
      <c r="V40">
        <f t="shared" si="6"/>
        <v>1</v>
      </c>
      <c r="W40" t="str">
        <f t="shared" si="7"/>
        <v>G</v>
      </c>
      <c r="X40" t="str">
        <f t="shared" si="8"/>
        <v>8-2</v>
      </c>
    </row>
    <row r="41" spans="2:24" ht="16.5" customHeight="1" x14ac:dyDescent="0.25">
      <c r="B41" s="69" t="s">
        <v>55</v>
      </c>
      <c r="C41" s="24">
        <v>17</v>
      </c>
      <c r="D41" s="25" t="str">
        <f>INDEX(Teilnehmer_Namen,1)</f>
        <v>Michael Berger</v>
      </c>
      <c r="E41" s="26">
        <v>1</v>
      </c>
      <c r="F41" s="27" t="s">
        <v>51</v>
      </c>
      <c r="G41" s="26">
        <v>3</v>
      </c>
      <c r="H41" s="28" t="str">
        <f>INDEX(Teilnehmer_Namen,4)</f>
        <v>Thomas Vogel</v>
      </c>
      <c r="I41" s="29">
        <v>30</v>
      </c>
      <c r="J41" s="30" t="s">
        <v>51</v>
      </c>
      <c r="K41" s="29">
        <v>42</v>
      </c>
      <c r="L41" s="31" t="str">
        <f t="shared" si="0"/>
        <v>Thomas Vogel</v>
      </c>
      <c r="M41" s="32" t="str">
        <f t="shared" si="1"/>
        <v>Beendet</v>
      </c>
      <c r="P41">
        <f>1</f>
        <v>1</v>
      </c>
      <c r="Q41">
        <f>4</f>
        <v>4</v>
      </c>
      <c r="R41" s="33">
        <f t="shared" si="2"/>
        <v>1</v>
      </c>
      <c r="S41" s="33">
        <f t="shared" si="3"/>
        <v>3</v>
      </c>
      <c r="T41" s="33">
        <f t="shared" si="4"/>
        <v>30</v>
      </c>
      <c r="U41" s="33">
        <f t="shared" si="5"/>
        <v>42</v>
      </c>
      <c r="V41">
        <f t="shared" si="6"/>
        <v>1</v>
      </c>
      <c r="W41" t="str">
        <f t="shared" si="7"/>
        <v>G</v>
      </c>
      <c r="X41" t="str">
        <f t="shared" si="8"/>
        <v>1-4</v>
      </c>
    </row>
    <row r="42" spans="2:24" ht="16.5" customHeight="1" x14ac:dyDescent="0.25">
      <c r="B42" s="69"/>
      <c r="C42" s="24">
        <v>18</v>
      </c>
      <c r="D42" s="25" t="str">
        <f>INDEX(Teilnehmer_Namen,5)</f>
        <v>Daniel Sommer</v>
      </c>
      <c r="E42" s="26">
        <v>0</v>
      </c>
      <c r="F42" s="27" t="s">
        <v>51</v>
      </c>
      <c r="G42" s="26">
        <v>3</v>
      </c>
      <c r="H42" s="28" t="str">
        <f>INDEX(Teilnehmer_Namen,3)</f>
        <v>Stefan Krause</v>
      </c>
      <c r="I42" s="29">
        <v>26</v>
      </c>
      <c r="J42" s="30" t="s">
        <v>51</v>
      </c>
      <c r="K42" s="29">
        <v>34</v>
      </c>
      <c r="L42" s="31" t="str">
        <f t="shared" si="0"/>
        <v>Stefan Krause</v>
      </c>
      <c r="M42" s="32" t="str">
        <f t="shared" si="1"/>
        <v>Beendet</v>
      </c>
      <c r="P42">
        <f>5</f>
        <v>5</v>
      </c>
      <c r="Q42">
        <f>3</f>
        <v>3</v>
      </c>
      <c r="R42" s="33">
        <f t="shared" si="2"/>
        <v>0</v>
      </c>
      <c r="S42" s="33">
        <f t="shared" si="3"/>
        <v>3</v>
      </c>
      <c r="T42" s="33">
        <f t="shared" si="4"/>
        <v>26</v>
      </c>
      <c r="U42" s="33">
        <f t="shared" si="5"/>
        <v>34</v>
      </c>
      <c r="V42">
        <f t="shared" si="6"/>
        <v>1</v>
      </c>
      <c r="W42" t="str">
        <f t="shared" si="7"/>
        <v>G</v>
      </c>
      <c r="X42" t="str">
        <f t="shared" si="8"/>
        <v>5-3</v>
      </c>
    </row>
    <row r="43" spans="2:24" ht="16.5" customHeight="1" x14ac:dyDescent="0.25">
      <c r="B43" s="69"/>
      <c r="C43" s="24">
        <v>19</v>
      </c>
      <c r="D43" s="25" t="str">
        <f>INDEX(Teilnehmer_Namen,6)</f>
        <v>Markus Lehmann</v>
      </c>
      <c r="E43" s="26">
        <v>3</v>
      </c>
      <c r="F43" s="27" t="s">
        <v>51</v>
      </c>
      <c r="G43" s="26">
        <v>1</v>
      </c>
      <c r="H43" s="28" t="str">
        <f>INDEX(Teilnehmer_Namen,2)</f>
        <v>Andreas Roth</v>
      </c>
      <c r="I43" s="29">
        <v>41</v>
      </c>
      <c r="J43" s="30" t="s">
        <v>51</v>
      </c>
      <c r="K43" s="29">
        <v>28</v>
      </c>
      <c r="L43" s="31" t="str">
        <f t="shared" si="0"/>
        <v>Markus Lehmann</v>
      </c>
      <c r="M43" s="32" t="str">
        <f t="shared" si="1"/>
        <v>Beendet</v>
      </c>
      <c r="P43">
        <f>6</f>
        <v>6</v>
      </c>
      <c r="Q43">
        <f>2</f>
        <v>2</v>
      </c>
      <c r="R43" s="33">
        <f t="shared" si="2"/>
        <v>3</v>
      </c>
      <c r="S43" s="33">
        <f t="shared" si="3"/>
        <v>1</v>
      </c>
      <c r="T43" s="33">
        <f t="shared" si="4"/>
        <v>41</v>
      </c>
      <c r="U43" s="33">
        <f t="shared" si="5"/>
        <v>28</v>
      </c>
      <c r="V43">
        <f t="shared" si="6"/>
        <v>1</v>
      </c>
      <c r="W43" t="str">
        <f t="shared" si="7"/>
        <v>H</v>
      </c>
      <c r="X43" t="str">
        <f t="shared" si="8"/>
        <v>6-2</v>
      </c>
    </row>
    <row r="44" spans="2:24" ht="16.5" customHeight="1" x14ac:dyDescent="0.25">
      <c r="B44" s="69"/>
      <c r="C44" s="24">
        <v>20</v>
      </c>
      <c r="D44" s="25" t="str">
        <f>INDEX(Teilnehmer_Namen,7)</f>
        <v>Christian Baumann</v>
      </c>
      <c r="E44" s="26">
        <v>1</v>
      </c>
      <c r="F44" s="27" t="s">
        <v>51</v>
      </c>
      <c r="G44" s="26">
        <v>3</v>
      </c>
      <c r="H44" s="28" t="str">
        <f>INDEX(Teilnehmer_Namen,8)</f>
        <v>Patrick Winter</v>
      </c>
      <c r="I44" s="29">
        <v>30</v>
      </c>
      <c r="J44" s="30" t="s">
        <v>51</v>
      </c>
      <c r="K44" s="29">
        <v>40</v>
      </c>
      <c r="L44" s="31" t="str">
        <f t="shared" si="0"/>
        <v>Patrick Winter</v>
      </c>
      <c r="M44" s="32" t="str">
        <f t="shared" si="1"/>
        <v>Beendet</v>
      </c>
      <c r="P44">
        <f>7</f>
        <v>7</v>
      </c>
      <c r="Q44">
        <f>8</f>
        <v>8</v>
      </c>
      <c r="R44" s="33">
        <f t="shared" si="2"/>
        <v>1</v>
      </c>
      <c r="S44" s="33">
        <f t="shared" si="3"/>
        <v>3</v>
      </c>
      <c r="T44" s="33">
        <f t="shared" si="4"/>
        <v>30</v>
      </c>
      <c r="U44" s="33">
        <f t="shared" si="5"/>
        <v>40</v>
      </c>
      <c r="V44">
        <f t="shared" si="6"/>
        <v>1</v>
      </c>
      <c r="W44" t="str">
        <f t="shared" si="7"/>
        <v>G</v>
      </c>
      <c r="X44" t="str">
        <f t="shared" si="8"/>
        <v>7-8</v>
      </c>
    </row>
    <row r="45" spans="2:24" ht="16.5" customHeight="1" x14ac:dyDescent="0.25">
      <c r="B45" s="70" t="s">
        <v>56</v>
      </c>
      <c r="C45" s="34">
        <v>21</v>
      </c>
      <c r="D45" s="35" t="str">
        <f>INDEX(Teilnehmer_Namen,1)</f>
        <v>Michael Berger</v>
      </c>
      <c r="E45" s="26">
        <v>2</v>
      </c>
      <c r="F45" s="36" t="s">
        <v>51</v>
      </c>
      <c r="G45" s="26">
        <v>3</v>
      </c>
      <c r="H45" s="37" t="str">
        <f>INDEX(Teilnehmer_Namen,3)</f>
        <v>Stefan Krause</v>
      </c>
      <c r="I45" s="29">
        <v>39</v>
      </c>
      <c r="J45" s="38" t="s">
        <v>51</v>
      </c>
      <c r="K45" s="29">
        <v>51</v>
      </c>
      <c r="L45" s="39" t="str">
        <f t="shared" si="0"/>
        <v>Stefan Krause</v>
      </c>
      <c r="M45" s="40" t="str">
        <f t="shared" si="1"/>
        <v>Beendet</v>
      </c>
      <c r="P45">
        <f>1</f>
        <v>1</v>
      </c>
      <c r="Q45">
        <f>3</f>
        <v>3</v>
      </c>
      <c r="R45" s="33">
        <f t="shared" si="2"/>
        <v>2</v>
      </c>
      <c r="S45" s="33">
        <f t="shared" si="3"/>
        <v>3</v>
      </c>
      <c r="T45" s="33">
        <f t="shared" si="4"/>
        <v>39</v>
      </c>
      <c r="U45" s="33">
        <f t="shared" si="5"/>
        <v>51</v>
      </c>
      <c r="V45">
        <f t="shared" si="6"/>
        <v>1</v>
      </c>
      <c r="W45" t="str">
        <f t="shared" si="7"/>
        <v>G</v>
      </c>
      <c r="X45" t="str">
        <f t="shared" si="8"/>
        <v>1-3</v>
      </c>
    </row>
    <row r="46" spans="2:24" ht="16.5" customHeight="1" x14ac:dyDescent="0.25">
      <c r="B46" s="70"/>
      <c r="C46" s="34">
        <v>22</v>
      </c>
      <c r="D46" s="35" t="str">
        <f>INDEX(Teilnehmer_Namen,4)</f>
        <v>Thomas Vogel</v>
      </c>
      <c r="E46" s="26">
        <v>1</v>
      </c>
      <c r="F46" s="36" t="s">
        <v>51</v>
      </c>
      <c r="G46" s="26">
        <v>3</v>
      </c>
      <c r="H46" s="37" t="str">
        <f>INDEX(Teilnehmer_Namen,2)</f>
        <v>Andreas Roth</v>
      </c>
      <c r="I46" s="29">
        <v>37</v>
      </c>
      <c r="J46" s="38" t="s">
        <v>51</v>
      </c>
      <c r="K46" s="29">
        <v>42</v>
      </c>
      <c r="L46" s="39" t="str">
        <f t="shared" si="0"/>
        <v>Andreas Roth</v>
      </c>
      <c r="M46" s="40" t="str">
        <f t="shared" si="1"/>
        <v>Beendet</v>
      </c>
      <c r="P46">
        <f>4</f>
        <v>4</v>
      </c>
      <c r="Q46">
        <f>2</f>
        <v>2</v>
      </c>
      <c r="R46" s="33">
        <f t="shared" si="2"/>
        <v>1</v>
      </c>
      <c r="S46" s="33">
        <f t="shared" si="3"/>
        <v>3</v>
      </c>
      <c r="T46" s="33">
        <f t="shared" si="4"/>
        <v>37</v>
      </c>
      <c r="U46" s="33">
        <f t="shared" si="5"/>
        <v>42</v>
      </c>
      <c r="V46">
        <f t="shared" si="6"/>
        <v>1</v>
      </c>
      <c r="W46" t="str">
        <f t="shared" si="7"/>
        <v>G</v>
      </c>
      <c r="X46" t="str">
        <f t="shared" si="8"/>
        <v>4-2</v>
      </c>
    </row>
    <row r="47" spans="2:24" ht="16.5" customHeight="1" x14ac:dyDescent="0.25">
      <c r="B47" s="70"/>
      <c r="C47" s="34">
        <v>23</v>
      </c>
      <c r="D47" s="35" t="str">
        <f>INDEX(Teilnehmer_Namen,5)</f>
        <v>Daniel Sommer</v>
      </c>
      <c r="E47" s="26">
        <v>2</v>
      </c>
      <c r="F47" s="36" t="s">
        <v>51</v>
      </c>
      <c r="G47" s="26">
        <v>3</v>
      </c>
      <c r="H47" s="37" t="str">
        <f>INDEX(Teilnehmer_Namen,8)</f>
        <v>Patrick Winter</v>
      </c>
      <c r="I47" s="29">
        <v>47</v>
      </c>
      <c r="J47" s="38" t="s">
        <v>51</v>
      </c>
      <c r="K47" s="29">
        <v>46</v>
      </c>
      <c r="L47" s="39" t="str">
        <f t="shared" si="0"/>
        <v>Patrick Winter</v>
      </c>
      <c r="M47" s="40" t="str">
        <f t="shared" si="1"/>
        <v>Beendet</v>
      </c>
      <c r="P47">
        <f>5</f>
        <v>5</v>
      </c>
      <c r="Q47">
        <f>8</f>
        <v>8</v>
      </c>
      <c r="R47" s="33">
        <f t="shared" si="2"/>
        <v>2</v>
      </c>
      <c r="S47" s="33">
        <f t="shared" si="3"/>
        <v>3</v>
      </c>
      <c r="T47" s="33">
        <f t="shared" si="4"/>
        <v>47</v>
      </c>
      <c r="U47" s="33">
        <f t="shared" si="5"/>
        <v>46</v>
      </c>
      <c r="V47">
        <f t="shared" si="6"/>
        <v>1</v>
      </c>
      <c r="W47" t="str">
        <f t="shared" si="7"/>
        <v>G</v>
      </c>
      <c r="X47" t="str">
        <f t="shared" si="8"/>
        <v>5-8</v>
      </c>
    </row>
    <row r="48" spans="2:24" ht="16.5" customHeight="1" x14ac:dyDescent="0.25">
      <c r="B48" s="70"/>
      <c r="C48" s="34">
        <v>24</v>
      </c>
      <c r="D48" s="35" t="str">
        <f>INDEX(Teilnehmer_Namen,6)</f>
        <v>Markus Lehmann</v>
      </c>
      <c r="E48" s="26">
        <v>3</v>
      </c>
      <c r="F48" s="36" t="s">
        <v>51</v>
      </c>
      <c r="G48" s="26">
        <v>1</v>
      </c>
      <c r="H48" s="37" t="str">
        <f>INDEX(Teilnehmer_Namen,7)</f>
        <v>Christian Baumann</v>
      </c>
      <c r="I48" s="29">
        <v>42</v>
      </c>
      <c r="J48" s="38" t="s">
        <v>51</v>
      </c>
      <c r="K48" s="29">
        <v>29</v>
      </c>
      <c r="L48" s="39" t="str">
        <f t="shared" si="0"/>
        <v>Markus Lehmann</v>
      </c>
      <c r="M48" s="40" t="str">
        <f t="shared" si="1"/>
        <v>Beendet</v>
      </c>
      <c r="P48">
        <f>6</f>
        <v>6</v>
      </c>
      <c r="Q48">
        <f>7</f>
        <v>7</v>
      </c>
      <c r="R48" s="33">
        <f t="shared" si="2"/>
        <v>3</v>
      </c>
      <c r="S48" s="33">
        <f t="shared" si="3"/>
        <v>1</v>
      </c>
      <c r="T48" s="33">
        <f t="shared" si="4"/>
        <v>42</v>
      </c>
      <c r="U48" s="33">
        <f t="shared" si="5"/>
        <v>29</v>
      </c>
      <c r="V48">
        <f t="shared" si="6"/>
        <v>1</v>
      </c>
      <c r="W48" t="str">
        <f t="shared" si="7"/>
        <v>H</v>
      </c>
      <c r="X48" t="str">
        <f t="shared" si="8"/>
        <v>6-7</v>
      </c>
    </row>
    <row r="49" spans="2:24" ht="16.5" customHeight="1" x14ac:dyDescent="0.25">
      <c r="B49" s="69" t="s">
        <v>57</v>
      </c>
      <c r="C49" s="24">
        <v>25</v>
      </c>
      <c r="D49" s="25" t="str">
        <f>INDEX(Teilnehmer_Namen,1)</f>
        <v>Michael Berger</v>
      </c>
      <c r="E49" s="26"/>
      <c r="F49" s="27" t="s">
        <v>51</v>
      </c>
      <c r="G49" s="26"/>
      <c r="H49" s="28" t="str">
        <f>INDEX(Teilnehmer_Namen,2)</f>
        <v>Andreas Roth</v>
      </c>
      <c r="I49" s="29"/>
      <c r="J49" s="30" t="s">
        <v>51</v>
      </c>
      <c r="K49" s="29"/>
      <c r="L49" s="31" t="str">
        <f t="shared" si="0"/>
        <v/>
      </c>
      <c r="M49" s="32" t="str">
        <f t="shared" si="1"/>
        <v>Ausstehend</v>
      </c>
      <c r="P49">
        <f>1</f>
        <v>1</v>
      </c>
      <c r="Q49">
        <f>2</f>
        <v>2</v>
      </c>
      <c r="R49">
        <f t="shared" si="2"/>
        <v>0</v>
      </c>
      <c r="S49">
        <f t="shared" si="3"/>
        <v>0</v>
      </c>
      <c r="T49">
        <f t="shared" si="4"/>
        <v>0</v>
      </c>
      <c r="U49">
        <f t="shared" si="5"/>
        <v>0</v>
      </c>
      <c r="V49">
        <f t="shared" si="6"/>
        <v>0</v>
      </c>
      <c r="W49" t="str">
        <f t="shared" si="7"/>
        <v/>
      </c>
      <c r="X49" t="str">
        <f t="shared" si="8"/>
        <v>1-2</v>
      </c>
    </row>
    <row r="50" spans="2:24" ht="16.5" customHeight="1" x14ac:dyDescent="0.25">
      <c r="B50" s="69"/>
      <c r="C50" s="24">
        <v>26</v>
      </c>
      <c r="D50" s="25" t="str">
        <f>INDEX(Teilnehmer_Namen,3)</f>
        <v>Stefan Krause</v>
      </c>
      <c r="E50" s="26"/>
      <c r="F50" s="27" t="s">
        <v>51</v>
      </c>
      <c r="G50" s="26"/>
      <c r="H50" s="28" t="str">
        <f>INDEX(Teilnehmer_Namen,8)</f>
        <v>Patrick Winter</v>
      </c>
      <c r="I50" s="29"/>
      <c r="J50" s="30" t="s">
        <v>51</v>
      </c>
      <c r="K50" s="29"/>
      <c r="L50" s="31" t="str">
        <f t="shared" si="0"/>
        <v/>
      </c>
      <c r="M50" s="32" t="str">
        <f t="shared" si="1"/>
        <v>Ausstehend</v>
      </c>
      <c r="P50">
        <f>3</f>
        <v>3</v>
      </c>
      <c r="Q50">
        <f>8</f>
        <v>8</v>
      </c>
      <c r="R50">
        <f t="shared" si="2"/>
        <v>0</v>
      </c>
      <c r="S50">
        <f t="shared" si="3"/>
        <v>0</v>
      </c>
      <c r="T50">
        <f t="shared" si="4"/>
        <v>0</v>
      </c>
      <c r="U50">
        <f t="shared" si="5"/>
        <v>0</v>
      </c>
      <c r="V50">
        <f t="shared" si="6"/>
        <v>0</v>
      </c>
      <c r="W50" t="str">
        <f t="shared" si="7"/>
        <v/>
      </c>
      <c r="X50" t="str">
        <f t="shared" si="8"/>
        <v>3-8</v>
      </c>
    </row>
    <row r="51" spans="2:24" ht="16.5" customHeight="1" x14ac:dyDescent="0.25">
      <c r="B51" s="69"/>
      <c r="C51" s="24">
        <v>27</v>
      </c>
      <c r="D51" s="25" t="str">
        <f>INDEX(Teilnehmer_Namen,4)</f>
        <v>Thomas Vogel</v>
      </c>
      <c r="E51" s="26"/>
      <c r="F51" s="27" t="s">
        <v>51</v>
      </c>
      <c r="G51" s="26"/>
      <c r="H51" s="28" t="str">
        <f>INDEX(Teilnehmer_Namen,7)</f>
        <v>Christian Baumann</v>
      </c>
      <c r="I51" s="29"/>
      <c r="J51" s="30" t="s">
        <v>51</v>
      </c>
      <c r="K51" s="29"/>
      <c r="L51" s="31" t="str">
        <f t="shared" si="0"/>
        <v/>
      </c>
      <c r="M51" s="32" t="str">
        <f t="shared" si="1"/>
        <v>Ausstehend</v>
      </c>
      <c r="P51">
        <f>4</f>
        <v>4</v>
      </c>
      <c r="Q51">
        <f>7</f>
        <v>7</v>
      </c>
      <c r="R51">
        <f t="shared" si="2"/>
        <v>0</v>
      </c>
      <c r="S51">
        <f t="shared" si="3"/>
        <v>0</v>
      </c>
      <c r="T51">
        <f t="shared" si="4"/>
        <v>0</v>
      </c>
      <c r="U51">
        <f t="shared" si="5"/>
        <v>0</v>
      </c>
      <c r="V51">
        <f t="shared" si="6"/>
        <v>0</v>
      </c>
      <c r="W51" t="str">
        <f t="shared" si="7"/>
        <v/>
      </c>
      <c r="X51" t="str">
        <f t="shared" si="8"/>
        <v>4-7</v>
      </c>
    </row>
    <row r="52" spans="2:24" ht="16.5" customHeight="1" x14ac:dyDescent="0.25">
      <c r="B52" s="69"/>
      <c r="C52" s="24">
        <v>28</v>
      </c>
      <c r="D52" s="25" t="str">
        <f>INDEX(Teilnehmer_Namen,5)</f>
        <v>Daniel Sommer</v>
      </c>
      <c r="E52" s="26"/>
      <c r="F52" s="27" t="s">
        <v>51</v>
      </c>
      <c r="G52" s="26"/>
      <c r="H52" s="28" t="str">
        <f>INDEX(Teilnehmer_Namen,6)</f>
        <v>Markus Lehmann</v>
      </c>
      <c r="I52" s="29"/>
      <c r="J52" s="30" t="s">
        <v>51</v>
      </c>
      <c r="K52" s="29"/>
      <c r="L52" s="31" t="str">
        <f t="shared" si="0"/>
        <v/>
      </c>
      <c r="M52" s="32" t="str">
        <f t="shared" si="1"/>
        <v>Ausstehend</v>
      </c>
      <c r="P52">
        <f>5</f>
        <v>5</v>
      </c>
      <c r="Q52">
        <f>6</f>
        <v>6</v>
      </c>
      <c r="R52">
        <f t="shared" si="2"/>
        <v>0</v>
      </c>
      <c r="S52">
        <f t="shared" si="3"/>
        <v>0</v>
      </c>
      <c r="T52">
        <f t="shared" si="4"/>
        <v>0</v>
      </c>
      <c r="U52">
        <f t="shared" si="5"/>
        <v>0</v>
      </c>
      <c r="V52">
        <f t="shared" si="6"/>
        <v>0</v>
      </c>
      <c r="W52" t="str">
        <f t="shared" si="7"/>
        <v/>
      </c>
      <c r="X52" t="str">
        <f t="shared" si="8"/>
        <v>5-6</v>
      </c>
    </row>
    <row r="54" spans="2:24" ht="16.5" customHeight="1" x14ac:dyDescent="0.25">
      <c r="B54" s="71" t="s">
        <v>58</v>
      </c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</row>
    <row r="55" spans="2:24" ht="13.5" customHeight="1" x14ac:dyDescent="0.25">
      <c r="B55" s="72" t="s">
        <v>59</v>
      </c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</row>
    <row r="56" spans="2:24" ht="13.5" customHeight="1" x14ac:dyDescent="0.25">
      <c r="B56" s="72" t="s">
        <v>60</v>
      </c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</row>
    <row r="57" spans="2:24" ht="13.5" customHeight="1" x14ac:dyDescent="0.25">
      <c r="B57" s="72" t="s">
        <v>61</v>
      </c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</row>
    <row r="58" spans="2:24" ht="13.5" customHeight="1" x14ac:dyDescent="0.25">
      <c r="B58" s="72" t="s">
        <v>62</v>
      </c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</row>
    <row r="59" spans="2:24" ht="13.5" customHeight="1" x14ac:dyDescent="0.25">
      <c r="B59" s="72" t="s">
        <v>63</v>
      </c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</row>
  </sheetData>
  <mergeCells count="63">
    <mergeCell ref="B55:M55"/>
    <mergeCell ref="B56:M56"/>
    <mergeCell ref="B57:M57"/>
    <mergeCell ref="B58:M58"/>
    <mergeCell ref="B59:M59"/>
    <mergeCell ref="B37:B40"/>
    <mergeCell ref="B41:B44"/>
    <mergeCell ref="B45:B48"/>
    <mergeCell ref="B49:B52"/>
    <mergeCell ref="B54:M54"/>
    <mergeCell ref="E24:G24"/>
    <mergeCell ref="I24:K24"/>
    <mergeCell ref="B25:B28"/>
    <mergeCell ref="B29:B32"/>
    <mergeCell ref="B33:B36"/>
    <mergeCell ref="C21:D21"/>
    <mergeCell ref="E21:F21"/>
    <mergeCell ref="H21:J21"/>
    <mergeCell ref="K21:M21"/>
    <mergeCell ref="B23:M23"/>
    <mergeCell ref="C17:D17"/>
    <mergeCell ref="E17:F17"/>
    <mergeCell ref="H17:J17"/>
    <mergeCell ref="K17:M17"/>
    <mergeCell ref="C18:D18"/>
    <mergeCell ref="E18:F18"/>
    <mergeCell ref="H18:J20"/>
    <mergeCell ref="K18:M20"/>
    <mergeCell ref="C19:D19"/>
    <mergeCell ref="E19:F19"/>
    <mergeCell ref="C20:D20"/>
    <mergeCell ref="E20:F20"/>
    <mergeCell ref="B12:F12"/>
    <mergeCell ref="H12:M12"/>
    <mergeCell ref="C13:D13"/>
    <mergeCell ref="E13:F13"/>
    <mergeCell ref="C14:D14"/>
    <mergeCell ref="E14:F14"/>
    <mergeCell ref="H14:J16"/>
    <mergeCell ref="K14:M16"/>
    <mergeCell ref="C15:D15"/>
    <mergeCell ref="E15:F15"/>
    <mergeCell ref="C16:D16"/>
    <mergeCell ref="E16:F16"/>
    <mergeCell ref="C9:F9"/>
    <mergeCell ref="H9:J9"/>
    <mergeCell ref="K9:M9"/>
    <mergeCell ref="C10:F10"/>
    <mergeCell ref="H10:J10"/>
    <mergeCell ref="K10:M10"/>
    <mergeCell ref="C7:F7"/>
    <mergeCell ref="H7:J7"/>
    <mergeCell ref="K7:M7"/>
    <mergeCell ref="C8:F8"/>
    <mergeCell ref="H8:J8"/>
    <mergeCell ref="K8:M8"/>
    <mergeCell ref="B2:M2"/>
    <mergeCell ref="B3:M3"/>
    <mergeCell ref="B5:F5"/>
    <mergeCell ref="H5:M5"/>
    <mergeCell ref="C6:F6"/>
    <mergeCell ref="H6:J6"/>
    <mergeCell ref="K6:M6"/>
  </mergeCells>
  <conditionalFormatting sqref="L25:L52">
    <cfRule type="expression" dxfId="2" priority="4">
      <formula>AND(L25&lt;&gt;"",L25&lt;&gt;"")</formula>
    </cfRule>
  </conditionalFormatting>
  <conditionalFormatting sqref="M25:M52">
    <cfRule type="cellIs" dxfId="1" priority="2" operator="equal">
      <formula>"Beendet"</formula>
    </cfRule>
    <cfRule type="cellIs" dxfId="0" priority="3" operator="equal">
      <formula>"Ausstehend"</formula>
    </cfRule>
  </conditionalFormatting>
  <pageMargins left="0.3" right="0.3" top="0.4" bottom="0.4" header="0.511811023622047" footer="0.511811023622047"/>
  <pageSetup paperSize="9" fitToHeight="0" orientation="landscape" horizontalDpi="300" verticalDpi="300"/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D32"/>
  <sheetViews>
    <sheetView showGridLines="0" zoomScaleNormal="100" workbookViewId="0"/>
  </sheetViews>
  <sheetFormatPr baseColWidth="10" defaultColWidth="8.7109375" defaultRowHeight="15" x14ac:dyDescent="0.25"/>
  <cols>
    <col min="1" max="1" width="2.140625" customWidth="1"/>
    <col min="2" max="2" width="6.5703125" customWidth="1"/>
    <col min="3" max="3" width="20" customWidth="1"/>
    <col min="4" max="4" width="7" customWidth="1"/>
    <col min="5" max="5" width="5.5703125" customWidth="1"/>
    <col min="6" max="7" width="5" customWidth="1"/>
    <col min="8" max="8" width="9" customWidth="1"/>
    <col min="9" max="9" width="8" customWidth="1"/>
    <col min="10" max="10" width="10" customWidth="1"/>
    <col min="11" max="11" width="8" customWidth="1"/>
    <col min="12" max="12" width="8.42578125" customWidth="1"/>
    <col min="16" max="30" width="10" hidden="1" customWidth="1"/>
  </cols>
  <sheetData>
    <row r="1" spans="2:30" ht="6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2:30" ht="33.75" customHeight="1" x14ac:dyDescent="0.25">
      <c r="B2" s="14" t="s">
        <v>64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2:30" ht="18" customHeight="1" x14ac:dyDescent="0.25">
      <c r="B3" s="71" t="str">
        <f ca="1">"Endstand · Reihenfolge nach Punkten, dann Satzverhältnis, dann Ballpunktverhältnis · Stand: "&amp;TEXT(TODAY(),"DD.MM.YYYY")</f>
        <v>Endstand · Reihenfolge nach Punkten, dann Satzverhältnis, dann Ballpunktverhältnis · Stand: 12.08.YYYY</v>
      </c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2:30" ht="6" customHeight="1" x14ac:dyDescent="0.25"/>
    <row r="5" spans="2:30" ht="24" customHeight="1" x14ac:dyDescent="0.25">
      <c r="B5" s="73" t="str">
        <f>IF(SUM(SP_Played)=0,"Noch keine Spiele gewertet.","Tabellenführer:  "&amp;C8&amp;"   ·   "&amp;L8&amp;" Punkte   ·   Satzverhältnis "&amp;H8&amp;"   ·   Ballpunkte "&amp;J8)</f>
        <v>Tabellenführer:  Stefan Krause   ·   12 Punkte   ·   Satzverhältnis 18:7   ·   Ballpunkte 258:211</v>
      </c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2:30" ht="6" customHeight="1" x14ac:dyDescent="0.25"/>
    <row r="7" spans="2:30" ht="18.75" customHeight="1" x14ac:dyDescent="0.25">
      <c r="B7" s="20" t="s">
        <v>65</v>
      </c>
      <c r="C7" s="41" t="s">
        <v>66</v>
      </c>
      <c r="D7" s="20" t="s">
        <v>21</v>
      </c>
      <c r="E7" s="20" t="s">
        <v>67</v>
      </c>
      <c r="F7" s="20" t="s">
        <v>68</v>
      </c>
      <c r="G7" s="20" t="s">
        <v>69</v>
      </c>
      <c r="H7" s="20" t="s">
        <v>45</v>
      </c>
      <c r="I7" s="20" t="s">
        <v>70</v>
      </c>
      <c r="J7" s="20" t="s">
        <v>71</v>
      </c>
      <c r="K7" s="20" t="s">
        <v>72</v>
      </c>
      <c r="L7" s="20" t="s">
        <v>73</v>
      </c>
    </row>
    <row r="8" spans="2:30" ht="18" customHeight="1" x14ac:dyDescent="0.25">
      <c r="B8" s="42">
        <v>1</v>
      </c>
      <c r="C8" s="43" t="str">
        <f>INDEX($Q$8:$Q$15,MATCH(1,$AD$8:$AD$15,0))</f>
        <v>Stefan Krause</v>
      </c>
      <c r="D8" s="44" t="str">
        <f>INDEX($R$8:$R$15,MATCH(1,$AD$8:$AD$15,0))</f>
        <v>KRA</v>
      </c>
      <c r="E8" s="45">
        <f>INDEX($S$8:$S$15,MATCH(1,$AD$8:$AD$15,0))</f>
        <v>6</v>
      </c>
      <c r="F8" s="45">
        <f>INDEX($T$8:$T$15,MATCH(1,$AD$8:$AD$15,0))</f>
        <v>6</v>
      </c>
      <c r="G8" s="45">
        <f>INDEX($U$8:$U$15,MATCH(1,$AD$8:$AD$15,0))</f>
        <v>0</v>
      </c>
      <c r="H8" s="45" t="str">
        <f>INDEX($V$8:$V$15,MATCH(1,$AD$8:$AD$15,0))&amp;":"&amp;INDEX($W$8:$W$15,MATCH(1,$AD$8:$AD$15,0))</f>
        <v>18:7</v>
      </c>
      <c r="I8" s="46">
        <f>INDEX($Z$8:$Z$15,MATCH(1,$AD$8:$AD$15,0))</f>
        <v>11</v>
      </c>
      <c r="J8" s="45" t="str">
        <f>INDEX($X$8:$X$15,MATCH(1,$AD$8:$AD$15,0))&amp;":"&amp;INDEX($Y$8:$Y$15,MATCH(1,$AD$8:$AD$15,0))</f>
        <v>258:211</v>
      </c>
      <c r="K8" s="46">
        <f>INDEX($AA$8:$AA$15,MATCH(1,$AD$8:$AD$15,0))</f>
        <v>47</v>
      </c>
      <c r="L8" s="47">
        <f>INDEX($AB$8:$AB$15,MATCH(1,$AD$8:$AD$15,0))</f>
        <v>12</v>
      </c>
      <c r="P8">
        <v>1</v>
      </c>
      <c r="Q8" t="str">
        <f>INDEX(Teilnehmer_Namen,1)</f>
        <v>Michael Berger</v>
      </c>
      <c r="R8" t="str">
        <f>INDEX(Teilnehmer_Kuerzel,1)</f>
        <v>BER</v>
      </c>
      <c r="S8">
        <f>SUMPRODUCT((SP_HeimNr=1)*SP_Played)+SUMPRODUCT((SP_GastNr=1)*SP_Played)</f>
        <v>6</v>
      </c>
      <c r="T8">
        <f>SUMPRODUCT((SP_HeimNr=1)*(SP_resH="H"))+SUMPRODUCT((SP_GastNr=1)*(SP_resH="G"))</f>
        <v>4</v>
      </c>
      <c r="U8">
        <f t="shared" ref="U8:U15" si="0">S8-T8</f>
        <v>2</v>
      </c>
      <c r="V8">
        <f>SUMPRODUCT((SP_HeimNr=1)*SP_Played*SP_E0)+SUMPRODUCT((SP_GastNr=1)*SP_Played*SP_G0)</f>
        <v>15</v>
      </c>
      <c r="W8">
        <f>SUMPRODUCT((SP_HeimNr=1)*SP_Played*SP_G0)+SUMPRODUCT((SP_GastNr=1)*SP_Played*SP_E0)</f>
        <v>8</v>
      </c>
      <c r="X8">
        <f>SUMPRODUCT((SP_HeimNr=1)*SP_Played*SP_BH0)+SUMPRODUCT((SP_GastNr=1)*SP_Played*SP_BG0)</f>
        <v>217</v>
      </c>
      <c r="Y8">
        <f>SUMPRODUCT((SP_HeimNr=1)*SP_Played*SP_BG0)+SUMPRODUCT((SP_GastNr=1)*SP_Played*SP_BH0)</f>
        <v>214</v>
      </c>
      <c r="Z8">
        <f t="shared" ref="Z8:Z15" si="1">V8-W8</f>
        <v>7</v>
      </c>
      <c r="AA8">
        <f t="shared" ref="AA8:AA15" si="2">X8-Y8</f>
        <v>3</v>
      </c>
      <c r="AB8">
        <f t="shared" ref="AB8:AB15" si="3">T8*Punkte_Sieg+U8*Punkte_Nieder</f>
        <v>8</v>
      </c>
      <c r="AC8">
        <f>AB8*10^11+(Z8+100)*10^7+(AA8+5000)*100+(9-1)</f>
        <v>801070500308</v>
      </c>
      <c r="AD8">
        <f t="shared" ref="AD8:AD15" si="4">RANK(AC8,$AC$8:$AC$15,0)</f>
        <v>2</v>
      </c>
    </row>
    <row r="9" spans="2:30" ht="18" customHeight="1" x14ac:dyDescent="0.25">
      <c r="B9" s="48">
        <v>2</v>
      </c>
      <c r="C9" s="49" t="str">
        <f>INDEX($Q$8:$Q$15,MATCH(2,$AD$8:$AD$15,0))</f>
        <v>Michael Berger</v>
      </c>
      <c r="D9" s="50" t="str">
        <f>INDEX($R$8:$R$15,MATCH(2,$AD$8:$AD$15,0))</f>
        <v>BER</v>
      </c>
      <c r="E9" s="51">
        <f>INDEX($S$8:$S$15,MATCH(2,$AD$8:$AD$15,0))</f>
        <v>6</v>
      </c>
      <c r="F9" s="51">
        <f>INDEX($T$8:$T$15,MATCH(2,$AD$8:$AD$15,0))</f>
        <v>4</v>
      </c>
      <c r="G9" s="51">
        <f>INDEX($U$8:$U$15,MATCH(2,$AD$8:$AD$15,0))</f>
        <v>2</v>
      </c>
      <c r="H9" s="51" t="str">
        <f>INDEX($V$8:$V$15,MATCH(2,$AD$8:$AD$15,0))&amp;":"&amp;INDEX($W$8:$W$15,MATCH(2,$AD$8:$AD$15,0))</f>
        <v>15:8</v>
      </c>
      <c r="I9" s="52">
        <f>INDEX($Z$8:$Z$15,MATCH(2,$AD$8:$AD$15,0))</f>
        <v>7</v>
      </c>
      <c r="J9" s="51" t="str">
        <f>INDEX($X$8:$X$15,MATCH(2,$AD$8:$AD$15,0))&amp;":"&amp;INDEX($Y$8:$Y$15,MATCH(2,$AD$8:$AD$15,0))</f>
        <v>217:214</v>
      </c>
      <c r="K9" s="52">
        <f>INDEX($AA$8:$AA$15,MATCH(2,$AD$8:$AD$15,0))</f>
        <v>3</v>
      </c>
      <c r="L9" s="53">
        <f>INDEX($AB$8:$AB$15,MATCH(2,$AD$8:$AD$15,0))</f>
        <v>8</v>
      </c>
      <c r="P9">
        <v>2</v>
      </c>
      <c r="Q9" t="str">
        <f>INDEX(Teilnehmer_Namen,2)</f>
        <v>Andreas Roth</v>
      </c>
      <c r="R9" t="str">
        <f>INDEX(Teilnehmer_Kuerzel,2)</f>
        <v>ROT</v>
      </c>
      <c r="S9">
        <f>SUMPRODUCT((SP_HeimNr=2)*SP_Played)+SUMPRODUCT((SP_GastNr=2)*SP_Played)</f>
        <v>6</v>
      </c>
      <c r="T9">
        <f>SUMPRODUCT((SP_HeimNr=2)*(SP_resH="H"))+SUMPRODUCT((SP_GastNr=2)*(SP_resH="G"))</f>
        <v>3</v>
      </c>
      <c r="U9">
        <f t="shared" si="0"/>
        <v>3</v>
      </c>
      <c r="V9">
        <f>SUMPRODUCT((SP_HeimNr=2)*SP_Played*SP_E0)+SUMPRODUCT((SP_GastNr=2)*SP_Played*SP_G0)</f>
        <v>14</v>
      </c>
      <c r="W9">
        <f>SUMPRODUCT((SP_HeimNr=2)*SP_Played*SP_G0)+SUMPRODUCT((SP_GastNr=2)*SP_Played*SP_E0)</f>
        <v>13</v>
      </c>
      <c r="X9">
        <f>SUMPRODUCT((SP_HeimNr=2)*SP_Played*SP_BH0)+SUMPRODUCT((SP_GastNr=2)*SP_Played*SP_BG0)</f>
        <v>252</v>
      </c>
      <c r="Y9">
        <f>SUMPRODUCT((SP_HeimNr=2)*SP_Played*SP_BG0)+SUMPRODUCT((SP_GastNr=2)*SP_Played*SP_BH0)</f>
        <v>246</v>
      </c>
      <c r="Z9">
        <f t="shared" si="1"/>
        <v>1</v>
      </c>
      <c r="AA9">
        <f t="shared" si="2"/>
        <v>6</v>
      </c>
      <c r="AB9">
        <f t="shared" si="3"/>
        <v>6</v>
      </c>
      <c r="AC9">
        <f>AB9*10^11+(Z9+100)*10^7+(AA9+5000)*100+(9-2)</f>
        <v>601010500607</v>
      </c>
      <c r="AD9">
        <f t="shared" si="4"/>
        <v>4</v>
      </c>
    </row>
    <row r="10" spans="2:30" ht="18" customHeight="1" x14ac:dyDescent="0.25">
      <c r="B10" s="54">
        <v>3</v>
      </c>
      <c r="C10" s="43" t="str">
        <f>INDEX($Q$8:$Q$15,MATCH(3,$AD$8:$AD$15,0))</f>
        <v>Markus Lehmann</v>
      </c>
      <c r="D10" s="44" t="str">
        <f>INDEX($R$8:$R$15,MATCH(3,$AD$8:$AD$15,0))</f>
        <v>LEH</v>
      </c>
      <c r="E10" s="45">
        <f>INDEX($S$8:$S$15,MATCH(3,$AD$8:$AD$15,0))</f>
        <v>6</v>
      </c>
      <c r="F10" s="45">
        <f>INDEX($T$8:$T$15,MATCH(3,$AD$8:$AD$15,0))</f>
        <v>4</v>
      </c>
      <c r="G10" s="45">
        <f>INDEX($U$8:$U$15,MATCH(3,$AD$8:$AD$15,0))</f>
        <v>2</v>
      </c>
      <c r="H10" s="45" t="str">
        <f>INDEX($V$8:$V$15,MATCH(3,$AD$8:$AD$15,0))&amp;":"&amp;INDEX($W$8:$W$15,MATCH(3,$AD$8:$AD$15,0))</f>
        <v>14:11</v>
      </c>
      <c r="I10" s="46">
        <f>INDEX($Z$8:$Z$15,MATCH(3,$AD$8:$AD$15,0))</f>
        <v>3</v>
      </c>
      <c r="J10" s="45" t="str">
        <f>INDEX($X$8:$X$15,MATCH(3,$AD$8:$AD$15,0))&amp;":"&amp;INDEX($Y$8:$Y$15,MATCH(3,$AD$8:$AD$15,0))</f>
        <v>245:227</v>
      </c>
      <c r="K10" s="46">
        <f>INDEX($AA$8:$AA$15,MATCH(3,$AD$8:$AD$15,0))</f>
        <v>18</v>
      </c>
      <c r="L10" s="47">
        <f>INDEX($AB$8:$AB$15,MATCH(3,$AD$8:$AD$15,0))</f>
        <v>8</v>
      </c>
      <c r="P10">
        <v>3</v>
      </c>
      <c r="Q10" t="str">
        <f>INDEX(Teilnehmer_Namen,3)</f>
        <v>Stefan Krause</v>
      </c>
      <c r="R10" t="str">
        <f>INDEX(Teilnehmer_Kuerzel,3)</f>
        <v>KRA</v>
      </c>
      <c r="S10">
        <f>SUMPRODUCT((SP_HeimNr=3)*SP_Played)+SUMPRODUCT((SP_GastNr=3)*SP_Played)</f>
        <v>6</v>
      </c>
      <c r="T10">
        <f>SUMPRODUCT((SP_HeimNr=3)*(SP_resH="H"))+SUMPRODUCT((SP_GastNr=3)*(SP_resH="G"))</f>
        <v>6</v>
      </c>
      <c r="U10">
        <f t="shared" si="0"/>
        <v>0</v>
      </c>
      <c r="V10">
        <f>SUMPRODUCT((SP_HeimNr=3)*SP_Played*SP_E0)+SUMPRODUCT((SP_GastNr=3)*SP_Played*SP_G0)</f>
        <v>18</v>
      </c>
      <c r="W10">
        <f>SUMPRODUCT((SP_HeimNr=3)*SP_Played*SP_G0)+SUMPRODUCT((SP_GastNr=3)*SP_Played*SP_E0)</f>
        <v>7</v>
      </c>
      <c r="X10">
        <f>SUMPRODUCT((SP_HeimNr=3)*SP_Played*SP_BH0)+SUMPRODUCT((SP_GastNr=3)*SP_Played*SP_BG0)</f>
        <v>258</v>
      </c>
      <c r="Y10">
        <f>SUMPRODUCT((SP_HeimNr=3)*SP_Played*SP_BG0)+SUMPRODUCT((SP_GastNr=3)*SP_Played*SP_BH0)</f>
        <v>211</v>
      </c>
      <c r="Z10">
        <f t="shared" si="1"/>
        <v>11</v>
      </c>
      <c r="AA10">
        <f t="shared" si="2"/>
        <v>47</v>
      </c>
      <c r="AB10">
        <f t="shared" si="3"/>
        <v>12</v>
      </c>
      <c r="AC10">
        <f>AB10*10^11+(Z10+100)*10^7+(AA10+5000)*100+(9-3)</f>
        <v>1201110504706</v>
      </c>
      <c r="AD10">
        <f t="shared" si="4"/>
        <v>1</v>
      </c>
    </row>
    <row r="11" spans="2:30" ht="18" customHeight="1" x14ac:dyDescent="0.25">
      <c r="B11" s="55">
        <v>4</v>
      </c>
      <c r="C11" s="56" t="str">
        <f>INDEX($Q$8:$Q$15,MATCH(4,$AD$8:$AD$15,0))</f>
        <v>Andreas Roth</v>
      </c>
      <c r="D11" s="50" t="str">
        <f>INDEX($R$8:$R$15,MATCH(4,$AD$8:$AD$15,0))</f>
        <v>ROT</v>
      </c>
      <c r="E11" s="51">
        <f>INDEX($S$8:$S$15,MATCH(4,$AD$8:$AD$15,0))</f>
        <v>6</v>
      </c>
      <c r="F11" s="51">
        <f>INDEX($T$8:$T$15,MATCH(4,$AD$8:$AD$15,0))</f>
        <v>3</v>
      </c>
      <c r="G11" s="51">
        <f>INDEX($U$8:$U$15,MATCH(4,$AD$8:$AD$15,0))</f>
        <v>3</v>
      </c>
      <c r="H11" s="51" t="str">
        <f>INDEX($V$8:$V$15,MATCH(4,$AD$8:$AD$15,0))&amp;":"&amp;INDEX($W$8:$W$15,MATCH(4,$AD$8:$AD$15,0))</f>
        <v>14:13</v>
      </c>
      <c r="I11" s="52">
        <f>INDEX($Z$8:$Z$15,MATCH(4,$AD$8:$AD$15,0))</f>
        <v>1</v>
      </c>
      <c r="J11" s="51" t="str">
        <f>INDEX($X$8:$X$15,MATCH(4,$AD$8:$AD$15,0))&amp;":"&amp;INDEX($Y$8:$Y$15,MATCH(4,$AD$8:$AD$15,0))</f>
        <v>252:246</v>
      </c>
      <c r="K11" s="52">
        <f>INDEX($AA$8:$AA$15,MATCH(4,$AD$8:$AD$15,0))</f>
        <v>6</v>
      </c>
      <c r="L11" s="53">
        <f>INDEX($AB$8:$AB$15,MATCH(4,$AD$8:$AD$15,0))</f>
        <v>6</v>
      </c>
      <c r="P11">
        <v>4</v>
      </c>
      <c r="Q11" t="str">
        <f>INDEX(Teilnehmer_Namen,4)</f>
        <v>Thomas Vogel</v>
      </c>
      <c r="R11" t="str">
        <f>INDEX(Teilnehmer_Kuerzel,4)</f>
        <v>VOG</v>
      </c>
      <c r="S11">
        <f>SUMPRODUCT((SP_HeimNr=4)*SP_Played)+SUMPRODUCT((SP_GastNr=4)*SP_Played)</f>
        <v>6</v>
      </c>
      <c r="T11">
        <f>SUMPRODUCT((SP_HeimNr=4)*(SP_resH="H"))+SUMPRODUCT((SP_GastNr=4)*(SP_resH="G"))</f>
        <v>2</v>
      </c>
      <c r="U11">
        <f t="shared" si="0"/>
        <v>4</v>
      </c>
      <c r="V11">
        <f>SUMPRODUCT((SP_HeimNr=4)*SP_Played*SP_E0)+SUMPRODUCT((SP_GastNr=4)*SP_Played*SP_G0)</f>
        <v>10</v>
      </c>
      <c r="W11">
        <f>SUMPRODUCT((SP_HeimNr=4)*SP_Played*SP_G0)+SUMPRODUCT((SP_GastNr=4)*SP_Played*SP_E0)</f>
        <v>15</v>
      </c>
      <c r="X11">
        <f>SUMPRODUCT((SP_HeimNr=4)*SP_Played*SP_BH0)+SUMPRODUCT((SP_GastNr=4)*SP_Played*SP_BG0)</f>
        <v>228</v>
      </c>
      <c r="Y11">
        <f>SUMPRODUCT((SP_HeimNr=4)*SP_Played*SP_BG0)+SUMPRODUCT((SP_GastNr=4)*SP_Played*SP_BH0)</f>
        <v>240</v>
      </c>
      <c r="Z11">
        <f t="shared" si="1"/>
        <v>-5</v>
      </c>
      <c r="AA11">
        <f t="shared" si="2"/>
        <v>-12</v>
      </c>
      <c r="AB11">
        <f t="shared" si="3"/>
        <v>4</v>
      </c>
      <c r="AC11">
        <f>AB11*10^11+(Z11+100)*10^7+(AA11+5000)*100+(9-4)</f>
        <v>400950498805</v>
      </c>
      <c r="AD11">
        <f t="shared" si="4"/>
        <v>6</v>
      </c>
    </row>
    <row r="12" spans="2:30" ht="18" customHeight="1" x14ac:dyDescent="0.25">
      <c r="B12" s="57">
        <v>5</v>
      </c>
      <c r="C12" s="58" t="str">
        <f>INDEX($Q$8:$Q$15,MATCH(5,$AD$8:$AD$15,0))</f>
        <v>Patrick Winter</v>
      </c>
      <c r="D12" s="44" t="str">
        <f>INDEX($R$8:$R$15,MATCH(5,$AD$8:$AD$15,0))</f>
        <v>WIN</v>
      </c>
      <c r="E12" s="45">
        <f>INDEX($S$8:$S$15,MATCH(5,$AD$8:$AD$15,0))</f>
        <v>6</v>
      </c>
      <c r="F12" s="45">
        <f>INDEX($T$8:$T$15,MATCH(5,$AD$8:$AD$15,0))</f>
        <v>3</v>
      </c>
      <c r="G12" s="45">
        <f>INDEX($U$8:$U$15,MATCH(5,$AD$8:$AD$15,0))</f>
        <v>3</v>
      </c>
      <c r="H12" s="45" t="str">
        <f>INDEX($V$8:$V$15,MATCH(5,$AD$8:$AD$15,0))&amp;":"&amp;INDEX($W$8:$W$15,MATCH(5,$AD$8:$AD$15,0))</f>
        <v>14:13</v>
      </c>
      <c r="I12" s="46">
        <f>INDEX($Z$8:$Z$15,MATCH(5,$AD$8:$AD$15,0))</f>
        <v>1</v>
      </c>
      <c r="J12" s="45" t="str">
        <f>INDEX($X$8:$X$15,MATCH(5,$AD$8:$AD$15,0))&amp;":"&amp;INDEX($Y$8:$Y$15,MATCH(5,$AD$8:$AD$15,0))</f>
        <v>251:250</v>
      </c>
      <c r="K12" s="46">
        <f>INDEX($AA$8:$AA$15,MATCH(5,$AD$8:$AD$15,0))</f>
        <v>1</v>
      </c>
      <c r="L12" s="47">
        <f>INDEX($AB$8:$AB$15,MATCH(5,$AD$8:$AD$15,0))</f>
        <v>6</v>
      </c>
      <c r="P12">
        <v>5</v>
      </c>
      <c r="Q12" t="str">
        <f>INDEX(Teilnehmer_Namen,5)</f>
        <v>Daniel Sommer</v>
      </c>
      <c r="R12" t="str">
        <f>INDEX(Teilnehmer_Kuerzel,5)</f>
        <v>SOM</v>
      </c>
      <c r="S12">
        <f>SUMPRODUCT((SP_HeimNr=5)*SP_Played)+SUMPRODUCT((SP_GastNr=5)*SP_Played)</f>
        <v>6</v>
      </c>
      <c r="T12">
        <f>SUMPRODUCT((SP_HeimNr=5)*(SP_resH="H"))+SUMPRODUCT((SP_GastNr=5)*(SP_resH="G"))</f>
        <v>1</v>
      </c>
      <c r="U12">
        <f t="shared" si="0"/>
        <v>5</v>
      </c>
      <c r="V12">
        <f>SUMPRODUCT((SP_HeimNr=5)*SP_Played*SP_E0)+SUMPRODUCT((SP_GastNr=5)*SP_Played*SP_G0)</f>
        <v>9</v>
      </c>
      <c r="W12">
        <f>SUMPRODUCT((SP_HeimNr=5)*SP_Played*SP_G0)+SUMPRODUCT((SP_GastNr=5)*SP_Played*SP_E0)</f>
        <v>17</v>
      </c>
      <c r="X12">
        <f>SUMPRODUCT((SP_HeimNr=5)*SP_Played*SP_BH0)+SUMPRODUCT((SP_GastNr=5)*SP_Played*SP_BG0)</f>
        <v>232</v>
      </c>
      <c r="Y12">
        <f>SUMPRODUCT((SP_HeimNr=5)*SP_Played*SP_BG0)+SUMPRODUCT((SP_GastNr=5)*SP_Played*SP_BH0)</f>
        <v>249</v>
      </c>
      <c r="Z12">
        <f t="shared" si="1"/>
        <v>-8</v>
      </c>
      <c r="AA12">
        <f t="shared" si="2"/>
        <v>-17</v>
      </c>
      <c r="AB12">
        <f t="shared" si="3"/>
        <v>2</v>
      </c>
      <c r="AC12">
        <f>AB12*10^11+(Z12+100)*10^7+(AA12+5000)*100+(9-5)</f>
        <v>200920498304</v>
      </c>
      <c r="AD12">
        <f t="shared" si="4"/>
        <v>7</v>
      </c>
    </row>
    <row r="13" spans="2:30" ht="18" customHeight="1" x14ac:dyDescent="0.25">
      <c r="B13" s="55">
        <v>6</v>
      </c>
      <c r="C13" s="56" t="str">
        <f>INDEX($Q$8:$Q$15,MATCH(6,$AD$8:$AD$15,0))</f>
        <v>Thomas Vogel</v>
      </c>
      <c r="D13" s="50" t="str">
        <f>INDEX($R$8:$R$15,MATCH(6,$AD$8:$AD$15,0))</f>
        <v>VOG</v>
      </c>
      <c r="E13" s="51">
        <f>INDEX($S$8:$S$15,MATCH(6,$AD$8:$AD$15,0))</f>
        <v>6</v>
      </c>
      <c r="F13" s="51">
        <f>INDEX($T$8:$T$15,MATCH(6,$AD$8:$AD$15,0))</f>
        <v>2</v>
      </c>
      <c r="G13" s="51">
        <f>INDEX($U$8:$U$15,MATCH(6,$AD$8:$AD$15,0))</f>
        <v>4</v>
      </c>
      <c r="H13" s="51" t="str">
        <f>INDEX($V$8:$V$15,MATCH(6,$AD$8:$AD$15,0))&amp;":"&amp;INDEX($W$8:$W$15,MATCH(6,$AD$8:$AD$15,0))</f>
        <v>10:15</v>
      </c>
      <c r="I13" s="52">
        <f>INDEX($Z$8:$Z$15,MATCH(6,$AD$8:$AD$15,0))</f>
        <v>-5</v>
      </c>
      <c r="J13" s="51" t="str">
        <f>INDEX($X$8:$X$15,MATCH(6,$AD$8:$AD$15,0))&amp;":"&amp;INDEX($Y$8:$Y$15,MATCH(6,$AD$8:$AD$15,0))</f>
        <v>228:240</v>
      </c>
      <c r="K13" s="52">
        <f>INDEX($AA$8:$AA$15,MATCH(6,$AD$8:$AD$15,0))</f>
        <v>-12</v>
      </c>
      <c r="L13" s="53">
        <f>INDEX($AB$8:$AB$15,MATCH(6,$AD$8:$AD$15,0))</f>
        <v>4</v>
      </c>
      <c r="P13">
        <v>6</v>
      </c>
      <c r="Q13" t="str">
        <f>INDEX(Teilnehmer_Namen,6)</f>
        <v>Markus Lehmann</v>
      </c>
      <c r="R13" t="str">
        <f>INDEX(Teilnehmer_Kuerzel,6)</f>
        <v>LEH</v>
      </c>
      <c r="S13">
        <f>SUMPRODUCT((SP_HeimNr=6)*SP_Played)+SUMPRODUCT((SP_GastNr=6)*SP_Played)</f>
        <v>6</v>
      </c>
      <c r="T13">
        <f>SUMPRODUCT((SP_HeimNr=6)*(SP_resH="H"))+SUMPRODUCT((SP_GastNr=6)*(SP_resH="G"))</f>
        <v>4</v>
      </c>
      <c r="U13">
        <f t="shared" si="0"/>
        <v>2</v>
      </c>
      <c r="V13">
        <f>SUMPRODUCT((SP_HeimNr=6)*SP_Played*SP_E0)+SUMPRODUCT((SP_GastNr=6)*SP_Played*SP_G0)</f>
        <v>14</v>
      </c>
      <c r="W13">
        <f>SUMPRODUCT((SP_HeimNr=6)*SP_Played*SP_G0)+SUMPRODUCT((SP_GastNr=6)*SP_Played*SP_E0)</f>
        <v>11</v>
      </c>
      <c r="X13">
        <f>SUMPRODUCT((SP_HeimNr=6)*SP_Played*SP_BH0)+SUMPRODUCT((SP_GastNr=6)*SP_Played*SP_BG0)</f>
        <v>245</v>
      </c>
      <c r="Y13">
        <f>SUMPRODUCT((SP_HeimNr=6)*SP_Played*SP_BG0)+SUMPRODUCT((SP_GastNr=6)*SP_Played*SP_BH0)</f>
        <v>227</v>
      </c>
      <c r="Z13">
        <f t="shared" si="1"/>
        <v>3</v>
      </c>
      <c r="AA13">
        <f t="shared" si="2"/>
        <v>18</v>
      </c>
      <c r="AB13">
        <f t="shared" si="3"/>
        <v>8</v>
      </c>
      <c r="AC13">
        <f>AB13*10^11+(Z13+100)*10^7+(AA13+5000)*100+(9-6)</f>
        <v>801030501803</v>
      </c>
      <c r="AD13">
        <f t="shared" si="4"/>
        <v>3</v>
      </c>
    </row>
    <row r="14" spans="2:30" ht="18" customHeight="1" x14ac:dyDescent="0.25">
      <c r="B14" s="57">
        <v>7</v>
      </c>
      <c r="C14" s="58" t="str">
        <f>INDEX($Q$8:$Q$15,MATCH(7,$AD$8:$AD$15,0))</f>
        <v>Daniel Sommer</v>
      </c>
      <c r="D14" s="44" t="str">
        <f>INDEX($R$8:$R$15,MATCH(7,$AD$8:$AD$15,0))</f>
        <v>SOM</v>
      </c>
      <c r="E14" s="45">
        <f>INDEX($S$8:$S$15,MATCH(7,$AD$8:$AD$15,0))</f>
        <v>6</v>
      </c>
      <c r="F14" s="45">
        <f>INDEX($T$8:$T$15,MATCH(7,$AD$8:$AD$15,0))</f>
        <v>1</v>
      </c>
      <c r="G14" s="45">
        <f>INDEX($U$8:$U$15,MATCH(7,$AD$8:$AD$15,0))</f>
        <v>5</v>
      </c>
      <c r="H14" s="45" t="str">
        <f>INDEX($V$8:$V$15,MATCH(7,$AD$8:$AD$15,0))&amp;":"&amp;INDEX($W$8:$W$15,MATCH(7,$AD$8:$AD$15,0))</f>
        <v>9:17</v>
      </c>
      <c r="I14" s="46">
        <f>INDEX($Z$8:$Z$15,MATCH(7,$AD$8:$AD$15,0))</f>
        <v>-8</v>
      </c>
      <c r="J14" s="45" t="str">
        <f>INDEX($X$8:$X$15,MATCH(7,$AD$8:$AD$15,0))&amp;":"&amp;INDEX($Y$8:$Y$15,MATCH(7,$AD$8:$AD$15,0))</f>
        <v>232:249</v>
      </c>
      <c r="K14" s="46">
        <f>INDEX($AA$8:$AA$15,MATCH(7,$AD$8:$AD$15,0))</f>
        <v>-17</v>
      </c>
      <c r="L14" s="47">
        <f>INDEX($AB$8:$AB$15,MATCH(7,$AD$8:$AD$15,0))</f>
        <v>2</v>
      </c>
      <c r="P14">
        <v>7</v>
      </c>
      <c r="Q14" t="str">
        <f>INDEX(Teilnehmer_Namen,7)</f>
        <v>Christian Baumann</v>
      </c>
      <c r="R14" t="str">
        <f>INDEX(Teilnehmer_Kuerzel,7)</f>
        <v>BAU</v>
      </c>
      <c r="S14">
        <f>SUMPRODUCT((SP_HeimNr=7)*SP_Played)+SUMPRODUCT((SP_GastNr=7)*SP_Played)</f>
        <v>6</v>
      </c>
      <c r="T14">
        <f>SUMPRODUCT((SP_HeimNr=7)*(SP_resH="H"))+SUMPRODUCT((SP_GastNr=7)*(SP_resH="G"))</f>
        <v>1</v>
      </c>
      <c r="U14">
        <f t="shared" si="0"/>
        <v>5</v>
      </c>
      <c r="V14">
        <f>SUMPRODUCT((SP_HeimNr=7)*SP_Played*SP_E0)+SUMPRODUCT((SP_GastNr=7)*SP_Played*SP_G0)</f>
        <v>7</v>
      </c>
      <c r="W14">
        <f>SUMPRODUCT((SP_HeimNr=7)*SP_Played*SP_G0)+SUMPRODUCT((SP_GastNr=7)*SP_Played*SP_E0)</f>
        <v>17</v>
      </c>
      <c r="X14">
        <f>SUMPRODUCT((SP_HeimNr=7)*SP_Played*SP_BH0)+SUMPRODUCT((SP_GastNr=7)*SP_Played*SP_BG0)</f>
        <v>195</v>
      </c>
      <c r="Y14">
        <f>SUMPRODUCT((SP_HeimNr=7)*SP_Played*SP_BG0)+SUMPRODUCT((SP_GastNr=7)*SP_Played*SP_BH0)</f>
        <v>241</v>
      </c>
      <c r="Z14">
        <f t="shared" si="1"/>
        <v>-10</v>
      </c>
      <c r="AA14">
        <f t="shared" si="2"/>
        <v>-46</v>
      </c>
      <c r="AB14">
        <f t="shared" si="3"/>
        <v>2</v>
      </c>
      <c r="AC14">
        <f>AB14*10^11+(Z14+100)*10^7+(AA14+5000)*100+(9-7)</f>
        <v>200900495402</v>
      </c>
      <c r="AD14">
        <f t="shared" si="4"/>
        <v>8</v>
      </c>
    </row>
    <row r="15" spans="2:30" ht="18" customHeight="1" x14ac:dyDescent="0.25">
      <c r="B15" s="55">
        <v>8</v>
      </c>
      <c r="C15" s="56" t="str">
        <f>INDEX($Q$8:$Q$15,MATCH(8,$AD$8:$AD$15,0))</f>
        <v>Christian Baumann</v>
      </c>
      <c r="D15" s="50" t="str">
        <f>INDEX($R$8:$R$15,MATCH(8,$AD$8:$AD$15,0))</f>
        <v>BAU</v>
      </c>
      <c r="E15" s="51">
        <f>INDEX($S$8:$S$15,MATCH(8,$AD$8:$AD$15,0))</f>
        <v>6</v>
      </c>
      <c r="F15" s="51">
        <f>INDEX($T$8:$T$15,MATCH(8,$AD$8:$AD$15,0))</f>
        <v>1</v>
      </c>
      <c r="G15" s="51">
        <f>INDEX($U$8:$U$15,MATCH(8,$AD$8:$AD$15,0))</f>
        <v>5</v>
      </c>
      <c r="H15" s="51" t="str">
        <f>INDEX($V$8:$V$15,MATCH(8,$AD$8:$AD$15,0))&amp;":"&amp;INDEX($W$8:$W$15,MATCH(8,$AD$8:$AD$15,0))</f>
        <v>7:17</v>
      </c>
      <c r="I15" s="52">
        <f>INDEX($Z$8:$Z$15,MATCH(8,$AD$8:$AD$15,0))</f>
        <v>-10</v>
      </c>
      <c r="J15" s="51" t="str">
        <f>INDEX($X$8:$X$15,MATCH(8,$AD$8:$AD$15,0))&amp;":"&amp;INDEX($Y$8:$Y$15,MATCH(8,$AD$8:$AD$15,0))</f>
        <v>195:241</v>
      </c>
      <c r="K15" s="52">
        <f>INDEX($AA$8:$AA$15,MATCH(8,$AD$8:$AD$15,0))</f>
        <v>-46</v>
      </c>
      <c r="L15" s="53">
        <f>INDEX($AB$8:$AB$15,MATCH(8,$AD$8:$AD$15,0))</f>
        <v>2</v>
      </c>
      <c r="P15">
        <v>8</v>
      </c>
      <c r="Q15" t="str">
        <f>INDEX(Teilnehmer_Namen,8)</f>
        <v>Patrick Winter</v>
      </c>
      <c r="R15" t="str">
        <f>INDEX(Teilnehmer_Kuerzel,8)</f>
        <v>WIN</v>
      </c>
      <c r="S15">
        <f>SUMPRODUCT((SP_HeimNr=8)*SP_Played)+SUMPRODUCT((SP_GastNr=8)*SP_Played)</f>
        <v>6</v>
      </c>
      <c r="T15">
        <f>SUMPRODUCT((SP_HeimNr=8)*(SP_resH="H"))+SUMPRODUCT((SP_GastNr=8)*(SP_resH="G"))</f>
        <v>3</v>
      </c>
      <c r="U15">
        <f t="shared" si="0"/>
        <v>3</v>
      </c>
      <c r="V15">
        <f>SUMPRODUCT((SP_HeimNr=8)*SP_Played*SP_E0)+SUMPRODUCT((SP_GastNr=8)*SP_Played*SP_G0)</f>
        <v>14</v>
      </c>
      <c r="W15">
        <f>SUMPRODUCT((SP_HeimNr=8)*SP_Played*SP_G0)+SUMPRODUCT((SP_GastNr=8)*SP_Played*SP_E0)</f>
        <v>13</v>
      </c>
      <c r="X15">
        <f>SUMPRODUCT((SP_HeimNr=8)*SP_Played*SP_BH0)+SUMPRODUCT((SP_GastNr=8)*SP_Played*SP_BG0)</f>
        <v>251</v>
      </c>
      <c r="Y15">
        <f>SUMPRODUCT((SP_HeimNr=8)*SP_Played*SP_BG0)+SUMPRODUCT((SP_GastNr=8)*SP_Played*SP_BH0)</f>
        <v>250</v>
      </c>
      <c r="Z15">
        <f t="shared" si="1"/>
        <v>1</v>
      </c>
      <c r="AA15">
        <f t="shared" si="2"/>
        <v>1</v>
      </c>
      <c r="AB15">
        <f t="shared" si="3"/>
        <v>6</v>
      </c>
      <c r="AC15">
        <f>AB15*10^11+(Z15+100)*10^7+(AA15+5000)*100+(9-8)</f>
        <v>601010500101</v>
      </c>
      <c r="AD15">
        <f t="shared" si="4"/>
        <v>5</v>
      </c>
    </row>
    <row r="16" spans="2:30" ht="7.5" customHeight="1" x14ac:dyDescent="0.25"/>
    <row r="17" spans="2:12" ht="18.75" customHeight="1" x14ac:dyDescent="0.25">
      <c r="B17" s="12" t="s">
        <v>74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2:12" ht="16.5" customHeight="1" x14ac:dyDescent="0.25">
      <c r="B18" s="59"/>
      <c r="C18" s="60" t="s">
        <v>66</v>
      </c>
      <c r="D18" s="61" t="str">
        <f>INDEX(Teilnehmer_Kuerzel,1)</f>
        <v>BER</v>
      </c>
      <c r="E18" s="61" t="str">
        <f>INDEX(Teilnehmer_Kuerzel,2)</f>
        <v>ROT</v>
      </c>
      <c r="F18" s="61" t="str">
        <f>INDEX(Teilnehmer_Kuerzel,3)</f>
        <v>KRA</v>
      </c>
      <c r="G18" s="61" t="str">
        <f>INDEX(Teilnehmer_Kuerzel,4)</f>
        <v>VOG</v>
      </c>
      <c r="H18" s="61" t="str">
        <f>INDEX(Teilnehmer_Kuerzel,5)</f>
        <v>SOM</v>
      </c>
      <c r="I18" s="61" t="str">
        <f>INDEX(Teilnehmer_Kuerzel,6)</f>
        <v>LEH</v>
      </c>
      <c r="J18" s="61" t="str">
        <f>INDEX(Teilnehmer_Kuerzel,7)</f>
        <v>BAU</v>
      </c>
      <c r="K18" s="61" t="str">
        <f>INDEX(Teilnehmer_Kuerzel,8)</f>
        <v>WIN</v>
      </c>
    </row>
    <row r="19" spans="2:12" ht="15.75" customHeight="1" x14ac:dyDescent="0.25">
      <c r="B19" s="62">
        <v>1</v>
      </c>
      <c r="C19" s="63" t="str">
        <f>INDEX(Teilnehmer_Namen,1)</f>
        <v>Michael Berger</v>
      </c>
      <c r="D19" s="64" t="s">
        <v>75</v>
      </c>
      <c r="E19" s="65" t="str">
        <f>IFERROR(IF(INDEX(SP_Played,MATCH("1-2",SP_Key,0))=1,INDEX(SP_E0,MATCH("1-2",SP_Key,0))&amp;":"&amp;INDEX(SP_G0,MATCH("1-2",SP_Key,0)),"–"),IFERROR(IF(INDEX(SP_Played,MATCH("2-1",SP_Key,0))=1,INDEX(SP_G0,MATCH("2-1",SP_Key,0))&amp;":"&amp;INDEX(SP_E0,MATCH("2-1",SP_Key,0)),"–"),"–"))</f>
        <v>–</v>
      </c>
      <c r="F19" s="65" t="str">
        <f>IFERROR(IF(INDEX(SP_Played,MATCH("1-3",SP_Key,0))=1,INDEX(SP_E0,MATCH("1-3",SP_Key,0))&amp;":"&amp;INDEX(SP_G0,MATCH("1-3",SP_Key,0)),"–"),IFERROR(IF(INDEX(SP_Played,MATCH("3-1",SP_Key,0))=1,INDEX(SP_G0,MATCH("3-1",SP_Key,0))&amp;":"&amp;INDEX(SP_E0,MATCH("3-1",SP_Key,0)),"–"),"–"))</f>
        <v>2:3</v>
      </c>
      <c r="G19" s="65" t="str">
        <f>IFERROR(IF(INDEX(SP_Played,MATCH("1-4",SP_Key,0))=1,INDEX(SP_E0,MATCH("1-4",SP_Key,0))&amp;":"&amp;INDEX(SP_G0,MATCH("1-4",SP_Key,0)),"–"),IFERROR(IF(INDEX(SP_Played,MATCH("4-1",SP_Key,0))=1,INDEX(SP_G0,MATCH("4-1",SP_Key,0))&amp;":"&amp;INDEX(SP_E0,MATCH("4-1",SP_Key,0)),"–"),"–"))</f>
        <v>1:3</v>
      </c>
      <c r="H19" s="65" t="str">
        <f>IFERROR(IF(INDEX(SP_Played,MATCH("1-5",SP_Key,0))=1,INDEX(SP_E0,MATCH("1-5",SP_Key,0))&amp;":"&amp;INDEX(SP_G0,MATCH("1-5",SP_Key,0)),"–"),IFERROR(IF(INDEX(SP_Played,MATCH("5-1",SP_Key,0))=1,INDEX(SP_G0,MATCH("5-1",SP_Key,0))&amp;":"&amp;INDEX(SP_E0,MATCH("5-1",SP_Key,0)),"–"),"–"))</f>
        <v>3:0</v>
      </c>
      <c r="I19" s="65" t="str">
        <f>IFERROR(IF(INDEX(SP_Played,MATCH("1-6",SP_Key,0))=1,INDEX(SP_E0,MATCH("1-6",SP_Key,0))&amp;":"&amp;INDEX(SP_G0,MATCH("1-6",SP_Key,0)),"–"),IFERROR(IF(INDEX(SP_Played,MATCH("6-1",SP_Key,0))=1,INDEX(SP_G0,MATCH("6-1",SP_Key,0))&amp;":"&amp;INDEX(SP_E0,MATCH("6-1",SP_Key,0)),"–"),"–"))</f>
        <v>3:1</v>
      </c>
      <c r="J19" s="65" t="str">
        <f>IFERROR(IF(INDEX(SP_Played,MATCH("1-7",SP_Key,0))=1,INDEX(SP_E0,MATCH("1-7",SP_Key,0))&amp;":"&amp;INDEX(SP_G0,MATCH("1-7",SP_Key,0)),"–"),IFERROR(IF(INDEX(SP_Played,MATCH("7-1",SP_Key,0))=1,INDEX(SP_G0,MATCH("7-1",SP_Key,0))&amp;":"&amp;INDEX(SP_E0,MATCH("7-1",SP_Key,0)),"–"),"–"))</f>
        <v>3:0</v>
      </c>
      <c r="K19" s="65" t="str">
        <f>IFERROR(IF(INDEX(SP_Played,MATCH("1-8",SP_Key,0))=1,INDEX(SP_E0,MATCH("1-8",SP_Key,0))&amp;":"&amp;INDEX(SP_G0,MATCH("1-8",SP_Key,0)),"–"),IFERROR(IF(INDEX(SP_Played,MATCH("8-1",SP_Key,0))=1,INDEX(SP_G0,MATCH("8-1",SP_Key,0))&amp;":"&amp;INDEX(SP_E0,MATCH("8-1",SP_Key,0)),"–"),"–"))</f>
        <v>3:1</v>
      </c>
    </row>
    <row r="20" spans="2:12" ht="15.75" customHeight="1" x14ac:dyDescent="0.25">
      <c r="B20" s="62">
        <v>2</v>
      </c>
      <c r="C20" s="63" t="str">
        <f>INDEX(Teilnehmer_Namen,2)</f>
        <v>Andreas Roth</v>
      </c>
      <c r="D20" s="65" t="str">
        <f>IFERROR(IF(INDEX(SP_Played,MATCH("2-1",SP_Key,0))=1,INDEX(SP_E0,MATCH("2-1",SP_Key,0))&amp;":"&amp;INDEX(SP_G0,MATCH("2-1",SP_Key,0)),"–"),IFERROR(IF(INDEX(SP_Played,MATCH("1-2",SP_Key,0))=1,INDEX(SP_G0,MATCH("1-2",SP_Key,0))&amp;":"&amp;INDEX(SP_E0,MATCH("1-2",SP_Key,0)),"–"),"–"))</f>
        <v>–</v>
      </c>
      <c r="E20" s="64" t="s">
        <v>75</v>
      </c>
      <c r="F20" s="65" t="str">
        <f>IFERROR(IF(INDEX(SP_Played,MATCH("2-3",SP_Key,0))=1,INDEX(SP_E0,MATCH("2-3",SP_Key,0))&amp;":"&amp;INDEX(SP_G0,MATCH("2-3",SP_Key,0)),"–"),IFERROR(IF(INDEX(SP_Played,MATCH("3-2",SP_Key,0))=1,INDEX(SP_G0,MATCH("3-2",SP_Key,0))&amp;":"&amp;INDEX(SP_E0,MATCH("3-2",SP_Key,0)),"–"),"–"))</f>
        <v>2:3</v>
      </c>
      <c r="G20" s="65" t="str">
        <f>IFERROR(IF(INDEX(SP_Played,MATCH("2-4",SP_Key,0))=1,INDEX(SP_E0,MATCH("2-4",SP_Key,0))&amp;":"&amp;INDEX(SP_G0,MATCH("2-4",SP_Key,0)),"–"),IFERROR(IF(INDEX(SP_Played,MATCH("4-2",SP_Key,0))=1,INDEX(SP_G0,MATCH("4-2",SP_Key,0))&amp;":"&amp;INDEX(SP_E0,MATCH("4-2",SP_Key,0)),"–"),"–"))</f>
        <v>3:1</v>
      </c>
      <c r="H20" s="65" t="str">
        <f>IFERROR(IF(INDEX(SP_Played,MATCH("2-5",SP_Key,0))=1,INDEX(SP_E0,MATCH("2-5",SP_Key,0))&amp;":"&amp;INDEX(SP_G0,MATCH("2-5",SP_Key,0)),"–"),IFERROR(IF(INDEX(SP_Played,MATCH("5-2",SP_Key,0))=1,INDEX(SP_G0,MATCH("5-2",SP_Key,0))&amp;":"&amp;INDEX(SP_E0,MATCH("5-2",SP_Key,0)),"–"),"–"))</f>
        <v>2:3</v>
      </c>
      <c r="I20" s="65" t="str">
        <f>IFERROR(IF(INDEX(SP_Played,MATCH("2-6",SP_Key,0))=1,INDEX(SP_E0,MATCH("2-6",SP_Key,0))&amp;":"&amp;INDEX(SP_G0,MATCH("2-6",SP_Key,0)),"–"),IFERROR(IF(INDEX(SP_Played,MATCH("6-2",SP_Key,0))=1,INDEX(SP_G0,MATCH("6-2",SP_Key,0))&amp;":"&amp;INDEX(SP_E0,MATCH("6-2",SP_Key,0)),"–"),"–"))</f>
        <v>1:3</v>
      </c>
      <c r="J20" s="65" t="str">
        <f>IFERROR(IF(INDEX(SP_Played,MATCH("2-7",SP_Key,0))=1,INDEX(SP_E0,MATCH("2-7",SP_Key,0))&amp;":"&amp;INDEX(SP_G0,MATCH("2-7",SP_Key,0)),"–"),IFERROR(IF(INDEX(SP_Played,MATCH("7-2",SP_Key,0))=1,INDEX(SP_G0,MATCH("7-2",SP_Key,0))&amp;":"&amp;INDEX(SP_E0,MATCH("7-2",SP_Key,0)),"–"),"–"))</f>
        <v>3:1</v>
      </c>
      <c r="K20" s="65" t="str">
        <f>IFERROR(IF(INDEX(SP_Played,MATCH("2-8",SP_Key,0))=1,INDEX(SP_E0,MATCH("2-8",SP_Key,0))&amp;":"&amp;INDEX(SP_G0,MATCH("2-8",SP_Key,0)),"–"),IFERROR(IF(INDEX(SP_Played,MATCH("8-2",SP_Key,0))=1,INDEX(SP_G0,MATCH("8-2",SP_Key,0))&amp;":"&amp;INDEX(SP_E0,MATCH("8-2",SP_Key,0)),"–"),"–"))</f>
        <v>3:2</v>
      </c>
    </row>
    <row r="21" spans="2:12" ht="15.75" customHeight="1" x14ac:dyDescent="0.25">
      <c r="B21" s="62">
        <v>3</v>
      </c>
      <c r="C21" s="63" t="str">
        <f>INDEX(Teilnehmer_Namen,3)</f>
        <v>Stefan Krause</v>
      </c>
      <c r="D21" s="65" t="str">
        <f>IFERROR(IF(INDEX(SP_Played,MATCH("3-1",SP_Key,0))=1,INDEX(SP_E0,MATCH("3-1",SP_Key,0))&amp;":"&amp;INDEX(SP_G0,MATCH("3-1",SP_Key,0)),"–"),IFERROR(IF(INDEX(SP_Played,MATCH("1-3",SP_Key,0))=1,INDEX(SP_G0,MATCH("1-3",SP_Key,0))&amp;":"&amp;INDEX(SP_E0,MATCH("1-3",SP_Key,0)),"–"),"–"))</f>
        <v>3:2</v>
      </c>
      <c r="E21" s="65" t="str">
        <f>IFERROR(IF(INDEX(SP_Played,MATCH("3-2",SP_Key,0))=1,INDEX(SP_E0,MATCH("3-2",SP_Key,0))&amp;":"&amp;INDEX(SP_G0,MATCH("3-2",SP_Key,0)),"–"),IFERROR(IF(INDEX(SP_Played,MATCH("2-3",SP_Key,0))=1,INDEX(SP_G0,MATCH("2-3",SP_Key,0))&amp;":"&amp;INDEX(SP_E0,MATCH("2-3",SP_Key,0)),"–"),"–"))</f>
        <v>3:2</v>
      </c>
      <c r="F21" s="64" t="s">
        <v>75</v>
      </c>
      <c r="G21" s="65" t="str">
        <f>IFERROR(IF(INDEX(SP_Played,MATCH("3-4",SP_Key,0))=1,INDEX(SP_E0,MATCH("3-4",SP_Key,0))&amp;":"&amp;INDEX(SP_G0,MATCH("3-4",SP_Key,0)),"–"),IFERROR(IF(INDEX(SP_Played,MATCH("4-3",SP_Key,0))=1,INDEX(SP_G0,MATCH("4-3",SP_Key,0))&amp;":"&amp;INDEX(SP_E0,MATCH("4-3",SP_Key,0)),"–"),"–"))</f>
        <v>3:1</v>
      </c>
      <c r="H21" s="65" t="str">
        <f>IFERROR(IF(INDEX(SP_Played,MATCH("3-5",SP_Key,0))=1,INDEX(SP_E0,MATCH("3-5",SP_Key,0))&amp;":"&amp;INDEX(SP_G0,MATCH("3-5",SP_Key,0)),"–"),IFERROR(IF(INDEX(SP_Played,MATCH("5-3",SP_Key,0))=1,INDEX(SP_G0,MATCH("5-3",SP_Key,0))&amp;":"&amp;INDEX(SP_E0,MATCH("5-3",SP_Key,0)),"–"),"–"))</f>
        <v>3:0</v>
      </c>
      <c r="I21" s="65" t="str">
        <f>IFERROR(IF(INDEX(SP_Played,MATCH("3-6",SP_Key,0))=1,INDEX(SP_E0,MATCH("3-6",SP_Key,0))&amp;":"&amp;INDEX(SP_G0,MATCH("3-6",SP_Key,0)),"–"),IFERROR(IF(INDEX(SP_Played,MATCH("6-3",SP_Key,0))=1,INDEX(SP_G0,MATCH("6-3",SP_Key,0))&amp;":"&amp;INDEX(SP_E0,MATCH("6-3",SP_Key,0)),"–"),"–"))</f>
        <v>3:1</v>
      </c>
      <c r="J21" s="65" t="str">
        <f>IFERROR(IF(INDEX(SP_Played,MATCH("3-7",SP_Key,0))=1,INDEX(SP_E0,MATCH("3-7",SP_Key,0))&amp;":"&amp;INDEX(SP_G0,MATCH("3-7",SP_Key,0)),"–"),IFERROR(IF(INDEX(SP_Played,MATCH("7-3",SP_Key,0))=1,INDEX(SP_G0,MATCH("7-3",SP_Key,0))&amp;":"&amp;INDEX(SP_E0,MATCH("7-3",SP_Key,0)),"–"),"–"))</f>
        <v>3:1</v>
      </c>
      <c r="K21" s="65" t="str">
        <f>IFERROR(IF(INDEX(SP_Played,MATCH("3-8",SP_Key,0))=1,INDEX(SP_E0,MATCH("3-8",SP_Key,0))&amp;":"&amp;INDEX(SP_G0,MATCH("3-8",SP_Key,0)),"–"),IFERROR(IF(INDEX(SP_Played,MATCH("8-3",SP_Key,0))=1,INDEX(SP_G0,MATCH("8-3",SP_Key,0))&amp;":"&amp;INDEX(SP_E0,MATCH("8-3",SP_Key,0)),"–"),"–"))</f>
        <v>–</v>
      </c>
    </row>
    <row r="22" spans="2:12" ht="15.75" customHeight="1" x14ac:dyDescent="0.25">
      <c r="B22" s="62">
        <v>4</v>
      </c>
      <c r="C22" s="63" t="str">
        <f>INDEX(Teilnehmer_Namen,4)</f>
        <v>Thomas Vogel</v>
      </c>
      <c r="D22" s="65" t="str">
        <f>IFERROR(IF(INDEX(SP_Played,MATCH("4-1",SP_Key,0))=1,INDEX(SP_E0,MATCH("4-1",SP_Key,0))&amp;":"&amp;INDEX(SP_G0,MATCH("4-1",SP_Key,0)),"–"),IFERROR(IF(INDEX(SP_Played,MATCH("1-4",SP_Key,0))=1,INDEX(SP_G0,MATCH("1-4",SP_Key,0))&amp;":"&amp;INDEX(SP_E0,MATCH("1-4",SP_Key,0)),"–"),"–"))</f>
        <v>3:1</v>
      </c>
      <c r="E22" s="65" t="str">
        <f>IFERROR(IF(INDEX(SP_Played,MATCH("4-2",SP_Key,0))=1,INDEX(SP_E0,MATCH("4-2",SP_Key,0))&amp;":"&amp;INDEX(SP_G0,MATCH("4-2",SP_Key,0)),"–"),IFERROR(IF(INDEX(SP_Played,MATCH("2-4",SP_Key,0))=1,INDEX(SP_G0,MATCH("2-4",SP_Key,0))&amp;":"&amp;INDEX(SP_E0,MATCH("2-4",SP_Key,0)),"–"),"–"))</f>
        <v>1:3</v>
      </c>
      <c r="F22" s="65" t="str">
        <f>IFERROR(IF(INDEX(SP_Played,MATCH("4-3",SP_Key,0))=1,INDEX(SP_E0,MATCH("4-3",SP_Key,0))&amp;":"&amp;INDEX(SP_G0,MATCH("4-3",SP_Key,0)),"–"),IFERROR(IF(INDEX(SP_Played,MATCH("3-4",SP_Key,0))=1,INDEX(SP_G0,MATCH("3-4",SP_Key,0))&amp;":"&amp;INDEX(SP_E0,MATCH("3-4",SP_Key,0)),"–"),"–"))</f>
        <v>1:3</v>
      </c>
      <c r="G22" s="64" t="s">
        <v>75</v>
      </c>
      <c r="H22" s="65" t="str">
        <f>IFERROR(IF(INDEX(SP_Played,MATCH("4-5",SP_Key,0))=1,INDEX(SP_E0,MATCH("4-5",SP_Key,0))&amp;":"&amp;INDEX(SP_G0,MATCH("4-5",SP_Key,0)),"–"),IFERROR(IF(INDEX(SP_Played,MATCH("5-4",SP_Key,0))=1,INDEX(SP_G0,MATCH("5-4",SP_Key,0))&amp;":"&amp;INDEX(SP_E0,MATCH("5-4",SP_Key,0)),"–"),"–"))</f>
        <v>3:2</v>
      </c>
      <c r="I22" s="65" t="str">
        <f>IFERROR(IF(INDEX(SP_Played,MATCH("4-6",SP_Key,0))=1,INDEX(SP_E0,MATCH("4-6",SP_Key,0))&amp;":"&amp;INDEX(SP_G0,MATCH("4-6",SP_Key,0)),"–"),IFERROR(IF(INDEX(SP_Played,MATCH("6-4",SP_Key,0))=1,INDEX(SP_G0,MATCH("6-4",SP_Key,0))&amp;":"&amp;INDEX(SP_E0,MATCH("6-4",SP_Key,0)),"–"),"–"))</f>
        <v>1:3</v>
      </c>
      <c r="J22" s="65" t="str">
        <f>IFERROR(IF(INDEX(SP_Played,MATCH("4-7",SP_Key,0))=1,INDEX(SP_E0,MATCH("4-7",SP_Key,0))&amp;":"&amp;INDEX(SP_G0,MATCH("4-7",SP_Key,0)),"–"),IFERROR(IF(INDEX(SP_Played,MATCH("7-4",SP_Key,0))=1,INDEX(SP_G0,MATCH("7-4",SP_Key,0))&amp;":"&amp;INDEX(SP_E0,MATCH("7-4",SP_Key,0)),"–"),"–"))</f>
        <v>–</v>
      </c>
      <c r="K22" s="65" t="str">
        <f>IFERROR(IF(INDEX(SP_Played,MATCH("4-8",SP_Key,0))=1,INDEX(SP_E0,MATCH("4-8",SP_Key,0))&amp;":"&amp;INDEX(SP_G0,MATCH("4-8",SP_Key,0)),"–"),IFERROR(IF(INDEX(SP_Played,MATCH("8-4",SP_Key,0))=1,INDEX(SP_G0,MATCH("8-4",SP_Key,0))&amp;":"&amp;INDEX(SP_E0,MATCH("8-4",SP_Key,0)),"–"),"–"))</f>
        <v>1:3</v>
      </c>
    </row>
    <row r="23" spans="2:12" ht="15.75" customHeight="1" x14ac:dyDescent="0.25">
      <c r="B23" s="62">
        <v>5</v>
      </c>
      <c r="C23" s="63" t="str">
        <f>INDEX(Teilnehmer_Namen,5)</f>
        <v>Daniel Sommer</v>
      </c>
      <c r="D23" s="65" t="str">
        <f>IFERROR(IF(INDEX(SP_Played,MATCH("5-1",SP_Key,0))=1,INDEX(SP_E0,MATCH("5-1",SP_Key,0))&amp;":"&amp;INDEX(SP_G0,MATCH("5-1",SP_Key,0)),"–"),IFERROR(IF(INDEX(SP_Played,MATCH("1-5",SP_Key,0))=1,INDEX(SP_G0,MATCH("1-5",SP_Key,0))&amp;":"&amp;INDEX(SP_E0,MATCH("1-5",SP_Key,0)),"–"),"–"))</f>
        <v>0:3</v>
      </c>
      <c r="E23" s="65" t="str">
        <f>IFERROR(IF(INDEX(SP_Played,MATCH("5-2",SP_Key,0))=1,INDEX(SP_E0,MATCH("5-2",SP_Key,0))&amp;":"&amp;INDEX(SP_G0,MATCH("5-2",SP_Key,0)),"–"),IFERROR(IF(INDEX(SP_Played,MATCH("2-5",SP_Key,0))=1,INDEX(SP_G0,MATCH("2-5",SP_Key,0))&amp;":"&amp;INDEX(SP_E0,MATCH("2-5",SP_Key,0)),"–"),"–"))</f>
        <v>3:2</v>
      </c>
      <c r="F23" s="65" t="str">
        <f>IFERROR(IF(INDEX(SP_Played,MATCH("5-3",SP_Key,0))=1,INDEX(SP_E0,MATCH("5-3",SP_Key,0))&amp;":"&amp;INDEX(SP_G0,MATCH("5-3",SP_Key,0)),"–"),IFERROR(IF(INDEX(SP_Played,MATCH("3-5",SP_Key,0))=1,INDEX(SP_G0,MATCH("3-5",SP_Key,0))&amp;":"&amp;INDEX(SP_E0,MATCH("3-5",SP_Key,0)),"–"),"–"))</f>
        <v>0:3</v>
      </c>
      <c r="G23" s="65" t="str">
        <f>IFERROR(IF(INDEX(SP_Played,MATCH("5-4",SP_Key,0))=1,INDEX(SP_E0,MATCH("5-4",SP_Key,0))&amp;":"&amp;INDEX(SP_G0,MATCH("5-4",SP_Key,0)),"–"),IFERROR(IF(INDEX(SP_Played,MATCH("4-5",SP_Key,0))=1,INDEX(SP_G0,MATCH("4-5",SP_Key,0))&amp;":"&amp;INDEX(SP_E0,MATCH("4-5",SP_Key,0)),"–"),"–"))</f>
        <v>2:3</v>
      </c>
      <c r="H23" s="64" t="s">
        <v>75</v>
      </c>
      <c r="I23" s="65" t="str">
        <f>IFERROR(IF(INDEX(SP_Played,MATCH("5-6",SP_Key,0))=1,INDEX(SP_E0,MATCH("5-6",SP_Key,0))&amp;":"&amp;INDEX(SP_G0,MATCH("5-6",SP_Key,0)),"–"),IFERROR(IF(INDEX(SP_Played,MATCH("6-5",SP_Key,0))=1,INDEX(SP_G0,MATCH("6-5",SP_Key,0))&amp;":"&amp;INDEX(SP_E0,MATCH("6-5",SP_Key,0)),"–"),"–"))</f>
        <v>–</v>
      </c>
      <c r="J23" s="65" t="str">
        <f>IFERROR(IF(INDEX(SP_Played,MATCH("5-7",SP_Key,0))=1,INDEX(SP_E0,MATCH("5-7",SP_Key,0))&amp;":"&amp;INDEX(SP_G0,MATCH("5-7",SP_Key,0)),"–"),IFERROR(IF(INDEX(SP_Played,MATCH("7-5",SP_Key,0))=1,INDEX(SP_G0,MATCH("7-5",SP_Key,0))&amp;":"&amp;INDEX(SP_E0,MATCH("7-5",SP_Key,0)),"–"),"–"))</f>
        <v>2:3</v>
      </c>
      <c r="K23" s="65" t="str">
        <f>IFERROR(IF(INDEX(SP_Played,MATCH("5-8",SP_Key,0))=1,INDEX(SP_E0,MATCH("5-8",SP_Key,0))&amp;":"&amp;INDEX(SP_G0,MATCH("5-8",SP_Key,0)),"–"),IFERROR(IF(INDEX(SP_Played,MATCH("8-5",SP_Key,0))=1,INDEX(SP_G0,MATCH("8-5",SP_Key,0))&amp;":"&amp;INDEX(SP_E0,MATCH("8-5",SP_Key,0)),"–"),"–"))</f>
        <v>2:3</v>
      </c>
    </row>
    <row r="24" spans="2:12" ht="15.75" customHeight="1" x14ac:dyDescent="0.25">
      <c r="B24" s="62">
        <v>6</v>
      </c>
      <c r="C24" s="63" t="str">
        <f>INDEX(Teilnehmer_Namen,6)</f>
        <v>Markus Lehmann</v>
      </c>
      <c r="D24" s="65" t="str">
        <f>IFERROR(IF(INDEX(SP_Played,MATCH("6-1",SP_Key,0))=1,INDEX(SP_E0,MATCH("6-1",SP_Key,0))&amp;":"&amp;INDEX(SP_G0,MATCH("6-1",SP_Key,0)),"–"),IFERROR(IF(INDEX(SP_Played,MATCH("1-6",SP_Key,0))=1,INDEX(SP_G0,MATCH("1-6",SP_Key,0))&amp;":"&amp;INDEX(SP_E0,MATCH("1-6",SP_Key,0)),"–"),"–"))</f>
        <v>1:3</v>
      </c>
      <c r="E24" s="65" t="str">
        <f>IFERROR(IF(INDEX(SP_Played,MATCH("6-2",SP_Key,0))=1,INDEX(SP_E0,MATCH("6-2",SP_Key,0))&amp;":"&amp;INDEX(SP_G0,MATCH("6-2",SP_Key,0)),"–"),IFERROR(IF(INDEX(SP_Played,MATCH("2-6",SP_Key,0))=1,INDEX(SP_G0,MATCH("2-6",SP_Key,0))&amp;":"&amp;INDEX(SP_E0,MATCH("2-6",SP_Key,0)),"–"),"–"))</f>
        <v>3:1</v>
      </c>
      <c r="F24" s="65" t="str">
        <f>IFERROR(IF(INDEX(SP_Played,MATCH("6-3",SP_Key,0))=1,INDEX(SP_E0,MATCH("6-3",SP_Key,0))&amp;":"&amp;INDEX(SP_G0,MATCH("6-3",SP_Key,0)),"–"),IFERROR(IF(INDEX(SP_Played,MATCH("3-6",SP_Key,0))=1,INDEX(SP_G0,MATCH("3-6",SP_Key,0))&amp;":"&amp;INDEX(SP_E0,MATCH("3-6",SP_Key,0)),"–"),"–"))</f>
        <v>1:3</v>
      </c>
      <c r="G24" s="65" t="str">
        <f>IFERROR(IF(INDEX(SP_Played,MATCH("6-4",SP_Key,0))=1,INDEX(SP_E0,MATCH("6-4",SP_Key,0))&amp;":"&amp;INDEX(SP_G0,MATCH("6-4",SP_Key,0)),"–"),IFERROR(IF(INDEX(SP_Played,MATCH("4-6",SP_Key,0))=1,INDEX(SP_G0,MATCH("4-6",SP_Key,0))&amp;":"&amp;INDEX(SP_E0,MATCH("4-6",SP_Key,0)),"–"),"–"))</f>
        <v>3:1</v>
      </c>
      <c r="H24" s="65" t="str">
        <f>IFERROR(IF(INDEX(SP_Played,MATCH("6-5",SP_Key,0))=1,INDEX(SP_E0,MATCH("6-5",SP_Key,0))&amp;":"&amp;INDEX(SP_G0,MATCH("6-5",SP_Key,0)),"–"),IFERROR(IF(INDEX(SP_Played,MATCH("5-6",SP_Key,0))=1,INDEX(SP_G0,MATCH("5-6",SP_Key,0))&amp;":"&amp;INDEX(SP_E0,MATCH("5-6",SP_Key,0)),"–"),"–"))</f>
        <v>–</v>
      </c>
      <c r="I24" s="64" t="s">
        <v>75</v>
      </c>
      <c r="J24" s="65" t="str">
        <f>IFERROR(IF(INDEX(SP_Played,MATCH("6-7",SP_Key,0))=1,INDEX(SP_E0,MATCH("6-7",SP_Key,0))&amp;":"&amp;INDEX(SP_G0,MATCH("6-7",SP_Key,0)),"–"),IFERROR(IF(INDEX(SP_Played,MATCH("7-6",SP_Key,0))=1,INDEX(SP_G0,MATCH("7-6",SP_Key,0))&amp;":"&amp;INDEX(SP_E0,MATCH("7-6",SP_Key,0)),"–"),"–"))</f>
        <v>3:1</v>
      </c>
      <c r="K24" s="65" t="str">
        <f>IFERROR(IF(INDEX(SP_Played,MATCH("6-8",SP_Key,0))=1,INDEX(SP_E0,MATCH("6-8",SP_Key,0))&amp;":"&amp;INDEX(SP_G0,MATCH("6-8",SP_Key,0)),"–"),IFERROR(IF(INDEX(SP_Played,MATCH("8-6",SP_Key,0))=1,INDEX(SP_G0,MATCH("8-6",SP_Key,0))&amp;":"&amp;INDEX(SP_E0,MATCH("8-6",SP_Key,0)),"–"),"–"))</f>
        <v>3:2</v>
      </c>
    </row>
    <row r="25" spans="2:12" ht="15.75" customHeight="1" x14ac:dyDescent="0.25">
      <c r="B25" s="62">
        <v>7</v>
      </c>
      <c r="C25" s="63" t="str">
        <f>INDEX(Teilnehmer_Namen,7)</f>
        <v>Christian Baumann</v>
      </c>
      <c r="D25" s="65" t="str">
        <f>IFERROR(IF(INDEX(SP_Played,MATCH("7-1",SP_Key,0))=1,INDEX(SP_E0,MATCH("7-1",SP_Key,0))&amp;":"&amp;INDEX(SP_G0,MATCH("7-1",SP_Key,0)),"–"),IFERROR(IF(INDEX(SP_Played,MATCH("1-7",SP_Key,0))=1,INDEX(SP_G0,MATCH("1-7",SP_Key,0))&amp;":"&amp;INDEX(SP_E0,MATCH("1-7",SP_Key,0)),"–"),"–"))</f>
        <v>0:3</v>
      </c>
      <c r="E25" s="65" t="str">
        <f>IFERROR(IF(INDEX(SP_Played,MATCH("7-2",SP_Key,0))=1,INDEX(SP_E0,MATCH("7-2",SP_Key,0))&amp;":"&amp;INDEX(SP_G0,MATCH("7-2",SP_Key,0)),"–"),IFERROR(IF(INDEX(SP_Played,MATCH("2-7",SP_Key,0))=1,INDEX(SP_G0,MATCH("2-7",SP_Key,0))&amp;":"&amp;INDEX(SP_E0,MATCH("2-7",SP_Key,0)),"–"),"–"))</f>
        <v>1:3</v>
      </c>
      <c r="F25" s="65" t="str">
        <f>IFERROR(IF(INDEX(SP_Played,MATCH("7-3",SP_Key,0))=1,INDEX(SP_E0,MATCH("7-3",SP_Key,0))&amp;":"&amp;INDEX(SP_G0,MATCH("7-3",SP_Key,0)),"–"),IFERROR(IF(INDEX(SP_Played,MATCH("3-7",SP_Key,0))=1,INDEX(SP_G0,MATCH("3-7",SP_Key,0))&amp;":"&amp;INDEX(SP_E0,MATCH("3-7",SP_Key,0)),"–"),"–"))</f>
        <v>1:3</v>
      </c>
      <c r="G25" s="65" t="str">
        <f>IFERROR(IF(INDEX(SP_Played,MATCH("7-4",SP_Key,0))=1,INDEX(SP_E0,MATCH("7-4",SP_Key,0))&amp;":"&amp;INDEX(SP_G0,MATCH("7-4",SP_Key,0)),"–"),IFERROR(IF(INDEX(SP_Played,MATCH("4-7",SP_Key,0))=1,INDEX(SP_G0,MATCH("4-7",SP_Key,0))&amp;":"&amp;INDEX(SP_E0,MATCH("4-7",SP_Key,0)),"–"),"–"))</f>
        <v>–</v>
      </c>
      <c r="H25" s="65" t="str">
        <f>IFERROR(IF(INDEX(SP_Played,MATCH("7-5",SP_Key,0))=1,INDEX(SP_E0,MATCH("7-5",SP_Key,0))&amp;":"&amp;INDEX(SP_G0,MATCH("7-5",SP_Key,0)),"–"),IFERROR(IF(INDEX(SP_Played,MATCH("5-7",SP_Key,0))=1,INDEX(SP_G0,MATCH("5-7",SP_Key,0))&amp;":"&amp;INDEX(SP_E0,MATCH("5-7",SP_Key,0)),"–"),"–"))</f>
        <v>3:2</v>
      </c>
      <c r="I25" s="65" t="str">
        <f>IFERROR(IF(INDEX(SP_Played,MATCH("7-6",SP_Key,0))=1,INDEX(SP_E0,MATCH("7-6",SP_Key,0))&amp;":"&amp;INDEX(SP_G0,MATCH("7-6",SP_Key,0)),"–"),IFERROR(IF(INDEX(SP_Played,MATCH("6-7",SP_Key,0))=1,INDEX(SP_G0,MATCH("6-7",SP_Key,0))&amp;":"&amp;INDEX(SP_E0,MATCH("6-7",SP_Key,0)),"–"),"–"))</f>
        <v>1:3</v>
      </c>
      <c r="J25" s="64" t="s">
        <v>75</v>
      </c>
      <c r="K25" s="65" t="str">
        <f>IFERROR(IF(INDEX(SP_Played,MATCH("7-8",SP_Key,0))=1,INDEX(SP_E0,MATCH("7-8",SP_Key,0))&amp;":"&amp;INDEX(SP_G0,MATCH("7-8",SP_Key,0)),"–"),IFERROR(IF(INDEX(SP_Played,MATCH("8-7",SP_Key,0))=1,INDEX(SP_G0,MATCH("8-7",SP_Key,0))&amp;":"&amp;INDEX(SP_E0,MATCH("8-7",SP_Key,0)),"–"),"–"))</f>
        <v>1:3</v>
      </c>
    </row>
    <row r="26" spans="2:12" ht="15.75" customHeight="1" x14ac:dyDescent="0.25">
      <c r="B26" s="62">
        <v>8</v>
      </c>
      <c r="C26" s="63" t="str">
        <f>INDEX(Teilnehmer_Namen,8)</f>
        <v>Patrick Winter</v>
      </c>
      <c r="D26" s="65" t="str">
        <f>IFERROR(IF(INDEX(SP_Played,MATCH("8-1",SP_Key,0))=1,INDEX(SP_E0,MATCH("8-1",SP_Key,0))&amp;":"&amp;INDEX(SP_G0,MATCH("8-1",SP_Key,0)),"–"),IFERROR(IF(INDEX(SP_Played,MATCH("1-8",SP_Key,0))=1,INDEX(SP_G0,MATCH("1-8",SP_Key,0))&amp;":"&amp;INDEX(SP_E0,MATCH("1-8",SP_Key,0)),"–"),"–"))</f>
        <v>1:3</v>
      </c>
      <c r="E26" s="65" t="str">
        <f>IFERROR(IF(INDEX(SP_Played,MATCH("8-2",SP_Key,0))=1,INDEX(SP_E0,MATCH("8-2",SP_Key,0))&amp;":"&amp;INDEX(SP_G0,MATCH("8-2",SP_Key,0)),"–"),IFERROR(IF(INDEX(SP_Played,MATCH("2-8",SP_Key,0))=1,INDEX(SP_G0,MATCH("2-8",SP_Key,0))&amp;":"&amp;INDEX(SP_E0,MATCH("2-8",SP_Key,0)),"–"),"–"))</f>
        <v>2:3</v>
      </c>
      <c r="F26" s="65" t="str">
        <f>IFERROR(IF(INDEX(SP_Played,MATCH("8-3",SP_Key,0))=1,INDEX(SP_E0,MATCH("8-3",SP_Key,0))&amp;":"&amp;INDEX(SP_G0,MATCH("8-3",SP_Key,0)),"–"),IFERROR(IF(INDEX(SP_Played,MATCH("3-8",SP_Key,0))=1,INDEX(SP_G0,MATCH("3-8",SP_Key,0))&amp;":"&amp;INDEX(SP_E0,MATCH("3-8",SP_Key,0)),"–"),"–"))</f>
        <v>–</v>
      </c>
      <c r="G26" s="65" t="str">
        <f>IFERROR(IF(INDEX(SP_Played,MATCH("8-4",SP_Key,0))=1,INDEX(SP_E0,MATCH("8-4",SP_Key,0))&amp;":"&amp;INDEX(SP_G0,MATCH("8-4",SP_Key,0)),"–"),IFERROR(IF(INDEX(SP_Played,MATCH("4-8",SP_Key,0))=1,INDEX(SP_G0,MATCH("4-8",SP_Key,0))&amp;":"&amp;INDEX(SP_E0,MATCH("4-8",SP_Key,0)),"–"),"–"))</f>
        <v>3:1</v>
      </c>
      <c r="H26" s="65" t="str">
        <f>IFERROR(IF(INDEX(SP_Played,MATCH("8-5",SP_Key,0))=1,INDEX(SP_E0,MATCH("8-5",SP_Key,0))&amp;":"&amp;INDEX(SP_G0,MATCH("8-5",SP_Key,0)),"–"),IFERROR(IF(INDEX(SP_Played,MATCH("5-8",SP_Key,0))=1,INDEX(SP_G0,MATCH("5-8",SP_Key,0))&amp;":"&amp;INDEX(SP_E0,MATCH("5-8",SP_Key,0)),"–"),"–"))</f>
        <v>3:2</v>
      </c>
      <c r="I26" s="65" t="str">
        <f>IFERROR(IF(INDEX(SP_Played,MATCH("8-6",SP_Key,0))=1,INDEX(SP_E0,MATCH("8-6",SP_Key,0))&amp;":"&amp;INDEX(SP_G0,MATCH("8-6",SP_Key,0)),"–"),IFERROR(IF(INDEX(SP_Played,MATCH("6-8",SP_Key,0))=1,INDEX(SP_G0,MATCH("6-8",SP_Key,0))&amp;":"&amp;INDEX(SP_E0,MATCH("6-8",SP_Key,0)),"–"),"–"))</f>
        <v>2:3</v>
      </c>
      <c r="J26" s="65" t="str">
        <f>IFERROR(IF(INDEX(SP_Played,MATCH("8-7",SP_Key,0))=1,INDEX(SP_E0,MATCH("8-7",SP_Key,0))&amp;":"&amp;INDEX(SP_G0,MATCH("8-7",SP_Key,0)),"–"),IFERROR(IF(INDEX(SP_Played,MATCH("7-8",SP_Key,0))=1,INDEX(SP_G0,MATCH("7-8",SP_Key,0))&amp;":"&amp;INDEX(SP_E0,MATCH("7-8",SP_Key,0)),"–"),"–"))</f>
        <v>3:1</v>
      </c>
      <c r="K26" s="64" t="s">
        <v>75</v>
      </c>
    </row>
    <row r="27" spans="2:12" ht="7.5" customHeight="1" x14ac:dyDescent="0.25"/>
    <row r="28" spans="2:12" ht="16.5" customHeight="1" x14ac:dyDescent="0.25">
      <c r="B28" s="71" t="s">
        <v>76</v>
      </c>
      <c r="C28" s="71"/>
      <c r="D28" s="71"/>
      <c r="E28" s="71"/>
      <c r="F28" s="71"/>
      <c r="G28" s="71"/>
      <c r="H28" s="71"/>
      <c r="I28" s="71"/>
      <c r="J28" s="71"/>
      <c r="K28" s="71"/>
      <c r="L28" s="71"/>
    </row>
    <row r="29" spans="2:12" ht="24" customHeight="1" x14ac:dyDescent="0.25">
      <c r="B29" s="72" t="s">
        <v>77</v>
      </c>
      <c r="C29" s="72"/>
      <c r="D29" s="72"/>
      <c r="E29" s="72"/>
      <c r="F29" s="72"/>
      <c r="G29" s="72"/>
      <c r="H29" s="72"/>
      <c r="I29" s="72"/>
      <c r="J29" s="72"/>
      <c r="K29" s="72"/>
      <c r="L29" s="72"/>
    </row>
    <row r="30" spans="2:12" ht="24" customHeight="1" x14ac:dyDescent="0.25">
      <c r="B30" s="72" t="s">
        <v>78</v>
      </c>
      <c r="C30" s="72"/>
      <c r="D30" s="72"/>
      <c r="E30" s="72"/>
      <c r="F30" s="72"/>
      <c r="G30" s="72"/>
      <c r="H30" s="72"/>
      <c r="I30" s="72"/>
      <c r="J30" s="72"/>
      <c r="K30" s="72"/>
      <c r="L30" s="72"/>
    </row>
    <row r="31" spans="2:12" ht="24" customHeight="1" x14ac:dyDescent="0.25">
      <c r="B31" s="72" t="s">
        <v>79</v>
      </c>
      <c r="C31" s="72"/>
      <c r="D31" s="72"/>
      <c r="E31" s="72"/>
      <c r="F31" s="72"/>
      <c r="G31" s="72"/>
      <c r="H31" s="72"/>
      <c r="I31" s="72"/>
      <c r="J31" s="72"/>
      <c r="K31" s="72"/>
      <c r="L31" s="72"/>
    </row>
    <row r="32" spans="2:12" ht="24" customHeight="1" x14ac:dyDescent="0.25">
      <c r="B32" s="72" t="s">
        <v>80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</row>
  </sheetData>
  <mergeCells count="9">
    <mergeCell ref="B29:L29"/>
    <mergeCell ref="B30:L30"/>
    <mergeCell ref="B31:L31"/>
    <mergeCell ref="B32:L32"/>
    <mergeCell ref="B2:L2"/>
    <mergeCell ref="B3:L3"/>
    <mergeCell ref="B5:L5"/>
    <mergeCell ref="B17:L17"/>
    <mergeCell ref="B28:L28"/>
  </mergeCells>
  <conditionalFormatting sqref="L8:L15">
    <cfRule type="dataBar" priority="2">
      <dataBar>
        <cfvo type="num" val="0"/>
        <cfvo type="num" val="14"/>
        <color rgb="FF2E5AA8"/>
      </dataBar>
      <extLst>
        <ext xmlns:x14="http://schemas.microsoft.com/office/spreadsheetml/2009/9/main" uri="{B025F937-C7B1-47D3-B67F-A62EFF666E3E}">
          <x14:id>{AD5CCCF1-C180-4026-BA7A-6395BDCBCE41}</x14:id>
        </ext>
      </extLst>
    </cfRule>
  </conditionalFormatting>
  <pageMargins left="0.3" right="0.3" top="0.4" bottom="0.4" header="0.511811023622047" footer="0.511811023622047"/>
  <pageSetup paperSize="9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D5CCCF1-C180-4026-BA7A-6395BDCBCE41}">
            <x14:dataBar axisPosition="none">
              <x14:cfvo type="num">
                <xm:f>0</xm:f>
              </x14:cfvo>
              <x14:cfvo type="num">
                <xm:f>14</xm:f>
              </x14:cfvo>
              <x14:negativeFillColor rgb="FF2E5AA8"/>
            </x14:dataBar>
          </x14:cfRule>
          <xm:sqref>L8:L15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15</vt:i4>
      </vt:variant>
    </vt:vector>
  </HeadingPairs>
  <TitlesOfParts>
    <vt:vector size="17" baseType="lpstr">
      <vt:lpstr>Spielplan</vt:lpstr>
      <vt:lpstr>Tabelle</vt:lpstr>
      <vt:lpstr>Spielplan!Drucktitel</vt:lpstr>
      <vt:lpstr>Gewinnsaetze</vt:lpstr>
      <vt:lpstr>Punkte_Nieder</vt:lpstr>
      <vt:lpstr>Punkte_Sieg</vt:lpstr>
      <vt:lpstr>SP_BG0</vt:lpstr>
      <vt:lpstr>SP_BH0</vt:lpstr>
      <vt:lpstr>SP_E0</vt:lpstr>
      <vt:lpstr>SP_G0</vt:lpstr>
      <vt:lpstr>SP_GastNr</vt:lpstr>
      <vt:lpstr>SP_HeimNr</vt:lpstr>
      <vt:lpstr>SP_Key</vt:lpstr>
      <vt:lpstr>SP_Played</vt:lpstr>
      <vt:lpstr>SP_resH</vt:lpstr>
      <vt:lpstr>Teilnehmer_Kuerzel</vt:lpstr>
      <vt:lpstr>Teilnehmer_Namen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2026-08-11T15:35:58Z</dcterms:created>
  <dcterms:modified xsi:type="dcterms:W3CDTF">2026-08-12T06:37:02Z</dcterms:modified>
  <dc:language>en-US</dc:language>
</cp:coreProperties>
</file>