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senabrechnung" sheetId="1" state="visible" r:id="rId3"/>
    <sheet name="Auswertung" sheetId="2" state="visible" r:id="rId4"/>
    <sheet name="Listen" sheetId="3" state="visible" r:id="rId5"/>
  </sheets>
  <definedNames>
    <definedName function="false" hidden="false" localSheetId="0" name="_xlnm.Print_Area" vbProcedure="false">Spesenabrechnung!$A$1:$N$76</definedName>
    <definedName function="false" hidden="false" name="AbwListe" vbProcedure="false">Listen!$H$3:$H$6</definedName>
    <definedName function="false" hidden="false" name="BelegJN" vbProcedure="false">Listen!$D$3:$D$4</definedName>
    <definedName function="false" hidden="false" name="ErstattProz" vbProcedure="false">Listen!$F$3:$F$5</definedName>
    <definedName function="false" hidden="false" name="JaNein" vbProcedure="false">Listen!$I$3:$I$4</definedName>
    <definedName function="false" hidden="false" name="Kostenarten" vbProcedure="false">Listen!$B$3:$B$11</definedName>
    <definedName function="false" hidden="false" name="Kuerzung_F" vbProcedure="false">Listen!$L$5</definedName>
    <definedName function="false" hidden="false" name="Kuerzung_MA" vbProcedure="false">Listen!$L$6</definedName>
    <definedName function="false" hidden="false" name="Satz_Ganztag" vbProcedure="false">Listen!$L$3</definedName>
    <definedName function="false" hidden="false" name="Satz_KM" vbProcedure="false">Listen!$L$7</definedName>
    <definedName function="false" hidden="false" name="Satz_Teiltag" vbProcedure="false">Listen!$L$4</definedName>
    <definedName function="false" hidden="false" name="StatusListe" vbProcedure="false">Listen!$E$3:$E$5</definedName>
    <definedName function="false" hidden="false" name="USt_Saetze" vbProcedure="false">Listen!$G$3:$G$5</definedName>
    <definedName function="false" hidden="false" name="Zahlungsarten" vbProcedure="false">Listen!$C$3:$C$5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<sst xmlns="http://schemas.openxmlformats.org/spreadsheetml/2006/main" count="242" uniqueCount="145">
  <si>
    <t xml:space="preserve">SPESENABRECHNUNG</t>
  </si>
  <si>
    <t xml:space="preserve">Abrechnungs-Nr.</t>
  </si>
  <si>
    <t xml:space="preserve">SP-2026-0142</t>
  </si>
  <si>
    <t xml:space="preserve">  MITARBEITER &amp; REISEDATEN</t>
  </si>
  <si>
    <t xml:space="preserve">Mitarbeiter/in</t>
  </si>
  <si>
    <t xml:space="preserve">Julia Kranz</t>
  </si>
  <si>
    <t xml:space="preserve">Reisezweck / Anlass</t>
  </si>
  <si>
    <t xml:space="preserve">Kundenbesuche &amp; Fachmesse</t>
  </si>
  <si>
    <t xml:space="preserve">Personalnummer</t>
  </si>
  <si>
    <t xml:space="preserve">MA-2041</t>
  </si>
  <si>
    <t xml:space="preserve">Reiseziel</t>
  </si>
  <si>
    <t xml:space="preserve">München</t>
  </si>
  <si>
    <t xml:space="preserve">Abteilung</t>
  </si>
  <si>
    <t xml:space="preserve">Vertrieb Außendienst</t>
  </si>
  <si>
    <t xml:space="preserve">Verkehrsmittel</t>
  </si>
  <si>
    <t xml:space="preserve">Bahn / eigener Pkw</t>
  </si>
  <si>
    <t xml:space="preserve">Kostenstelle</t>
  </si>
  <si>
    <t xml:space="preserve">KST-4300</t>
  </si>
  <si>
    <t xml:space="preserve">Reisebeginn</t>
  </si>
  <si>
    <t xml:space="preserve">Vorgesetzte/r</t>
  </si>
  <si>
    <t xml:space="preserve">T. Reinhardt</t>
  </si>
  <si>
    <t xml:space="preserve">Reiseende</t>
  </si>
  <si>
    <t xml:space="preserve">IBAN (Erstattung)</t>
  </si>
  <si>
    <t xml:space="preserve">DE12 3456 7890 1234 5678 90</t>
  </si>
  <si>
    <t xml:space="preserve">Übernachtungen</t>
  </si>
  <si>
    <t xml:space="preserve">Erstattungsfähige Belege</t>
  </si>
  <si>
    <t xml:space="preserve">Verpflegungspauschale</t>
  </si>
  <si>
    <t xml:space="preserve">Fahrtkosten (km-Pausch.)</t>
  </si>
  <si>
    <t xml:space="preserve">Auszuzahlender Betrag</t>
  </si>
  <si>
    <t xml:space="preserve">  EINZELBELEGE</t>
  </si>
  <si>
    <t xml:space="preserve">Nr.</t>
  </si>
  <si>
    <t xml:space="preserve">Datum</t>
  </si>
  <si>
    <t xml:space="preserve">Kostenart</t>
  </si>
  <si>
    <t xml:space="preserve">Beschreibung / Anlass</t>
  </si>
  <si>
    <t xml:space="preserve">Zahlungsart</t>
  </si>
  <si>
    <t xml:space="preserve">Beleg</t>
  </si>
  <si>
    <t xml:space="preserve">Netto</t>
  </si>
  <si>
    <t xml:space="preserve">USt-Satz</t>
  </si>
  <si>
    <t xml:space="preserve">USt</t>
  </si>
  <si>
    <t xml:space="preserve">Brutto</t>
  </si>
  <si>
    <t xml:space="preserve">erstatt.-fähig</t>
  </si>
  <si>
    <t xml:space="preserve">Eigenanteil</t>
  </si>
  <si>
    <t xml:space="preserve">Erstattung</t>
  </si>
  <si>
    <t xml:space="preserve">Status</t>
  </si>
  <si>
    <t xml:space="preserve">Fahrtkosten</t>
  </si>
  <si>
    <t xml:space="preserve">Bahnfahrt Hinfahrt (2. Kl.)</t>
  </si>
  <si>
    <t xml:space="preserve">privat verauslagt</t>
  </si>
  <si>
    <t xml:space="preserve">Ja</t>
  </si>
  <si>
    <t xml:space="preserve">Freigegeben</t>
  </si>
  <si>
    <t xml:space="preserve">Taxi Bahnhof → Hotel</t>
  </si>
  <si>
    <t xml:space="preserve">Übernachtung</t>
  </si>
  <si>
    <t xml:space="preserve">Hotel — 1. Nacht</t>
  </si>
  <si>
    <t xml:space="preserve">Firmenkarte</t>
  </si>
  <si>
    <t xml:space="preserve">Bürobedarf</t>
  </si>
  <si>
    <t xml:space="preserve">Präsentationsmappen Kundentermin</t>
  </si>
  <si>
    <t xml:space="preserve">Parken</t>
  </si>
  <si>
    <t xml:space="preserve">Parkhaus Messegelände</t>
  </si>
  <si>
    <t xml:space="preserve">bar bezahlt</t>
  </si>
  <si>
    <t xml:space="preserve">Hotel — 2. Nacht</t>
  </si>
  <si>
    <t xml:space="preserve">Messe/Eintritt</t>
  </si>
  <si>
    <t xml:space="preserve">Eintritt Fachmesse</t>
  </si>
  <si>
    <t xml:space="preserve">Bewirtung</t>
  </si>
  <si>
    <t xml:space="preserve">Geschäftsessen mit Kunde (3 Pers.)</t>
  </si>
  <si>
    <t xml:space="preserve">Telefon/Internet</t>
  </si>
  <si>
    <t xml:space="preserve">Mobiles Datenpaket (Reise)</t>
  </si>
  <si>
    <t xml:space="preserve">Mittagsimbiss Messestand</t>
  </si>
  <si>
    <t xml:space="preserve">Taxi Hotel → Kunde → Bahnhof</t>
  </si>
  <si>
    <t xml:space="preserve">Bahnfahrt Rückfahrt (mit privatem Umweg)</t>
  </si>
  <si>
    <t xml:space="preserve">Geprüft</t>
  </si>
  <si>
    <t xml:space="preserve">Sonstiges</t>
  </si>
  <si>
    <t xml:space="preserve">Trinkgeld (Kleinbetrag)</t>
  </si>
  <si>
    <t xml:space="preserve">Nein</t>
  </si>
  <si>
    <t xml:space="preserve">ZWISCHENSUMME EINZELBELEGE</t>
  </si>
  <si>
    <t xml:space="preserve">  VERPFLEGUNGSPAUSCHALE (VERPFLEGUNGSMEHRAUFWAND, INLAND 2026)</t>
  </si>
  <si>
    <t xml:space="preserve">  Voller Tag (≥ 24 Std.) 28,00 €  ·  An-/Abreisetag &amp; &gt; 8 Std. 14,00 €  ·  Kürzung bei gestellter Mahlzeit: Frühstück −5,60 €, Mittag-/Abendessen je −11,20 €</t>
  </si>
  <si>
    <t xml:space="preserve">Abwesenheit</t>
  </si>
  <si>
    <t xml:space="preserve">Grundpauschale</t>
  </si>
  <si>
    <t xml:space="preserve">Frühstück
gestellt</t>
  </si>
  <si>
    <t xml:space="preserve">Mittag
gestellt</t>
  </si>
  <si>
    <t xml:space="preserve">Abend
gestellt</t>
  </si>
  <si>
    <t xml:space="preserve">Kürzung</t>
  </si>
  <si>
    <t xml:space="preserve">Tagespauschale</t>
  </si>
  <si>
    <t xml:space="preserve">An-/Abreisetag</t>
  </si>
  <si>
    <t xml:space="preserve">Ganztag (24 Std.)</t>
  </si>
  <si>
    <t xml:space="preserve">SUMME VERPFLEGUNGSPAUSCHALE</t>
  </si>
  <si>
    <t xml:space="preserve">  FAHRTKOSTEN EIGENER PKW (KILOMETERPAUSCHALE)</t>
  </si>
  <si>
    <t xml:space="preserve">Strecke (von – nach)</t>
  </si>
  <si>
    <t xml:space="preserve">km</t>
  </si>
  <si>
    <t xml:space="preserve">Satz €/km</t>
  </si>
  <si>
    <t xml:space="preserve">Betrag</t>
  </si>
  <si>
    <t xml:space="preserve">Wohnung → Hauptbahnhof</t>
  </si>
  <si>
    <t xml:space="preserve">Hauptbahnhof → Wohnung</t>
  </si>
  <si>
    <t xml:space="preserve">SUMME FAHRTKOSTEN (KM-PAUSCHALE)</t>
  </si>
  <si>
    <t xml:space="preserve">  ABRECHNUNG &amp; AUSZAHLUNG</t>
  </si>
  <si>
    <t xml:space="preserve">Vom Mitarbeiter verauslagt (privat / bar)</t>
  </si>
  <si>
    <t xml:space="preserve">+ Verpflegungspauschale</t>
  </si>
  <si>
    <t xml:space="preserve">+ Fahrtkosten (km-Pauschale)</t>
  </si>
  <si>
    <t xml:space="preserve">– erhaltener Reisevorschuss</t>
  </si>
  <si>
    <t xml:space="preserve">= AUSZUZAHLENDER BETRAG (an Mitarbeiter)</t>
  </si>
  <si>
    <t xml:space="preserve">Reisevorschuss erhalten (Eingabe):</t>
  </si>
  <si>
    <t xml:space="preserve">nachrichtlich: über Firmenkarte bezahlt (durch Unternehmen, keine Auszahlung)</t>
  </si>
  <si>
    <t xml:space="preserve">  PRÜFUNG &amp; FREIGABE</t>
  </si>
  <si>
    <t xml:space="preserve">Mitarbeiter/in   ·   Ort, Datum, Unterschrift</t>
  </si>
  <si>
    <t xml:space="preserve">Vorgesetzte/r (sachlich)   ·   Ort, Datum, Unterschrift</t>
  </si>
  <si>
    <t xml:space="preserve">Buchhaltung (rechnerisch)   ·   Ort, Datum, Unterschrift</t>
  </si>
  <si>
    <t xml:space="preserve">  SO NUTZEN SIE DIESE VORLAGE</t>
  </si>
  <si>
    <t xml:space="preserve">▸</t>
  </si>
  <si>
    <t xml:space="preserve">Kopfdaten und die farbig hinterlegten Eingabefelder ausfüllen; graue Felder berechnen sich automatisch.</t>
  </si>
  <si>
    <t xml:space="preserve">Je Beleg eine Zeile: Kostenart, Netto und USt-Satz wählen – USt, Brutto, Eigenanteil und Erstattung entstehen automatisch.</t>
  </si>
  <si>
    <t xml:space="preserve">„erstatt.-fähig“ steuert den Eigenanteil (z. B. 50 % bei privater Mitnutzung). „Firmenkarte“-Belege fließen nicht in die Auszahlung ein.</t>
  </si>
  <si>
    <t xml:space="preserve">Verpflegungspauschale: Abwesenheit je Tag wählen; gestellte Mahlzeiten (Frühstück/Mittag/Abend) kürzen die Pauschale automatisch.</t>
  </si>
  <si>
    <t xml:space="preserve">Auswertung im zweiten Tabellenblatt zeigt Kosten je Kostenart und Zahlungsart. Parameter/Pauschalen im Blatt „Listen“ anpassbar.</t>
  </si>
  <si>
    <t xml:space="preserve">Hinweis: Pauschalen Inland Stand 2026 (unverändert seit 2021). Diese Vorlage ersetzt keine steuerliche Beratung. Belege gemäß GoBD 10 Jahre aufbewahren.</t>
  </si>
  <si>
    <t xml:space="preserve">AUSWERTUNG DER SPESENABRECHNUNG</t>
  </si>
  <si>
    <t xml:space="preserve">Belege gesamt (brutto)</t>
  </si>
  <si>
    <t xml:space="preserve">Anzahl Belege</t>
  </si>
  <si>
    <t xml:space="preserve">Erstattungsfähig</t>
  </si>
  <si>
    <t xml:space="preserve">Auszahlung</t>
  </si>
  <si>
    <t xml:space="preserve">  KOSTEN NACH KOSTENART</t>
  </si>
  <si>
    <t xml:space="preserve">  KOSTEN NACH ZAHLUNGSART</t>
  </si>
  <si>
    <t xml:space="preserve">Anteil</t>
  </si>
  <si>
    <t xml:space="preserve">Gesamt</t>
  </si>
  <si>
    <t xml:space="preserve">  PRÜFHINWEISE</t>
  </si>
  <si>
    <t xml:space="preserve">Belege ohne Beleg-Nachweis</t>
  </si>
  <si>
    <t xml:space="preserve">Reisenebenkosten</t>
  </si>
  <si>
    <t xml:space="preserve">Positionen mit Eigenanteil</t>
  </si>
  <si>
    <t xml:space="preserve">Noch offene Freigaben</t>
  </si>
  <si>
    <t xml:space="preserve">AUSWAHLLISTEN &amp; PARAMETER</t>
  </si>
  <si>
    <t xml:space="preserve">Kostenarten</t>
  </si>
  <si>
    <t xml:space="preserve">Erstatt.%</t>
  </si>
  <si>
    <t xml:space="preserve">gestellt</t>
  </si>
  <si>
    <t xml:space="preserve">Parameter</t>
  </si>
  <si>
    <t xml:space="preserve">Offen</t>
  </si>
  <si>
    <t xml:space="preserve">Satz_Ganztag</t>
  </si>
  <si>
    <t xml:space="preserve">Verpflegung voller Tag (≥24 Std.), Inland 2026</t>
  </si>
  <si>
    <t xml:space="preserve">Satz_Teiltag</t>
  </si>
  <si>
    <t xml:space="preserve">Verpflegung An-/Abreisetag &amp; &gt; 8 Std.</t>
  </si>
  <si>
    <t xml:space="preserve">&gt; 8 Stunden</t>
  </si>
  <si>
    <t xml:space="preserve">Kuerzung_F</t>
  </si>
  <si>
    <t xml:space="preserve">Kürzung Frühstück (20 % von 28 €)</t>
  </si>
  <si>
    <t xml:space="preserve">kein Anspruch</t>
  </si>
  <si>
    <t xml:space="preserve">Kuerzung_MA</t>
  </si>
  <si>
    <t xml:space="preserve">Kürzung Mittag-/Abendessen (je 40 % von 28 €)</t>
  </si>
  <si>
    <t xml:space="preserve">Satz_KM</t>
  </si>
  <si>
    <t xml:space="preserve">Kilometerpauschale eigener Pkw (€/km)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</si>
</sst>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dd\.mm\.yyyy&quot;  &quot;hh:mm"/>
    <numFmt numFmtId="166" formatCode="#,##0"/>
    <numFmt numFmtId="167" formatCode="#,##0.00&quot; €&quot;;\-#,##0.00&quot; €&quot;;\–"/>
    <numFmt numFmtId="168" formatCode="General"/>
    <numFmt numFmtId="169" formatCode="dd\.mm\.yyyy"/>
    <numFmt numFmtId="170" formatCode="#,##0.00&quot; €&quot;;\-#,##0.00&quot; €&quot;;&quot;&quot;"/>
    <numFmt numFmtId="171" formatCode="0\ %"/>
    <numFmt numFmtId="172" formatCode="#,##0.00&quot; €&quot;"/>
    <numFmt numFmtId="173" formatCode="0.0\ %"/>
    <numFmt numFmtId="174" formatCode="0"/>
    <numFmt numFmtId="175" formatCode="#,##0.00&quot; €/km&quot;"/>
  </numFmts>
  <fonts count="3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sz val="9"/>
      <color rgb="FFE7D6E0"/>
      <name val="Calibri"/>
      <family val="0"/>
      <charset val="1"/>
    </font>
    <font>
      <b val="true"/>
      <sz val="13"/>
      <color rgb="FFE0965A"/>
      <name val="Calibri"/>
      <family val="0"/>
      <charset val="1"/>
    </font>
    <font>
      <sz val="9.5"/>
      <color rgb="FFFFFFFF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9"/>
      <color rgb="FF43293E"/>
      <name val="Calibri"/>
      <family val="0"/>
      <charset val="1"/>
    </font>
    <font>
      <sz val="10"/>
      <color rgb="FF2C1B29"/>
      <name val="Calibri"/>
      <family val="0"/>
      <charset val="1"/>
    </font>
    <font>
      <b val="true"/>
      <sz val="10"/>
      <color rgb="FF2C1B29"/>
      <name val="Calibri"/>
      <family val="0"/>
      <charset val="1"/>
    </font>
    <font>
      <b val="true"/>
      <sz val="15"/>
      <color rgb="FF2C1B29"/>
      <name val="Calibri"/>
      <family val="0"/>
      <charset val="1"/>
    </font>
    <font>
      <sz val="8.5"/>
      <color rgb="FF7C8894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"/>
      <color rgb="FF7C8894"/>
      <name val="Calibri"/>
      <family val="0"/>
      <charset val="1"/>
    </font>
    <font>
      <sz val="9"/>
      <color rgb="FF2C1B29"/>
      <name val="Calibri"/>
      <family val="0"/>
      <charset val="1"/>
    </font>
    <font>
      <b val="true"/>
      <sz val="9"/>
      <color rgb="FF2C1B29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E0965A"/>
      <name val="Calibri"/>
      <family val="0"/>
      <charset val="1"/>
    </font>
    <font>
      <sz val="8.5"/>
      <color rgb="FF43293E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8.5"/>
      <color rgb="FF7C8894"/>
      <name val="Calibri"/>
      <family val="0"/>
      <charset val="1"/>
    </font>
    <font>
      <i val="true"/>
      <sz val="9"/>
      <color rgb="FF7C8894"/>
      <name val="Calibri"/>
      <family val="0"/>
      <charset val="1"/>
    </font>
    <font>
      <b val="true"/>
      <sz val="9"/>
      <color rgb="FFC57A38"/>
      <name val="Calibri"/>
      <family val="0"/>
      <charset val="1"/>
    </font>
    <font>
      <i val="true"/>
      <sz val="8"/>
      <color rgb="FF7C8894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9"/>
      <color rgb="FFE0965A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2"/>
      <color rgb="FFFFFFFF"/>
      <name val="Calibri"/>
      <family val="0"/>
      <charset val="1"/>
    </font>
    <font>
      <sz val="8"/>
      <color rgb="FF7C8894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43293E"/>
        <bgColor rgb="FF2C1B29"/>
      </patternFill>
    </fill>
    <fill>
      <patternFill patternType="solid">
        <fgColor rgb="FF6A3D5E"/>
        <bgColor rgb="FF43293E"/>
      </patternFill>
    </fill>
    <fill>
      <patternFill patternType="solid">
        <fgColor rgb="FFE0965A"/>
        <bgColor rgb="FFC8871B"/>
      </patternFill>
    </fill>
    <fill>
      <patternFill patternType="solid">
        <fgColor rgb="FFF2EAF0"/>
        <bgColor rgb="FFF4EEF2"/>
      </patternFill>
    </fill>
    <fill>
      <patternFill patternType="solid">
        <fgColor rgb="FFFFF3E4"/>
        <bgColor rgb="FFFAF6F9"/>
      </patternFill>
    </fill>
    <fill>
      <patternFill patternType="solid">
        <fgColor rgb="FFF4EEF2"/>
        <bgColor rgb="FFF2EAF0"/>
      </patternFill>
    </fill>
    <fill>
      <patternFill patternType="solid">
        <fgColor rgb="FFC57A38"/>
        <bgColor rgb="FFC8871B"/>
      </patternFill>
    </fill>
    <fill>
      <patternFill patternType="solid">
        <fgColor rgb="FFFFFFFF"/>
        <bgColor rgb="FFFAF6F9"/>
      </patternFill>
    </fill>
    <fill>
      <patternFill patternType="solid">
        <fgColor rgb="FFFAF6F9"/>
        <bgColor rgb="FFF4EEF2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E9C79A"/>
      </left>
      <right/>
      <top style="thin">
        <color rgb="FFE9C79A"/>
      </top>
      <bottom style="thin">
        <color rgb="FFE9C79A"/>
      </bottom>
      <diagonal/>
    </border>
    <border diagonalUp="false" diagonalDown="false">
      <left style="thin">
        <color rgb="FFE9C79A"/>
      </left>
      <right style="thin">
        <color rgb="FFE9C79A"/>
      </right>
      <top style="thin">
        <color rgb="FFE9C79A"/>
      </top>
      <bottom style="thin">
        <color rgb="FFE9C79A"/>
      </bottom>
      <diagonal/>
    </border>
    <border diagonalUp="false" diagonalDown="false">
      <left style="thin">
        <color rgb="FFD8CDD4"/>
      </left>
      <right style="thin">
        <color rgb="FFD8CDD4"/>
      </right>
      <top style="thin">
        <color rgb="FFD8CDD4"/>
      </top>
      <bottom style="thin">
        <color rgb="FFD8CDD4"/>
      </bottom>
      <diagonal/>
    </border>
    <border diagonalUp="false" diagonalDown="false">
      <left style="thin">
        <color rgb="FFE4D8DF"/>
      </left>
      <right style="thin">
        <color rgb="FFE4D8DF"/>
      </right>
      <top/>
      <bottom/>
      <diagonal/>
    </border>
    <border diagonalUp="false" diagonalDown="false">
      <left style="thin">
        <color rgb="FFE4D8DF"/>
      </left>
      <right style="thin">
        <color rgb="FFE4D8DF"/>
      </right>
      <top/>
      <bottom style="thin">
        <color rgb="FFE4D8DF"/>
      </bottom>
      <diagonal/>
    </border>
    <border diagonalUp="false" diagonalDown="false">
      <left style="thin">
        <color rgb="FF43293E"/>
      </left>
      <right style="thin">
        <color rgb="FF43293E"/>
      </right>
      <top style="thin">
        <color rgb="FF43293E"/>
      </top>
      <bottom style="thin">
        <color rgb="FF43293E"/>
      </bottom>
      <diagonal/>
    </border>
    <border diagonalUp="false" diagonalDown="false">
      <left style="thin">
        <color rgb="FFE1D8E0"/>
      </left>
      <right style="thin">
        <color rgb="FFE1D8E0"/>
      </right>
      <top style="thin">
        <color rgb="FFE1D8E0"/>
      </top>
      <bottom style="thin">
        <color rgb="FFE1D8E0"/>
      </bottom>
      <diagonal/>
    </border>
    <border diagonalUp="false" diagonalDown="false">
      <left style="thin">
        <color rgb="FFE4D8DF"/>
      </left>
      <right style="thin">
        <color rgb="FFE4D8DF"/>
      </right>
      <top style="thin">
        <color rgb="FFE4D8DF"/>
      </top>
      <bottom style="thin">
        <color rgb="FFE4D8DF"/>
      </bottom>
      <diagonal/>
    </border>
    <border diagonalUp="false" diagonalDown="false">
      <left style="thin">
        <color rgb="FF43293E"/>
      </left>
      <right/>
      <top style="thin">
        <color rgb="FF43293E"/>
      </top>
      <bottom style="thin">
        <color rgb="FF43293E"/>
      </bottom>
      <diagonal/>
    </border>
    <border diagonalUp="false" diagonalDown="false">
      <left style="thin">
        <color rgb="FFE1D8E0"/>
      </left>
      <right/>
      <top style="thin">
        <color rgb="FFE1D8E0"/>
      </top>
      <bottom style="thin">
        <color rgb="FFE1D8E0"/>
      </bottom>
      <diagonal/>
    </border>
    <border diagonalUp="false" diagonalDown="false">
      <left/>
      <right/>
      <top/>
      <bottom style="thin">
        <color rgb="FF2C1B29"/>
      </bottom>
      <diagonal/>
    </border>
    <border diagonalUp="false" diagonalDown="false">
      <left style="thin">
        <color rgb="FF6A3D5E"/>
      </left>
      <right style="thin">
        <color rgb="FF6A3D5E"/>
      </right>
      <top style="thin">
        <color rgb="FF6A3D5E"/>
      </top>
      <bottom style="thin">
        <color rgb="FF6A3D5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8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9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9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4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6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6" fillId="7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7" fillId="7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9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0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6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7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9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1" fillId="7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5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1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9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3" fillId="9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2" fillId="9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2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6" fillId="9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6" fillId="9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1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6" fillId="1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6" fillId="1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14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2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3" fontId="14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4" fontId="11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1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5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ont>
        <name val="Calibri"/>
        <charset val="1"/>
        <family val="0"/>
        <color rgb="FF2C5A7A"/>
        <sz val="9"/>
      </font>
      <fill>
        <patternFill>
          <bgColor rgb="FFE7EEF3"/>
        </patternFill>
      </fill>
    </dxf>
    <dxf>
      <font>
        <name val="Calibri"/>
        <charset val="1"/>
        <family val="0"/>
        <b val="1"/>
        <color rgb="FFC0392B"/>
        <sz val="9"/>
      </font>
      <fill>
        <patternFill>
          <bgColor rgb="FFF6D9D6"/>
        </patternFill>
      </fill>
    </dxf>
    <dxf>
      <font>
        <name val="Calibri"/>
        <charset val="1"/>
        <family val="0"/>
        <b val="1"/>
        <color rgb="FFFFFFFF"/>
        <sz val="9"/>
      </font>
      <fill>
        <patternFill>
          <bgColor rgb="FF2E7D5B"/>
        </patternFill>
      </fill>
    </dxf>
    <dxf>
      <font>
        <name val="Calibri"/>
        <charset val="1"/>
        <family val="0"/>
        <b val="1"/>
        <color rgb="FFFFFFFF"/>
        <sz val="9"/>
      </font>
      <fill>
        <patternFill>
          <bgColor rgb="FFC8871B"/>
        </patternFill>
      </fill>
    </dxf>
    <dxf>
      <font>
        <name val="Calibri"/>
        <charset val="1"/>
        <family val="0"/>
        <color rgb="FF7C8894"/>
        <sz val="9"/>
      </font>
      <fill>
        <patternFill>
          <bgColor rgb="FFEDE6EA"/>
        </patternFill>
      </fill>
    </dxf>
    <dxf>
      <font>
        <name val="Calibri"/>
        <charset val="1"/>
        <family val="0"/>
        <b val="1"/>
        <color rgb="FFC8871B"/>
        <sz val="9"/>
      </font>
    </dxf>
    <dxf>
      <font>
        <name val="Calibri"/>
        <charset val="1"/>
        <family val="0"/>
        <b val="1"/>
        <color rgb="FFC0392B"/>
        <sz val="13"/>
      </font>
    </dxf>
    <dxf>
      <font>
        <name val="Calibri"/>
        <charset val="1"/>
        <family val="0"/>
        <b val="1"/>
        <color rgb="FFC8871B"/>
        <sz val="10"/>
      </font>
      <fill>
        <patternFill>
          <bgColor rgb="FFF6EAD6"/>
        </patternFill>
      </fill>
    </dxf>
    <dxf>
      <font>
        <name val="Calibri"/>
        <charset val="1"/>
        <family val="0"/>
        <b val="1"/>
        <color rgb="FF2E7D5B"/>
        <sz val="10"/>
      </font>
      <fill>
        <patternFill>
          <bgColor rgb="FFE4F1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2EAF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E4D8DF"/>
      <rgbColor rgb="FF6A3D5E"/>
      <rgbColor rgb="FFFFF3E4"/>
      <rgbColor rgb="FFE4F1EA"/>
      <rgbColor rgb="FF660066"/>
      <rgbColor rgb="FFE0965A"/>
      <rgbColor rgb="FF0066CC"/>
      <rgbColor rgb="FFD8CDD4"/>
      <rgbColor rgb="FF000080"/>
      <rgbColor rgb="FFFF00FF"/>
      <rgbColor rgb="FFF4EEF2"/>
      <rgbColor rgb="FF00FFFF"/>
      <rgbColor rgb="FF800080"/>
      <rgbColor rgb="FF800000"/>
      <rgbColor rgb="FF008080"/>
      <rgbColor rgb="FF0000FF"/>
      <rgbColor rgb="FF00CCFF"/>
      <rgbColor rgb="FFE7EEF3"/>
      <rgbColor rgb="FFEDE6EA"/>
      <rgbColor rgb="FFF6EAD6"/>
      <rgbColor rgb="FFE1D8E0"/>
      <rgbColor rgb="FFE7D6E0"/>
      <rgbColor rgb="FFB39CAB"/>
      <rgbColor rgb="FFE9C79A"/>
      <rgbColor rgb="FF4F81BD"/>
      <rgbColor rgb="FF33CCCC"/>
      <rgbColor rgb="FFFAF6F9"/>
      <rgbColor rgb="FFF6D9D6"/>
      <rgbColor rgb="FFC8871B"/>
      <rgbColor rgb="FFC57A38"/>
      <rgbColor rgb="FF4E7A8A"/>
      <rgbColor rgb="FF7C8894"/>
      <rgbColor rgb="FF003366"/>
      <rgbColor rgb="FF2E7D5B"/>
      <rgbColor rgb="FF003300"/>
      <rgbColor rgb="FF2C1B29"/>
      <rgbColor rgb="FFC0392B"/>
      <rgbColor rgb="FF9B5C7D"/>
      <rgbColor rgb="FF2C5A7A"/>
      <rgbColor rgb="FF43293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Kosten nach Kostenart (Brutto)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Auswertung!C11</c:f>
              <c:strCache>
                <c:ptCount val="1"/>
                <c:pt idx="0">
                  <c:v>Brutto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6a3d5e"/>
              </a:solidFill>
              <a:ln w="0">
                <a:noFill/>
              </a:ln>
            </c:spPr>
          </c:dPt>
          <c:dPt>
            <c:idx val="1"/>
            <c:spPr>
              <a:solidFill>
                <a:srgbClr val="e0965a"/>
              </a:solidFill>
              <a:ln w="0">
                <a:noFill/>
              </a:ln>
            </c:spPr>
          </c:dPt>
          <c:dPt>
            <c:idx val="2"/>
            <c:spPr>
              <a:solidFill>
                <a:srgbClr val="2e7d5b"/>
              </a:solidFill>
              <a:ln w="0">
                <a:noFill/>
              </a:ln>
            </c:spPr>
          </c:dPt>
          <c:dPt>
            <c:idx val="3"/>
            <c:spPr>
              <a:solidFill>
                <a:srgbClr val="c8871b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e7a8a"/>
              </a:solidFill>
              <a:ln w="0">
                <a:noFill/>
              </a:ln>
            </c:spPr>
          </c:dPt>
          <c:dPt>
            <c:idx val="5"/>
            <c:spPr>
              <a:solidFill>
                <a:srgbClr val="9b5c7d"/>
              </a:solidFill>
              <a:ln w="0">
                <a:noFill/>
              </a:ln>
            </c:spPr>
          </c:dPt>
          <c:dPt>
            <c:idx val="6"/>
            <c:spPr>
              <a:solidFill>
                <a:srgbClr val="c57a38"/>
              </a:solidFill>
              <a:ln w="0">
                <a:noFill/>
              </a:ln>
            </c:spPr>
          </c:dPt>
          <c:dPt>
            <c:idx val="7"/>
            <c:spPr>
              <a:solidFill>
                <a:srgbClr val="7c8894"/>
              </a:solidFill>
              <a:ln w="0">
                <a:noFill/>
              </a:ln>
            </c:spPr>
          </c:dPt>
          <c:dPt>
            <c:idx val="8"/>
            <c:spPr>
              <a:solidFill>
                <a:srgbClr val="b39cab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eparator>
</c:separator>
            <c:showLeaderLines val="1"/>
          </c:dLbls>
          <c:cat>
            <c:strRef>
              <c:f>Auswertung!$B$12:$B$20</c:f>
              <c:strCache>
                <c:ptCount val="9"/>
                <c:pt idx="0">
                  <c:v>Fahrtkosten</c:v>
                </c:pt>
                <c:pt idx="1">
                  <c:v>Übernachtung</c:v>
                </c:pt>
                <c:pt idx="2">
                  <c:v>Bewirtung</c:v>
                </c:pt>
                <c:pt idx="3">
                  <c:v>Parken</c:v>
                </c:pt>
                <c:pt idx="4">
                  <c:v>Messe/Eintritt</c:v>
                </c:pt>
                <c:pt idx="5">
                  <c:v>Telefon/Internet</c:v>
                </c:pt>
                <c:pt idx="6">
                  <c:v>Bürobedarf</c:v>
                </c:pt>
                <c:pt idx="7">
                  <c:v>Reisenebenkosten</c:v>
                </c:pt>
                <c:pt idx="8">
                  <c:v>Sonstiges</c:v>
                </c:pt>
              </c:strCache>
            </c:strRef>
          </c:cat>
          <c:val>
            <c:numRef>
              <c:f>Auswertung!$C$12:$C$20</c:f>
              <c:numCache>
                <c:formatCode>#,##0.00" €";\-#,##0.00" €";\–</c:formatCode>
                <c:ptCount val="9"/>
                <c:pt idx="0">
                  <c:v>266.59</c:v>
                </c:pt>
                <c:pt idx="1">
                  <c:v>220</c:v>
                </c:pt>
                <c:pt idx="2">
                  <c:v>125.76</c:v>
                </c:pt>
                <c:pt idx="3">
                  <c:v>15.01</c:v>
                </c:pt>
                <c:pt idx="4">
                  <c:v>35</c:v>
                </c:pt>
                <c:pt idx="5">
                  <c:v>10</c:v>
                </c:pt>
                <c:pt idx="6">
                  <c:v>20</c:v>
                </c:pt>
                <c:pt idx="7">
                  <c:v>0</c:v>
                </c:pt>
                <c:pt idx="8">
                  <c:v>4.2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Erstattung nach Zahlungsart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Auswertung!I11</c:f>
              <c:strCache>
                <c:ptCount val="1"/>
                <c:pt idx="0">
                  <c:v>Erstattung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Auswertung!$G$12:$G$14</c:f>
              <c:strCache>
                <c:ptCount val="3"/>
                <c:pt idx="0">
                  <c:v>privat verauslagt</c:v>
                </c:pt>
                <c:pt idx="1">
                  <c:v>Firmenkarte</c:v>
                </c:pt>
                <c:pt idx="2">
                  <c:v>bar bezahlt</c:v>
                </c:pt>
              </c:strCache>
            </c:strRef>
          </c:cat>
          <c:val>
            <c:numRef>
              <c:f>Auswertung!$I$12:$I$14</c:f>
              <c:numCache>
                <c:formatCode>#,##0.00" €";\-#,##0.00" €";\–</c:formatCode>
                <c:ptCount val="3"/>
                <c:pt idx="0">
                  <c:v>372.6</c:v>
                </c:pt>
                <c:pt idx="1">
                  <c:v>230</c:v>
                </c:pt>
                <c:pt idx="2">
                  <c:v>38.96</c:v>
                </c:pt>
              </c:numCache>
            </c:numRef>
          </c:val>
        </c:ser>
        <c:gapWidth val="150"/>
        <c:overlap val="0"/>
        <c:axId val="92590133"/>
        <c:axId val="12204386"/>
      </c:barChart>
      <c:catAx>
        <c:axId val="9259013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2204386"/>
        <c:crosses val="autoZero"/>
        <c:auto val="1"/>
        <c:lblAlgn val="ctr"/>
        <c:lblOffset val="100"/>
        <c:noMultiLvlLbl val="0"/>
      </c:catAx>
      <c:valAx>
        <c:axId val="1220438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;\-#,##0.0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259013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22</xdr:row>
      <xdr:rowOff>0</xdr:rowOff>
    </xdr:from>
    <xdr:to>
      <xdr:col>4</xdr:col>
      <xdr:colOff>255240</xdr:colOff>
      <xdr:row>35</xdr:row>
      <xdr:rowOff>115200</xdr:rowOff>
    </xdr:to>
    <xdr:graphicFrame>
      <xdr:nvGraphicFramePr>
        <xdr:cNvPr id="0" name="Chart 1"/>
        <xdr:cNvGraphicFramePr/>
      </xdr:nvGraphicFramePr>
      <xdr:xfrm>
        <a:off x="0" y="3828960"/>
        <a:ext cx="3779640" cy="259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22</xdr:row>
      <xdr:rowOff>0</xdr:rowOff>
    </xdr:from>
    <xdr:to>
      <xdr:col>8</xdr:col>
      <xdr:colOff>913680</xdr:colOff>
      <xdr:row>35</xdr:row>
      <xdr:rowOff>115200</xdr:rowOff>
    </xdr:to>
    <xdr:graphicFrame>
      <xdr:nvGraphicFramePr>
        <xdr:cNvPr id="1" name="Chart 2"/>
        <xdr:cNvGraphicFramePr/>
      </xdr:nvGraphicFramePr>
      <xdr:xfrm>
        <a:off x="4511160" y="3828960"/>
        <a:ext cx="3239640" cy="259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7" topLeftCell="A1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11"/>
    <col collapsed="false" customWidth="true" hidden="false" outlineLevel="0" max="3" min="3" style="0" width="16"/>
    <col collapsed="false" customWidth="true" hidden="false" outlineLevel="0" max="4" min="4" style="0" width="30"/>
    <col collapsed="false" customWidth="true" hidden="false" outlineLevel="0" max="5" min="5" style="0" width="16"/>
    <col collapsed="false" customWidth="true" hidden="false" outlineLevel="0" max="6" min="6" style="0" width="9"/>
    <col collapsed="false" customWidth="true" hidden="false" outlineLevel="0" max="7" min="7" style="0" width="11"/>
    <col collapsed="false" customWidth="true" hidden="false" outlineLevel="0" max="8" min="8" style="0" width="9"/>
    <col collapsed="false" customWidth="true" hidden="false" outlineLevel="0" max="9" min="9" style="0" width="10"/>
    <col collapsed="false" customWidth="true" hidden="false" outlineLevel="0" max="10" min="10" style="0" width="11"/>
    <col collapsed="false" customWidth="true" hidden="false" outlineLevel="0" max="11" min="11" style="0" width="10"/>
    <col collapsed="false" customWidth="true" hidden="false" outlineLevel="0" max="12" min="12" style="0" width="11"/>
    <col collapsed="false" customWidth="true" hidden="false" outlineLevel="0" max="14" min="13" style="0" width="12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2"/>
      <c r="M1" s="2"/>
      <c r="N1" s="2"/>
    </row>
    <row r="2" customFormat="false" ht="19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3" t="s">
        <v>2</v>
      </c>
      <c r="L2" s="3"/>
      <c r="M2" s="3"/>
      <c r="N2" s="3"/>
    </row>
    <row r="3" customFormat="false" ht="16.5" hidden="false" customHeight="true" outlineLevel="0" collapsed="false">
      <c r="A3" s="4" t="str">
        <f aca="false">"Reisekostenabrechnung · " &amp; C6 &amp; " · Reisezeitraum " &amp; TEXT(I9,"DD.MM.YYYY") &amp; " – " &amp; TEXT(I10,"DD.MM.YYYY")</f>
        <v>Reisekostenabrechnung · Julia Kranz · Reisezeitraum 09.03.2026 – 11.03.2026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customFormat="false" ht="3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Format="false" ht="18" hidden="false" customHeight="true" outlineLevel="0" collapsed="false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customFormat="false" ht="16.5" hidden="false" customHeight="true" outlineLevel="0" collapsed="false">
      <c r="A6" s="7" t="s">
        <v>4</v>
      </c>
      <c r="B6" s="7"/>
      <c r="C6" s="8" t="s">
        <v>5</v>
      </c>
      <c r="D6" s="8"/>
      <c r="E6" s="8"/>
      <c r="F6" s="8"/>
      <c r="G6" s="7" t="s">
        <v>6</v>
      </c>
      <c r="H6" s="7"/>
      <c r="I6" s="8" t="s">
        <v>7</v>
      </c>
      <c r="J6" s="8"/>
      <c r="K6" s="8"/>
      <c r="L6" s="8"/>
      <c r="M6" s="8"/>
      <c r="N6" s="8"/>
    </row>
    <row r="7" customFormat="false" ht="16.5" hidden="false" customHeight="true" outlineLevel="0" collapsed="false">
      <c r="A7" s="7" t="s">
        <v>8</v>
      </c>
      <c r="B7" s="7"/>
      <c r="C7" s="8" t="s">
        <v>9</v>
      </c>
      <c r="D7" s="8"/>
      <c r="E7" s="8"/>
      <c r="F7" s="8"/>
      <c r="G7" s="7" t="s">
        <v>10</v>
      </c>
      <c r="H7" s="7"/>
      <c r="I7" s="8" t="s">
        <v>11</v>
      </c>
      <c r="J7" s="8"/>
      <c r="K7" s="8"/>
      <c r="L7" s="8"/>
      <c r="M7" s="8"/>
      <c r="N7" s="8"/>
    </row>
    <row r="8" customFormat="false" ht="16.5" hidden="false" customHeight="true" outlineLevel="0" collapsed="false">
      <c r="A8" s="7" t="s">
        <v>12</v>
      </c>
      <c r="B8" s="7"/>
      <c r="C8" s="8" t="s">
        <v>13</v>
      </c>
      <c r="D8" s="8"/>
      <c r="E8" s="8"/>
      <c r="F8" s="8"/>
      <c r="G8" s="7" t="s">
        <v>14</v>
      </c>
      <c r="H8" s="7"/>
      <c r="I8" s="8" t="s">
        <v>15</v>
      </c>
      <c r="J8" s="8"/>
      <c r="K8" s="8"/>
      <c r="L8" s="8"/>
      <c r="M8" s="8"/>
      <c r="N8" s="8"/>
    </row>
    <row r="9" customFormat="false" ht="16.5" hidden="false" customHeight="true" outlineLevel="0" collapsed="false">
      <c r="A9" s="7" t="s">
        <v>16</v>
      </c>
      <c r="B9" s="7"/>
      <c r="C9" s="9" t="s">
        <v>17</v>
      </c>
      <c r="D9" s="9"/>
      <c r="E9" s="9"/>
      <c r="F9" s="9"/>
      <c r="G9" s="7" t="s">
        <v>18</v>
      </c>
      <c r="H9" s="7"/>
      <c r="I9" s="10" t="n">
        <v>46090.3125</v>
      </c>
      <c r="J9" s="10"/>
      <c r="K9" s="10"/>
      <c r="L9" s="10"/>
      <c r="M9" s="10"/>
      <c r="N9" s="10"/>
    </row>
    <row r="10" customFormat="false" ht="16.5" hidden="false" customHeight="true" outlineLevel="0" collapsed="false">
      <c r="A10" s="7" t="s">
        <v>19</v>
      </c>
      <c r="B10" s="7"/>
      <c r="C10" s="9" t="s">
        <v>20</v>
      </c>
      <c r="D10" s="9"/>
      <c r="E10" s="9"/>
      <c r="F10" s="9"/>
      <c r="G10" s="7" t="s">
        <v>21</v>
      </c>
      <c r="H10" s="7"/>
      <c r="I10" s="10" t="n">
        <v>46092.78125</v>
      </c>
      <c r="J10" s="10"/>
      <c r="K10" s="10"/>
      <c r="L10" s="10"/>
      <c r="M10" s="10"/>
      <c r="N10" s="10"/>
    </row>
    <row r="11" customFormat="false" ht="16.5" hidden="false" customHeight="true" outlineLevel="0" collapsed="false">
      <c r="A11" s="7" t="s">
        <v>22</v>
      </c>
      <c r="B11" s="7"/>
      <c r="C11" s="9" t="s">
        <v>23</v>
      </c>
      <c r="D11" s="9"/>
      <c r="E11" s="9"/>
      <c r="F11" s="9"/>
      <c r="G11" s="7" t="s">
        <v>24</v>
      </c>
      <c r="H11" s="7"/>
      <c r="I11" s="11" t="n">
        <f aca="false">INT(I10)-INT(I9)</f>
        <v>2</v>
      </c>
      <c r="J11" s="11"/>
      <c r="K11" s="11"/>
      <c r="L11" s="11"/>
      <c r="M11" s="11"/>
      <c r="N11" s="11"/>
    </row>
    <row r="12" customFormat="false" ht="6" hidden="false" customHeight="true" outlineLevel="0" collapsed="false"/>
    <row r="13" customFormat="false" ht="3" hidden="false" customHeight="true" outlineLevel="0" collapsed="false">
      <c r="A13" s="12"/>
      <c r="B13" s="12"/>
      <c r="C13" s="12"/>
      <c r="D13" s="12"/>
      <c r="E13" s="13"/>
      <c r="F13" s="13"/>
      <c r="G13" s="13"/>
      <c r="H13" s="13"/>
      <c r="I13" s="13"/>
      <c r="J13" s="13"/>
      <c r="K13" s="14"/>
      <c r="L13" s="14"/>
      <c r="M13" s="14"/>
      <c r="N13" s="14"/>
    </row>
    <row r="14" customFormat="false" ht="25.5" hidden="false" customHeight="true" outlineLevel="0" collapsed="false">
      <c r="A14" s="15" t="n">
        <f aca="false">SUM(M19:M35)</f>
        <v>641.56</v>
      </c>
      <c r="B14" s="15"/>
      <c r="C14" s="15"/>
      <c r="D14" s="15"/>
      <c r="E14" s="15" t="n">
        <f aca="false">SUM(J41:J44)</f>
        <v>33.6</v>
      </c>
      <c r="F14" s="15"/>
      <c r="G14" s="15"/>
      <c r="H14" s="15" t="n">
        <f aca="false">SUM(I49:I51)</f>
        <v>10.8</v>
      </c>
      <c r="I14" s="15"/>
      <c r="J14" s="15"/>
      <c r="K14" s="15" t="n">
        <f aca="false">J59</f>
        <v>305.96</v>
      </c>
      <c r="L14" s="15"/>
      <c r="M14" s="15"/>
      <c r="N14" s="15"/>
    </row>
    <row r="15" customFormat="false" ht="13.5" hidden="false" customHeight="true" outlineLevel="0" collapsed="false">
      <c r="A15" s="16" t="s">
        <v>25</v>
      </c>
      <c r="B15" s="16"/>
      <c r="C15" s="16"/>
      <c r="D15" s="16"/>
      <c r="E15" s="16" t="s">
        <v>26</v>
      </c>
      <c r="F15" s="16"/>
      <c r="G15" s="16"/>
      <c r="H15" s="16" t="s">
        <v>27</v>
      </c>
      <c r="I15" s="16"/>
      <c r="J15" s="16"/>
      <c r="K15" s="16" t="s">
        <v>28</v>
      </c>
      <c r="L15" s="16"/>
      <c r="M15" s="16"/>
      <c r="N15" s="16"/>
    </row>
    <row r="16" customFormat="false" ht="6" hidden="false" customHeight="true" outlineLevel="0" collapsed="false"/>
    <row r="17" customFormat="false" ht="18" hidden="false" customHeight="true" outlineLevel="0" collapsed="false">
      <c r="A17" s="6" t="s">
        <v>29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customFormat="false" ht="27.75" hidden="false" customHeight="true" outlineLevel="0" collapsed="false">
      <c r="A18" s="17" t="s">
        <v>30</v>
      </c>
      <c r="B18" s="17" t="s">
        <v>31</v>
      </c>
      <c r="C18" s="17" t="s">
        <v>32</v>
      </c>
      <c r="D18" s="17" t="s">
        <v>33</v>
      </c>
      <c r="E18" s="17" t="s">
        <v>34</v>
      </c>
      <c r="F18" s="17" t="s">
        <v>35</v>
      </c>
      <c r="G18" s="17" t="s">
        <v>36</v>
      </c>
      <c r="H18" s="17" t="s">
        <v>37</v>
      </c>
      <c r="I18" s="17" t="s">
        <v>38</v>
      </c>
      <c r="J18" s="17" t="s">
        <v>39</v>
      </c>
      <c r="K18" s="17" t="s">
        <v>40</v>
      </c>
      <c r="L18" s="17" t="s">
        <v>41</v>
      </c>
      <c r="M18" s="17" t="s">
        <v>42</v>
      </c>
      <c r="N18" s="17" t="s">
        <v>43</v>
      </c>
    </row>
    <row r="19" customFormat="false" ht="15" hidden="false" customHeight="true" outlineLevel="0" collapsed="false">
      <c r="A19" s="18" t="n">
        <f aca="false">IF(C19="","",COUNTA($C$19:C19))</f>
        <v>1</v>
      </c>
      <c r="B19" s="19" t="n">
        <v>46090</v>
      </c>
      <c r="C19" s="20" t="s">
        <v>44</v>
      </c>
      <c r="D19" s="20" t="s">
        <v>45</v>
      </c>
      <c r="E19" s="20" t="s">
        <v>46</v>
      </c>
      <c r="F19" s="21" t="s">
        <v>47</v>
      </c>
      <c r="G19" s="22" t="n">
        <v>79.83</v>
      </c>
      <c r="H19" s="23" t="n">
        <v>0.19</v>
      </c>
      <c r="I19" s="24" t="n">
        <f aca="false">IF($G19="","",ROUND($G19*$H19,2))</f>
        <v>15.17</v>
      </c>
      <c r="J19" s="25" t="n">
        <f aca="false">IF($G19="","",$G19+$I19)</f>
        <v>95</v>
      </c>
      <c r="K19" s="23" t="n">
        <v>1</v>
      </c>
      <c r="L19" s="24" t="n">
        <f aca="false">IF($J19="","",ROUND($J19*(1-$K19),2))</f>
        <v>0</v>
      </c>
      <c r="M19" s="25" t="n">
        <f aca="false">IF($J19="","",$J19-$L19)</f>
        <v>95</v>
      </c>
      <c r="N19" s="26" t="s">
        <v>48</v>
      </c>
    </row>
    <row r="20" customFormat="false" ht="15" hidden="false" customHeight="true" outlineLevel="0" collapsed="false">
      <c r="A20" s="27" t="n">
        <f aca="false">IF(C20="","",COUNTA($C$19:C20))</f>
        <v>2</v>
      </c>
      <c r="B20" s="19" t="n">
        <v>46090</v>
      </c>
      <c r="C20" s="20" t="s">
        <v>44</v>
      </c>
      <c r="D20" s="20" t="s">
        <v>49</v>
      </c>
      <c r="E20" s="20" t="s">
        <v>46</v>
      </c>
      <c r="F20" s="21" t="s">
        <v>47</v>
      </c>
      <c r="G20" s="22" t="n">
        <v>21.5</v>
      </c>
      <c r="H20" s="23" t="n">
        <v>0.19</v>
      </c>
      <c r="I20" s="24" t="n">
        <f aca="false">IF($G20="","",ROUND($G20*$H20,2))</f>
        <v>4.09</v>
      </c>
      <c r="J20" s="25" t="n">
        <f aca="false">IF($G20="","",$G20+$I20)</f>
        <v>25.59</v>
      </c>
      <c r="K20" s="23" t="n">
        <v>1</v>
      </c>
      <c r="L20" s="24" t="n">
        <f aca="false">IF($J20="","",ROUND($J20*(1-$K20),2))</f>
        <v>0</v>
      </c>
      <c r="M20" s="25" t="n">
        <f aca="false">IF($J20="","",$J20-$L20)</f>
        <v>25.59</v>
      </c>
      <c r="N20" s="26" t="s">
        <v>48</v>
      </c>
    </row>
    <row r="21" customFormat="false" ht="15" hidden="false" customHeight="true" outlineLevel="0" collapsed="false">
      <c r="A21" s="18" t="n">
        <f aca="false">IF(C21="","",COUNTA($C$19:C21))</f>
        <v>3</v>
      </c>
      <c r="B21" s="19" t="n">
        <v>46090</v>
      </c>
      <c r="C21" s="20" t="s">
        <v>50</v>
      </c>
      <c r="D21" s="20" t="s">
        <v>51</v>
      </c>
      <c r="E21" s="20" t="s">
        <v>52</v>
      </c>
      <c r="F21" s="21" t="s">
        <v>47</v>
      </c>
      <c r="G21" s="22" t="n">
        <v>102.8</v>
      </c>
      <c r="H21" s="23" t="n">
        <v>0.07</v>
      </c>
      <c r="I21" s="24" t="n">
        <f aca="false">IF($G21="","",ROUND($G21*$H21,2))</f>
        <v>7.2</v>
      </c>
      <c r="J21" s="25" t="n">
        <f aca="false">IF($G21="","",$G21+$I21)</f>
        <v>110</v>
      </c>
      <c r="K21" s="23" t="n">
        <v>1</v>
      </c>
      <c r="L21" s="24" t="n">
        <f aca="false">IF($J21="","",ROUND($J21*(1-$K21),2))</f>
        <v>0</v>
      </c>
      <c r="M21" s="25" t="n">
        <f aca="false">IF($J21="","",$J21-$L21)</f>
        <v>110</v>
      </c>
      <c r="N21" s="26" t="s">
        <v>48</v>
      </c>
    </row>
    <row r="22" customFormat="false" ht="15" hidden="false" customHeight="true" outlineLevel="0" collapsed="false">
      <c r="A22" s="27" t="n">
        <f aca="false">IF(C22="","",COUNTA($C$19:C22))</f>
        <v>4</v>
      </c>
      <c r="B22" s="19" t="n">
        <v>46090</v>
      </c>
      <c r="C22" s="20" t="s">
        <v>53</v>
      </c>
      <c r="D22" s="20" t="s">
        <v>54</v>
      </c>
      <c r="E22" s="20" t="s">
        <v>46</v>
      </c>
      <c r="F22" s="21" t="s">
        <v>47</v>
      </c>
      <c r="G22" s="22" t="n">
        <v>16.81</v>
      </c>
      <c r="H22" s="23" t="n">
        <v>0.19</v>
      </c>
      <c r="I22" s="24" t="n">
        <f aca="false">IF($G22="","",ROUND($G22*$H22,2))</f>
        <v>3.19</v>
      </c>
      <c r="J22" s="25" t="n">
        <f aca="false">IF($G22="","",$G22+$I22)</f>
        <v>20</v>
      </c>
      <c r="K22" s="23" t="n">
        <v>1</v>
      </c>
      <c r="L22" s="24" t="n">
        <f aca="false">IF($J22="","",ROUND($J22*(1-$K22),2))</f>
        <v>0</v>
      </c>
      <c r="M22" s="25" t="n">
        <f aca="false">IF($J22="","",$J22-$L22)</f>
        <v>20</v>
      </c>
      <c r="N22" s="26" t="s">
        <v>48</v>
      </c>
    </row>
    <row r="23" customFormat="false" ht="15" hidden="false" customHeight="true" outlineLevel="0" collapsed="false">
      <c r="A23" s="18" t="n">
        <f aca="false">IF(C23="","",COUNTA($C$19:C23))</f>
        <v>5</v>
      </c>
      <c r="B23" s="19" t="n">
        <v>46091</v>
      </c>
      <c r="C23" s="20" t="s">
        <v>55</v>
      </c>
      <c r="D23" s="20" t="s">
        <v>56</v>
      </c>
      <c r="E23" s="20" t="s">
        <v>57</v>
      </c>
      <c r="F23" s="21" t="s">
        <v>47</v>
      </c>
      <c r="G23" s="22" t="n">
        <v>12.61</v>
      </c>
      <c r="H23" s="23" t="n">
        <v>0.19</v>
      </c>
      <c r="I23" s="24" t="n">
        <f aca="false">IF($G23="","",ROUND($G23*$H23,2))</f>
        <v>2.4</v>
      </c>
      <c r="J23" s="25" t="n">
        <f aca="false">IF($G23="","",$G23+$I23)</f>
        <v>15.01</v>
      </c>
      <c r="K23" s="23" t="n">
        <v>1</v>
      </c>
      <c r="L23" s="24" t="n">
        <f aca="false">IF($J23="","",ROUND($J23*(1-$K23),2))</f>
        <v>0</v>
      </c>
      <c r="M23" s="25" t="n">
        <f aca="false">IF($J23="","",$J23-$L23)</f>
        <v>15.01</v>
      </c>
      <c r="N23" s="26" t="s">
        <v>48</v>
      </c>
    </row>
    <row r="24" customFormat="false" ht="15" hidden="false" customHeight="true" outlineLevel="0" collapsed="false">
      <c r="A24" s="27" t="n">
        <f aca="false">IF(C24="","",COUNTA($C$19:C24))</f>
        <v>6</v>
      </c>
      <c r="B24" s="19" t="n">
        <v>46091</v>
      </c>
      <c r="C24" s="20" t="s">
        <v>50</v>
      </c>
      <c r="D24" s="20" t="s">
        <v>58</v>
      </c>
      <c r="E24" s="20" t="s">
        <v>52</v>
      </c>
      <c r="F24" s="21" t="s">
        <v>47</v>
      </c>
      <c r="G24" s="22" t="n">
        <v>102.8</v>
      </c>
      <c r="H24" s="23" t="n">
        <v>0.07</v>
      </c>
      <c r="I24" s="24" t="n">
        <f aca="false">IF($G24="","",ROUND($G24*$H24,2))</f>
        <v>7.2</v>
      </c>
      <c r="J24" s="25" t="n">
        <f aca="false">IF($G24="","",$G24+$I24)</f>
        <v>110</v>
      </c>
      <c r="K24" s="23" t="n">
        <v>1</v>
      </c>
      <c r="L24" s="24" t="n">
        <f aca="false">IF($J24="","",ROUND($J24*(1-$K24),2))</f>
        <v>0</v>
      </c>
      <c r="M24" s="25" t="n">
        <f aca="false">IF($J24="","",$J24-$L24)</f>
        <v>110</v>
      </c>
      <c r="N24" s="26" t="s">
        <v>48</v>
      </c>
    </row>
    <row r="25" customFormat="false" ht="15" hidden="false" customHeight="true" outlineLevel="0" collapsed="false">
      <c r="A25" s="18" t="n">
        <f aca="false">IF(C25="","",COUNTA($C$19:C25))</f>
        <v>7</v>
      </c>
      <c r="B25" s="19" t="n">
        <v>46091</v>
      </c>
      <c r="C25" s="20" t="s">
        <v>59</v>
      </c>
      <c r="D25" s="20" t="s">
        <v>60</v>
      </c>
      <c r="E25" s="20" t="s">
        <v>46</v>
      </c>
      <c r="F25" s="21" t="s">
        <v>47</v>
      </c>
      <c r="G25" s="22" t="n">
        <v>29.41</v>
      </c>
      <c r="H25" s="23" t="n">
        <v>0.19</v>
      </c>
      <c r="I25" s="24" t="n">
        <f aca="false">IF($G25="","",ROUND($G25*$H25,2))</f>
        <v>5.59</v>
      </c>
      <c r="J25" s="25" t="n">
        <f aca="false">IF($G25="","",$G25+$I25)</f>
        <v>35</v>
      </c>
      <c r="K25" s="23" t="n">
        <v>1</v>
      </c>
      <c r="L25" s="24" t="n">
        <f aca="false">IF($J25="","",ROUND($J25*(1-$K25),2))</f>
        <v>0</v>
      </c>
      <c r="M25" s="25" t="n">
        <f aca="false">IF($J25="","",$J25-$L25)</f>
        <v>35</v>
      </c>
      <c r="N25" s="26" t="s">
        <v>48</v>
      </c>
    </row>
    <row r="26" customFormat="false" ht="15" hidden="false" customHeight="true" outlineLevel="0" collapsed="false">
      <c r="A26" s="27" t="n">
        <f aca="false">IF(C26="","",COUNTA($C$19:C26))</f>
        <v>8</v>
      </c>
      <c r="B26" s="19" t="n">
        <v>46091</v>
      </c>
      <c r="C26" s="20" t="s">
        <v>61</v>
      </c>
      <c r="D26" s="20" t="s">
        <v>62</v>
      </c>
      <c r="E26" s="20" t="s">
        <v>46</v>
      </c>
      <c r="F26" s="21" t="s">
        <v>47</v>
      </c>
      <c r="G26" s="22" t="n">
        <v>89.08</v>
      </c>
      <c r="H26" s="23" t="n">
        <v>0.19</v>
      </c>
      <c r="I26" s="24" t="n">
        <f aca="false">IF($G26="","",ROUND($G26*$H26,2))</f>
        <v>16.93</v>
      </c>
      <c r="J26" s="25" t="n">
        <f aca="false">IF($G26="","",$G26+$I26)</f>
        <v>106.01</v>
      </c>
      <c r="K26" s="23" t="n">
        <v>1</v>
      </c>
      <c r="L26" s="24" t="n">
        <f aca="false">IF($J26="","",ROUND($J26*(1-$K26),2))</f>
        <v>0</v>
      </c>
      <c r="M26" s="25" t="n">
        <f aca="false">IF($J26="","",$J26-$L26)</f>
        <v>106.01</v>
      </c>
      <c r="N26" s="26" t="s">
        <v>48</v>
      </c>
    </row>
    <row r="27" customFormat="false" ht="15" hidden="false" customHeight="true" outlineLevel="0" collapsed="false">
      <c r="A27" s="18" t="n">
        <f aca="false">IF(C27="","",COUNTA($C$19:C27))</f>
        <v>9</v>
      </c>
      <c r="B27" s="19" t="n">
        <v>46091</v>
      </c>
      <c r="C27" s="20" t="s">
        <v>63</v>
      </c>
      <c r="D27" s="20" t="s">
        <v>64</v>
      </c>
      <c r="E27" s="20" t="s">
        <v>52</v>
      </c>
      <c r="F27" s="21" t="s">
        <v>47</v>
      </c>
      <c r="G27" s="22" t="n">
        <v>8.4</v>
      </c>
      <c r="H27" s="23" t="n">
        <v>0.19</v>
      </c>
      <c r="I27" s="24" t="n">
        <f aca="false">IF($G27="","",ROUND($G27*$H27,2))</f>
        <v>1.6</v>
      </c>
      <c r="J27" s="25" t="n">
        <f aca="false">IF($G27="","",$G27+$I27)</f>
        <v>10</v>
      </c>
      <c r="K27" s="23" t="n">
        <v>1</v>
      </c>
      <c r="L27" s="24" t="n">
        <f aca="false">IF($J27="","",ROUND($J27*(1-$K27),2))</f>
        <v>0</v>
      </c>
      <c r="M27" s="25" t="n">
        <f aca="false">IF($J27="","",$J27-$L27)</f>
        <v>10</v>
      </c>
      <c r="N27" s="26" t="s">
        <v>48</v>
      </c>
    </row>
    <row r="28" customFormat="false" ht="15" hidden="false" customHeight="true" outlineLevel="0" collapsed="false">
      <c r="A28" s="27" t="n">
        <f aca="false">IF(C28="","",COUNTA($C$19:C28))</f>
        <v>10</v>
      </c>
      <c r="B28" s="19" t="n">
        <v>46091</v>
      </c>
      <c r="C28" s="20" t="s">
        <v>61</v>
      </c>
      <c r="D28" s="20" t="s">
        <v>65</v>
      </c>
      <c r="E28" s="20" t="s">
        <v>57</v>
      </c>
      <c r="F28" s="21" t="s">
        <v>47</v>
      </c>
      <c r="G28" s="22" t="n">
        <v>16.6</v>
      </c>
      <c r="H28" s="23" t="n">
        <v>0.19</v>
      </c>
      <c r="I28" s="24" t="n">
        <f aca="false">IF($G28="","",ROUND($G28*$H28,2))</f>
        <v>3.15</v>
      </c>
      <c r="J28" s="25" t="n">
        <f aca="false">IF($G28="","",$G28+$I28)</f>
        <v>19.75</v>
      </c>
      <c r="K28" s="23" t="n">
        <v>1</v>
      </c>
      <c r="L28" s="24" t="n">
        <f aca="false">IF($J28="","",ROUND($J28*(1-$K28),2))</f>
        <v>0</v>
      </c>
      <c r="M28" s="25" t="n">
        <f aca="false">IF($J28="","",$J28-$L28)</f>
        <v>19.75</v>
      </c>
      <c r="N28" s="26" t="s">
        <v>48</v>
      </c>
    </row>
    <row r="29" customFormat="false" ht="15" hidden="false" customHeight="true" outlineLevel="0" collapsed="false">
      <c r="A29" s="18" t="n">
        <f aca="false">IF(C29="","",COUNTA($C$19:C29))</f>
        <v>11</v>
      </c>
      <c r="B29" s="19" t="n">
        <v>46092</v>
      </c>
      <c r="C29" s="20" t="s">
        <v>44</v>
      </c>
      <c r="D29" s="20" t="s">
        <v>66</v>
      </c>
      <c r="E29" s="20" t="s">
        <v>46</v>
      </c>
      <c r="F29" s="21" t="s">
        <v>47</v>
      </c>
      <c r="G29" s="22" t="n">
        <v>30.25</v>
      </c>
      <c r="H29" s="23" t="n">
        <v>0.19</v>
      </c>
      <c r="I29" s="24" t="n">
        <f aca="false">IF($G29="","",ROUND($G29*$H29,2))</f>
        <v>5.75</v>
      </c>
      <c r="J29" s="25" t="n">
        <f aca="false">IF($G29="","",$G29+$I29)</f>
        <v>36</v>
      </c>
      <c r="K29" s="23" t="n">
        <v>1</v>
      </c>
      <c r="L29" s="24" t="n">
        <f aca="false">IF($J29="","",ROUND($J29*(1-$K29),2))</f>
        <v>0</v>
      </c>
      <c r="M29" s="25" t="n">
        <f aca="false">IF($J29="","",$J29-$L29)</f>
        <v>36</v>
      </c>
      <c r="N29" s="26" t="s">
        <v>48</v>
      </c>
    </row>
    <row r="30" customFormat="false" ht="15" hidden="false" customHeight="true" outlineLevel="0" collapsed="false">
      <c r="A30" s="27" t="n">
        <f aca="false">IF(C30="","",COUNTA($C$19:C30))</f>
        <v>12</v>
      </c>
      <c r="B30" s="19" t="n">
        <v>46092</v>
      </c>
      <c r="C30" s="20" t="s">
        <v>44</v>
      </c>
      <c r="D30" s="20" t="s">
        <v>67</v>
      </c>
      <c r="E30" s="20" t="s">
        <v>46</v>
      </c>
      <c r="F30" s="21" t="s">
        <v>47</v>
      </c>
      <c r="G30" s="22" t="n">
        <v>92.44</v>
      </c>
      <c r="H30" s="23" t="n">
        <v>0.19</v>
      </c>
      <c r="I30" s="24" t="n">
        <f aca="false">IF($G30="","",ROUND($G30*$H30,2))</f>
        <v>17.56</v>
      </c>
      <c r="J30" s="25" t="n">
        <f aca="false">IF($G30="","",$G30+$I30)</f>
        <v>110</v>
      </c>
      <c r="K30" s="23" t="n">
        <v>0.5</v>
      </c>
      <c r="L30" s="24" t="n">
        <f aca="false">IF($J30="","",ROUND($J30*(1-$K30),2))</f>
        <v>55</v>
      </c>
      <c r="M30" s="25" t="n">
        <f aca="false">IF($J30="","",$J30-$L30)</f>
        <v>55</v>
      </c>
      <c r="N30" s="26" t="s">
        <v>68</v>
      </c>
    </row>
    <row r="31" customFormat="false" ht="15" hidden="false" customHeight="true" outlineLevel="0" collapsed="false">
      <c r="A31" s="18" t="n">
        <f aca="false">IF(C31="","",COUNTA($C$19:C31))</f>
        <v>13</v>
      </c>
      <c r="B31" s="19" t="n">
        <v>46092</v>
      </c>
      <c r="C31" s="20" t="s">
        <v>69</v>
      </c>
      <c r="D31" s="20" t="s">
        <v>70</v>
      </c>
      <c r="E31" s="20" t="s">
        <v>57</v>
      </c>
      <c r="F31" s="21" t="s">
        <v>71</v>
      </c>
      <c r="G31" s="22" t="n">
        <v>4.2</v>
      </c>
      <c r="H31" s="23" t="n">
        <v>0</v>
      </c>
      <c r="I31" s="24" t="n">
        <f aca="false">IF($G31="","",ROUND($G31*$H31,2))</f>
        <v>0</v>
      </c>
      <c r="J31" s="25" t="n">
        <f aca="false">IF($G31="","",$G31+$I31)</f>
        <v>4.2</v>
      </c>
      <c r="K31" s="23" t="n">
        <v>1</v>
      </c>
      <c r="L31" s="24" t="n">
        <f aca="false">IF($J31="","",ROUND($J31*(1-$K31),2))</f>
        <v>0</v>
      </c>
      <c r="M31" s="25" t="n">
        <f aca="false">IF($J31="","",$J31-$L31)</f>
        <v>4.2</v>
      </c>
      <c r="N31" s="26" t="s">
        <v>68</v>
      </c>
    </row>
    <row r="32" customFormat="false" ht="15" hidden="false" customHeight="true" outlineLevel="0" collapsed="false">
      <c r="A32" s="27" t="str">
        <f aca="false">IF(C32="","",COUNTA($C$19:C32))</f>
        <v/>
      </c>
      <c r="B32" s="19"/>
      <c r="C32" s="20"/>
      <c r="D32" s="20"/>
      <c r="E32" s="20"/>
      <c r="F32" s="21"/>
      <c r="G32" s="22"/>
      <c r="H32" s="23"/>
      <c r="I32" s="24" t="str">
        <f aca="false">IF($G32="","",ROUND($G32*$H32,2))</f>
        <v/>
      </c>
      <c r="J32" s="25" t="str">
        <f aca="false">IF($G32="","",$G32+$I32)</f>
        <v/>
      </c>
      <c r="K32" s="23"/>
      <c r="L32" s="24" t="str">
        <f aca="false">IF($J32="","",ROUND($J32*(1-$K32),2))</f>
        <v/>
      </c>
      <c r="M32" s="25" t="str">
        <f aca="false">IF($J32="","",$J32-$L32)</f>
        <v/>
      </c>
      <c r="N32" s="28"/>
    </row>
    <row r="33" customFormat="false" ht="15" hidden="false" customHeight="true" outlineLevel="0" collapsed="false">
      <c r="A33" s="18" t="str">
        <f aca="false">IF(C33="","",COUNTA($C$19:C33))</f>
        <v/>
      </c>
      <c r="B33" s="19"/>
      <c r="C33" s="20"/>
      <c r="D33" s="20"/>
      <c r="E33" s="20"/>
      <c r="F33" s="21"/>
      <c r="G33" s="22"/>
      <c r="H33" s="23"/>
      <c r="I33" s="24" t="str">
        <f aca="false">IF($G33="","",ROUND($G33*$H33,2))</f>
        <v/>
      </c>
      <c r="J33" s="25" t="str">
        <f aca="false">IF($G33="","",$G33+$I33)</f>
        <v/>
      </c>
      <c r="K33" s="23"/>
      <c r="L33" s="24" t="str">
        <f aca="false">IF($J33="","",ROUND($J33*(1-$K33),2))</f>
        <v/>
      </c>
      <c r="M33" s="25" t="str">
        <f aca="false">IF($J33="","",$J33-$L33)</f>
        <v/>
      </c>
      <c r="N33" s="29"/>
    </row>
    <row r="34" customFormat="false" ht="15" hidden="false" customHeight="true" outlineLevel="0" collapsed="false">
      <c r="A34" s="27" t="str">
        <f aca="false">IF(C34="","",COUNTA($C$19:C34))</f>
        <v/>
      </c>
      <c r="B34" s="19"/>
      <c r="C34" s="20"/>
      <c r="D34" s="20"/>
      <c r="E34" s="20"/>
      <c r="F34" s="21"/>
      <c r="G34" s="22"/>
      <c r="H34" s="23"/>
      <c r="I34" s="24" t="str">
        <f aca="false">IF($G34="","",ROUND($G34*$H34,2))</f>
        <v/>
      </c>
      <c r="J34" s="25" t="str">
        <f aca="false">IF($G34="","",$G34+$I34)</f>
        <v/>
      </c>
      <c r="K34" s="23"/>
      <c r="L34" s="24" t="str">
        <f aca="false">IF($J34="","",ROUND($J34*(1-$K34),2))</f>
        <v/>
      </c>
      <c r="M34" s="25" t="str">
        <f aca="false">IF($J34="","",$J34-$L34)</f>
        <v/>
      </c>
      <c r="N34" s="28"/>
    </row>
    <row r="35" customFormat="false" ht="15" hidden="false" customHeight="true" outlineLevel="0" collapsed="false">
      <c r="A35" s="18" t="str">
        <f aca="false">IF(C35="","",COUNTA($C$19:C35))</f>
        <v/>
      </c>
      <c r="B35" s="19"/>
      <c r="C35" s="20"/>
      <c r="D35" s="20"/>
      <c r="E35" s="20"/>
      <c r="F35" s="21"/>
      <c r="G35" s="22"/>
      <c r="H35" s="23"/>
      <c r="I35" s="24" t="str">
        <f aca="false">IF($G35="","",ROUND($G35*$H35,2))</f>
        <v/>
      </c>
      <c r="J35" s="25" t="str">
        <f aca="false">IF($G35="","",$G35+$I35)</f>
        <v/>
      </c>
      <c r="K35" s="23"/>
      <c r="L35" s="24" t="str">
        <f aca="false">IF($J35="","",ROUND($J35*(1-$K35),2))</f>
        <v/>
      </c>
      <c r="M35" s="25" t="str">
        <f aca="false">IF($J35="","",$J35-$L35)</f>
        <v/>
      </c>
      <c r="N35" s="29"/>
    </row>
    <row r="36" customFormat="false" ht="18.75" hidden="false" customHeight="true" outlineLevel="0" collapsed="false">
      <c r="A36" s="30" t="s">
        <v>72</v>
      </c>
      <c r="B36" s="30"/>
      <c r="C36" s="30"/>
      <c r="D36" s="30"/>
      <c r="E36" s="30"/>
      <c r="F36" s="30"/>
      <c r="G36" s="31" t="n">
        <f aca="false">SUM(G19:G35)</f>
        <v>606.73</v>
      </c>
      <c r="H36" s="32"/>
      <c r="I36" s="31" t="n">
        <f aca="false">SUM(I19:I35)</f>
        <v>89.83</v>
      </c>
      <c r="J36" s="31" t="n">
        <f aca="false">SUM(J19:J35)</f>
        <v>696.56</v>
      </c>
      <c r="K36" s="32"/>
      <c r="L36" s="31" t="n">
        <f aca="false">SUM(L19:L35)</f>
        <v>55</v>
      </c>
      <c r="M36" s="33" t="n">
        <f aca="false">SUM(M19:M35)</f>
        <v>641.56</v>
      </c>
      <c r="N36" s="32"/>
    </row>
    <row r="37" customFormat="false" ht="6" hidden="false" customHeight="true" outlineLevel="0" collapsed="false"/>
    <row r="38" customFormat="false" ht="18" hidden="false" customHeight="true" outlineLevel="0" collapsed="false">
      <c r="A38" s="6" t="s">
        <v>73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customFormat="false" ht="15" hidden="false" customHeight="true" outlineLevel="0" collapsed="false">
      <c r="A39" s="34" t="s">
        <v>74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customFormat="false" ht="25.5" hidden="false" customHeight="true" outlineLevel="0" collapsed="false">
      <c r="A40" s="35"/>
      <c r="B40" s="17" t="s">
        <v>31</v>
      </c>
      <c r="C40" s="36" t="s">
        <v>75</v>
      </c>
      <c r="D40" s="36"/>
      <c r="E40" s="17" t="s">
        <v>76</v>
      </c>
      <c r="F40" s="17" t="s">
        <v>77</v>
      </c>
      <c r="G40" s="17" t="s">
        <v>78</v>
      </c>
      <c r="H40" s="17" t="s">
        <v>79</v>
      </c>
      <c r="I40" s="17" t="s">
        <v>80</v>
      </c>
      <c r="J40" s="17" t="s">
        <v>81</v>
      </c>
    </row>
    <row r="41" customFormat="false" ht="15" hidden="false" customHeight="true" outlineLevel="0" collapsed="false">
      <c r="A41" s="37"/>
      <c r="B41" s="19" t="n">
        <v>46090</v>
      </c>
      <c r="C41" s="38" t="s">
        <v>82</v>
      </c>
      <c r="D41" s="38"/>
      <c r="E41" s="24" t="n">
        <f aca="false">IF($C41="","",IF($C41="Ganztag (24 Std.)",Satz_Ganztag,IF($C41="kein Anspruch",0,Satz_Teiltag)))</f>
        <v>14</v>
      </c>
      <c r="F41" s="21" t="s">
        <v>71</v>
      </c>
      <c r="G41" s="21" t="s">
        <v>71</v>
      </c>
      <c r="H41" s="21" t="s">
        <v>71</v>
      </c>
      <c r="I41" s="24" t="n">
        <f aca="false">IF($C41="",0,IF($F41="Ja",Kuerzung_F,0)+IF($G41="Ja",Kuerzung_MA,0)+IF($H41="Ja",Kuerzung_MA,0))</f>
        <v>0</v>
      </c>
      <c r="J41" s="25" t="n">
        <f aca="false">IF($C41="","",MAX(0,$E41-$I41))</f>
        <v>14</v>
      </c>
      <c r="K41" s="37"/>
      <c r="L41" s="37"/>
      <c r="M41" s="37"/>
      <c r="N41" s="37"/>
    </row>
    <row r="42" customFormat="false" ht="15" hidden="false" customHeight="true" outlineLevel="0" collapsed="false">
      <c r="A42" s="39"/>
      <c r="B42" s="19" t="n">
        <v>46091</v>
      </c>
      <c r="C42" s="38" t="s">
        <v>83</v>
      </c>
      <c r="D42" s="38"/>
      <c r="E42" s="24" t="n">
        <f aca="false">IF($C42="","",IF($C42="Ganztag (24 Std.)",Satz_Ganztag,IF($C42="kein Anspruch",0,Satz_Teiltag)))</f>
        <v>28</v>
      </c>
      <c r="F42" s="21" t="s">
        <v>47</v>
      </c>
      <c r="G42" s="21" t="s">
        <v>71</v>
      </c>
      <c r="H42" s="21" t="s">
        <v>47</v>
      </c>
      <c r="I42" s="24" t="n">
        <f aca="false">IF($C42="",0,IF($F42="Ja",Kuerzung_F,0)+IF($G42="Ja",Kuerzung_MA,0)+IF($H42="Ja",Kuerzung_MA,0))</f>
        <v>16.8</v>
      </c>
      <c r="J42" s="25" t="n">
        <f aca="false">IF($C42="","",MAX(0,$E42-$I42))</f>
        <v>11.2</v>
      </c>
      <c r="K42" s="39"/>
      <c r="L42" s="39"/>
      <c r="M42" s="39"/>
      <c r="N42" s="39"/>
    </row>
    <row r="43" customFormat="false" ht="15" hidden="false" customHeight="true" outlineLevel="0" collapsed="false">
      <c r="A43" s="37"/>
      <c r="B43" s="19" t="n">
        <v>46092</v>
      </c>
      <c r="C43" s="38" t="s">
        <v>82</v>
      </c>
      <c r="D43" s="38"/>
      <c r="E43" s="24" t="n">
        <f aca="false">IF($C43="","",IF($C43="Ganztag (24 Std.)",Satz_Ganztag,IF($C43="kein Anspruch",0,Satz_Teiltag)))</f>
        <v>14</v>
      </c>
      <c r="F43" s="21" t="s">
        <v>47</v>
      </c>
      <c r="G43" s="21" t="s">
        <v>71</v>
      </c>
      <c r="H43" s="21" t="s">
        <v>71</v>
      </c>
      <c r="I43" s="24" t="n">
        <f aca="false">IF($C43="",0,IF($F43="Ja",Kuerzung_F,0)+IF($G43="Ja",Kuerzung_MA,0)+IF($H43="Ja",Kuerzung_MA,0))</f>
        <v>5.6</v>
      </c>
      <c r="J43" s="25" t="n">
        <f aca="false">IF($C43="","",MAX(0,$E43-$I43))</f>
        <v>8.4</v>
      </c>
      <c r="K43" s="37"/>
      <c r="L43" s="37"/>
      <c r="M43" s="37"/>
      <c r="N43" s="37"/>
    </row>
    <row r="44" customFormat="false" ht="15" hidden="false" customHeight="true" outlineLevel="0" collapsed="false">
      <c r="A44" s="39"/>
      <c r="B44" s="19"/>
      <c r="C44" s="38"/>
      <c r="D44" s="38"/>
      <c r="E44" s="24" t="str">
        <f aca="false">IF($C44="","",IF($C44="Ganztag (24 Std.)",Satz_Ganztag,IF($C44="kein Anspruch",0,Satz_Teiltag)))</f>
        <v/>
      </c>
      <c r="F44" s="21"/>
      <c r="G44" s="21"/>
      <c r="H44" s="21"/>
      <c r="I44" s="24" t="n">
        <f aca="false">IF($C44="",0,IF($F44="Ja",Kuerzung_F,0)+IF($G44="Ja",Kuerzung_MA,0)+IF($H44="Ja",Kuerzung_MA,0))</f>
        <v>0</v>
      </c>
      <c r="J44" s="25" t="str">
        <f aca="false">IF($C44="","",MAX(0,$E44-$I44))</f>
        <v/>
      </c>
      <c r="K44" s="39"/>
      <c r="L44" s="39"/>
      <c r="M44" s="39"/>
      <c r="N44" s="39"/>
    </row>
    <row r="45" customFormat="false" ht="18" hidden="false" customHeight="true" outlineLevel="0" collapsed="false">
      <c r="A45" s="32"/>
      <c r="B45" s="30" t="s">
        <v>84</v>
      </c>
      <c r="C45" s="30"/>
      <c r="D45" s="30"/>
      <c r="E45" s="30"/>
      <c r="F45" s="30"/>
      <c r="G45" s="30"/>
      <c r="H45" s="30"/>
      <c r="I45" s="30"/>
      <c r="J45" s="33" t="n">
        <f aca="false">SUM(J41:J44)</f>
        <v>33.6</v>
      </c>
    </row>
    <row r="46" customFormat="false" ht="6" hidden="false" customHeight="true" outlineLevel="0" collapsed="false"/>
    <row r="47" customFormat="false" ht="18" hidden="false" customHeight="true" outlineLevel="0" collapsed="false">
      <c r="A47" s="6" t="s">
        <v>85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customFormat="false" ht="15.75" hidden="false" customHeight="true" outlineLevel="0" collapsed="false">
      <c r="A48" s="35"/>
      <c r="B48" s="40" t="s">
        <v>31</v>
      </c>
      <c r="C48" s="40" t="s">
        <v>86</v>
      </c>
      <c r="D48" s="40"/>
      <c r="E48" s="40"/>
      <c r="F48" s="40" t="s">
        <v>87</v>
      </c>
      <c r="G48" s="40" t="s">
        <v>88</v>
      </c>
      <c r="H48" s="40"/>
      <c r="I48" s="40" t="s">
        <v>89</v>
      </c>
      <c r="J48" s="40"/>
      <c r="K48" s="40"/>
      <c r="L48" s="40"/>
      <c r="M48" s="40"/>
      <c r="N48" s="40"/>
    </row>
    <row r="49" customFormat="false" ht="15" hidden="false" customHeight="true" outlineLevel="0" collapsed="false">
      <c r="A49" s="37"/>
      <c r="B49" s="19" t="n">
        <v>46090</v>
      </c>
      <c r="C49" s="38" t="s">
        <v>90</v>
      </c>
      <c r="D49" s="38"/>
      <c r="E49" s="38"/>
      <c r="F49" s="41" t="n">
        <v>18</v>
      </c>
      <c r="G49" s="42" t="n">
        <f aca="false">Satz_KM</f>
        <v>0.3</v>
      </c>
      <c r="H49" s="42"/>
      <c r="I49" s="43" t="n">
        <f aca="false">IF($F49="","",ROUND($F49*$G49,2))</f>
        <v>5.4</v>
      </c>
      <c r="J49" s="43"/>
      <c r="K49" s="43"/>
      <c r="L49" s="43"/>
      <c r="M49" s="43"/>
      <c r="N49" s="43"/>
    </row>
    <row r="50" customFormat="false" ht="15" hidden="false" customHeight="true" outlineLevel="0" collapsed="false">
      <c r="A50" s="39"/>
      <c r="B50" s="19" t="n">
        <v>46092</v>
      </c>
      <c r="C50" s="38" t="s">
        <v>91</v>
      </c>
      <c r="D50" s="38"/>
      <c r="E50" s="38"/>
      <c r="F50" s="41" t="n">
        <v>18</v>
      </c>
      <c r="G50" s="42" t="n">
        <f aca="false">Satz_KM</f>
        <v>0.3</v>
      </c>
      <c r="H50" s="42"/>
      <c r="I50" s="43" t="n">
        <f aca="false">IF($F50="","",ROUND($F50*$G50,2))</f>
        <v>5.4</v>
      </c>
      <c r="J50" s="43"/>
      <c r="K50" s="43"/>
      <c r="L50" s="43"/>
      <c r="M50" s="43"/>
      <c r="N50" s="43"/>
    </row>
    <row r="51" customFormat="false" ht="15" hidden="false" customHeight="true" outlineLevel="0" collapsed="false">
      <c r="A51" s="37"/>
      <c r="B51" s="19"/>
      <c r="C51" s="38"/>
      <c r="D51" s="38"/>
      <c r="E51" s="38"/>
      <c r="F51" s="41"/>
      <c r="G51" s="42" t="n">
        <f aca="false">Satz_KM</f>
        <v>0.3</v>
      </c>
      <c r="H51" s="42"/>
      <c r="I51" s="43" t="str">
        <f aca="false">IF($F51="","",ROUND($F51*$G51,2))</f>
        <v/>
      </c>
      <c r="J51" s="43"/>
      <c r="K51" s="43"/>
      <c r="L51" s="43"/>
      <c r="M51" s="43"/>
      <c r="N51" s="43"/>
    </row>
    <row r="52" customFormat="false" ht="18" hidden="false" customHeight="true" outlineLevel="0" collapsed="false">
      <c r="A52" s="32"/>
      <c r="B52" s="30" t="s">
        <v>92</v>
      </c>
      <c r="C52" s="30"/>
      <c r="D52" s="30"/>
      <c r="E52" s="30"/>
      <c r="F52" s="30"/>
      <c r="G52" s="30"/>
      <c r="H52" s="30"/>
      <c r="I52" s="44" t="n">
        <f aca="false">SUM(I49:I51)</f>
        <v>10.8</v>
      </c>
      <c r="J52" s="44"/>
      <c r="K52" s="44"/>
      <c r="L52" s="44"/>
      <c r="M52" s="44"/>
      <c r="N52" s="44"/>
    </row>
    <row r="53" customFormat="false" ht="6" hidden="false" customHeight="true" outlineLevel="0" collapsed="false"/>
    <row r="54" customFormat="false" ht="18" hidden="false" customHeight="true" outlineLevel="0" collapsed="false">
      <c r="A54" s="6" t="s">
        <v>93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customFormat="false" ht="16.5" hidden="false" customHeight="true" outlineLevel="0" collapsed="false">
      <c r="B55" s="45" t="s">
        <v>94</v>
      </c>
      <c r="C55" s="45"/>
      <c r="D55" s="45"/>
      <c r="E55" s="45"/>
      <c r="F55" s="45"/>
      <c r="G55" s="45"/>
      <c r="H55" s="45"/>
      <c r="I55" s="45"/>
      <c r="J55" s="46" t="n">
        <f aca="false">SUMIFS(M19:M35,E19:E35,"&lt;&gt;Firmenkarte")</f>
        <v>411.56</v>
      </c>
      <c r="K55" s="46"/>
      <c r="L55" s="46"/>
      <c r="M55" s="46"/>
      <c r="N55" s="46"/>
    </row>
    <row r="56" customFormat="false" ht="16.5" hidden="false" customHeight="true" outlineLevel="0" collapsed="false">
      <c r="B56" s="45" t="s">
        <v>95</v>
      </c>
      <c r="C56" s="45"/>
      <c r="D56" s="45"/>
      <c r="E56" s="45"/>
      <c r="F56" s="45"/>
      <c r="G56" s="45"/>
      <c r="H56" s="45"/>
      <c r="I56" s="45"/>
      <c r="J56" s="46" t="n">
        <f aca="false">SUM(J41:J44)</f>
        <v>33.6</v>
      </c>
      <c r="K56" s="46"/>
      <c r="L56" s="46"/>
      <c r="M56" s="46"/>
      <c r="N56" s="46"/>
    </row>
    <row r="57" customFormat="false" ht="16.5" hidden="false" customHeight="true" outlineLevel="0" collapsed="false">
      <c r="B57" s="45" t="s">
        <v>96</v>
      </c>
      <c r="C57" s="45"/>
      <c r="D57" s="45"/>
      <c r="E57" s="45"/>
      <c r="F57" s="45"/>
      <c r="G57" s="45"/>
      <c r="H57" s="45"/>
      <c r="I57" s="45"/>
      <c r="J57" s="46" t="n">
        <f aca="false">SUM(I49:I51)</f>
        <v>10.8</v>
      </c>
      <c r="K57" s="46"/>
      <c r="L57" s="46"/>
      <c r="M57" s="46"/>
      <c r="N57" s="46"/>
    </row>
    <row r="58" customFormat="false" ht="16.5" hidden="false" customHeight="true" outlineLevel="0" collapsed="false">
      <c r="B58" s="45" t="s">
        <v>97</v>
      </c>
      <c r="C58" s="45"/>
      <c r="D58" s="45"/>
      <c r="E58" s="45"/>
      <c r="F58" s="45"/>
      <c r="G58" s="45"/>
      <c r="H58" s="45"/>
      <c r="I58" s="45"/>
      <c r="J58" s="46" t="n">
        <f aca="false">-J60</f>
        <v>-150</v>
      </c>
      <c r="K58" s="46"/>
      <c r="L58" s="46"/>
      <c r="M58" s="46"/>
      <c r="N58" s="46"/>
    </row>
    <row r="59" customFormat="false" ht="24" hidden="false" customHeight="true" outlineLevel="0" collapsed="false">
      <c r="A59" s="32"/>
      <c r="B59" s="47" t="s">
        <v>98</v>
      </c>
      <c r="C59" s="47"/>
      <c r="D59" s="47"/>
      <c r="E59" s="47"/>
      <c r="F59" s="47"/>
      <c r="G59" s="47"/>
      <c r="H59" s="47"/>
      <c r="I59" s="47"/>
      <c r="J59" s="48" t="n">
        <f aca="false">J55+J56+J57+J58</f>
        <v>305.96</v>
      </c>
      <c r="K59" s="48"/>
      <c r="L59" s="48"/>
      <c r="M59" s="48"/>
      <c r="N59" s="48"/>
    </row>
    <row r="60" customFormat="false" ht="15.75" hidden="false" customHeight="true" outlineLevel="0" collapsed="false">
      <c r="B60" s="49" t="s">
        <v>99</v>
      </c>
      <c r="C60" s="49"/>
      <c r="D60" s="49"/>
      <c r="E60" s="49"/>
      <c r="F60" s="49"/>
      <c r="G60" s="49"/>
      <c r="H60" s="49"/>
      <c r="I60" s="49"/>
      <c r="J60" s="50" t="n">
        <v>150</v>
      </c>
      <c r="K60" s="50"/>
      <c r="L60" s="50"/>
      <c r="M60" s="50"/>
      <c r="N60" s="50"/>
    </row>
    <row r="61" customFormat="false" ht="13.5" hidden="false" customHeight="true" outlineLevel="0" collapsed="false">
      <c r="B61" s="51" t="s">
        <v>100</v>
      </c>
      <c r="C61" s="51"/>
      <c r="D61" s="51"/>
      <c r="E61" s="51"/>
      <c r="F61" s="51"/>
      <c r="G61" s="51"/>
      <c r="H61" s="51"/>
      <c r="I61" s="51"/>
      <c r="J61" s="52" t="n">
        <f aca="false">SUMIFS(M19:M35,E19:E35,"Firmenkarte")</f>
        <v>230</v>
      </c>
      <c r="K61" s="52"/>
      <c r="L61" s="52"/>
      <c r="M61" s="52"/>
      <c r="N61" s="52"/>
    </row>
    <row r="62" customFormat="false" ht="6" hidden="false" customHeight="true" outlineLevel="0" collapsed="false"/>
    <row r="63" customFormat="false" ht="18" hidden="false" customHeight="true" outlineLevel="0" collapsed="false">
      <c r="A63" s="6" t="s">
        <v>101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customFormat="false" ht="7.5" hidden="false" customHeight="true" outlineLevel="0" collapsed="false"/>
    <row r="66" customFormat="false" ht="25.5" hidden="false" customHeight="true" outlineLevel="0" collapsed="false">
      <c r="B66" s="53"/>
      <c r="C66" s="53"/>
      <c r="D66" s="53"/>
      <c r="F66" s="53"/>
      <c r="G66" s="53"/>
      <c r="H66" s="53"/>
      <c r="I66" s="53"/>
      <c r="K66" s="53"/>
      <c r="L66" s="53"/>
      <c r="M66" s="53"/>
      <c r="N66" s="53"/>
    </row>
    <row r="67" customFormat="false" ht="13.5" hidden="false" customHeight="true" outlineLevel="0" collapsed="false">
      <c r="B67" s="54" t="s">
        <v>102</v>
      </c>
      <c r="C67" s="54"/>
      <c r="D67" s="54"/>
      <c r="F67" s="54" t="s">
        <v>103</v>
      </c>
      <c r="G67" s="54"/>
      <c r="H67" s="54"/>
      <c r="I67" s="54"/>
      <c r="K67" s="54" t="s">
        <v>104</v>
      </c>
      <c r="L67" s="54"/>
      <c r="M67" s="54"/>
      <c r="N67" s="54"/>
    </row>
    <row r="68" customFormat="false" ht="6" hidden="false" customHeight="true" outlineLevel="0" collapsed="false"/>
    <row r="69" customFormat="false" ht="15.75" hidden="false" customHeight="true" outlineLevel="0" collapsed="false">
      <c r="A69" s="55" t="s">
        <v>105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</row>
    <row r="70" customFormat="false" ht="13.5" hidden="false" customHeight="true" outlineLevel="0" collapsed="false">
      <c r="A70" s="56" t="s">
        <v>106</v>
      </c>
      <c r="B70" s="57" t="s">
        <v>107</v>
      </c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</row>
    <row r="71" customFormat="false" ht="13.5" hidden="false" customHeight="true" outlineLevel="0" collapsed="false">
      <c r="A71" s="56" t="s">
        <v>106</v>
      </c>
      <c r="B71" s="57" t="s">
        <v>108</v>
      </c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</row>
    <row r="72" customFormat="false" ht="13.5" hidden="false" customHeight="true" outlineLevel="0" collapsed="false">
      <c r="A72" s="56" t="s">
        <v>106</v>
      </c>
      <c r="B72" s="57" t="s">
        <v>109</v>
      </c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</row>
    <row r="73" customFormat="false" ht="13.5" hidden="false" customHeight="true" outlineLevel="0" collapsed="false">
      <c r="A73" s="56" t="s">
        <v>106</v>
      </c>
      <c r="B73" s="57" t="s">
        <v>110</v>
      </c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</row>
    <row r="74" customFormat="false" ht="13.5" hidden="false" customHeight="true" outlineLevel="0" collapsed="false">
      <c r="A74" s="56" t="s">
        <v>106</v>
      </c>
      <c r="B74" s="57" t="s">
        <v>111</v>
      </c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</row>
    <row r="76" customFormat="false" ht="21.75" hidden="false" customHeight="true" outlineLevel="0" collapsed="false">
      <c r="A76" s="58" t="s">
        <v>112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</row>
  </sheetData>
  <mergeCells count="96">
    <mergeCell ref="A1:J2"/>
    <mergeCell ref="K1:N1"/>
    <mergeCell ref="K2:N2"/>
    <mergeCell ref="A3:N3"/>
    <mergeCell ref="A4:N4"/>
    <mergeCell ref="A5:N5"/>
    <mergeCell ref="A6:B6"/>
    <mergeCell ref="C6:F6"/>
    <mergeCell ref="G6:H6"/>
    <mergeCell ref="I6:N6"/>
    <mergeCell ref="A7:B7"/>
    <mergeCell ref="C7:F7"/>
    <mergeCell ref="G7:H7"/>
    <mergeCell ref="I7:N7"/>
    <mergeCell ref="A8:B8"/>
    <mergeCell ref="C8:F8"/>
    <mergeCell ref="G8:H8"/>
    <mergeCell ref="I8:N8"/>
    <mergeCell ref="A9:B9"/>
    <mergeCell ref="C9:F9"/>
    <mergeCell ref="G9:H9"/>
    <mergeCell ref="I9:N9"/>
    <mergeCell ref="A10:B10"/>
    <mergeCell ref="C10:F10"/>
    <mergeCell ref="G10:H10"/>
    <mergeCell ref="I10:N10"/>
    <mergeCell ref="A11:B11"/>
    <mergeCell ref="C11:F11"/>
    <mergeCell ref="G11:H11"/>
    <mergeCell ref="I11:N11"/>
    <mergeCell ref="A13:D13"/>
    <mergeCell ref="E13:G13"/>
    <mergeCell ref="H13:J13"/>
    <mergeCell ref="K13:N13"/>
    <mergeCell ref="A14:D14"/>
    <mergeCell ref="E14:G14"/>
    <mergeCell ref="H14:J14"/>
    <mergeCell ref="K14:N14"/>
    <mergeCell ref="A15:D15"/>
    <mergeCell ref="E15:G15"/>
    <mergeCell ref="H15:J15"/>
    <mergeCell ref="K15:N15"/>
    <mergeCell ref="A17:N17"/>
    <mergeCell ref="A36:F36"/>
    <mergeCell ref="A38:N38"/>
    <mergeCell ref="A39:N39"/>
    <mergeCell ref="C40:D40"/>
    <mergeCell ref="C41:D41"/>
    <mergeCell ref="C42:D42"/>
    <mergeCell ref="C43:D43"/>
    <mergeCell ref="C44:D44"/>
    <mergeCell ref="B45:I45"/>
    <mergeCell ref="A47:N47"/>
    <mergeCell ref="C48:E48"/>
    <mergeCell ref="G48:H48"/>
    <mergeCell ref="I48:N48"/>
    <mergeCell ref="C49:E49"/>
    <mergeCell ref="G49:H49"/>
    <mergeCell ref="I49:N49"/>
    <mergeCell ref="C50:E50"/>
    <mergeCell ref="G50:H50"/>
    <mergeCell ref="I50:N50"/>
    <mergeCell ref="C51:E51"/>
    <mergeCell ref="G51:H51"/>
    <mergeCell ref="I51:N51"/>
    <mergeCell ref="B52:H52"/>
    <mergeCell ref="I52:N52"/>
    <mergeCell ref="A54:N54"/>
    <mergeCell ref="B55:I55"/>
    <mergeCell ref="J55:N55"/>
    <mergeCell ref="B56:I56"/>
    <mergeCell ref="J56:N56"/>
    <mergeCell ref="B57:I57"/>
    <mergeCell ref="J57:N57"/>
    <mergeCell ref="B58:I58"/>
    <mergeCell ref="J58:N58"/>
    <mergeCell ref="B59:I59"/>
    <mergeCell ref="J59:N59"/>
    <mergeCell ref="B60:I60"/>
    <mergeCell ref="J60:N60"/>
    <mergeCell ref="B61:I61"/>
    <mergeCell ref="J61:N61"/>
    <mergeCell ref="A63:N63"/>
    <mergeCell ref="B66:D66"/>
    <mergeCell ref="F66:I66"/>
    <mergeCell ref="K66:N66"/>
    <mergeCell ref="B67:D67"/>
    <mergeCell ref="F67:I67"/>
    <mergeCell ref="K67:N67"/>
    <mergeCell ref="A69:N69"/>
    <mergeCell ref="B70:N70"/>
    <mergeCell ref="B71:N71"/>
    <mergeCell ref="B72:N72"/>
    <mergeCell ref="B73:N73"/>
    <mergeCell ref="B74:N74"/>
    <mergeCell ref="A76:N76"/>
  </mergeCells>
  <conditionalFormatting sqref="E19:E35">
    <cfRule type="cellIs" priority="2" operator="equal" aboveAverage="0" equalAverage="0" bottom="0" percent="0" rank="0" text="" dxfId="0">
      <formula>"Firmenkarte"</formula>
    </cfRule>
  </conditionalFormatting>
  <conditionalFormatting sqref="F19:F35">
    <cfRule type="cellIs" priority="3" operator="equal" aboveAverage="0" equalAverage="0" bottom="0" percent="0" rank="0" text="" dxfId="1">
      <formula>"Nein"</formula>
    </cfRule>
  </conditionalFormatting>
  <conditionalFormatting sqref="N19:N35">
    <cfRule type="cellIs" priority="4" operator="equal" aboveAverage="0" equalAverage="0" bottom="0" percent="0" rank="0" text="" dxfId="2">
      <formula>"Freigegeben"</formula>
    </cfRule>
    <cfRule type="cellIs" priority="5" operator="equal" aboveAverage="0" equalAverage="0" bottom="0" percent="0" rank="0" text="" dxfId="3">
      <formula>"Geprüft"</formula>
    </cfRule>
    <cfRule type="cellIs" priority="6" operator="equal" aboveAverage="0" equalAverage="0" bottom="0" percent="0" rank="0" text="" dxfId="4">
      <formula>"Offen"</formula>
    </cfRule>
  </conditionalFormatting>
  <conditionalFormatting sqref="L19:L35">
    <cfRule type="expression" priority="7" aboveAverage="0" equalAverage="0" bottom="0" percent="0" rank="0" text="" dxfId="5">
      <formula>AND(L19&lt;&gt;"",L19&gt;0)</formula>
    </cfRule>
  </conditionalFormatting>
  <conditionalFormatting sqref="J59">
    <cfRule type="cellIs" priority="8" operator="lessThan" aboveAverage="0" equalAverage="0" bottom="0" percent="0" rank="0" text="" dxfId="6">
      <formula>0</formula>
    </cfRule>
  </conditionalFormatting>
  <dataValidations count="10">
    <dataValidation allowBlank="true" errorStyle="stop" operator="between" showDropDown="false" showErrorMessage="true" showInputMessage="false" sqref="C19:C35" type="list">
      <formula1>Kostenarten</formula1>
      <formula2>0</formula2>
    </dataValidation>
    <dataValidation allowBlank="true" errorStyle="stop" operator="between" showDropDown="false" showErrorMessage="true" showInputMessage="false" sqref="E19:E35" type="list">
      <formula1>Zahlungsarten</formula1>
      <formula2>0</formula2>
    </dataValidation>
    <dataValidation allowBlank="true" errorStyle="stop" operator="between" showDropDown="false" showErrorMessage="true" showInputMessage="false" sqref="F19:F35" type="list">
      <formula1>BelegJN</formula1>
      <formula2>0</formula2>
    </dataValidation>
    <dataValidation allowBlank="true" errorStyle="stop" operator="between" showDropDown="false" showErrorMessage="true" showInputMessage="false" sqref="H19:H35" type="list">
      <formula1>USt_Saetze</formula1>
      <formula2>0</formula2>
    </dataValidation>
    <dataValidation allowBlank="true" errorStyle="stop" operator="between" showDropDown="false" showErrorMessage="true" showInputMessage="false" sqref="K19:K35" type="list">
      <formula1>ErstattProz</formula1>
      <formula2>0</formula2>
    </dataValidation>
    <dataValidation allowBlank="true" errorStyle="stop" operator="between" showDropDown="false" showErrorMessage="true" showInputMessage="false" sqref="N19:N35" type="list">
      <formula1>StatusListe</formula1>
      <formula2>0</formula2>
    </dataValidation>
    <dataValidation allowBlank="true" errorStyle="stop" operator="between" showDropDown="false" showErrorMessage="true" showInputMessage="false" sqref="C41:C44" type="list">
      <formula1>AbwListe</formula1>
      <formula2>0</formula2>
    </dataValidation>
    <dataValidation allowBlank="true" errorStyle="stop" operator="between" showDropDown="false" showErrorMessage="true" showInputMessage="false" sqref="F41:F44" type="list">
      <formula1>JaNein</formula1>
      <formula2>0</formula2>
    </dataValidation>
    <dataValidation allowBlank="true" errorStyle="stop" operator="between" showDropDown="false" showErrorMessage="true" showInputMessage="false" sqref="G41:G44" type="list">
      <formula1>JaNein</formula1>
      <formula2>0</formula2>
    </dataValidation>
    <dataValidation allowBlank="true" errorStyle="stop" operator="between" showDropDown="false" showErrorMessage="true" showInputMessage="false" sqref="H41:H44" type="list">
      <formula1>JaNein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4" min="3" style="0" width="13"/>
    <col collapsed="false" customWidth="true" hidden="false" outlineLevel="0" max="5" min="5" style="0" width="11"/>
    <col collapsed="false" customWidth="true" hidden="false" outlineLevel="0" max="6" min="6" style="0" width="3"/>
    <col collapsed="false" customWidth="true" hidden="false" outlineLevel="0" max="7" min="7" style="0" width="20"/>
    <col collapsed="false" customWidth="true" hidden="false" outlineLevel="0" max="9" min="8" style="0" width="13"/>
    <col collapsed="false" customWidth="true" hidden="false" outlineLevel="0" max="10" min="10" style="0" width="11"/>
    <col collapsed="false" customWidth="true" hidden="false" outlineLevel="0" max="11" min="11" style="0" width="2"/>
  </cols>
  <sheetData>
    <row r="1" customFormat="false" ht="24" hidden="false" customHeight="true" outlineLevel="0" collapsed="false">
      <c r="A1" s="59" t="s">
        <v>113</v>
      </c>
      <c r="B1" s="59"/>
      <c r="C1" s="59"/>
      <c r="D1" s="59"/>
      <c r="E1" s="59"/>
      <c r="F1" s="59"/>
      <c r="G1" s="59"/>
      <c r="H1" s="59"/>
      <c r="I1" s="59"/>
      <c r="J1" s="59"/>
    </row>
    <row r="2" customFormat="false" ht="13.5" hidden="false" customHeight="true" outlineLevel="0" collapsed="false">
      <c r="A2" s="59"/>
      <c r="B2" s="59"/>
      <c r="C2" s="59"/>
      <c r="D2" s="59"/>
      <c r="E2" s="59"/>
      <c r="F2" s="59"/>
      <c r="G2" s="59"/>
      <c r="H2" s="59"/>
      <c r="I2" s="59"/>
      <c r="J2" s="59"/>
    </row>
    <row r="3" customFormat="false" ht="15.75" hidden="false" customHeight="true" outlineLevel="0" collapsed="false">
      <c r="A3" s="4" t="str">
        <f aca="false">"Abrechnung " &amp; Spesenabrechnung!K2 &amp; " · " &amp; Spesenabrechnung!C6 &amp; " · " &amp; Spesenabrechnung!C7</f>
        <v>Abrechnung SP-2026-0142 · Julia Kranz · MA-2041</v>
      </c>
      <c r="B3" s="4"/>
      <c r="C3" s="4"/>
      <c r="D3" s="4"/>
      <c r="E3" s="4"/>
      <c r="F3" s="4"/>
      <c r="G3" s="4"/>
      <c r="H3" s="4"/>
      <c r="I3" s="4"/>
      <c r="J3" s="4"/>
    </row>
    <row r="4" customFormat="false" ht="3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</row>
    <row r="5" customFormat="false" ht="6" hidden="false" customHeight="true" outlineLevel="0" collapsed="false"/>
    <row r="6" customFormat="false" ht="3" hidden="false" customHeight="true" outlineLevel="0" collapsed="false">
      <c r="A6" s="12"/>
      <c r="B6" s="12"/>
      <c r="C6" s="12"/>
      <c r="D6" s="13"/>
      <c r="E6" s="13"/>
      <c r="G6" s="13"/>
      <c r="H6" s="13"/>
      <c r="I6" s="14"/>
      <c r="J6" s="14"/>
    </row>
    <row r="7" customFormat="false" ht="25.5" hidden="false" customHeight="true" outlineLevel="0" collapsed="false">
      <c r="A7" s="15" t="n">
        <f aca="false">SUM(Spesenabrechnung!J19:J35)</f>
        <v>696.56</v>
      </c>
      <c r="B7" s="15"/>
      <c r="C7" s="15"/>
      <c r="D7" s="60" t="n">
        <f aca="false">COUNTA(Spesenabrechnung!C19:C35)</f>
        <v>13</v>
      </c>
      <c r="E7" s="60"/>
      <c r="G7" s="15" t="n">
        <f aca="false">SUM(Spesenabrechnung!M19:M35)</f>
        <v>641.56</v>
      </c>
      <c r="H7" s="15"/>
      <c r="I7" s="15" t="n">
        <f aca="false">Spesenabrechnung!J59</f>
        <v>305.96</v>
      </c>
      <c r="J7" s="15"/>
    </row>
    <row r="8" customFormat="false" ht="13.5" hidden="false" customHeight="true" outlineLevel="0" collapsed="false">
      <c r="A8" s="16" t="s">
        <v>114</v>
      </c>
      <c r="B8" s="16"/>
      <c r="C8" s="16"/>
      <c r="D8" s="16" t="s">
        <v>115</v>
      </c>
      <c r="E8" s="16"/>
      <c r="G8" s="16" t="s">
        <v>116</v>
      </c>
      <c r="H8" s="16"/>
      <c r="I8" s="16" t="s">
        <v>117</v>
      </c>
      <c r="J8" s="16"/>
    </row>
    <row r="9" customFormat="false" ht="6" hidden="false" customHeight="true" outlineLevel="0" collapsed="false"/>
    <row r="10" customFormat="false" ht="16.5" hidden="false" customHeight="true" outlineLevel="0" collapsed="false">
      <c r="A10" s="55" t="s">
        <v>118</v>
      </c>
      <c r="B10" s="55"/>
      <c r="C10" s="55"/>
      <c r="D10" s="55"/>
      <c r="E10" s="55"/>
      <c r="G10" s="55" t="s">
        <v>119</v>
      </c>
      <c r="H10" s="55"/>
      <c r="I10" s="55"/>
      <c r="J10" s="55"/>
    </row>
    <row r="11" customFormat="false" ht="15" hidden="false" customHeight="false" outlineLevel="0" collapsed="false">
      <c r="B11" s="61" t="s">
        <v>32</v>
      </c>
      <c r="C11" s="62" t="s">
        <v>39</v>
      </c>
      <c r="D11" s="62" t="s">
        <v>42</v>
      </c>
      <c r="E11" s="62" t="s">
        <v>120</v>
      </c>
      <c r="G11" s="61" t="s">
        <v>34</v>
      </c>
      <c r="H11" s="62" t="s">
        <v>39</v>
      </c>
      <c r="I11" s="62" t="s">
        <v>42</v>
      </c>
      <c r="J11" s="62" t="s">
        <v>120</v>
      </c>
    </row>
    <row r="12" customFormat="false" ht="13.5" hidden="false" customHeight="true" outlineLevel="0" collapsed="false">
      <c r="B12" s="63" t="s">
        <v>44</v>
      </c>
      <c r="C12" s="64" t="n">
        <f aca="false">SUMIF(Spesenabrechnung!$C$19:$C$35,$B12,Spesenabrechnung!$J$19:$J$35)</f>
        <v>266.59</v>
      </c>
      <c r="D12" s="64" t="n">
        <f aca="false">SUMIF(Spesenabrechnung!$C$19:$C$35,$B12,Spesenabrechnung!$M$19:$M$35)</f>
        <v>211.59</v>
      </c>
      <c r="E12" s="65" t="n">
        <f aca="false">IFERROR($C12/$C$21,0)</f>
        <v>0.382723670609854</v>
      </c>
      <c r="G12" s="63" t="s">
        <v>46</v>
      </c>
      <c r="H12" s="64" t="n">
        <f aca="false">SUMIF(Spesenabrechnung!$E$19:$E$35,$G12,Spesenabrechnung!$J$19:$J$35)</f>
        <v>427.6</v>
      </c>
      <c r="I12" s="64" t="n">
        <f aca="false">SUMIF(Spesenabrechnung!$E$19:$E$35,$G12,Spesenabrechnung!$M$19:$M$35)</f>
        <v>372.6</v>
      </c>
      <c r="J12" s="65" t="n">
        <f aca="false">IFERROR($H12/$H$15,0)</f>
        <v>0.613873894567589</v>
      </c>
    </row>
    <row r="13" customFormat="false" ht="13.5" hidden="false" customHeight="true" outlineLevel="0" collapsed="false">
      <c r="B13" s="66" t="s">
        <v>50</v>
      </c>
      <c r="C13" s="67" t="n">
        <f aca="false">SUMIF(Spesenabrechnung!$C$19:$C$35,$B13,Spesenabrechnung!$J$19:$J$35)</f>
        <v>220</v>
      </c>
      <c r="D13" s="67" t="n">
        <f aca="false">SUMIF(Spesenabrechnung!$C$19:$C$35,$B13,Spesenabrechnung!$M$19:$M$35)</f>
        <v>220</v>
      </c>
      <c r="E13" s="68" t="n">
        <f aca="false">IFERROR($C13/$C$21,0)</f>
        <v>0.315837831629723</v>
      </c>
      <c r="G13" s="66" t="s">
        <v>52</v>
      </c>
      <c r="H13" s="67" t="n">
        <f aca="false">SUMIF(Spesenabrechnung!$E$19:$E$35,$G13,Spesenabrechnung!$J$19:$J$35)</f>
        <v>230</v>
      </c>
      <c r="I13" s="67" t="n">
        <f aca="false">SUMIF(Spesenabrechnung!$E$19:$E$35,$G13,Spesenabrechnung!$M$19:$M$35)</f>
        <v>230</v>
      </c>
      <c r="J13" s="68" t="n">
        <f aca="false">IFERROR($H13/$H$15,0)</f>
        <v>0.330194096703802</v>
      </c>
    </row>
    <row r="14" customFormat="false" ht="13.5" hidden="false" customHeight="true" outlineLevel="0" collapsed="false">
      <c r="B14" s="63" t="s">
        <v>61</v>
      </c>
      <c r="C14" s="64" t="n">
        <f aca="false">SUMIF(Spesenabrechnung!$C$19:$C$35,$B14,Spesenabrechnung!$J$19:$J$35)</f>
        <v>125.76</v>
      </c>
      <c r="D14" s="64" t="n">
        <f aca="false">SUMIF(Spesenabrechnung!$C$19:$C$35,$B14,Spesenabrechnung!$M$19:$M$35)</f>
        <v>125.76</v>
      </c>
      <c r="E14" s="65" t="n">
        <f aca="false">IFERROR($C14/$C$21,0)</f>
        <v>0.180544389571609</v>
      </c>
      <c r="G14" s="63" t="s">
        <v>57</v>
      </c>
      <c r="H14" s="64" t="n">
        <f aca="false">SUMIF(Spesenabrechnung!$E$19:$E$35,$G14,Spesenabrechnung!$J$19:$J$35)</f>
        <v>38.96</v>
      </c>
      <c r="I14" s="64" t="n">
        <f aca="false">SUMIF(Spesenabrechnung!$E$19:$E$35,$G14,Spesenabrechnung!$M$19:$M$35)</f>
        <v>38.96</v>
      </c>
      <c r="J14" s="65" t="n">
        <f aca="false">IFERROR($H14/$H$15,0)</f>
        <v>0.0559320087286092</v>
      </c>
    </row>
    <row r="15" customFormat="false" ht="13.5" hidden="false" customHeight="true" outlineLevel="0" collapsed="false">
      <c r="B15" s="66" t="s">
        <v>55</v>
      </c>
      <c r="C15" s="67" t="n">
        <f aca="false">SUMIF(Spesenabrechnung!$C$19:$C$35,$B15,Spesenabrechnung!$J$19:$J$35)</f>
        <v>15.01</v>
      </c>
      <c r="D15" s="67" t="n">
        <f aca="false">SUMIF(Spesenabrechnung!$C$19:$C$35,$B15,Spesenabrechnung!$M$19:$M$35)</f>
        <v>15.01</v>
      </c>
      <c r="E15" s="68" t="n">
        <f aca="false">IFERROR($C15/$C$21,0)</f>
        <v>0.0215487538761916</v>
      </c>
      <c r="G15" s="69" t="s">
        <v>121</v>
      </c>
      <c r="H15" s="70" t="n">
        <f aca="false">SUM(H12:H14)</f>
        <v>696.56</v>
      </c>
      <c r="I15" s="71" t="n">
        <f aca="false">SUM(I12:I14)</f>
        <v>641.56</v>
      </c>
      <c r="J15" s="72" t="n">
        <f aca="false">IFERROR(H15/H15,0)</f>
        <v>1</v>
      </c>
    </row>
    <row r="16" customFormat="false" ht="13.5" hidden="false" customHeight="true" outlineLevel="0" collapsed="false">
      <c r="B16" s="63" t="s">
        <v>59</v>
      </c>
      <c r="C16" s="64" t="n">
        <f aca="false">SUMIF(Spesenabrechnung!$C$19:$C$35,$B16,Spesenabrechnung!$J$19:$J$35)</f>
        <v>35</v>
      </c>
      <c r="D16" s="64" t="n">
        <f aca="false">SUMIF(Spesenabrechnung!$C$19:$C$35,$B16,Spesenabrechnung!$M$19:$M$35)</f>
        <v>35</v>
      </c>
      <c r="E16" s="65" t="n">
        <f aca="false">IFERROR($C16/$C$21,0)</f>
        <v>0.0502469277592741</v>
      </c>
    </row>
    <row r="17" customFormat="false" ht="16.5" hidden="false" customHeight="true" outlineLevel="0" collapsed="false">
      <c r="B17" s="66" t="s">
        <v>63</v>
      </c>
      <c r="C17" s="67" t="n">
        <f aca="false">SUMIF(Spesenabrechnung!$C$19:$C$35,$B17,Spesenabrechnung!$J$19:$J$35)</f>
        <v>10</v>
      </c>
      <c r="D17" s="67" t="n">
        <f aca="false">SUMIF(Spesenabrechnung!$C$19:$C$35,$B17,Spesenabrechnung!$M$19:$M$35)</f>
        <v>10</v>
      </c>
      <c r="E17" s="68" t="n">
        <f aca="false">IFERROR($C17/$C$21,0)</f>
        <v>0.0143562650740783</v>
      </c>
      <c r="G17" s="55" t="s">
        <v>122</v>
      </c>
      <c r="H17" s="55"/>
      <c r="I17" s="55"/>
      <c r="J17" s="55"/>
    </row>
    <row r="18" customFormat="false" ht="15" hidden="false" customHeight="true" outlineLevel="0" collapsed="false">
      <c r="B18" s="63" t="s">
        <v>53</v>
      </c>
      <c r="C18" s="64" t="n">
        <f aca="false">SUMIF(Spesenabrechnung!$C$19:$C$35,$B18,Spesenabrechnung!$J$19:$J$35)</f>
        <v>20</v>
      </c>
      <c r="D18" s="64" t="n">
        <f aca="false">SUMIF(Spesenabrechnung!$C$19:$C$35,$B18,Spesenabrechnung!$M$19:$M$35)</f>
        <v>20</v>
      </c>
      <c r="E18" s="65" t="n">
        <f aca="false">IFERROR($C18/$C$21,0)</f>
        <v>0.0287125301481567</v>
      </c>
      <c r="G18" s="63" t="s">
        <v>123</v>
      </c>
      <c r="H18" s="63"/>
      <c r="I18" s="63"/>
      <c r="J18" s="73" t="n">
        <f aca="false">COUNTIFS(Spesenabrechnung!F19:F35,"Nein")</f>
        <v>1</v>
      </c>
    </row>
    <row r="19" customFormat="false" ht="15" hidden="false" customHeight="true" outlineLevel="0" collapsed="false">
      <c r="B19" s="66" t="s">
        <v>124</v>
      </c>
      <c r="C19" s="67" t="n">
        <f aca="false">SUMIF(Spesenabrechnung!$C$19:$C$35,$B19,Spesenabrechnung!$J$19:$J$35)</f>
        <v>0</v>
      </c>
      <c r="D19" s="67" t="n">
        <f aca="false">SUMIF(Spesenabrechnung!$C$19:$C$35,$B19,Spesenabrechnung!$M$19:$M$35)</f>
        <v>0</v>
      </c>
      <c r="E19" s="68" t="n">
        <f aca="false">IFERROR($C19/$C$21,0)</f>
        <v>0</v>
      </c>
      <c r="G19" s="63" t="s">
        <v>125</v>
      </c>
      <c r="H19" s="63"/>
      <c r="I19" s="63"/>
      <c r="J19" s="73" t="n">
        <f aca="false">COUNTIF(Spesenabrechnung!L19:L35,"&gt;0")</f>
        <v>1</v>
      </c>
    </row>
    <row r="20" customFormat="false" ht="15" hidden="false" customHeight="true" outlineLevel="0" collapsed="false">
      <c r="B20" s="63" t="s">
        <v>69</v>
      </c>
      <c r="C20" s="64" t="n">
        <f aca="false">SUMIF(Spesenabrechnung!$C$19:$C$35,$B20,Spesenabrechnung!$J$19:$J$35)</f>
        <v>4.2</v>
      </c>
      <c r="D20" s="64" t="n">
        <f aca="false">SUMIF(Spesenabrechnung!$C$19:$C$35,$B20,Spesenabrechnung!$M$19:$M$35)</f>
        <v>4.2</v>
      </c>
      <c r="E20" s="65" t="n">
        <f aca="false">IFERROR($C20/$C$21,0)</f>
        <v>0.0060296313311129</v>
      </c>
      <c r="G20" s="63" t="s">
        <v>126</v>
      </c>
      <c r="H20" s="63"/>
      <c r="I20" s="63"/>
      <c r="J20" s="73" t="n">
        <f aca="false">COUNTIF(Spesenabrechnung!N19:N35,"Offen")+COUNTIF(Spesenabrechnung!N19:N35,"Geprüft")</f>
        <v>2</v>
      </c>
    </row>
    <row r="21" customFormat="false" ht="15.75" hidden="false" customHeight="true" outlineLevel="0" collapsed="false">
      <c r="B21" s="69" t="s">
        <v>121</v>
      </c>
      <c r="C21" s="70" t="n">
        <f aca="false">SUM(C12:C20)</f>
        <v>696.56</v>
      </c>
      <c r="D21" s="71" t="n">
        <f aca="false">SUM(D12:D20)</f>
        <v>641.56</v>
      </c>
      <c r="E21" s="72" t="n">
        <f aca="false">IFERROR(C21/C21,0)</f>
        <v>1</v>
      </c>
    </row>
  </sheetData>
  <mergeCells count="21">
    <mergeCell ref="A1:J2"/>
    <mergeCell ref="A3:J3"/>
    <mergeCell ref="A4:J4"/>
    <mergeCell ref="A6:C6"/>
    <mergeCell ref="D6:E6"/>
    <mergeCell ref="G6:H6"/>
    <mergeCell ref="I6:J6"/>
    <mergeCell ref="A7:C7"/>
    <mergeCell ref="D7:E7"/>
    <mergeCell ref="G7:H7"/>
    <mergeCell ref="I7:J7"/>
    <mergeCell ref="A8:C8"/>
    <mergeCell ref="D8:E8"/>
    <mergeCell ref="G8:H8"/>
    <mergeCell ref="I8:J8"/>
    <mergeCell ref="A10:E10"/>
    <mergeCell ref="G10:J10"/>
    <mergeCell ref="G17:J17"/>
    <mergeCell ref="G18:I18"/>
    <mergeCell ref="G19:I19"/>
    <mergeCell ref="G20:I20"/>
  </mergeCells>
  <conditionalFormatting sqref="J18">
    <cfRule type="cellIs" priority="2" operator="greaterThan" aboveAverage="0" equalAverage="0" bottom="0" percent="0" rank="0" text="" dxfId="7">
      <formula>0</formula>
    </cfRule>
    <cfRule type="cellIs" priority="3" operator="equal" aboveAverage="0" equalAverage="0" bottom="0" percent="0" rank="0" text="" dxfId="8">
      <formula>0</formula>
    </cfRule>
  </conditionalFormatting>
  <conditionalFormatting sqref="J19">
    <cfRule type="cellIs" priority="4" operator="greaterThan" aboveAverage="0" equalAverage="0" bottom="0" percent="0" rank="0" text="" dxfId="7">
      <formula>0</formula>
    </cfRule>
    <cfRule type="cellIs" priority="5" operator="equal" aboveAverage="0" equalAverage="0" bottom="0" percent="0" rank="0" text="" dxfId="8">
      <formula>0</formula>
    </cfRule>
  </conditionalFormatting>
  <conditionalFormatting sqref="J20">
    <cfRule type="cellIs" priority="6" operator="greaterThan" aboveAverage="0" equalAverage="0" bottom="0" percent="0" rank="0" text="" dxfId="7">
      <formula>0</formula>
    </cfRule>
    <cfRule type="cellIs" priority="7" operator="equal" aboveAverage="0" equalAverage="0" bottom="0" percent="0" rank="0" text="" dxfId="8">
      <formula>0</formula>
    </cfRule>
  </conditionalFormatting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M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3" min="2" style="0" width="18"/>
    <col collapsed="false" customWidth="true" hidden="false" outlineLevel="0" max="4" min="4" style="0" width="8"/>
    <col collapsed="false" customWidth="true" hidden="false" outlineLevel="0" max="5" min="5" style="0" width="13"/>
    <col collapsed="false" customWidth="true" hidden="false" outlineLevel="0" max="7" min="6" style="0" width="10"/>
    <col collapsed="false" customWidth="true" hidden="false" outlineLevel="0" max="8" min="8" style="0" width="18"/>
    <col collapsed="false" customWidth="true" hidden="false" outlineLevel="0" max="9" min="9" style="0" width="10"/>
    <col collapsed="false" customWidth="true" hidden="false" outlineLevel="0" max="10" min="10" style="0" width="2"/>
    <col collapsed="false" customWidth="true" hidden="false" outlineLevel="0" max="11" min="11" style="0" width="15"/>
    <col collapsed="false" customWidth="true" hidden="false" outlineLevel="0" max="12" min="12" style="0" width="10"/>
    <col collapsed="false" customWidth="true" hidden="false" outlineLevel="0" max="13" min="13" style="0" width="42"/>
  </cols>
  <sheetData>
    <row r="1" customFormat="false" ht="15" hidden="false" customHeight="false" outlineLevel="0" collapsed="false">
      <c r="B1" s="74" t="s">
        <v>127</v>
      </c>
      <c r="C1" s="74"/>
      <c r="D1" s="74"/>
      <c r="E1" s="74"/>
      <c r="F1" s="74"/>
      <c r="G1" s="74"/>
      <c r="H1" s="74"/>
      <c r="I1" s="74"/>
      <c r="J1" s="74"/>
      <c r="K1" s="74"/>
      <c r="L1" s="74"/>
    </row>
    <row r="2" customFormat="false" ht="15" hidden="false" customHeight="false" outlineLevel="0" collapsed="false">
      <c r="B2" s="75" t="s">
        <v>128</v>
      </c>
      <c r="C2" s="75" t="s">
        <v>34</v>
      </c>
      <c r="D2" s="75" t="s">
        <v>35</v>
      </c>
      <c r="E2" s="75" t="s">
        <v>43</v>
      </c>
      <c r="F2" s="75" t="s">
        <v>129</v>
      </c>
      <c r="G2" s="75" t="s">
        <v>37</v>
      </c>
      <c r="H2" s="75" t="s">
        <v>75</v>
      </c>
      <c r="I2" s="75" t="s">
        <v>130</v>
      </c>
      <c r="K2" s="76" t="s">
        <v>131</v>
      </c>
      <c r="L2" s="76"/>
      <c r="M2" s="76"/>
    </row>
    <row r="3" customFormat="false" ht="15" hidden="false" customHeight="false" outlineLevel="0" collapsed="false">
      <c r="B3" s="77" t="s">
        <v>44</v>
      </c>
      <c r="C3" s="77" t="s">
        <v>46</v>
      </c>
      <c r="D3" s="77" t="s">
        <v>47</v>
      </c>
      <c r="E3" s="77" t="s">
        <v>132</v>
      </c>
      <c r="F3" s="78" t="n">
        <v>1</v>
      </c>
      <c r="G3" s="78" t="n">
        <v>0</v>
      </c>
      <c r="H3" s="77" t="s">
        <v>83</v>
      </c>
      <c r="I3" s="77" t="s">
        <v>47</v>
      </c>
      <c r="K3" s="79" t="s">
        <v>133</v>
      </c>
      <c r="L3" s="80" t="n">
        <v>28</v>
      </c>
      <c r="M3" s="81" t="s">
        <v>134</v>
      </c>
    </row>
    <row r="4" customFormat="false" ht="15" hidden="false" customHeight="false" outlineLevel="0" collapsed="false">
      <c r="B4" s="77" t="s">
        <v>50</v>
      </c>
      <c r="C4" s="77" t="s">
        <v>52</v>
      </c>
      <c r="D4" s="77" t="s">
        <v>71</v>
      </c>
      <c r="E4" s="77" t="s">
        <v>68</v>
      </c>
      <c r="F4" s="78" t="n">
        <v>0.5</v>
      </c>
      <c r="G4" s="78" t="n">
        <v>0.07</v>
      </c>
      <c r="H4" s="77" t="s">
        <v>82</v>
      </c>
      <c r="I4" s="77" t="s">
        <v>71</v>
      </c>
      <c r="K4" s="79" t="s">
        <v>135</v>
      </c>
      <c r="L4" s="80" t="n">
        <v>14</v>
      </c>
      <c r="M4" s="81" t="s">
        <v>136</v>
      </c>
    </row>
    <row r="5" customFormat="false" ht="15" hidden="false" customHeight="false" outlineLevel="0" collapsed="false">
      <c r="B5" s="77" t="s">
        <v>61</v>
      </c>
      <c r="C5" s="77" t="s">
        <v>57</v>
      </c>
      <c r="E5" s="77" t="s">
        <v>48</v>
      </c>
      <c r="F5" s="78" t="n">
        <v>0</v>
      </c>
      <c r="G5" s="78" t="n">
        <v>0.19</v>
      </c>
      <c r="H5" s="77" t="s">
        <v>137</v>
      </c>
      <c r="K5" s="79" t="s">
        <v>138</v>
      </c>
      <c r="L5" s="80" t="n">
        <v>5.6</v>
      </c>
      <c r="M5" s="81" t="s">
        <v>139</v>
      </c>
    </row>
    <row r="6" customFormat="false" ht="15" hidden="false" customHeight="false" outlineLevel="0" collapsed="false">
      <c r="B6" s="77" t="s">
        <v>55</v>
      </c>
      <c r="H6" s="77" t="s">
        <v>140</v>
      </c>
      <c r="K6" s="79" t="s">
        <v>141</v>
      </c>
      <c r="L6" s="80" t="n">
        <v>11.2</v>
      </c>
      <c r="M6" s="81" t="s">
        <v>142</v>
      </c>
    </row>
    <row r="7" customFormat="false" ht="15" hidden="false" customHeight="false" outlineLevel="0" collapsed="false">
      <c r="B7" s="77" t="s">
        <v>59</v>
      </c>
      <c r="K7" s="79" t="s">
        <v>143</v>
      </c>
      <c r="L7" s="82" t="n">
        <v>0.3</v>
      </c>
      <c r="M7" s="81" t="s">
        <v>144</v>
      </c>
    </row>
    <row r="8" customFormat="false" ht="15" hidden="false" customHeight="false" outlineLevel="0" collapsed="false">
      <c r="B8" s="77" t="s">
        <v>63</v>
      </c>
    </row>
    <row r="9" customFormat="false" ht="15" hidden="false" customHeight="false" outlineLevel="0" collapsed="false">
      <c r="B9" s="77" t="s">
        <v>53</v>
      </c>
    </row>
    <row r="10" customFormat="false" ht="15" hidden="false" customHeight="false" outlineLevel="0" collapsed="false">
      <c r="B10" s="77" t="s">
        <v>124</v>
      </c>
    </row>
    <row r="11" customFormat="false" ht="15" hidden="false" customHeight="false" outlineLevel="0" collapsed="false">
      <c r="B11" s="77" t="s">
        <v>69</v>
      </c>
    </row>
  </sheetData>
  <mergeCells count="2">
    <mergeCell ref="B1:L1"/>
    <mergeCell ref="K2:M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2026-08-11T15:22:37Z</dcterms:created>
  <dc:creator>openpyxl</dc:creator>
  <dc:description/>
  <dc:language>en-US</dc:language>
  <cp:lastModifiedBy/>
  <dcterms:modified xsi:type="dcterms:W3CDTF">2026-08-11T15:22:39Z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