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10BB71E7-DE56-460B-94BC-A4A794CBC51D}" xr6:coauthVersionLast="47" xr6:coauthVersionMax="47" xr10:uidLastSave="{00000000-0000-0000-0000-000000000000}"/>
  <bookViews>
    <workbookView xWindow="690" yWindow="690" windowWidth="25500" windowHeight="13500" tabRatio="500" xr2:uid="{00000000-000D-0000-FFFF-FFFF00000000}"/>
  </bookViews>
  <sheets>
    <sheet name="Anleitung" sheetId="1" r:id="rId1"/>
    <sheet name="Stammdaten" sheetId="2" r:id="rId2"/>
    <sheet name="Kostenerfassung" sheetId="3" r:id="rId3"/>
    <sheet name="Verteilung" sheetId="4" r:id="rId4"/>
    <sheet name="Abrechnung" sheetId="5" r:id="rId5"/>
  </sheets>
  <definedNames>
    <definedName name="_xlnm.Print_Area" localSheetId="4">Abrechnung!$B$1:$J$62</definedName>
    <definedName name="_xlnm.Print_Area" localSheetId="0">Anleitung!$B$1:$I$34</definedName>
    <definedName name="_xlnm.Print_Area" localSheetId="2">Kostenerfassung!$B$1:$I$81</definedName>
    <definedName name="_xlnm.Print_Area" localSheetId="1">Stammdaten!$B$1:$R$25</definedName>
    <definedName name="_xlnm.Print_Area" localSheetId="3">Verteilung!$B$1:$Q$44</definedName>
    <definedName name="Mietverhaeltnisse">Stammdaten!$R$16:$R$23</definedName>
    <definedName name="Umlageschluessel">Verteilung!$D$7:$D$11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8" i="5" l="1"/>
  <c r="I7" i="5"/>
  <c r="D7" i="5"/>
  <c r="I6" i="5"/>
  <c r="D6" i="5"/>
  <c r="M40" i="4"/>
  <c r="J38" i="4"/>
  <c r="Q34" i="4"/>
  <c r="J38" i="5" s="1"/>
  <c r="P34" i="4"/>
  <c r="D34" i="4"/>
  <c r="E38" i="5" s="1"/>
  <c r="C34" i="4"/>
  <c r="C38" i="5" s="1"/>
  <c r="Q33" i="4"/>
  <c r="J37" i="5" s="1"/>
  <c r="P33" i="4"/>
  <c r="D33" i="4"/>
  <c r="E37" i="5" s="1"/>
  <c r="C33" i="4"/>
  <c r="C37" i="5" s="1"/>
  <c r="Q32" i="4"/>
  <c r="J36" i="5" s="1"/>
  <c r="P32" i="4"/>
  <c r="D32" i="4"/>
  <c r="E36" i="5" s="1"/>
  <c r="C32" i="4"/>
  <c r="C36" i="5" s="1"/>
  <c r="Q31" i="4"/>
  <c r="J35" i="5" s="1"/>
  <c r="P31" i="4"/>
  <c r="D31" i="4"/>
  <c r="E35" i="5" s="1"/>
  <c r="C31" i="4"/>
  <c r="C35" i="5" s="1"/>
  <c r="Q30" i="4"/>
  <c r="J34" i="5" s="1"/>
  <c r="P30" i="4"/>
  <c r="D30" i="4"/>
  <c r="E34" i="5" s="1"/>
  <c r="C30" i="4"/>
  <c r="C34" i="5" s="1"/>
  <c r="Q29" i="4"/>
  <c r="J33" i="5" s="1"/>
  <c r="P29" i="4"/>
  <c r="D29" i="4"/>
  <c r="E33" i="5" s="1"/>
  <c r="C29" i="4"/>
  <c r="C33" i="5" s="1"/>
  <c r="Q28" i="4"/>
  <c r="J32" i="5" s="1"/>
  <c r="P28" i="4"/>
  <c r="D28" i="4"/>
  <c r="E32" i="5" s="1"/>
  <c r="C28" i="4"/>
  <c r="C32" i="5" s="1"/>
  <c r="Q27" i="4"/>
  <c r="J31" i="5" s="1"/>
  <c r="P27" i="4"/>
  <c r="D27" i="4"/>
  <c r="E31" i="5" s="1"/>
  <c r="C27" i="4"/>
  <c r="C31" i="5" s="1"/>
  <c r="Q26" i="4"/>
  <c r="J30" i="5" s="1"/>
  <c r="P26" i="4"/>
  <c r="D26" i="4"/>
  <c r="E30" i="5" s="1"/>
  <c r="C26" i="4"/>
  <c r="C30" i="5" s="1"/>
  <c r="Q25" i="4"/>
  <c r="J29" i="5" s="1"/>
  <c r="P25" i="4"/>
  <c r="D25" i="4"/>
  <c r="E29" i="5" s="1"/>
  <c r="C25" i="4"/>
  <c r="C29" i="5" s="1"/>
  <c r="Q24" i="4"/>
  <c r="J28" i="5" s="1"/>
  <c r="P24" i="4"/>
  <c r="E24" i="4"/>
  <c r="D24" i="4"/>
  <c r="E28" i="5" s="1"/>
  <c r="C24" i="4"/>
  <c r="C28" i="5" s="1"/>
  <c r="Q23" i="4"/>
  <c r="J27" i="5" s="1"/>
  <c r="P23" i="4"/>
  <c r="D23" i="4"/>
  <c r="E27" i="5" s="1"/>
  <c r="C23" i="4"/>
  <c r="C27" i="5" s="1"/>
  <c r="Q22" i="4"/>
  <c r="J26" i="5" s="1"/>
  <c r="P22" i="4"/>
  <c r="D22" i="4"/>
  <c r="E26" i="5" s="1"/>
  <c r="C22" i="4"/>
  <c r="C26" i="5" s="1"/>
  <c r="Q21" i="4"/>
  <c r="J25" i="5" s="1"/>
  <c r="P21" i="4"/>
  <c r="D21" i="4"/>
  <c r="E25" i="5" s="1"/>
  <c r="C21" i="4"/>
  <c r="C25" i="5" s="1"/>
  <c r="Q20" i="4"/>
  <c r="J24" i="5" s="1"/>
  <c r="P20" i="4"/>
  <c r="D20" i="4"/>
  <c r="E24" i="5" s="1"/>
  <c r="C20" i="4"/>
  <c r="C24" i="5" s="1"/>
  <c r="Q19" i="4"/>
  <c r="J23" i="5" s="1"/>
  <c r="P19" i="4"/>
  <c r="D19" i="4"/>
  <c r="E23" i="5" s="1"/>
  <c r="C19" i="4"/>
  <c r="C23" i="5" s="1"/>
  <c r="Q18" i="4"/>
  <c r="J22" i="5" s="1"/>
  <c r="P18" i="4"/>
  <c r="D18" i="4"/>
  <c r="E22" i="5" s="1"/>
  <c r="C18" i="4"/>
  <c r="C22" i="5" s="1"/>
  <c r="Q17" i="4"/>
  <c r="J21" i="5" s="1"/>
  <c r="P17" i="4"/>
  <c r="D17" i="4"/>
  <c r="E21" i="5" s="1"/>
  <c r="C17" i="4"/>
  <c r="C21" i="5" s="1"/>
  <c r="Q16" i="4"/>
  <c r="J20" i="5" s="1"/>
  <c r="P16" i="4"/>
  <c r="D16" i="4"/>
  <c r="E20" i="5" s="1"/>
  <c r="C16" i="4"/>
  <c r="C20" i="5" s="1"/>
  <c r="Q15" i="4"/>
  <c r="J19" i="5" s="1"/>
  <c r="P15" i="4"/>
  <c r="D15" i="4"/>
  <c r="E19" i="5" s="1"/>
  <c r="C15" i="4"/>
  <c r="C19" i="5" s="1"/>
  <c r="J14" i="4"/>
  <c r="M11" i="4"/>
  <c r="L11" i="4"/>
  <c r="K11" i="4"/>
  <c r="J11" i="4"/>
  <c r="I11" i="4"/>
  <c r="H11" i="4"/>
  <c r="G11" i="4"/>
  <c r="F11" i="4"/>
  <c r="N11" i="4" s="1"/>
  <c r="M10" i="4"/>
  <c r="L10" i="4"/>
  <c r="K10" i="4"/>
  <c r="J10" i="4"/>
  <c r="I10" i="4"/>
  <c r="H10" i="4"/>
  <c r="G10" i="4"/>
  <c r="F10" i="4"/>
  <c r="N10" i="4" s="1"/>
  <c r="K9" i="4"/>
  <c r="J9" i="4"/>
  <c r="I9" i="4"/>
  <c r="G9" i="4"/>
  <c r="F9" i="4"/>
  <c r="F6" i="4"/>
  <c r="D73" i="3"/>
  <c r="H63" i="3"/>
  <c r="E63" i="3"/>
  <c r="D56" i="3"/>
  <c r="C57" i="5" s="1"/>
  <c r="D44" i="3"/>
  <c r="D45" i="3" s="1"/>
  <c r="D41" i="3"/>
  <c r="D43" i="3" s="1"/>
  <c r="D32" i="3"/>
  <c r="H23" i="3"/>
  <c r="E23" i="3"/>
  <c r="D23" i="3"/>
  <c r="F22" i="3"/>
  <c r="E30" i="4" s="1"/>
  <c r="F21" i="3"/>
  <c r="E29" i="4" s="1"/>
  <c r="F20" i="3"/>
  <c r="E28" i="4" s="1"/>
  <c r="F19" i="3"/>
  <c r="E27" i="4" s="1"/>
  <c r="F18" i="3"/>
  <c r="E26" i="4" s="1"/>
  <c r="F17" i="3"/>
  <c r="E25" i="4" s="1"/>
  <c r="F16" i="3"/>
  <c r="F15" i="3"/>
  <c r="E23" i="4" s="1"/>
  <c r="F14" i="3"/>
  <c r="E22" i="4" s="1"/>
  <c r="F13" i="3"/>
  <c r="E21" i="4" s="1"/>
  <c r="F12" i="3"/>
  <c r="E20" i="4" s="1"/>
  <c r="F11" i="3"/>
  <c r="E19" i="4" s="1"/>
  <c r="F10" i="3"/>
  <c r="E18" i="4" s="1"/>
  <c r="F9" i="3"/>
  <c r="E17" i="4" s="1"/>
  <c r="F8" i="3"/>
  <c r="F23" i="3" s="1"/>
  <c r="D76" i="3" s="1"/>
  <c r="F7" i="3"/>
  <c r="E15" i="4" s="1"/>
  <c r="N24" i="2"/>
  <c r="E11" i="4" s="1"/>
  <c r="M24" i="2"/>
  <c r="E10" i="4" s="1"/>
  <c r="R23" i="2"/>
  <c r="M6" i="4" s="1"/>
  <c r="Q23" i="2"/>
  <c r="J23" i="2"/>
  <c r="L23" i="2" s="1"/>
  <c r="M8" i="4" s="1"/>
  <c r="R22" i="2"/>
  <c r="L6" i="4" s="1"/>
  <c r="Q22" i="2"/>
  <c r="L40" i="4" s="1"/>
  <c r="J22" i="2"/>
  <c r="L22" i="2" s="1"/>
  <c r="L8" i="4" s="1"/>
  <c r="R21" i="2"/>
  <c r="K14" i="4" s="1"/>
  <c r="Q21" i="2"/>
  <c r="K40" i="4" s="1"/>
  <c r="J21" i="2"/>
  <c r="L21" i="2" s="1"/>
  <c r="K8" i="4" s="1"/>
  <c r="R20" i="2"/>
  <c r="J6" i="4" s="1"/>
  <c r="Q20" i="2"/>
  <c r="J40" i="4" s="1"/>
  <c r="J20" i="2"/>
  <c r="L20" i="2" s="1"/>
  <c r="J8" i="4" s="1"/>
  <c r="R19" i="2"/>
  <c r="I6" i="4" s="1"/>
  <c r="Q19" i="2"/>
  <c r="I40" i="4" s="1"/>
  <c r="J19" i="2"/>
  <c r="L19" i="2" s="1"/>
  <c r="I8" i="4" s="1"/>
  <c r="R18" i="2"/>
  <c r="H14" i="4" s="1"/>
  <c r="Q18" i="2"/>
  <c r="H40" i="4" s="1"/>
  <c r="J18" i="2"/>
  <c r="H9" i="4" s="1"/>
  <c r="R17" i="2"/>
  <c r="G6" i="4" s="1"/>
  <c r="Q17" i="2"/>
  <c r="G40" i="4" s="1"/>
  <c r="J17" i="2"/>
  <c r="L17" i="2" s="1"/>
  <c r="G8" i="4" s="1"/>
  <c r="R16" i="2"/>
  <c r="I11" i="5" s="1"/>
  <c r="Q16" i="2"/>
  <c r="Q24" i="2" s="1"/>
  <c r="D79" i="3" s="1"/>
  <c r="J16" i="2"/>
  <c r="L16" i="2" s="1"/>
  <c r="O11" i="2"/>
  <c r="O8" i="2"/>
  <c r="G31" i="5" l="1"/>
  <c r="F31" i="5"/>
  <c r="D19" i="5"/>
  <c r="D47" i="3"/>
  <c r="D46" i="3"/>
  <c r="C58" i="5" s="1"/>
  <c r="D21" i="5"/>
  <c r="G32" i="5"/>
  <c r="F32" i="5"/>
  <c r="D24" i="5"/>
  <c r="D22" i="5"/>
  <c r="D23" i="5"/>
  <c r="D25" i="5"/>
  <c r="D26" i="5"/>
  <c r="D27" i="5"/>
  <c r="G38" i="5"/>
  <c r="F38" i="5"/>
  <c r="D29" i="5"/>
  <c r="D48" i="3"/>
  <c r="D33" i="3" s="1"/>
  <c r="D34" i="3" s="1"/>
  <c r="G36" i="5"/>
  <c r="F36" i="5"/>
  <c r="D30" i="5"/>
  <c r="H27" i="4"/>
  <c r="F27" i="4"/>
  <c r="M27" i="4"/>
  <c r="L27" i="4"/>
  <c r="K27" i="4"/>
  <c r="G27" i="4"/>
  <c r="D31" i="5"/>
  <c r="J28" i="4"/>
  <c r="I28" i="4"/>
  <c r="H28" i="4"/>
  <c r="G28" i="4"/>
  <c r="F28" i="4"/>
  <c r="H32" i="5" s="1"/>
  <c r="I32" i="5" s="1"/>
  <c r="D32" i="5"/>
  <c r="K28" i="4"/>
  <c r="F8" i="4"/>
  <c r="N8" i="4" s="1"/>
  <c r="D33" i="5"/>
  <c r="D34" i="5"/>
  <c r="D12" i="5"/>
  <c r="G43" i="5"/>
  <c r="I15" i="5"/>
  <c r="D15" i="5"/>
  <c r="I14" i="5"/>
  <c r="D14" i="5"/>
  <c r="I13" i="5"/>
  <c r="D13" i="5"/>
  <c r="I12" i="5"/>
  <c r="D28" i="5"/>
  <c r="F40" i="4"/>
  <c r="N40" i="4" s="1"/>
  <c r="K22" i="2"/>
  <c r="L7" i="4" s="1"/>
  <c r="P35" i="4"/>
  <c r="L9" i="4"/>
  <c r="N9" i="4" s="1"/>
  <c r="K19" i="2"/>
  <c r="I7" i="4" s="1"/>
  <c r="K23" i="2"/>
  <c r="M7" i="4" s="1"/>
  <c r="M9" i="4"/>
  <c r="M28" i="4" s="1"/>
  <c r="F14" i="4"/>
  <c r="F38" i="4"/>
  <c r="G38" i="4"/>
  <c r="H38" i="4"/>
  <c r="I38" i="4"/>
  <c r="K18" i="2"/>
  <c r="H7" i="4" s="1"/>
  <c r="L18" i="2"/>
  <c r="H8" i="4" s="1"/>
  <c r="K20" i="2"/>
  <c r="J7" i="4" s="1"/>
  <c r="I14" i="4"/>
  <c r="K38" i="4"/>
  <c r="L14" i="4"/>
  <c r="L38" i="4"/>
  <c r="G14" i="4"/>
  <c r="J24" i="2"/>
  <c r="E9" i="4" s="1"/>
  <c r="I27" i="4" s="1"/>
  <c r="K16" i="2"/>
  <c r="K6" i="4"/>
  <c r="M14" i="4"/>
  <c r="M38" i="4"/>
  <c r="H6" i="4"/>
  <c r="E16" i="4"/>
  <c r="K17" i="2"/>
  <c r="G7" i="4" s="1"/>
  <c r="K21" i="2"/>
  <c r="K7" i="4" s="1"/>
  <c r="D49" i="3" l="1"/>
  <c r="L28" i="4"/>
  <c r="N28" i="4" s="1"/>
  <c r="O28" i="4" s="1"/>
  <c r="G23" i="5"/>
  <c r="F17" i="4"/>
  <c r="J16" i="4"/>
  <c r="I16" i="4"/>
  <c r="H16" i="4"/>
  <c r="D20" i="5"/>
  <c r="F19" i="4"/>
  <c r="D62" i="3"/>
  <c r="F62" i="3" s="1"/>
  <c r="E34" i="4" s="1"/>
  <c r="D60" i="3"/>
  <c r="F60" i="3" s="1"/>
  <c r="E32" i="4" s="1"/>
  <c r="D61" i="3"/>
  <c r="F61" i="3" s="1"/>
  <c r="E33" i="4" s="1"/>
  <c r="D59" i="3"/>
  <c r="H17" i="4"/>
  <c r="L24" i="2"/>
  <c r="E8" i="4" s="1"/>
  <c r="L16" i="4" s="1"/>
  <c r="G20" i="5"/>
  <c r="K24" i="2"/>
  <c r="F7" i="4"/>
  <c r="H31" i="5"/>
  <c r="I31" i="5" s="1"/>
  <c r="J27" i="4"/>
  <c r="N27" i="4" s="1"/>
  <c r="O27" i="4" s="1"/>
  <c r="G21" i="5"/>
  <c r="J32" i="4" l="1"/>
  <c r="I32" i="4"/>
  <c r="H32" i="4"/>
  <c r="K32" i="4"/>
  <c r="G32" i="4"/>
  <c r="M32" i="4"/>
  <c r="F32" i="4"/>
  <c r="L32" i="4"/>
  <c r="D36" i="5"/>
  <c r="M34" i="4"/>
  <c r="L34" i="4"/>
  <c r="K34" i="4"/>
  <c r="J34" i="4"/>
  <c r="I34" i="4"/>
  <c r="H34" i="4"/>
  <c r="G34" i="4"/>
  <c r="F34" i="4"/>
  <c r="D38" i="5"/>
  <c r="D63" i="3"/>
  <c r="B64" i="3" s="1"/>
  <c r="F59" i="3"/>
  <c r="H23" i="5"/>
  <c r="I23" i="5" s="1"/>
  <c r="F16" i="4"/>
  <c r="H19" i="4"/>
  <c r="H21" i="5"/>
  <c r="I21" i="5" s="1"/>
  <c r="M33" i="4"/>
  <c r="J33" i="4"/>
  <c r="L33" i="4"/>
  <c r="K33" i="4"/>
  <c r="I33" i="4"/>
  <c r="D37" i="5"/>
  <c r="H33" i="4"/>
  <c r="G33" i="4"/>
  <c r="F33" i="4"/>
  <c r="K16" i="4"/>
  <c r="N7" i="4"/>
  <c r="F22" i="4"/>
  <c r="G30" i="5"/>
  <c r="G28" i="5"/>
  <c r="F29" i="4"/>
  <c r="F18" i="4"/>
  <c r="G26" i="5"/>
  <c r="F23" i="4"/>
  <c r="F20" i="4"/>
  <c r="F26" i="4"/>
  <c r="F25" i="4"/>
  <c r="F21" i="4"/>
  <c r="G25" i="5"/>
  <c r="G27" i="5"/>
  <c r="G22" i="5"/>
  <c r="F30" i="4"/>
  <c r="G33" i="5"/>
  <c r="G19" i="5"/>
  <c r="G29" i="5"/>
  <c r="G24" i="5"/>
  <c r="G35" i="5"/>
  <c r="F15" i="4"/>
  <c r="G37" i="5"/>
  <c r="G34" i="5"/>
  <c r="M17" i="4"/>
  <c r="I17" i="4"/>
  <c r="J19" i="4"/>
  <c r="F21" i="5"/>
  <c r="G19" i="4"/>
  <c r="N19" i="4" s="1"/>
  <c r="O19" i="4" s="1"/>
  <c r="F20" i="5"/>
  <c r="I19" i="4"/>
  <c r="J17" i="4"/>
  <c r="G17" i="4"/>
  <c r="N17" i="4" s="1"/>
  <c r="O17" i="4" s="1"/>
  <c r="L17" i="4"/>
  <c r="M19" i="4"/>
  <c r="K17" i="4"/>
  <c r="L19" i="4"/>
  <c r="F23" i="5"/>
  <c r="K19" i="4"/>
  <c r="M16" i="4"/>
  <c r="E7" i="4"/>
  <c r="O25" i="2"/>
  <c r="B25" i="2"/>
  <c r="G16" i="4"/>
  <c r="H30" i="5" l="1"/>
  <c r="I30" i="5" s="1"/>
  <c r="H24" i="5"/>
  <c r="I24" i="5" s="1"/>
  <c r="H27" i="5"/>
  <c r="I27" i="5" s="1"/>
  <c r="N32" i="4"/>
  <c r="O32" i="4" s="1"/>
  <c r="H36" i="5"/>
  <c r="I36" i="5" s="1"/>
  <c r="N34" i="4"/>
  <c r="O34" i="4" s="1"/>
  <c r="H38" i="5"/>
  <c r="I38" i="5" s="1"/>
  <c r="H25" i="5"/>
  <c r="I25" i="5" s="1"/>
  <c r="H34" i="5"/>
  <c r="I34" i="5" s="1"/>
  <c r="N18" i="4"/>
  <c r="O18" i="4" s="1"/>
  <c r="H22" i="5"/>
  <c r="I22" i="5" s="1"/>
  <c r="N22" i="4"/>
  <c r="O22" i="4" s="1"/>
  <c r="H26" i="5"/>
  <c r="I26" i="5" s="1"/>
  <c r="E31" i="4"/>
  <c r="F63" i="3"/>
  <c r="D77" i="3" s="1"/>
  <c r="D78" i="3" s="1"/>
  <c r="N33" i="4"/>
  <c r="O33" i="4" s="1"/>
  <c r="H37" i="5"/>
  <c r="I37" i="5" s="1"/>
  <c r="H33" i="5"/>
  <c r="I33" i="5" s="1"/>
  <c r="H19" i="5"/>
  <c r="L25" i="4"/>
  <c r="G26" i="4"/>
  <c r="N26" i="4" s="1"/>
  <c r="O26" i="4" s="1"/>
  <c r="M23" i="4"/>
  <c r="K15" i="4"/>
  <c r="K22" i="4"/>
  <c r="J22" i="4"/>
  <c r="L18" i="4"/>
  <c r="L30" i="4"/>
  <c r="I20" i="4"/>
  <c r="M26" i="4"/>
  <c r="G24" i="4"/>
  <c r="I15" i="4"/>
  <c r="N15" i="4" s="1"/>
  <c r="L23" i="4"/>
  <c r="F22" i="5"/>
  <c r="H15" i="4"/>
  <c r="M30" i="4"/>
  <c r="M18" i="4"/>
  <c r="J20" i="4"/>
  <c r="K18" i="4"/>
  <c r="G29" i="4"/>
  <c r="N29" i="4" s="1"/>
  <c r="O29" i="4" s="1"/>
  <c r="F26" i="5"/>
  <c r="G25" i="4"/>
  <c r="L21" i="4"/>
  <c r="F30" i="5"/>
  <c r="F27" i="5"/>
  <c r="J15" i="4"/>
  <c r="M29" i="4"/>
  <c r="H22" i="4"/>
  <c r="F28" i="5"/>
  <c r="F25" i="5"/>
  <c r="F19" i="5"/>
  <c r="F29" i="5"/>
  <c r="F35" i="5"/>
  <c r="I24" i="4"/>
  <c r="M22" i="4"/>
  <c r="F34" i="5"/>
  <c r="F37" i="5"/>
  <c r="K30" i="4"/>
  <c r="L15" i="4"/>
  <c r="L22" i="4"/>
  <c r="F24" i="5"/>
  <c r="F33" i="5"/>
  <c r="I22" i="4"/>
  <c r="J29" i="4"/>
  <c r="L24" i="4"/>
  <c r="G23" i="4"/>
  <c r="N23" i="4" s="1"/>
  <c r="O23" i="4" s="1"/>
  <c r="I30" i="4"/>
  <c r="I29" i="4"/>
  <c r="H24" i="4"/>
  <c r="L26" i="4"/>
  <c r="M25" i="4"/>
  <c r="H30" i="4"/>
  <c r="L29" i="4"/>
  <c r="K26" i="4"/>
  <c r="H21" i="4"/>
  <c r="I23" i="4"/>
  <c r="G21" i="4"/>
  <c r="L20" i="4"/>
  <c r="G22" i="4"/>
  <c r="J26" i="4"/>
  <c r="I21" i="4"/>
  <c r="M15" i="4"/>
  <c r="J21" i="4"/>
  <c r="H20" i="4"/>
  <c r="H26" i="4"/>
  <c r="K29" i="4"/>
  <c r="K25" i="4"/>
  <c r="H29" i="4"/>
  <c r="K20" i="4"/>
  <c r="J24" i="4"/>
  <c r="K21" i="4"/>
  <c r="N21" i="4" s="1"/>
  <c r="O21" i="4" s="1"/>
  <c r="G30" i="4"/>
  <c r="N30" i="4" s="1"/>
  <c r="O30" i="4" s="1"/>
  <c r="I25" i="4"/>
  <c r="N25" i="4" s="1"/>
  <c r="O25" i="4" s="1"/>
  <c r="H23" i="4"/>
  <c r="M24" i="4"/>
  <c r="K23" i="4"/>
  <c r="H25" i="4"/>
  <c r="G15" i="4"/>
  <c r="H18" i="4"/>
  <c r="M21" i="4"/>
  <c r="I18" i="4"/>
  <c r="K24" i="4"/>
  <c r="G18" i="4"/>
  <c r="J23" i="4"/>
  <c r="G20" i="4"/>
  <c r="N20" i="4" s="1"/>
  <c r="O20" i="4" s="1"/>
  <c r="J18" i="4"/>
  <c r="M20" i="4"/>
  <c r="J30" i="4"/>
  <c r="J25" i="4"/>
  <c r="I26" i="4"/>
  <c r="F24" i="4"/>
  <c r="H29" i="5"/>
  <c r="I29" i="5" s="1"/>
  <c r="N16" i="4"/>
  <c r="O16" i="4" s="1"/>
  <c r="H20" i="5"/>
  <c r="I20" i="5" s="1"/>
  <c r="O15" i="4" l="1"/>
  <c r="N24" i="4"/>
  <c r="O24" i="4" s="1"/>
  <c r="H28" i="5"/>
  <c r="I28" i="5" s="1"/>
  <c r="H49" i="5"/>
  <c r="G31" i="4"/>
  <c r="G35" i="4" s="1"/>
  <c r="G39" i="4" s="1"/>
  <c r="D35" i="5"/>
  <c r="D39" i="5" s="1"/>
  <c r="I31" i="4"/>
  <c r="I35" i="4" s="1"/>
  <c r="I39" i="4" s="1"/>
  <c r="F31" i="4"/>
  <c r="H31" i="4"/>
  <c r="H35" i="4" s="1"/>
  <c r="H39" i="4" s="1"/>
  <c r="M31" i="4"/>
  <c r="M35" i="4" s="1"/>
  <c r="M39" i="4" s="1"/>
  <c r="L31" i="4"/>
  <c r="L35" i="4" s="1"/>
  <c r="L39" i="4" s="1"/>
  <c r="K31" i="4"/>
  <c r="K35" i="4" s="1"/>
  <c r="K39" i="4" s="1"/>
  <c r="J31" i="4"/>
  <c r="J35" i="4" s="1"/>
  <c r="J39" i="4" s="1"/>
  <c r="E35" i="4"/>
  <c r="I19" i="5"/>
  <c r="D81" i="3"/>
  <c r="D80" i="3"/>
  <c r="K42" i="4" l="1"/>
  <c r="K41" i="4"/>
  <c r="J41" i="4"/>
  <c r="J42" i="4"/>
  <c r="M42" i="4"/>
  <c r="M41" i="4"/>
  <c r="I41" i="4"/>
  <c r="I42" i="4"/>
  <c r="L42" i="4"/>
  <c r="L41" i="4"/>
  <c r="H41" i="4"/>
  <c r="H42" i="4"/>
  <c r="G41" i="4"/>
  <c r="G42" i="4"/>
  <c r="N31" i="4"/>
  <c r="O31" i="4" s="1"/>
  <c r="O35" i="4" s="1"/>
  <c r="H35" i="5"/>
  <c r="I35" i="5" s="1"/>
  <c r="H50" i="5" s="1"/>
  <c r="H51" i="5" s="1"/>
  <c r="F35" i="4"/>
  <c r="F39" i="4" s="1"/>
  <c r="I39" i="5" l="1"/>
  <c r="N35" i="4"/>
  <c r="F41" i="4"/>
  <c r="N41" i="4" s="1"/>
  <c r="N39" i="4"/>
  <c r="N42" i="4" s="1"/>
  <c r="F42" i="4"/>
  <c r="H39" i="5"/>
  <c r="G42" i="5" s="1"/>
  <c r="B45" i="5" l="1"/>
  <c r="G44" i="5"/>
  <c r="B44" i="5"/>
</calcChain>
</file>

<file path=xl/sharedStrings.xml><?xml version="1.0" encoding="utf-8"?>
<sst xmlns="http://schemas.openxmlformats.org/spreadsheetml/2006/main" count="382" uniqueCount="296">
  <si>
    <t>ABRECHNUNGSJAHR 2026</t>
  </si>
  <si>
    <t>Betriebskostenabrechnung nach § 556 BGB und BetrKV – Excel-Vorlage für Wohnimmobilien</t>
  </si>
  <si>
    <t>1   Aufbau der Vorlage</t>
  </si>
  <si>
    <t>Blatt</t>
  </si>
  <si>
    <t>Inhalt und Funktion</t>
  </si>
  <si>
    <t>Stammdaten</t>
  </si>
  <si>
    <t>Vermieter- und Objektangaben, Abrechnungszeitraum sowie alle Mietverhältnisse mit Wohnfläche, Personenzahl, Nutzungszeitraum, Verbrauch und Vorauszahlungen.</t>
  </si>
  <si>
    <t>Kostenerfassung</t>
  </si>
  <si>
    <t>Alle Kostenpositionen nach § 2 BetrKV, die Heiz- und Warmwasserkosten, die CO₂-Kostenaufteilung nach dem Stufenmodell und die nicht umlagefähigen Kosten.</t>
  </si>
  <si>
    <t>Verteilung</t>
  </si>
  <si>
    <t>Rechenkern: verteilt jede Kostenposition automatisch nach dem hinterlegten Umlageschlüssel taggenau auf die einzelnen Mietverhältnisse.</t>
  </si>
  <si>
    <t>Abrechnung</t>
  </si>
  <si>
    <t>Druckfertige Einzelabrechnung. Mieter im Auswahlfeld wählen – alle Werte, das Ergebnis und der Nachweis nach § 35a EStG werden automatisch befüllt.</t>
  </si>
  <si>
    <t>2   In vier Schritten zur fertigen Abrechnung</t>
  </si>
  <si>
    <t>1</t>
  </si>
  <si>
    <t>Stammdaten erfassen</t>
  </si>
  <si>
    <t>Abrechnungszeitraum, Objektangaben und je Mietverhältnis eine Zeile anlegen. Bei Mieterwechsel oder Leerstand jeweils eine eigene Zeile mit dem tatsächlichen Nutzungszeitraum.</t>
  </si>
  <si>
    <t>2</t>
  </si>
  <si>
    <t>Kosten eintragen</t>
  </si>
  <si>
    <t>Belege je Kostenart erfassen, nicht umlagefähige Anteile abziehen und den passenden Umlageschlüssel aus der Auswahlliste wählen.</t>
  </si>
  <si>
    <t>3</t>
  </si>
  <si>
    <t>Heiz- und CO₂-Kosten prüfen</t>
  </si>
  <si>
    <t>Brennstoffkosten, Verbrauch und CO₂-Preis eintragen. Die Vorlage ermittelt Stufe und Vermieteranteil und zieht ihn vor der Umlage ab.</t>
  </si>
  <si>
    <t>4</t>
  </si>
  <si>
    <t>Abrechnung ausgeben</t>
  </si>
  <si>
    <t>Im Blatt „Abrechnung“ das Mietverhältnis auswählen, Ergebnis prüfen und als PDF oder Ausdruck an den Mieter geben.</t>
  </si>
  <si>
    <t>3   Farbcodierung der Zellen</t>
  </si>
  <si>
    <t>Eingabefeld</t>
  </si>
  <si>
    <t>Hier tragen Sie Ihre eigenen Werte ein. Alle übrigen Zellen sind geschützt zu behandeln.</t>
  </si>
  <si>
    <t>Berechnetes Feld</t>
  </si>
  <si>
    <t>Enthält eine Formel und wird automatisch befüllt – bitte nicht überschreiben.</t>
  </si>
  <si>
    <t>Ergebnis- und Summenzeile</t>
  </si>
  <si>
    <t>Zwischen- und Endsummen sowie Kontrollwerte der Vorlage.</t>
  </si>
  <si>
    <t>Überschrift</t>
  </si>
  <si>
    <t>Abschnitts- und Spaltenüberschriften.</t>
  </si>
  <si>
    <t>4   Rechtlicher Rahmen im Überblick</t>
  </si>
  <si>
    <t>§ 556 Abs. 3 BGB</t>
  </si>
  <si>
    <t>Die Abrechnung muss dem Mieter spätestens zwölf Monate nach Ende des Abrechnungszeitraums zugehen. Danach sind Nachforderungen ausgeschlossen.</t>
  </si>
  <si>
    <t>§ 2 BetrKV</t>
  </si>
  <si>
    <t>Umlagefähig sind nur die dort genannten Kostenarten. Verwaltungs- und Instandhaltungskosten sind nach § 1 Abs. 2 BetrKV ausgeschlossen.</t>
  </si>
  <si>
    <t>§ 556a BGB</t>
  </si>
  <si>
    <t>Ist im Mietvertrag kein Verteilerschlüssel vereinbart, wird nach Wohnfläche umgelegt.</t>
  </si>
  <si>
    <t>§ 7 HeizkostenV</t>
  </si>
  <si>
    <t>Heiz- und Warmwasserkosten sind zu 50 bis 70 Prozent nach erfasstem Verbrauch abzurechnen, der Rest nach Wohnfläche.</t>
  </si>
  <si>
    <t>CO2KostAufG</t>
  </si>
  <si>
    <t>Bei fossilen Brennstoffen trägt der Vermieter je nach energetischem Zustand des Gebäudes 0 bis 95 Prozent der CO₂-Kosten (Zehn-Stufen-Modell).</t>
  </si>
  <si>
    <t>§ 35a EStG</t>
  </si>
  <si>
    <t>Lohn- und Arbeitsanteile haushaltsnaher Dienstleistungen und Handwerkerleistungen sind dem Mieter gesondert zu bescheinigen.</t>
  </si>
  <si>
    <t>Hinweis:  Sämtliche eingetragenen Namen, Anschriften, Beträge und Verbrauchswerte sind frei erfundene Beispieldaten und dienen ausschließlich der Veranschaulichung. Überschreiben Sie sie mit Ihren eigenen Angaben. Diese Vorlage ist eine Rechenhilfe und ersetzt keine Rechts- oder Steuerberatung; maßgeblich sind der Mietvertrag und die jeweils geltenden gesetzlichen Bestimmungen. Prüfen Sie die Ergebnisse vor dem Versand an Ihre Mieter.</t>
  </si>
  <si>
    <t>STAMMDATEN</t>
  </si>
  <si>
    <t>Vermieter, Objekt, Abrechnungszeitraum und alle Mietverhältnisse des Abrechnungsjahres</t>
  </si>
  <si>
    <t>1   Vermieter, Objekt und Abrechnungszeitraum</t>
  </si>
  <si>
    <t>Vermieter / Hausverwaltung</t>
  </si>
  <si>
    <t>Kramer &amp; Voigt Immobilienverwaltung GbR</t>
  </si>
  <si>
    <t>Abrechnungszeitraum von</t>
  </si>
  <si>
    <t>Anschrift</t>
  </si>
  <si>
    <t>Ahornallee 12, 12345 Musterstadt</t>
  </si>
  <si>
    <t>Abrechnungszeitraum bis</t>
  </si>
  <si>
    <t>Kontakt</t>
  </si>
  <si>
    <t>abrechnung@example.com  ·  Tel. 01234 567890</t>
  </si>
  <si>
    <t>Kalendertage im Zeitraum</t>
  </si>
  <si>
    <t>Objektbezeichnung</t>
  </si>
  <si>
    <t>Mehrfamilienhaus Lindenstraße 8</t>
  </si>
  <si>
    <t>Gesamtwohnfläche des Objekts (m²)</t>
  </si>
  <si>
    <t>Objektanschrift</t>
  </si>
  <si>
    <t>Lindenstraße 8, 12345 Musterstadt</t>
  </si>
  <si>
    <t>Anzahl Mieteinheiten</t>
  </si>
  <si>
    <t>Baujahr / Heizungsart</t>
  </si>
  <si>
    <t>1998  ·  Zentralheizung Erdgas mit Warmwasserbereitung</t>
  </si>
  <si>
    <t>Abrechnungsfrist (§ 556 Abs. 3 BGB)</t>
  </si>
  <si>
    <t>2   Mietverhältnisse im Abrechnungszeitraum</t>
  </si>
  <si>
    <t>Legen Sie je Mietperiode eine eigene Zeile an. Bei Mieterwechsel entstehen für dieselbe Einheit zwei Zeilen; Leerstand erfassen Sie als eigene Zeile mit dem Nutzer „Leerstand (Vermieter)“ – der darauf entfallende Kostenanteil verbleibt so beim Vermieter und wird nicht auf die Mieter umgelegt.</t>
  </si>
  <si>
    <t>Nr.</t>
  </si>
  <si>
    <t>Einheit</t>
  </si>
  <si>
    <t>Lage</t>
  </si>
  <si>
    <t>Mieter / Nutzer</t>
  </si>
  <si>
    <t>Wohnfläche
(m²)</t>
  </si>
  <si>
    <t>Perso-
nen</t>
  </si>
  <si>
    <t>Nutzung
von</t>
  </si>
  <si>
    <t>Nutzung
bis</t>
  </si>
  <si>
    <t>Nutzungs-
tage</t>
  </si>
  <si>
    <t>m² × Tage</t>
  </si>
  <si>
    <t>Personen
× Tage</t>
  </si>
  <si>
    <t>Heizung
(Verbrauchs-
einheiten)</t>
  </si>
  <si>
    <t>Warm-
wasser
(m³)</t>
  </si>
  <si>
    <t>Voraus-
zahlung
mtl. (€)</t>
  </si>
  <si>
    <t>Mo-
nate</t>
  </si>
  <si>
    <t>Vorauszahlung
gesamt (€)</t>
  </si>
  <si>
    <t>Auswahlname für Blatt
„Abrechnung“</t>
  </si>
  <si>
    <t>WE 01</t>
  </si>
  <si>
    <t>EG links</t>
  </si>
  <si>
    <t>Thomas Ahrens</t>
  </si>
  <si>
    <t>WE 02</t>
  </si>
  <si>
    <t>EG rechts</t>
  </si>
  <si>
    <t>Familie Novak</t>
  </si>
  <si>
    <t>WE 03</t>
  </si>
  <si>
    <t>1. OG links</t>
  </si>
  <si>
    <t>Sabine Weiler</t>
  </si>
  <si>
    <t>Deniz Yilmaz</t>
  </si>
  <si>
    <t>WE 04</t>
  </si>
  <si>
    <t>1. OG rechts</t>
  </si>
  <si>
    <t>Petra Hoffmann</t>
  </si>
  <si>
    <t>WE 05</t>
  </si>
  <si>
    <t>2. OG links</t>
  </si>
  <si>
    <t>Marek Zielinski</t>
  </si>
  <si>
    <t>WE 06</t>
  </si>
  <si>
    <t>2. OG rechts</t>
  </si>
  <si>
    <t>Leerstand (Vermieter)</t>
  </si>
  <si>
    <t>Julia Brandner</t>
  </si>
  <si>
    <t>Summe / Gesamtmaßstab</t>
  </si>
  <si>
    <t>Ø vermietete Fläche im Zeitraum (m²)</t>
  </si>
  <si>
    <t>KOSTENERFASSUNG</t>
  </si>
  <si>
    <t>Kalte Betriebskosten, Heiz- und Warmwasserkosten, CO₂-Aufteilung – alle Beträge brutto in Euro</t>
  </si>
  <si>
    <t>1   Kalte Betriebskosten – § 2 Nr. 1 bis 17 BetrKV</t>
  </si>
  <si>
    <t>Nr.
§ 2 BetrKV</t>
  </si>
  <si>
    <t>Kostenart</t>
  </si>
  <si>
    <t>Gesamtkosten
lt. Beleg (€)</t>
  </si>
  <si>
    <t>davon nicht
umlagefähig (€)</t>
  </si>
  <si>
    <t>umlagefähiger
Betrag (€)</t>
  </si>
  <si>
    <t>Umlageschlüssel</t>
  </si>
  <si>
    <t>Lohn-/Arbeits-
anteil § 35a (€)</t>
  </si>
  <si>
    <t>Kategorie § 35a EStG</t>
  </si>
  <si>
    <t>Nr. 1</t>
  </si>
  <si>
    <t>Grundsteuer</t>
  </si>
  <si>
    <t>Wohnfläche</t>
  </si>
  <si>
    <t>–</t>
  </si>
  <si>
    <t>Nr. 2</t>
  </si>
  <si>
    <t>Wasserversorgung</t>
  </si>
  <si>
    <t>Personen</t>
  </si>
  <si>
    <t>Nr. 3</t>
  </si>
  <si>
    <t>Entwässerung und Niederschlagswasser</t>
  </si>
  <si>
    <t>Nr. 7</t>
  </si>
  <si>
    <t>Aufzug – Betrieb, Wartung, Notrufsystem</t>
  </si>
  <si>
    <t>Handwerkerleistung</t>
  </si>
  <si>
    <t>Nr. 8</t>
  </si>
  <si>
    <t>Straßenreinigung und Müllbeseitigung</t>
  </si>
  <si>
    <t>Nr. 9</t>
  </si>
  <si>
    <t>Gebäudereinigung und Ungezieferbekämpfung</t>
  </si>
  <si>
    <t>Haushaltsnahe Dienstleistung</t>
  </si>
  <si>
    <t>Nr. 10</t>
  </si>
  <si>
    <t>Gartenpflege</t>
  </si>
  <si>
    <t>Nr. 11</t>
  </si>
  <si>
    <t>Beleuchtung – Allgemeinstrom</t>
  </si>
  <si>
    <t>Nr. 12</t>
  </si>
  <si>
    <t>Schornsteinreinigung</t>
  </si>
  <si>
    <t>Nr. 13</t>
  </si>
  <si>
    <t>Sach- und Haftpflichtversicherung</t>
  </si>
  <si>
    <t>Nr. 14</t>
  </si>
  <si>
    <t>Hauswart – ohne Instandsetzungs- und Verwaltungsanteil</t>
  </si>
  <si>
    <t>Nr. 15</t>
  </si>
  <si>
    <t>Gemeinschaftsantenne / Breitbandanschluss</t>
  </si>
  <si>
    <t>Nr. 16</t>
  </si>
  <si>
    <t>Betrieb der Gemeinschaftswaschküche</t>
  </si>
  <si>
    <t>Nr. 17</t>
  </si>
  <si>
    <t>Sonstige: Wartung der Rauchwarnmelder</t>
  </si>
  <si>
    <t>Sonstige: Dachrinnenreinigung</t>
  </si>
  <si>
    <t>Sonstige: Winterdienst</t>
  </si>
  <si>
    <t>Zwischensumme kalte Betriebskosten</t>
  </si>
  <si>
    <t>Die Position Nr. 15 ist mit 0,00 € angesetzt: Kosten des Breitband-/Kabelanschlusses sind seit dem 1. Juli 2024 nicht mehr als Betriebskosten umlagefähig. Beim Hauswart wurde der Anteil für Instandsetzung und Verwaltung vorab abgezogen.</t>
  </si>
  <si>
    <t>2   Heiz- und Warmwasserkosten – § 2 Nr. 4 bis 6 BetrKV i. V. m. HeizkostenV</t>
  </si>
  <si>
    <t>Position</t>
  </si>
  <si>
    <t>Betrag (€)</t>
  </si>
  <si>
    <t>Erläuterung</t>
  </si>
  <si>
    <t>Brennstoffkosten Erdgas lt. Jahresrechnung des Versorgers</t>
  </si>
  <si>
    <t>einschließlich der gesondert ausgewiesenen CO₂-Kosten – siehe Abschnitt 3</t>
  </si>
  <si>
    <t>Betriebsstrom der Heizungsanlage</t>
  </si>
  <si>
    <t>Strom für Brenner, Pumpen und Regelung</t>
  </si>
  <si>
    <t>Wartung und Reinigung der Heizungsanlage</t>
  </si>
  <si>
    <t>vollständig Arbeitslohn – Handwerkerleistung nach § 35a Abs. 3 EStG</t>
  </si>
  <si>
    <t>Verbrauchserfassung, Messdienst und Abrechnung</t>
  </si>
  <si>
    <t>Miete und Ablesung der Heizkostenverteiler und Warmwasserzähler</t>
  </si>
  <si>
    <t>Zwischensumme Heiz- und Warmwasserkosten</t>
  </si>
  <si>
    <t>abzüglich CO₂-Kostenanteil des Vermieters (§ 7 CO2KostAufG)</t>
  </si>
  <si>
    <t>wird nach dem Stufenmodell ermittelt und vor der Umlage abgezogen</t>
  </si>
  <si>
    <t>Umlagefähige Heiz- und Warmwasserkosten</t>
  </si>
  <si>
    <t>3   CO₂-Kostenaufteilung nach dem Stufenmodell – §§ 5 bis 7 CO2KostAufG</t>
  </si>
  <si>
    <t>Berechnungsgrundlage</t>
  </si>
  <si>
    <t>Wert</t>
  </si>
  <si>
    <t>Stufe</t>
  </si>
  <si>
    <t>ab (kg CO₂/m²·a)</t>
  </si>
  <si>
    <t>Vermieter</t>
  </si>
  <si>
    <t>Mieter</t>
  </si>
  <si>
    <t>Brennstoff</t>
  </si>
  <si>
    <t>Erdgas</t>
  </si>
  <si>
    <t>Jahresverbrauch des Gebäudes</t>
  </si>
  <si>
    <t>Emissionsfaktor (kg CO₂ je kWh)</t>
  </si>
  <si>
    <t>CO₂-Emission gesamt</t>
  </si>
  <si>
    <t>CO₂-Preis (€ je Tonne)</t>
  </si>
  <si>
    <t>CO₂-Kosten gesamt</t>
  </si>
  <si>
    <t>Spezifischer CO₂-Ausstoß (kg je m² und Jahr)</t>
  </si>
  <si>
    <t>Anzuwendende Stufe</t>
  </si>
  <si>
    <t>Vermieteranteil nach Stufenmodell</t>
  </si>
  <si>
    <t>CO₂-Kosten Anteil Vermieter</t>
  </si>
  <si>
    <t>CO₂-Kosten Anteil Mieter (in den Heizkosten enthalten)</t>
  </si>
  <si>
    <t>Maßgeblich sind die vom Energielieferanten gesondert ausgewiesenen CO₂-Kosten. Unterbleibt die Aufteilung, darf der Mieter seinen Heizkostenanteil um drei Prozent kürzen (§ 7 Abs. 4 CO2KostAufG). Bei Nichtwohngebäuden gilt statt des Stufenmodells eine hälftige Aufteilung.</t>
  </si>
  <si>
    <t>4   Aufteilung der Heiz- und Warmwasserkosten – §§ 7 bis 9 HeizkostenV</t>
  </si>
  <si>
    <t>Parameter</t>
  </si>
  <si>
    <t>Warmwasseranteil an den Gesamtkosten</t>
  </si>
  <si>
    <t>Anteil der Warmwasserbereitung an den Heiz- und Warmwasserkosten (§ 9 HeizkostenV)</t>
  </si>
  <si>
    <t>Grundkostenanteil – Verteilung nach Wohnfläche</t>
  </si>
  <si>
    <t>zulässig sind 30 bis 50 Prozent</t>
  </si>
  <si>
    <t>Verbrauchskostenanteil – Verteilung nach erfasstem Verbrauch</t>
  </si>
  <si>
    <t>zwingend 50 bis 70 Prozent des Gesamtbetrags (§ 7 Abs. 1 HeizkostenV)</t>
  </si>
  <si>
    <t>Nr. 4</t>
  </si>
  <si>
    <t>Heizkosten – Grundkosten nach Wohnfläche</t>
  </si>
  <si>
    <t>Heizkosten – Verbrauchskosten nach erfasstem Verbrauch</t>
  </si>
  <si>
    <t>Verbrauch Heizung</t>
  </si>
  <si>
    <t>Nr. 5</t>
  </si>
  <si>
    <t>Warmwasserkosten – Grundkosten nach Wohnfläche</t>
  </si>
  <si>
    <t>Warmwasserkosten – Verbrauchskosten nach erfasstem Verbrauch</t>
  </si>
  <si>
    <t>Verbrauch Warmwasser</t>
  </si>
  <si>
    <t>Der Lohnanteil der Heizungswartung wird der Zeile „Heizkosten – Grundkosten“ zugeordnet und darüber nach Wohnfläche bescheinigt.</t>
  </si>
  <si>
    <t>5   Nicht umlagefähige Kosten – § 1 Abs. 2 BetrKV (nur nachrichtlich)</t>
  </si>
  <si>
    <t>Begründung</t>
  </si>
  <si>
    <t>Verwaltungskosten der Hausverwaltung</t>
  </si>
  <si>
    <t>§ 1 Abs. 2 Nr. 1 BetrKV – Verwaltungskosten sind ausgeschlossen</t>
  </si>
  <si>
    <t>Instandhaltung und Reparaturen</t>
  </si>
  <si>
    <t>§ 1 Abs. 2 Nr. 2 BetrKV – Erhaltungsaufwand trägt der Vermieter</t>
  </si>
  <si>
    <t>Zuführung zur Instandhaltungsrücklage</t>
  </si>
  <si>
    <t>keine laufenden Kosten im Sinne des § 1 BetrKV</t>
  </si>
  <si>
    <t>Kontoführung, Mahnwesen und Rechtsverfolgung</t>
  </si>
  <si>
    <t>Verwaltungskosten, nicht umlagefähig</t>
  </si>
  <si>
    <t>Summe der nicht umlagefähigen Kosten</t>
  </si>
  <si>
    <t>6   Gesamtübersicht des Abrechnungsjahres</t>
  </si>
  <si>
    <t>Umlagefähige kalte Betriebskosten</t>
  </si>
  <si>
    <t>Diese Gesamtübersicht fasst das Abrechnungsjahr auf Objektebene zusammen. Der Saldo enthält auch den auf Leerstandszeiten entfallenden Kostenanteil, den der Vermieter selbst trägt. Die Verteilung auf die einzelnen Mietverhältnisse erfolgt im Blatt „Verteilung“, die Einzelabrechnung für den Mieter im Blatt „Abrechnung“.</t>
  </si>
  <si>
    <t>Summe der umlagefähigen Betriebskosten</t>
  </si>
  <si>
    <t>Geleistete Vorauszahlungen aller Mietverhältnisse</t>
  </si>
  <si>
    <t>Saldo  (+ Nachforderung / − Erstattung)</t>
  </si>
  <si>
    <t>Betriebskosten je m² Wohnfläche und Monat</t>
  </si>
  <si>
    <t>VERTEILUNG DER BETRIEBSKOSTEN</t>
  </si>
  <si>
    <t>Rechenkern – taggenaue Umlage jeder Kostenposition auf die einzelnen Mietverhältnisse</t>
  </si>
  <si>
    <t>1   Verteilungsmaßstäbe je Mietverhältnis</t>
  </si>
  <si>
    <t>Bezugsgröße</t>
  </si>
  <si>
    <t>Gesamtmaßstab</t>
  </si>
  <si>
    <t>Kontrolle</t>
  </si>
  <si>
    <t>Wohnfläche × Nutzungstage  (m² · Tage)</t>
  </si>
  <si>
    <t>Personen × Nutzungstage  (Pers. · Tage)</t>
  </si>
  <si>
    <t>Nutzungstage je Mietverhältnis  (Tage)</t>
  </si>
  <si>
    <t>Erfasster Heizverbrauch  (Verbrauchseinheiten)</t>
  </si>
  <si>
    <t>Erfasster Warmwasserverbrauch  (m³)</t>
  </si>
  <si>
    <t>2   Umlage der einzelnen Kostenpositionen</t>
  </si>
  <si>
    <t>Pos.</t>
  </si>
  <si>
    <t>verteilt
gesamt (€)</t>
  </si>
  <si>
    <t>Rundungs-
differenz (€)</t>
  </si>
  <si>
    <t>Lohnanteil
§ 35a (€)</t>
  </si>
  <si>
    <t>3   Ergebnis je Mietverhältnis</t>
  </si>
  <si>
    <t>gesamt</t>
  </si>
  <si>
    <t>Umlagefähige Betriebskosten (€)</t>
  </si>
  <si>
    <t>Geleistete Vorauszahlungen (€)</t>
  </si>
  <si>
    <t>Nachzahlung (+) / Guthaben (−) (€)</t>
  </si>
  <si>
    <t>Betriebskosten je m² und Monat (€)</t>
  </si>
  <si>
    <t>Rechenweg je Zelle:  umlagefähiger Betrag × (Maßstab des Mietverhältnisses ÷ Gesamtmaßstab), auf zwei Nachkommastellen gerundet. Die Spalte „Rundungsdifferenz“ zeigt je Kostenposition die durch die Rundung entstehende Abweichung von wenigen Cent. Der auf Leerstandszeiten entfallende Anteil bleibt in der zugehörigen Spalte stehen und wird nicht auf die übrigen Mieter verteilt – er ist vom Vermieter zu tragen.</t>
  </si>
  <si>
    <t>BETRIEBSKOSTENABRECHNUNG</t>
  </si>
  <si>
    <t>Einzelabrechnung für den Mieter – Mietverhältnis im gelben Auswahlfeld wählen</t>
  </si>
  <si>
    <t>Abrechnungsdaten</t>
  </si>
  <si>
    <t>Objekt</t>
  </si>
  <si>
    <t>Datum der Abrechnung</t>
  </si>
  <si>
    <t>Mietverhältnis</t>
  </si>
  <si>
    <t>Mietverhältnis auswählen</t>
  </si>
  <si>
    <t>WE 01 – Thomas Ahrens</t>
  </si>
  <si>
    <t>Abrechnungsfall Nr.</t>
  </si>
  <si>
    <t>Nutzungszeitraum von</t>
  </si>
  <si>
    <t>Mieteinheit und Lage</t>
  </si>
  <si>
    <t>Nutzungszeitraum bis</t>
  </si>
  <si>
    <t>Nutzungstage</t>
  </si>
  <si>
    <t>Personen im Haushalt</t>
  </si>
  <si>
    <t>Geleistete Vorauszahlungen</t>
  </si>
  <si>
    <t>Aufstellung der umlagefähigen Betriebskosten</t>
  </si>
  <si>
    <t>Gesamtkosten
umlagefähig (€)</t>
  </si>
  <si>
    <t>Gesamt-
maßstab</t>
  </si>
  <si>
    <t>Ihr Anteil
am Maßstab</t>
  </si>
  <si>
    <t>Ihr Anteil
(€)</t>
  </si>
  <si>
    <t>davon Lohnanteil
§ 35a (€)</t>
  </si>
  <si>
    <t>Summe</t>
  </si>
  <si>
    <t>Abrechnungsergebnis</t>
  </si>
  <si>
    <t>Auf Ihr Mietverhältnis entfallende umlagefähige Betriebskosten</t>
  </si>
  <si>
    <t>Empfehlung: Prüfen Sie vor dem Versand, ob die künftige monatliche Vorauszahlung anzupassen ist (§ 560 Abs. 4 BGB).</t>
  </si>
  <si>
    <t>abzüglich der von Ihnen geleisteten Vorauszahlungen</t>
  </si>
  <si>
    <t>Bescheinigung nach § 35a EStG – in den Betriebskosten enthaltene Lohn- und Arbeitsanteile</t>
  </si>
  <si>
    <t>Art der Leistung</t>
  </si>
  <si>
    <t>auf Sie entfallender
Betrag (€)</t>
  </si>
  <si>
    <t>Höchstbetrag der
Steuerermäßigung</t>
  </si>
  <si>
    <t>Haushaltsnahe Dienstleistungen (§ 35a Abs. 2 EStG)</t>
  </si>
  <si>
    <t>20 % der Aufwendungen, höchstens 4.000 € im Jahr</t>
  </si>
  <si>
    <t>Handwerkerleistungen (§ 35a Abs. 3 EStG)</t>
  </si>
  <si>
    <t>20 % der Aufwendungen, höchstens 1.200 € im Jahr</t>
  </si>
  <si>
    <t>Summe der begünstigten Lohn- und Arbeitsanteile</t>
  </si>
  <si>
    <t>Die ausgewiesenen Beträge enthalten ausschließlich Lohn-, Maschinen- und Fahrtkosten ohne Materialanteil. Voraussetzung für die Steuerermäßigung ist eine unbare Zahlung der zugrunde liegenden Rechnungen.</t>
  </si>
  <si>
    <t>Hinweise zur Abrechnung</t>
  </si>
  <si>
    <t>•</t>
  </si>
  <si>
    <t>Einwendungen gegen diese Abrechnung sind uns nach § 556 Abs. 3 Satz 5 BGB spätestens zwölf Monate nach Zugang mitzuteilen.</t>
  </si>
  <si>
    <t>Die zugrunde liegenden Belege können nach vorheriger Terminvereinbarung in unseren Geschäftsräumen eingesehen werden.</t>
  </si>
  <si>
    <t>Kosten, die auf Leerstandszeiten entfallen, sowie nicht umlagefähige Kosten nach § 1 Abs. 2 BetrKV trägt der Vermieter.</t>
  </si>
  <si>
    <t>Alle Namen, Anschriften und Beträge dieser Vorlage sind frei erfundene Beispieldaten. Die Vorlage ist eine Rechenhilfe und ersetzt keine Rechts- oder Steuerberatung.</t>
  </si>
  <si>
    <t>NEBENKOSTENABRECHNUNG VORLAGE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</si>
</sst>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00&quot; m²&quot;"/>
    <numFmt numFmtId="166" formatCode="#,##0.00&quot; €&quot;"/>
    <numFmt numFmtId="167" formatCode="#,##0.00&quot; €&quot;;[Red]\-#,##0.00&quot; €&quot;"/>
    <numFmt numFmtId="168" formatCode="0.0%"/>
    <numFmt numFmtId="169" formatCode="#,##0&quot; kWh&quot;"/>
    <numFmt numFmtId="170" formatCode="#,##0.0000"/>
    <numFmt numFmtId="171" formatCode="#,##0.000&quot; t&quot;"/>
  </numFmts>
  <fonts count="28" x14ac:knownFonts="1">
    <font>
      <sz val="11"/>
      <color theme="1"/>
      <name val="Calibri"/>
      <family val="2"/>
      <charset val="1"/>
    </font>
    <font>
      <b/>
      <sz val="19"/>
      <color rgb="FFFFFFFF"/>
      <name val="Calibri"/>
      <charset val="1"/>
    </font>
    <font>
      <b/>
      <sz val="11"/>
      <color rgb="FFE8C79A"/>
      <name val="Calibri"/>
      <charset val="1"/>
    </font>
    <font>
      <sz val="9.5"/>
      <color rgb="FFDCE4F0"/>
      <name val="Calibri"/>
      <charset val="1"/>
    </font>
    <font>
      <b/>
      <sz val="11"/>
      <color rgb="FFFFFFFF"/>
      <name val="Calibri"/>
      <charset val="1"/>
    </font>
    <font>
      <b/>
      <sz val="9.5"/>
      <color rgb="FFFFFFFF"/>
      <name val="Calibri"/>
      <charset val="1"/>
    </font>
    <font>
      <b/>
      <sz val="10"/>
      <color rgb="FF1F3352"/>
      <name val="Calibri"/>
      <charset val="1"/>
    </font>
    <font>
      <sz val="9.5"/>
      <color rgb="FF1B2431"/>
      <name val="Calibri"/>
      <charset val="1"/>
    </font>
    <font>
      <b/>
      <sz val="13"/>
      <color rgb="FFB4712A"/>
      <name val="Calibri"/>
      <charset val="1"/>
    </font>
    <font>
      <sz val="10"/>
      <color rgb="FF1B2431"/>
      <name val="Calibri"/>
      <charset val="1"/>
    </font>
    <font>
      <b/>
      <sz val="9.5"/>
      <color rgb="FFB4712A"/>
      <name val="Calibri"/>
      <charset val="1"/>
    </font>
    <font>
      <sz val="9"/>
      <color rgb="FF5F6C7E"/>
      <name val="Calibri"/>
      <charset val="1"/>
    </font>
    <font>
      <b/>
      <sz val="9.5"/>
      <color rgb="FF1F3352"/>
      <name val="Calibri"/>
      <charset val="1"/>
    </font>
    <font>
      <i/>
      <sz val="9"/>
      <color rgb="FF5F6C7E"/>
      <name val="Calibri"/>
      <charset val="1"/>
    </font>
    <font>
      <i/>
      <sz val="9"/>
      <color rgb="FF1F3352"/>
      <name val="Calibri"/>
      <charset val="1"/>
    </font>
    <font>
      <b/>
      <sz val="9.5"/>
      <color rgb="FF44587A"/>
      <name val="Calibri"/>
      <charset val="1"/>
    </font>
    <font>
      <b/>
      <sz val="9.5"/>
      <color rgb="FF1B2431"/>
      <name val="Calibri"/>
      <charset val="1"/>
    </font>
    <font>
      <i/>
      <sz val="8.5"/>
      <color rgb="FF5F6C7E"/>
      <name val="Calibri"/>
      <charset val="1"/>
    </font>
    <font>
      <i/>
      <sz val="8.5"/>
      <color rgb="FF1F3352"/>
      <name val="Calibri"/>
      <charset val="1"/>
    </font>
    <font>
      <b/>
      <sz val="8.5"/>
      <color rgb="FFFFFFFF"/>
      <name val="Calibri"/>
      <charset val="1"/>
    </font>
    <font>
      <sz val="9.5"/>
      <color rgb="FF5F6C7E"/>
      <name val="Calibri"/>
      <charset val="1"/>
    </font>
    <font>
      <sz val="8.5"/>
      <color rgb="FF5F6C7E"/>
      <name val="Calibri"/>
      <charset val="1"/>
    </font>
    <font>
      <b/>
      <sz val="9"/>
      <color rgb="FF1F3352"/>
      <name val="Calibri"/>
      <charset val="1"/>
    </font>
    <font>
      <b/>
      <sz val="10"/>
      <color rgb="FF1B2431"/>
      <name val="Calibri"/>
      <charset val="1"/>
    </font>
    <font>
      <b/>
      <sz val="13"/>
      <color rgb="FFFFFFFF"/>
      <name val="Calibri"/>
      <charset val="1"/>
    </font>
    <font>
      <b/>
      <sz val="15"/>
      <color rgb="FFFFFFFF"/>
      <name val="Calibri"/>
      <charset val="1"/>
    </font>
    <font>
      <sz val="10"/>
      <color rgb="FFB4712A"/>
      <name val="Calibri"/>
      <charset val="1"/>
    </font>
    <font>
      <sz val="9"/>
      <color rgb="FF1B2431"/>
      <name val="Calibri"/>
      <charset val="1"/>
    </font>
  </fonts>
  <fills count="11">
    <fill>
      <patternFill patternType="none"/>
    </fill>
    <fill>
      <patternFill patternType="gray125"/>
    </fill>
    <fill>
      <patternFill patternType="solid">
        <fgColor rgb="FF16263D"/>
        <bgColor rgb="FF1B2431"/>
      </patternFill>
    </fill>
    <fill>
      <patternFill patternType="solid">
        <fgColor rgb="FF44587A"/>
        <bgColor rgb="FF5F6C7E"/>
      </patternFill>
    </fill>
    <fill>
      <patternFill patternType="solid">
        <fgColor rgb="FFB4712A"/>
        <bgColor rgb="FF808080"/>
      </patternFill>
    </fill>
    <fill>
      <patternFill patternType="solid">
        <fgColor rgb="FF1F3352"/>
        <bgColor rgb="FF16263D"/>
      </patternFill>
    </fill>
    <fill>
      <patternFill patternType="solid">
        <fgColor rgb="FFF6F8FB"/>
        <bgColor rgb="FFFFFFFF"/>
      </patternFill>
    </fill>
    <fill>
      <patternFill patternType="solid">
        <fgColor rgb="FFFFF3DF"/>
        <bgColor rgb="FFF6F8FB"/>
      </patternFill>
    </fill>
    <fill>
      <patternFill patternType="solid">
        <fgColor rgb="FFFFFFFF"/>
        <bgColor rgb="FFF6F8FB"/>
      </patternFill>
    </fill>
    <fill>
      <patternFill patternType="solid">
        <fgColor rgb="FFDCE3EE"/>
        <bgColor rgb="FFDCE4F0"/>
      </patternFill>
    </fill>
    <fill>
      <patternFill patternType="solid">
        <fgColor rgb="FFE9EDF4"/>
        <bgColor rgb="FFDCE4F0"/>
      </patternFill>
    </fill>
  </fills>
  <borders count="6">
    <border>
      <left/>
      <right/>
      <top/>
      <bottom/>
      <diagonal/>
    </border>
    <border>
      <left/>
      <right/>
      <top/>
      <bottom style="medium">
        <color rgb="FFB4712A"/>
      </bottom>
      <diagonal/>
    </border>
    <border>
      <left style="thin">
        <color rgb="FFC6D0DE"/>
      </left>
      <right style="thin">
        <color rgb="FFC6D0DE"/>
      </right>
      <top style="thin">
        <color rgb="FFC6D0DE"/>
      </top>
      <bottom style="thin">
        <color rgb="FFC6D0DE"/>
      </bottom>
      <diagonal/>
    </border>
    <border>
      <left style="thin">
        <color rgb="FFD9A85C"/>
      </left>
      <right style="thin">
        <color rgb="FFD9A85C"/>
      </right>
      <top style="thin">
        <color rgb="FFD9A85C"/>
      </top>
      <bottom style="thin">
        <color rgb="FFD9A85C"/>
      </bottom>
      <diagonal/>
    </border>
    <border>
      <left style="thin">
        <color rgb="FFC6D0DE"/>
      </left>
      <right style="thin">
        <color rgb="FFC6D0DE"/>
      </right>
      <top style="medium">
        <color rgb="FF1F3352"/>
      </top>
      <bottom style="thin">
        <color rgb="FFC6D0DE"/>
      </bottom>
      <diagonal/>
    </border>
    <border>
      <left/>
      <right/>
      <top style="medium">
        <color rgb="FFB4712A"/>
      </top>
      <bottom style="medium">
        <color rgb="FFB4712A"/>
      </bottom>
      <diagonal/>
    </border>
  </borders>
  <cellStyleXfs count="1">
    <xf numFmtId="0" fontId="0" fillId="0" borderId="0"/>
  </cellStyleXfs>
  <cellXfs count="142">
    <xf numFmtId="0" fontId="0" fillId="0" borderId="0" xfId="0"/>
    <xf numFmtId="0" fontId="7" fillId="0" borderId="0" xfId="0" applyFont="1" applyAlignment="1">
      <alignment horizontal="left" vertical="center" wrapText="1"/>
    </xf>
    <xf numFmtId="0" fontId="6" fillId="0" borderId="0" xfId="0" applyFont="1" applyAlignment="1">
      <alignment horizontal="left" vertical="center"/>
    </xf>
    <xf numFmtId="0" fontId="7" fillId="0" borderId="2" xfId="0" applyFont="1" applyBorder="1" applyAlignment="1">
      <alignment horizontal="left" vertical="center" wrapText="1"/>
    </xf>
    <xf numFmtId="0" fontId="6" fillId="0" borderId="2" xfId="0" applyFont="1" applyBorder="1" applyAlignment="1">
      <alignment horizontal="left" vertical="center"/>
    </xf>
    <xf numFmtId="0" fontId="7" fillId="6" borderId="2" xfId="0" applyFont="1" applyFill="1" applyBorder="1" applyAlignment="1">
      <alignment horizontal="left" vertical="center" wrapText="1" indent="1"/>
    </xf>
    <xf numFmtId="0" fontId="6" fillId="6" borderId="2" xfId="0" applyFont="1" applyFill="1" applyBorder="1" applyAlignment="1">
      <alignment horizontal="left" vertical="center" indent="1"/>
    </xf>
    <xf numFmtId="0" fontId="7"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5" fillId="3" borderId="2" xfId="0" applyFont="1" applyFill="1" applyBorder="1" applyAlignment="1">
      <alignment horizontal="center" vertical="center" wrapText="1"/>
    </xf>
    <xf numFmtId="0" fontId="4" fillId="5" borderId="1" xfId="0" applyFont="1" applyFill="1" applyBorder="1" applyAlignment="1">
      <alignment horizontal="left" vertical="center" indent="1"/>
    </xf>
    <xf numFmtId="0" fontId="0" fillId="4" borderId="0" xfId="0" applyFill="1"/>
    <xf numFmtId="0" fontId="3" fillId="3" borderId="0" xfId="0" applyFont="1" applyFill="1" applyAlignment="1">
      <alignment horizontal="left" vertical="center" indent="1"/>
    </xf>
    <xf numFmtId="0" fontId="2" fillId="2" borderId="0" xfId="0" applyFont="1" applyFill="1" applyAlignment="1">
      <alignment horizontal="right" vertical="center" indent="1"/>
    </xf>
    <xf numFmtId="0" fontId="1" fillId="2" borderId="0" xfId="0" applyFont="1" applyFill="1" applyAlignment="1">
      <alignment horizontal="left" vertical="center" indent="1"/>
    </xf>
    <xf numFmtId="0" fontId="5" fillId="3" borderId="2" xfId="0" applyFont="1" applyFill="1" applyBorder="1" applyAlignment="1">
      <alignment horizontal="center" vertical="center" wrapText="1"/>
    </xf>
    <xf numFmtId="0" fontId="8" fillId="0" borderId="2" xfId="0" applyFont="1" applyBorder="1" applyAlignment="1">
      <alignment horizontal="center" vertical="center"/>
    </xf>
    <xf numFmtId="0" fontId="9" fillId="7" borderId="2" xfId="0" applyFont="1" applyFill="1" applyBorder="1" applyAlignment="1">
      <alignment vertical="center"/>
    </xf>
    <xf numFmtId="0" fontId="9" fillId="8" borderId="2" xfId="0" applyFont="1" applyFill="1" applyBorder="1" applyAlignment="1">
      <alignment vertical="center"/>
    </xf>
    <xf numFmtId="0" fontId="9" fillId="9" borderId="2" xfId="0" applyFont="1" applyFill="1" applyBorder="1" applyAlignment="1">
      <alignment vertical="center"/>
    </xf>
    <xf numFmtId="0" fontId="9" fillId="5" borderId="2" xfId="0" applyFont="1" applyFill="1" applyBorder="1" applyAlignment="1">
      <alignment vertical="center"/>
    </xf>
    <xf numFmtId="0" fontId="10" fillId="6" borderId="2" xfId="0" applyFont="1" applyFill="1" applyBorder="1" applyAlignment="1">
      <alignment horizontal="left" vertical="center" indent="1"/>
    </xf>
    <xf numFmtId="0" fontId="10" fillId="0" borderId="2" xfId="0" applyFont="1" applyBorder="1" applyAlignment="1">
      <alignment horizontal="left" vertical="center" indent="1"/>
    </xf>
    <xf numFmtId="0" fontId="12" fillId="10" borderId="2" xfId="0" applyFont="1" applyFill="1" applyBorder="1" applyAlignment="1">
      <alignment horizontal="left" vertical="center" indent="1"/>
    </xf>
    <xf numFmtId="3" fontId="7" fillId="0" borderId="2" xfId="0" applyNumberFormat="1" applyFont="1" applyBorder="1" applyAlignment="1">
      <alignment horizontal="center" vertical="center"/>
    </xf>
    <xf numFmtId="0" fontId="12" fillId="7" borderId="2" xfId="0" applyFont="1" applyFill="1" applyBorder="1" applyAlignment="1">
      <alignment horizontal="center" vertical="center"/>
    </xf>
    <xf numFmtId="0" fontId="7" fillId="7" borderId="2" xfId="0" applyFont="1" applyFill="1" applyBorder="1" applyAlignment="1">
      <alignment horizontal="left" vertical="center" indent="1"/>
    </xf>
    <xf numFmtId="4" fontId="9" fillId="7" borderId="2" xfId="0" applyNumberFormat="1" applyFont="1" applyFill="1" applyBorder="1" applyAlignment="1">
      <alignment horizontal="right" vertical="center"/>
    </xf>
    <xf numFmtId="3" fontId="9" fillId="7" borderId="2" xfId="0" applyNumberFormat="1" applyFont="1" applyFill="1" applyBorder="1" applyAlignment="1">
      <alignment horizontal="center" vertical="center"/>
    </xf>
    <xf numFmtId="164" fontId="9" fillId="7" borderId="2" xfId="0" applyNumberFormat="1" applyFont="1" applyFill="1" applyBorder="1" applyAlignment="1">
      <alignment horizontal="center" vertical="center"/>
    </xf>
    <xf numFmtId="3" fontId="9" fillId="0" borderId="2" xfId="0" applyNumberFormat="1" applyFont="1" applyBorder="1" applyAlignment="1">
      <alignment horizontal="center" vertical="center"/>
    </xf>
    <xf numFmtId="4" fontId="9" fillId="0" borderId="2" xfId="0" applyNumberFormat="1" applyFont="1" applyBorder="1" applyAlignment="1">
      <alignment horizontal="right" vertical="center"/>
    </xf>
    <xf numFmtId="3" fontId="9" fillId="0" borderId="2" xfId="0" applyNumberFormat="1" applyFont="1" applyBorder="1" applyAlignment="1">
      <alignment horizontal="right" vertical="center"/>
    </xf>
    <xf numFmtId="3" fontId="9" fillId="7" borderId="2" xfId="0" applyNumberFormat="1" applyFont="1" applyFill="1" applyBorder="1" applyAlignment="1">
      <alignment horizontal="right" vertical="center"/>
    </xf>
    <xf numFmtId="166" fontId="9" fillId="7" borderId="2" xfId="0" applyNumberFormat="1" applyFont="1" applyFill="1" applyBorder="1" applyAlignment="1">
      <alignment horizontal="right" vertical="center"/>
    </xf>
    <xf numFmtId="166" fontId="9" fillId="0" borderId="2" xfId="0" applyNumberFormat="1" applyFont="1" applyBorder="1" applyAlignment="1">
      <alignment horizontal="right" vertical="center"/>
    </xf>
    <xf numFmtId="0" fontId="11" fillId="0" borderId="2" xfId="0" applyFont="1" applyBorder="1" applyAlignment="1">
      <alignment horizontal="left" vertical="center" indent="1"/>
    </xf>
    <xf numFmtId="3" fontId="7" fillId="6" borderId="2" xfId="0" applyNumberFormat="1" applyFont="1" applyFill="1" applyBorder="1" applyAlignment="1">
      <alignment horizontal="center" vertical="center"/>
    </xf>
    <xf numFmtId="3" fontId="9" fillId="6" borderId="2" xfId="0" applyNumberFormat="1" applyFont="1" applyFill="1" applyBorder="1" applyAlignment="1">
      <alignment horizontal="center" vertical="center"/>
    </xf>
    <xf numFmtId="4" fontId="9" fillId="6" borderId="2" xfId="0" applyNumberFormat="1" applyFont="1" applyFill="1" applyBorder="1" applyAlignment="1">
      <alignment horizontal="right" vertical="center"/>
    </xf>
    <xf numFmtId="3" fontId="9" fillId="6" borderId="2" xfId="0" applyNumberFormat="1" applyFont="1" applyFill="1" applyBorder="1" applyAlignment="1">
      <alignment horizontal="right" vertical="center"/>
    </xf>
    <xf numFmtId="166" fontId="9" fillId="6" borderId="2" xfId="0" applyNumberFormat="1" applyFont="1" applyFill="1" applyBorder="1" applyAlignment="1">
      <alignment horizontal="right" vertical="center"/>
    </xf>
    <xf numFmtId="0" fontId="11" fillId="6" borderId="2" xfId="0" applyFont="1" applyFill="1" applyBorder="1" applyAlignment="1">
      <alignment horizontal="left" vertical="center" indent="1"/>
    </xf>
    <xf numFmtId="0" fontId="10" fillId="7" borderId="2" xfId="0" applyFont="1" applyFill="1" applyBorder="1" applyAlignment="1">
      <alignment horizontal="left" vertical="center" indent="1"/>
    </xf>
    <xf numFmtId="0" fontId="6" fillId="9" borderId="4" xfId="0" applyFont="1" applyFill="1" applyBorder="1" applyAlignment="1">
      <alignment horizontal="left" vertical="center" indent="1"/>
    </xf>
    <xf numFmtId="0" fontId="0" fillId="9" borderId="4" xfId="0" applyFill="1" applyBorder="1"/>
    <xf numFmtId="3" fontId="6" fillId="9" borderId="4" xfId="0" applyNumberFormat="1" applyFont="1" applyFill="1" applyBorder="1" applyAlignment="1">
      <alignment horizontal="right" vertical="center"/>
    </xf>
    <xf numFmtId="4" fontId="6" fillId="9" borderId="4" xfId="0" applyNumberFormat="1" applyFont="1" applyFill="1" applyBorder="1" applyAlignment="1">
      <alignment horizontal="right" vertical="center"/>
    </xf>
    <xf numFmtId="166" fontId="6" fillId="9" borderId="4" xfId="0" applyNumberFormat="1" applyFont="1" applyFill="1" applyBorder="1" applyAlignment="1">
      <alignment horizontal="right" vertical="center"/>
    </xf>
    <xf numFmtId="165" fontId="12" fillId="0" borderId="0" xfId="0" applyNumberFormat="1" applyFont="1" applyAlignment="1">
      <alignment horizontal="left" vertical="center" indent="1"/>
    </xf>
    <xf numFmtId="0" fontId="15" fillId="0" borderId="2" xfId="0" applyFont="1" applyBorder="1" applyAlignment="1">
      <alignment horizontal="center" vertical="center"/>
    </xf>
    <xf numFmtId="0" fontId="7" fillId="0" borderId="2" xfId="0" applyFont="1" applyBorder="1" applyAlignment="1">
      <alignment horizontal="left" vertical="center" indent="1"/>
    </xf>
    <xf numFmtId="166" fontId="16" fillId="0" borderId="2" xfId="0" applyNumberFormat="1" applyFont="1" applyBorder="1" applyAlignment="1">
      <alignment horizontal="right" vertical="center"/>
    </xf>
    <xf numFmtId="0" fontId="9" fillId="7" borderId="2" xfId="0" applyFont="1" applyFill="1" applyBorder="1" applyAlignment="1">
      <alignment horizontal="center" vertical="center"/>
    </xf>
    <xf numFmtId="0" fontId="11" fillId="7" borderId="2" xfId="0" applyFont="1" applyFill="1" applyBorder="1" applyAlignment="1">
      <alignment horizontal="left" vertical="center" indent="1"/>
    </xf>
    <xf numFmtId="0" fontId="15" fillId="6" borderId="2" xfId="0" applyFont="1" applyFill="1" applyBorder="1" applyAlignment="1">
      <alignment horizontal="center" vertical="center"/>
    </xf>
    <xf numFmtId="0" fontId="7" fillId="6" borderId="2" xfId="0" applyFont="1" applyFill="1" applyBorder="1" applyAlignment="1">
      <alignment horizontal="left" vertical="center" indent="1"/>
    </xf>
    <xf numFmtId="166" fontId="16" fillId="6" borderId="2" xfId="0" applyNumberFormat="1" applyFont="1" applyFill="1" applyBorder="1" applyAlignment="1">
      <alignment horizontal="right" vertical="center"/>
    </xf>
    <xf numFmtId="0" fontId="16" fillId="10" borderId="2" xfId="0" applyFont="1" applyFill="1" applyBorder="1" applyAlignment="1">
      <alignment horizontal="left" vertical="center" indent="1"/>
    </xf>
    <xf numFmtId="166" fontId="16" fillId="10" borderId="2" xfId="0" applyNumberFormat="1" applyFont="1" applyFill="1" applyBorder="1" applyAlignment="1">
      <alignment horizontal="right" vertical="center"/>
    </xf>
    <xf numFmtId="167" fontId="9" fillId="0" borderId="2" xfId="0" applyNumberFormat="1" applyFont="1" applyBorder="1" applyAlignment="1">
      <alignment horizontal="right" vertical="center"/>
    </xf>
    <xf numFmtId="0" fontId="7" fillId="7" borderId="2" xfId="0" applyFont="1" applyFill="1" applyBorder="1" applyAlignment="1">
      <alignment horizontal="right" vertical="center"/>
    </xf>
    <xf numFmtId="3" fontId="15" fillId="0" borderId="2" xfId="0" applyNumberFormat="1" applyFont="1" applyBorder="1" applyAlignment="1">
      <alignment horizontal="center" vertical="center"/>
    </xf>
    <xf numFmtId="4" fontId="9" fillId="0" borderId="2" xfId="0" applyNumberFormat="1" applyFont="1" applyBorder="1" applyAlignment="1">
      <alignment horizontal="center" vertical="center"/>
    </xf>
    <xf numFmtId="168" fontId="9" fillId="0" borderId="2" xfId="0" applyNumberFormat="1" applyFont="1" applyBorder="1" applyAlignment="1">
      <alignment horizontal="center" vertical="center"/>
    </xf>
    <xf numFmtId="169" fontId="7" fillId="7" borderId="2" xfId="0" applyNumberFormat="1" applyFont="1" applyFill="1" applyBorder="1" applyAlignment="1">
      <alignment horizontal="right" vertical="center"/>
    </xf>
    <xf numFmtId="3" fontId="15" fillId="6" borderId="2" xfId="0" applyNumberFormat="1" applyFont="1" applyFill="1" applyBorder="1" applyAlignment="1">
      <alignment horizontal="center" vertical="center"/>
    </xf>
    <xf numFmtId="4" fontId="9" fillId="6" borderId="2" xfId="0" applyNumberFormat="1" applyFont="1" applyFill="1" applyBorder="1" applyAlignment="1">
      <alignment horizontal="center" vertical="center"/>
    </xf>
    <xf numFmtId="168" fontId="9" fillId="6" borderId="2" xfId="0" applyNumberFormat="1" applyFont="1" applyFill="1" applyBorder="1" applyAlignment="1">
      <alignment horizontal="center" vertical="center"/>
    </xf>
    <xf numFmtId="170" fontId="7" fillId="7" borderId="2" xfId="0" applyNumberFormat="1" applyFont="1" applyFill="1" applyBorder="1" applyAlignment="1">
      <alignment horizontal="right" vertical="center"/>
    </xf>
    <xf numFmtId="171" fontId="7" fillId="0" borderId="2" xfId="0" applyNumberFormat="1" applyFont="1" applyBorder="1" applyAlignment="1">
      <alignment horizontal="right" vertical="center"/>
    </xf>
    <xf numFmtId="166" fontId="7" fillId="7" borderId="2" xfId="0" applyNumberFormat="1" applyFont="1" applyFill="1" applyBorder="1" applyAlignment="1">
      <alignment horizontal="right" vertical="center"/>
    </xf>
    <xf numFmtId="166" fontId="7" fillId="0" borderId="2" xfId="0" applyNumberFormat="1" applyFont="1" applyBorder="1" applyAlignment="1">
      <alignment horizontal="right" vertical="center"/>
    </xf>
    <xf numFmtId="165" fontId="7" fillId="0" borderId="2" xfId="0" applyNumberFormat="1" applyFont="1" applyBorder="1" applyAlignment="1">
      <alignment horizontal="right" vertical="center"/>
    </xf>
    <xf numFmtId="4" fontId="7" fillId="0" borderId="2" xfId="0" applyNumberFormat="1" applyFont="1" applyBorder="1" applyAlignment="1">
      <alignment horizontal="right" vertical="center"/>
    </xf>
    <xf numFmtId="3" fontId="12" fillId="10" borderId="2" xfId="0" applyNumberFormat="1" applyFont="1" applyFill="1" applyBorder="1" applyAlignment="1">
      <alignment horizontal="right" vertical="center"/>
    </xf>
    <xf numFmtId="168" fontId="12" fillId="10" borderId="2" xfId="0" applyNumberFormat="1" applyFont="1" applyFill="1" applyBorder="1" applyAlignment="1">
      <alignment horizontal="right" vertical="center"/>
    </xf>
    <xf numFmtId="166" fontId="12" fillId="10" borderId="2" xfId="0" applyNumberFormat="1" applyFont="1" applyFill="1" applyBorder="1" applyAlignment="1">
      <alignment horizontal="right" vertical="center"/>
    </xf>
    <xf numFmtId="168" fontId="16" fillId="7" borderId="2" xfId="0" applyNumberFormat="1" applyFont="1" applyFill="1" applyBorder="1" applyAlignment="1">
      <alignment horizontal="right" vertical="center"/>
    </xf>
    <xf numFmtId="168" fontId="16" fillId="0" borderId="2" xfId="0" applyNumberFormat="1" applyFont="1" applyBorder="1" applyAlignment="1">
      <alignment horizontal="right" vertical="center"/>
    </xf>
    <xf numFmtId="0" fontId="9" fillId="0" borderId="2" xfId="0" applyFont="1" applyBorder="1" applyAlignment="1">
      <alignment horizontal="center" vertical="center"/>
    </xf>
    <xf numFmtId="0" fontId="9" fillId="6" borderId="2" xfId="0" applyFont="1" applyFill="1" applyBorder="1" applyAlignment="1">
      <alignment horizontal="center" vertical="center"/>
    </xf>
    <xf numFmtId="0" fontId="6" fillId="9" borderId="2" xfId="0" applyFont="1" applyFill="1" applyBorder="1" applyAlignment="1">
      <alignment horizontal="left" vertical="center" indent="1"/>
    </xf>
    <xf numFmtId="166" fontId="6" fillId="9" borderId="2" xfId="0" applyNumberFormat="1" applyFont="1" applyFill="1" applyBorder="1" applyAlignment="1">
      <alignment horizontal="right" vertical="center"/>
    </xf>
    <xf numFmtId="167" fontId="6" fillId="9" borderId="2" xfId="0" applyNumberFormat="1" applyFont="1" applyFill="1" applyBorder="1" applyAlignment="1">
      <alignment horizontal="right" vertical="center"/>
    </xf>
    <xf numFmtId="0" fontId="19" fillId="3" borderId="2" xfId="0" applyFont="1" applyFill="1" applyBorder="1" applyAlignment="1">
      <alignment horizontal="center" vertical="center" wrapText="1"/>
    </xf>
    <xf numFmtId="0" fontId="0" fillId="0" borderId="2" xfId="0" applyBorder="1"/>
    <xf numFmtId="4" fontId="12" fillId="0" borderId="2" xfId="0" applyNumberFormat="1" applyFont="1" applyBorder="1" applyAlignment="1">
      <alignment horizontal="right" vertical="center"/>
    </xf>
    <xf numFmtId="4" fontId="11" fillId="0" borderId="2" xfId="0" applyNumberFormat="1" applyFont="1" applyBorder="1" applyAlignment="1">
      <alignment horizontal="right" vertical="center"/>
    </xf>
    <xf numFmtId="0" fontId="0" fillId="6" borderId="2" xfId="0" applyFill="1" applyBorder="1"/>
    <xf numFmtId="3" fontId="12" fillId="6" borderId="2" xfId="0" applyNumberFormat="1" applyFont="1" applyFill="1" applyBorder="1" applyAlignment="1">
      <alignment horizontal="right" vertical="center"/>
    </xf>
    <xf numFmtId="3" fontId="11" fillId="6" borderId="2" xfId="0" applyNumberFormat="1" applyFont="1" applyFill="1" applyBorder="1" applyAlignment="1">
      <alignment horizontal="right" vertical="center"/>
    </xf>
    <xf numFmtId="3" fontId="12" fillId="0" borderId="2" xfId="0" applyNumberFormat="1" applyFont="1" applyBorder="1" applyAlignment="1">
      <alignment horizontal="right" vertical="center"/>
    </xf>
    <xf numFmtId="3" fontId="11" fillId="0" borderId="2" xfId="0" applyNumberFormat="1" applyFont="1" applyBorder="1" applyAlignment="1">
      <alignment horizontal="right" vertical="center"/>
    </xf>
    <xf numFmtId="3" fontId="11" fillId="0" borderId="2" xfId="0" applyNumberFormat="1" applyFont="1" applyBorder="1" applyAlignment="1">
      <alignment horizontal="center" vertical="center"/>
    </xf>
    <xf numFmtId="166" fontId="20" fillId="0" borderId="2" xfId="0" applyNumberFormat="1" applyFont="1" applyBorder="1" applyAlignment="1">
      <alignment horizontal="right" vertical="center"/>
    </xf>
    <xf numFmtId="167" fontId="11" fillId="0" borderId="2" xfId="0" applyNumberFormat="1" applyFont="1" applyBorder="1" applyAlignment="1">
      <alignment horizontal="right" vertical="center"/>
    </xf>
    <xf numFmtId="166" fontId="11" fillId="0" borderId="2" xfId="0" applyNumberFormat="1" applyFont="1" applyBorder="1" applyAlignment="1">
      <alignment horizontal="right" vertical="center"/>
    </xf>
    <xf numFmtId="0" fontId="21" fillId="0" borderId="2" xfId="0" applyFont="1" applyBorder="1" applyAlignment="1">
      <alignment horizontal="left" vertical="center" indent="1"/>
    </xf>
    <xf numFmtId="3" fontId="11" fillId="6" borderId="2" xfId="0" applyNumberFormat="1" applyFont="1" applyFill="1" applyBorder="1" applyAlignment="1">
      <alignment horizontal="center" vertical="center"/>
    </xf>
    <xf numFmtId="166" fontId="20" fillId="6" borderId="2" xfId="0" applyNumberFormat="1" applyFont="1" applyFill="1" applyBorder="1" applyAlignment="1">
      <alignment horizontal="right" vertical="center"/>
    </xf>
    <xf numFmtId="167" fontId="11" fillId="6" borderId="2" xfId="0" applyNumberFormat="1" applyFont="1" applyFill="1" applyBorder="1" applyAlignment="1">
      <alignment horizontal="right" vertical="center"/>
    </xf>
    <xf numFmtId="166" fontId="11" fillId="6" borderId="2" xfId="0" applyNumberFormat="1" applyFont="1" applyFill="1" applyBorder="1" applyAlignment="1">
      <alignment horizontal="right" vertical="center"/>
    </xf>
    <xf numFmtId="0" fontId="21" fillId="6" borderId="2" xfId="0" applyFont="1" applyFill="1" applyBorder="1" applyAlignment="1">
      <alignment horizontal="left" vertical="center" indent="1"/>
    </xf>
    <xf numFmtId="167" fontId="12" fillId="9" borderId="2" xfId="0" applyNumberFormat="1" applyFont="1" applyFill="1" applyBorder="1" applyAlignment="1">
      <alignment horizontal="right" vertical="center"/>
    </xf>
    <xf numFmtId="4" fontId="11" fillId="6" borderId="2" xfId="0" applyNumberFormat="1" applyFont="1" applyFill="1" applyBorder="1" applyAlignment="1">
      <alignment horizontal="right" vertical="center"/>
    </xf>
    <xf numFmtId="0" fontId="26" fillId="0" borderId="0" xfId="0" applyFont="1" applyAlignment="1">
      <alignment horizontal="center" vertical="center"/>
    </xf>
    <xf numFmtId="0" fontId="10" fillId="6" borderId="2" xfId="0" applyFont="1" applyFill="1" applyBorder="1" applyAlignment="1">
      <alignment horizontal="left" vertical="center" indent="1"/>
    </xf>
    <xf numFmtId="0" fontId="10" fillId="0" borderId="2" xfId="0" applyFont="1" applyBorder="1" applyAlignment="1">
      <alignment horizontal="left" vertical="center" indent="1"/>
    </xf>
    <xf numFmtId="0" fontId="11" fillId="10" borderId="2" xfId="0" applyFont="1" applyFill="1" applyBorder="1" applyAlignment="1">
      <alignment horizontal="left" vertical="top" wrapText="1" indent="1"/>
    </xf>
    <xf numFmtId="0" fontId="12" fillId="10" borderId="2" xfId="0" applyFont="1" applyFill="1" applyBorder="1" applyAlignment="1">
      <alignment horizontal="left" vertical="center" indent="1"/>
    </xf>
    <xf numFmtId="0" fontId="9" fillId="7" borderId="3" xfId="0" applyFont="1" applyFill="1" applyBorder="1" applyAlignment="1">
      <alignment horizontal="left" vertical="center" indent="1"/>
    </xf>
    <xf numFmtId="164" fontId="9" fillId="7" borderId="3" xfId="0" applyNumberFormat="1" applyFont="1" applyFill="1" applyBorder="1" applyAlignment="1">
      <alignment horizontal="left" vertical="center" indent="1"/>
    </xf>
    <xf numFmtId="3" fontId="9" fillId="0" borderId="2" xfId="0" applyNumberFormat="1" applyFont="1" applyBorder="1" applyAlignment="1">
      <alignment horizontal="left" vertical="center" indent="1"/>
    </xf>
    <xf numFmtId="165" fontId="9" fillId="7" borderId="3" xfId="0" applyNumberFormat="1" applyFont="1" applyFill="1" applyBorder="1" applyAlignment="1">
      <alignment horizontal="left" vertical="center" indent="1"/>
    </xf>
    <xf numFmtId="3" fontId="9" fillId="7" borderId="3" xfId="0" applyNumberFormat="1" applyFont="1" applyFill="1" applyBorder="1" applyAlignment="1">
      <alignment horizontal="left" vertical="center" indent="1"/>
    </xf>
    <xf numFmtId="164" fontId="9" fillId="0" borderId="2" xfId="0" applyNumberFormat="1" applyFont="1" applyBorder="1" applyAlignment="1">
      <alignment horizontal="left" vertical="center" indent="1"/>
    </xf>
    <xf numFmtId="0" fontId="13" fillId="0" borderId="0" xfId="0" applyFont="1" applyAlignment="1">
      <alignment horizontal="left" vertical="center" wrapText="1" indent="1"/>
    </xf>
    <xf numFmtId="0" fontId="6" fillId="9" borderId="4" xfId="0" applyFont="1" applyFill="1" applyBorder="1" applyAlignment="1">
      <alignment horizontal="left" vertical="center" indent="1"/>
    </xf>
    <xf numFmtId="0" fontId="14" fillId="0" borderId="0" xfId="0" applyFont="1" applyAlignment="1">
      <alignment horizontal="left" vertical="center" indent="1"/>
    </xf>
    <xf numFmtId="0" fontId="11" fillId="0" borderId="0" xfId="0" applyFont="1" applyAlignment="1">
      <alignment horizontal="right" vertical="center"/>
    </xf>
    <xf numFmtId="0" fontId="17" fillId="0" borderId="0" xfId="0" applyFont="1" applyAlignment="1">
      <alignment horizontal="left" vertical="center" wrapText="1" indent="1"/>
    </xf>
    <xf numFmtId="0" fontId="17" fillId="0" borderId="2" xfId="0" applyFont="1" applyBorder="1" applyAlignment="1">
      <alignment horizontal="left" vertical="center" indent="1"/>
    </xf>
    <xf numFmtId="0" fontId="17" fillId="6" borderId="2" xfId="0" applyFont="1" applyFill="1" applyBorder="1" applyAlignment="1">
      <alignment horizontal="left" vertical="center" indent="1"/>
    </xf>
    <xf numFmtId="0" fontId="0" fillId="10" borderId="2" xfId="0" applyFill="1" applyBorder="1"/>
    <xf numFmtId="0" fontId="0" fillId="9" borderId="4" xfId="0" applyFill="1" applyBorder="1"/>
    <xf numFmtId="0" fontId="18" fillId="0" borderId="0" xfId="0" applyFont="1" applyAlignment="1">
      <alignment horizontal="left" vertical="center" indent="1"/>
    </xf>
    <xf numFmtId="0" fontId="17" fillId="0" borderId="0" xfId="0" applyFont="1" applyAlignment="1">
      <alignment horizontal="left" vertical="center" indent="1"/>
    </xf>
    <xf numFmtId="0" fontId="7" fillId="0" borderId="2" xfId="0" applyFont="1" applyBorder="1" applyAlignment="1">
      <alignment horizontal="left" vertical="center" indent="1"/>
    </xf>
    <xf numFmtId="0" fontId="6" fillId="9" borderId="2" xfId="0" applyFont="1" applyFill="1" applyBorder="1" applyAlignment="1">
      <alignment horizontal="left" vertical="center" indent="1"/>
    </xf>
    <xf numFmtId="0" fontId="17" fillId="10" borderId="2" xfId="0" applyFont="1" applyFill="1" applyBorder="1" applyAlignment="1">
      <alignment horizontal="left" vertical="top" wrapText="1" indent="1"/>
    </xf>
    <xf numFmtId="0" fontId="22" fillId="10" borderId="2" xfId="0" applyFont="1" applyFill="1" applyBorder="1" applyAlignment="1">
      <alignment horizontal="left" vertical="center" indent="1"/>
    </xf>
    <xf numFmtId="0" fontId="9" fillId="0" borderId="2" xfId="0" applyFont="1" applyBorder="1" applyAlignment="1">
      <alignment horizontal="left" vertical="center" indent="1"/>
    </xf>
    <xf numFmtId="0" fontId="23" fillId="7" borderId="3" xfId="0" applyFont="1" applyFill="1" applyBorder="1" applyAlignment="1">
      <alignment horizontal="left" vertical="center" indent="1"/>
    </xf>
    <xf numFmtId="165" fontId="9" fillId="0" borderId="2" xfId="0" applyNumberFormat="1" applyFont="1" applyBorder="1" applyAlignment="1">
      <alignment horizontal="left" vertical="center" indent="1"/>
    </xf>
    <xf numFmtId="166" fontId="9" fillId="0" borderId="2" xfId="0" applyNumberFormat="1" applyFont="1" applyBorder="1" applyAlignment="1">
      <alignment horizontal="left" vertical="center" indent="1"/>
    </xf>
    <xf numFmtId="166" fontId="9" fillId="0" borderId="2" xfId="0" applyNumberFormat="1" applyFont="1" applyBorder="1" applyAlignment="1">
      <alignment horizontal="right" vertical="center"/>
    </xf>
    <xf numFmtId="167" fontId="9" fillId="0" borderId="2" xfId="0" applyNumberFormat="1" applyFont="1" applyBorder="1" applyAlignment="1">
      <alignment horizontal="right" vertical="center"/>
    </xf>
    <xf numFmtId="0" fontId="24" fillId="5" borderId="5" xfId="0" applyFont="1" applyFill="1" applyBorder="1" applyAlignment="1">
      <alignment horizontal="left" vertical="center" indent="1"/>
    </xf>
    <xf numFmtId="166" fontId="25" fillId="5" borderId="5" xfId="0" applyNumberFormat="1" applyFont="1" applyFill="1" applyBorder="1" applyAlignment="1">
      <alignment horizontal="right" vertical="center"/>
    </xf>
    <xf numFmtId="0" fontId="7" fillId="6" borderId="2" xfId="0" applyFont="1" applyFill="1" applyBorder="1" applyAlignment="1">
      <alignment horizontal="left" vertical="center" indent="1"/>
    </xf>
    <xf numFmtId="0" fontId="27" fillId="0" borderId="0" xfId="0" applyFont="1" applyAlignment="1">
      <alignment horizontal="left" vertical="center" wrapText="1" indent="1"/>
    </xf>
  </cellXfs>
  <cellStyles count="1">
    <cellStyle name="Standard" xfId="0" builtinId="0"/>
  </cellStyles>
  <dxfs count="3">
    <dxf>
      <fill>
        <patternFill>
          <bgColor rgb="FF8C1D1D"/>
        </patternFill>
      </fill>
    </dxf>
    <dxf>
      <font>
        <b/>
        <sz val="9"/>
        <color rgb="FF1F3352"/>
        <name val="Calibri"/>
        <charset val="1"/>
      </font>
    </dxf>
    <dxf>
      <font>
        <b/>
        <sz val="9"/>
        <color rgb="FF9B1C1C"/>
        <name val="Calibri"/>
        <charset val="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C1D1D"/>
      <rgbColor rgb="FF008000"/>
      <rgbColor rgb="FF000080"/>
      <rgbColor rgb="FFB4712A"/>
      <rgbColor rgb="FF800080"/>
      <rgbColor rgb="FF008080"/>
      <rgbColor rgb="FFC0C0C0"/>
      <rgbColor rgb="FF808080"/>
      <rgbColor rgb="FF9999FF"/>
      <rgbColor rgb="FF993366"/>
      <rgbColor rgb="FFFFF3DF"/>
      <rgbColor rgb="FFE9EDF4"/>
      <rgbColor rgb="FF660066"/>
      <rgbColor rgb="FFFF8080"/>
      <rgbColor rgb="FF0066CC"/>
      <rgbColor rgb="FFC6D0DE"/>
      <rgbColor rgb="FF000080"/>
      <rgbColor rgb="FFFF00FF"/>
      <rgbColor rgb="FFFFFF00"/>
      <rgbColor rgb="FF00FFFF"/>
      <rgbColor rgb="FF800080"/>
      <rgbColor rgb="FF800000"/>
      <rgbColor rgb="FF008080"/>
      <rgbColor rgb="FF0000FF"/>
      <rgbColor rgb="FF00CCFF"/>
      <rgbColor rgb="FFDCE4F0"/>
      <rgbColor rgb="FFDCE3EE"/>
      <rgbColor rgb="FFF6F8FB"/>
      <rgbColor rgb="FF99CCFF"/>
      <rgbColor rgb="FFFF99CC"/>
      <rgbColor rgb="FFCC99FF"/>
      <rgbColor rgb="FFE8C79A"/>
      <rgbColor rgb="FF3366FF"/>
      <rgbColor rgb="FF33CCCC"/>
      <rgbColor rgb="FF99CC00"/>
      <rgbColor rgb="FFFFCC00"/>
      <rgbColor rgb="FFD9A85C"/>
      <rgbColor rgb="FFFF6600"/>
      <rgbColor rgb="FF5F6C7E"/>
      <rgbColor rgb="FF969696"/>
      <rgbColor rgb="FF16263D"/>
      <rgbColor rgb="FF339966"/>
      <rgbColor rgb="FF003300"/>
      <rgbColor rgb="FF1B2431"/>
      <rgbColor rgb="FF9B1C1C"/>
      <rgbColor rgb="FF993366"/>
      <rgbColor rgb="FF44587A"/>
      <rgbColor rgb="FF1F335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352"/>
    <pageSetUpPr fitToPage="1"/>
  </sheetPr>
  <dimension ref="B1:I34"/>
  <sheetViews>
    <sheetView showGridLines="0" tabSelected="1" zoomScaleNormal="100" workbookViewId="0">
      <selection activeCell="E43" sqref="E43"/>
    </sheetView>
  </sheetViews>
  <sheetFormatPr baseColWidth="10" defaultColWidth="8.7109375" defaultRowHeight="15" x14ac:dyDescent="0.25"/>
  <cols>
    <col min="1" max="1" width="2.28515625" customWidth="1"/>
    <col min="2" max="2" width="5" customWidth="1"/>
    <col min="3" max="3" width="24" customWidth="1"/>
    <col min="4" max="4" width="22" customWidth="1"/>
    <col min="5" max="5" width="20" customWidth="1"/>
    <col min="6" max="6" width="18" customWidth="1"/>
    <col min="7" max="8" width="16" customWidth="1"/>
    <col min="9" max="9" width="14" customWidth="1"/>
  </cols>
  <sheetData>
    <row r="1" spans="2:9" ht="39.75" customHeight="1" x14ac:dyDescent="0.25">
      <c r="B1" s="14" t="s">
        <v>295</v>
      </c>
      <c r="C1" s="14"/>
      <c r="D1" s="14"/>
      <c r="E1" s="14"/>
      <c r="F1" s="13" t="s">
        <v>0</v>
      </c>
      <c r="G1" s="13"/>
      <c r="H1" s="13"/>
      <c r="I1" s="13"/>
    </row>
    <row r="2" spans="2:9" ht="19.5" customHeight="1" x14ac:dyDescent="0.25">
      <c r="B2" s="12" t="s">
        <v>1</v>
      </c>
      <c r="C2" s="12"/>
      <c r="D2" s="12"/>
      <c r="E2" s="12"/>
      <c r="F2" s="12"/>
      <c r="G2" s="12"/>
      <c r="H2" s="12"/>
      <c r="I2" s="12"/>
    </row>
    <row r="3" spans="2:9" ht="6" customHeight="1" x14ac:dyDescent="0.25">
      <c r="B3" s="11"/>
      <c r="C3" s="11"/>
      <c r="D3" s="11"/>
      <c r="E3" s="11"/>
      <c r="F3" s="11"/>
      <c r="G3" s="11"/>
      <c r="H3" s="11"/>
      <c r="I3" s="11"/>
    </row>
    <row r="4" spans="2:9" ht="9" customHeight="1" x14ac:dyDescent="0.25"/>
    <row r="5" spans="2:9" ht="21" customHeight="1" x14ac:dyDescent="0.25">
      <c r="B5" s="10" t="s">
        <v>2</v>
      </c>
      <c r="C5" s="10"/>
      <c r="D5" s="10"/>
      <c r="E5" s="10"/>
      <c r="F5" s="10"/>
      <c r="G5" s="10"/>
      <c r="H5" s="10"/>
      <c r="I5" s="10"/>
    </row>
    <row r="6" spans="2:9" ht="19.5" customHeight="1" x14ac:dyDescent="0.25">
      <c r="B6" s="9" t="s">
        <v>3</v>
      </c>
      <c r="C6" s="9"/>
      <c r="D6" s="9" t="s">
        <v>4</v>
      </c>
      <c r="E6" s="9"/>
      <c r="F6" s="9"/>
      <c r="G6" s="9"/>
      <c r="H6" s="9"/>
      <c r="I6" s="9"/>
    </row>
    <row r="7" spans="2:9" ht="30" customHeight="1" x14ac:dyDescent="0.25">
      <c r="B7" s="8" t="s">
        <v>5</v>
      </c>
      <c r="C7" s="8"/>
      <c r="D7" s="7" t="s">
        <v>6</v>
      </c>
      <c r="E7" s="7"/>
      <c r="F7" s="7"/>
      <c r="G7" s="7"/>
      <c r="H7" s="7"/>
      <c r="I7" s="7"/>
    </row>
    <row r="8" spans="2:9" ht="30" customHeight="1" x14ac:dyDescent="0.25">
      <c r="B8" s="6" t="s">
        <v>7</v>
      </c>
      <c r="C8" s="6"/>
      <c r="D8" s="5" t="s">
        <v>8</v>
      </c>
      <c r="E8" s="5"/>
      <c r="F8" s="5"/>
      <c r="G8" s="5"/>
      <c r="H8" s="5"/>
      <c r="I8" s="5"/>
    </row>
    <row r="9" spans="2:9" ht="30" customHeight="1" x14ac:dyDescent="0.25">
      <c r="B9" s="8" t="s">
        <v>9</v>
      </c>
      <c r="C9" s="8"/>
      <c r="D9" s="7" t="s">
        <v>10</v>
      </c>
      <c r="E9" s="7"/>
      <c r="F9" s="7"/>
      <c r="G9" s="7"/>
      <c r="H9" s="7"/>
      <c r="I9" s="7"/>
    </row>
    <row r="10" spans="2:9" ht="30" customHeight="1" x14ac:dyDescent="0.25">
      <c r="B10" s="6" t="s">
        <v>11</v>
      </c>
      <c r="C10" s="6"/>
      <c r="D10" s="5" t="s">
        <v>12</v>
      </c>
      <c r="E10" s="5"/>
      <c r="F10" s="5"/>
      <c r="G10" s="5"/>
      <c r="H10" s="5"/>
      <c r="I10" s="5"/>
    </row>
    <row r="11" spans="2:9" ht="9.75" customHeight="1" x14ac:dyDescent="0.25"/>
    <row r="12" spans="2:9" ht="21" customHeight="1" x14ac:dyDescent="0.25">
      <c r="B12" s="10" t="s">
        <v>13</v>
      </c>
      <c r="C12" s="10"/>
      <c r="D12" s="10"/>
      <c r="E12" s="10"/>
      <c r="F12" s="10"/>
      <c r="G12" s="10"/>
      <c r="H12" s="10"/>
      <c r="I12" s="10"/>
    </row>
    <row r="13" spans="2:9" ht="31.5" customHeight="1" x14ac:dyDescent="0.25">
      <c r="B13" s="16" t="s">
        <v>14</v>
      </c>
      <c r="C13" s="4" t="s">
        <v>15</v>
      </c>
      <c r="D13" s="4"/>
      <c r="E13" s="3" t="s">
        <v>16</v>
      </c>
      <c r="F13" s="3"/>
      <c r="G13" s="3"/>
      <c r="H13" s="3"/>
      <c r="I13" s="3"/>
    </row>
    <row r="14" spans="2:9" ht="31.5" customHeight="1" x14ac:dyDescent="0.25">
      <c r="B14" s="16" t="s">
        <v>17</v>
      </c>
      <c r="C14" s="4" t="s">
        <v>18</v>
      </c>
      <c r="D14" s="4"/>
      <c r="E14" s="3" t="s">
        <v>19</v>
      </c>
      <c r="F14" s="3"/>
      <c r="G14" s="3"/>
      <c r="H14" s="3"/>
      <c r="I14" s="3"/>
    </row>
    <row r="15" spans="2:9" ht="31.5" customHeight="1" x14ac:dyDescent="0.25">
      <c r="B15" s="16" t="s">
        <v>20</v>
      </c>
      <c r="C15" s="4" t="s">
        <v>21</v>
      </c>
      <c r="D15" s="4"/>
      <c r="E15" s="3" t="s">
        <v>22</v>
      </c>
      <c r="F15" s="3"/>
      <c r="G15" s="3"/>
      <c r="H15" s="3"/>
      <c r="I15" s="3"/>
    </row>
    <row r="16" spans="2:9" ht="31.5" customHeight="1" x14ac:dyDescent="0.25">
      <c r="B16" s="16" t="s">
        <v>23</v>
      </c>
      <c r="C16" s="4" t="s">
        <v>24</v>
      </c>
      <c r="D16" s="4"/>
      <c r="E16" s="3" t="s">
        <v>25</v>
      </c>
      <c r="F16" s="3"/>
      <c r="G16" s="3"/>
      <c r="H16" s="3"/>
      <c r="I16" s="3"/>
    </row>
    <row r="17" spans="2:9" ht="9.75" customHeight="1" x14ac:dyDescent="0.25"/>
    <row r="18" spans="2:9" ht="21" customHeight="1" x14ac:dyDescent="0.25">
      <c r="B18" s="10" t="s">
        <v>26</v>
      </c>
      <c r="C18" s="10"/>
      <c r="D18" s="10"/>
      <c r="E18" s="10"/>
      <c r="F18" s="10"/>
      <c r="G18" s="10"/>
      <c r="H18" s="10"/>
      <c r="I18" s="10"/>
    </row>
    <row r="19" spans="2:9" ht="21.75" customHeight="1" x14ac:dyDescent="0.25">
      <c r="B19" s="17"/>
      <c r="C19" s="2" t="s">
        <v>27</v>
      </c>
      <c r="D19" s="2"/>
      <c r="E19" s="1" t="s">
        <v>28</v>
      </c>
      <c r="F19" s="1"/>
      <c r="G19" s="1"/>
      <c r="H19" s="1"/>
      <c r="I19" s="1"/>
    </row>
    <row r="20" spans="2:9" ht="21.75" customHeight="1" x14ac:dyDescent="0.25">
      <c r="B20" s="18"/>
      <c r="C20" s="2" t="s">
        <v>29</v>
      </c>
      <c r="D20" s="2"/>
      <c r="E20" s="1" t="s">
        <v>30</v>
      </c>
      <c r="F20" s="1"/>
      <c r="G20" s="1"/>
      <c r="H20" s="1"/>
      <c r="I20" s="1"/>
    </row>
    <row r="21" spans="2:9" ht="21.75" customHeight="1" x14ac:dyDescent="0.25">
      <c r="B21" s="19"/>
      <c r="C21" s="2" t="s">
        <v>31</v>
      </c>
      <c r="D21" s="2"/>
      <c r="E21" s="1" t="s">
        <v>32</v>
      </c>
      <c r="F21" s="1"/>
      <c r="G21" s="1"/>
      <c r="H21" s="1"/>
      <c r="I21" s="1"/>
    </row>
    <row r="22" spans="2:9" ht="21.75" customHeight="1" x14ac:dyDescent="0.25">
      <c r="B22" s="20"/>
      <c r="C22" s="2" t="s">
        <v>33</v>
      </c>
      <c r="D22" s="2"/>
      <c r="E22" s="1" t="s">
        <v>34</v>
      </c>
      <c r="F22" s="1"/>
      <c r="G22" s="1"/>
      <c r="H22" s="1"/>
      <c r="I22" s="1"/>
    </row>
    <row r="23" spans="2:9" ht="9.75" customHeight="1" x14ac:dyDescent="0.25"/>
    <row r="24" spans="2:9" ht="21" customHeight="1" x14ac:dyDescent="0.25">
      <c r="B24" s="10" t="s">
        <v>35</v>
      </c>
      <c r="C24" s="10"/>
      <c r="D24" s="10"/>
      <c r="E24" s="10"/>
      <c r="F24" s="10"/>
      <c r="G24" s="10"/>
      <c r="H24" s="10"/>
      <c r="I24" s="10"/>
    </row>
    <row r="25" spans="2:9" ht="25.5" customHeight="1" x14ac:dyDescent="0.25">
      <c r="B25" s="107" t="s">
        <v>36</v>
      </c>
      <c r="C25" s="107"/>
      <c r="D25" s="5" t="s">
        <v>37</v>
      </c>
      <c r="E25" s="5"/>
      <c r="F25" s="5"/>
      <c r="G25" s="5"/>
      <c r="H25" s="5"/>
      <c r="I25" s="5"/>
    </row>
    <row r="26" spans="2:9" ht="25.5" customHeight="1" x14ac:dyDescent="0.25">
      <c r="B26" s="108" t="s">
        <v>38</v>
      </c>
      <c r="C26" s="108"/>
      <c r="D26" s="7" t="s">
        <v>39</v>
      </c>
      <c r="E26" s="7"/>
      <c r="F26" s="7"/>
      <c r="G26" s="7"/>
      <c r="H26" s="7"/>
      <c r="I26" s="7"/>
    </row>
    <row r="27" spans="2:9" ht="25.5" customHeight="1" x14ac:dyDescent="0.25">
      <c r="B27" s="107" t="s">
        <v>40</v>
      </c>
      <c r="C27" s="107"/>
      <c r="D27" s="5" t="s">
        <v>41</v>
      </c>
      <c r="E27" s="5"/>
      <c r="F27" s="5"/>
      <c r="G27" s="5"/>
      <c r="H27" s="5"/>
      <c r="I27" s="5"/>
    </row>
    <row r="28" spans="2:9" ht="25.5" customHeight="1" x14ac:dyDescent="0.25">
      <c r="B28" s="108" t="s">
        <v>42</v>
      </c>
      <c r="C28" s="108"/>
      <c r="D28" s="7" t="s">
        <v>43</v>
      </c>
      <c r="E28" s="7"/>
      <c r="F28" s="7"/>
      <c r="G28" s="7"/>
      <c r="H28" s="7"/>
      <c r="I28" s="7"/>
    </row>
    <row r="29" spans="2:9" ht="25.5" customHeight="1" x14ac:dyDescent="0.25">
      <c r="B29" s="107" t="s">
        <v>44</v>
      </c>
      <c r="C29" s="107"/>
      <c r="D29" s="5" t="s">
        <v>45</v>
      </c>
      <c r="E29" s="5"/>
      <c r="F29" s="5"/>
      <c r="G29" s="5"/>
      <c r="H29" s="5"/>
      <c r="I29" s="5"/>
    </row>
    <row r="30" spans="2:9" ht="25.5" customHeight="1" x14ac:dyDescent="0.25">
      <c r="B30" s="108" t="s">
        <v>46</v>
      </c>
      <c r="C30" s="108"/>
      <c r="D30" s="7" t="s">
        <v>47</v>
      </c>
      <c r="E30" s="7"/>
      <c r="F30" s="7"/>
      <c r="G30" s="7"/>
      <c r="H30" s="7"/>
      <c r="I30" s="7"/>
    </row>
    <row r="31" spans="2:9" ht="12" customHeight="1" x14ac:dyDescent="0.25"/>
    <row r="32" spans="2:9" ht="19.5" customHeight="1" x14ac:dyDescent="0.25">
      <c r="B32" s="109" t="s">
        <v>48</v>
      </c>
      <c r="C32" s="109"/>
      <c r="D32" s="109"/>
      <c r="E32" s="109"/>
      <c r="F32" s="109"/>
      <c r="G32" s="109"/>
      <c r="H32" s="109"/>
      <c r="I32" s="109"/>
    </row>
    <row r="33" spans="2:9" ht="19.5" customHeight="1" x14ac:dyDescent="0.25">
      <c r="B33" s="109"/>
      <c r="C33" s="109"/>
      <c r="D33" s="109"/>
      <c r="E33" s="109"/>
      <c r="F33" s="109"/>
      <c r="G33" s="109"/>
      <c r="H33" s="109"/>
      <c r="I33" s="109"/>
    </row>
    <row r="34" spans="2:9" ht="19.5" customHeight="1" x14ac:dyDescent="0.25">
      <c r="B34" s="109"/>
      <c r="C34" s="109"/>
      <c r="D34" s="109"/>
      <c r="E34" s="109"/>
      <c r="F34" s="109"/>
      <c r="G34" s="109"/>
      <c r="H34" s="109"/>
      <c r="I34" s="109"/>
    </row>
  </sheetData>
  <mergeCells count="47">
    <mergeCell ref="B30:C30"/>
    <mergeCell ref="D30:I30"/>
    <mergeCell ref="B32:I34"/>
    <mergeCell ref="B27:C27"/>
    <mergeCell ref="D27:I27"/>
    <mergeCell ref="B28:C28"/>
    <mergeCell ref="D28:I28"/>
    <mergeCell ref="B29:C29"/>
    <mergeCell ref="D29:I29"/>
    <mergeCell ref="B24:I24"/>
    <mergeCell ref="B25:C25"/>
    <mergeCell ref="D25:I25"/>
    <mergeCell ref="B26:C26"/>
    <mergeCell ref="D26:I26"/>
    <mergeCell ref="C20:D20"/>
    <mergeCell ref="E20:I20"/>
    <mergeCell ref="C21:D21"/>
    <mergeCell ref="E21:I21"/>
    <mergeCell ref="C22:D22"/>
    <mergeCell ref="E22:I22"/>
    <mergeCell ref="C16:D16"/>
    <mergeCell ref="E16:I16"/>
    <mergeCell ref="B18:I18"/>
    <mergeCell ref="C19:D19"/>
    <mergeCell ref="E19:I19"/>
    <mergeCell ref="C13:D13"/>
    <mergeCell ref="E13:I13"/>
    <mergeCell ref="C14:D14"/>
    <mergeCell ref="E14:I14"/>
    <mergeCell ref="C15:D15"/>
    <mergeCell ref="E15:I15"/>
    <mergeCell ref="B9:C9"/>
    <mergeCell ref="D9:I9"/>
    <mergeCell ref="B10:C10"/>
    <mergeCell ref="D10:I10"/>
    <mergeCell ref="B12:I12"/>
    <mergeCell ref="B6:C6"/>
    <mergeCell ref="D6:I6"/>
    <mergeCell ref="B7:C7"/>
    <mergeCell ref="D7:I7"/>
    <mergeCell ref="B8:C8"/>
    <mergeCell ref="D8:I8"/>
    <mergeCell ref="B1:E1"/>
    <mergeCell ref="F1:I1"/>
    <mergeCell ref="B2:I2"/>
    <mergeCell ref="B3:I3"/>
    <mergeCell ref="B5:I5"/>
  </mergeCells>
  <pageMargins left="0.4" right="0.4" top="0.5" bottom="0.5"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4587A"/>
    <pageSetUpPr fitToPage="1"/>
  </sheetPr>
  <dimension ref="B1:R25"/>
  <sheetViews>
    <sheetView showGridLines="0" zoomScaleNormal="100" workbookViewId="0">
      <pane xSplit="1" ySplit="15" topLeftCell="B16" activePane="bottomRight" state="frozen"/>
      <selection pane="topRight" activeCell="B1" sqref="B1"/>
      <selection pane="bottomLeft" activeCell="A16" sqref="A16"/>
      <selection pane="bottomRight"/>
    </sheetView>
  </sheetViews>
  <sheetFormatPr baseColWidth="10" defaultColWidth="8.7109375" defaultRowHeight="15" x14ac:dyDescent="0.25"/>
  <cols>
    <col min="1" max="1" width="2.28515625" customWidth="1"/>
    <col min="2" max="2" width="5" customWidth="1"/>
    <col min="3" max="3" width="10" customWidth="1"/>
    <col min="4" max="4" width="15" customWidth="1"/>
    <col min="5" max="5" width="24" customWidth="1"/>
    <col min="6" max="6" width="12" customWidth="1"/>
    <col min="7" max="7" width="9" customWidth="1"/>
    <col min="8" max="9" width="12.42578125" customWidth="1"/>
    <col min="10" max="10" width="10" customWidth="1"/>
    <col min="11" max="15" width="13" customWidth="1"/>
    <col min="16" max="16" width="8.42578125" customWidth="1"/>
    <col min="17" max="17" width="14.5703125" customWidth="1"/>
    <col min="18" max="18" width="27" customWidth="1"/>
  </cols>
  <sheetData>
    <row r="1" spans="2:18" ht="39.75" customHeight="1" x14ac:dyDescent="0.25">
      <c r="B1" s="14" t="s">
        <v>49</v>
      </c>
      <c r="C1" s="14"/>
      <c r="D1" s="14"/>
      <c r="E1" s="14"/>
      <c r="F1" s="14"/>
      <c r="G1" s="14"/>
      <c r="H1" s="14"/>
      <c r="I1" s="14"/>
      <c r="J1" s="14"/>
      <c r="K1" s="13" t="s">
        <v>0</v>
      </c>
      <c r="L1" s="13"/>
      <c r="M1" s="13"/>
      <c r="N1" s="13"/>
      <c r="O1" s="13"/>
      <c r="P1" s="13"/>
      <c r="Q1" s="13"/>
      <c r="R1" s="13"/>
    </row>
    <row r="2" spans="2:18" ht="19.5" customHeight="1" x14ac:dyDescent="0.25">
      <c r="B2" s="12" t="s">
        <v>50</v>
      </c>
      <c r="C2" s="12"/>
      <c r="D2" s="12"/>
      <c r="E2" s="12"/>
      <c r="F2" s="12"/>
      <c r="G2" s="12"/>
      <c r="H2" s="12"/>
      <c r="I2" s="12"/>
      <c r="J2" s="12"/>
      <c r="K2" s="12"/>
      <c r="L2" s="12"/>
      <c r="M2" s="12"/>
      <c r="N2" s="12"/>
      <c r="O2" s="12"/>
      <c r="P2" s="12"/>
      <c r="Q2" s="12"/>
      <c r="R2" s="12"/>
    </row>
    <row r="3" spans="2:18" ht="6" customHeight="1" x14ac:dyDescent="0.25">
      <c r="B3" s="11"/>
      <c r="C3" s="11"/>
      <c r="D3" s="11"/>
      <c r="E3" s="11"/>
      <c r="F3" s="11"/>
      <c r="G3" s="11"/>
      <c r="H3" s="11"/>
      <c r="I3" s="11"/>
      <c r="J3" s="11"/>
      <c r="K3" s="11"/>
      <c r="L3" s="11"/>
      <c r="M3" s="11"/>
      <c r="N3" s="11"/>
      <c r="O3" s="11"/>
      <c r="P3" s="11"/>
      <c r="Q3" s="11"/>
      <c r="R3" s="11"/>
    </row>
    <row r="4" spans="2:18" ht="9" customHeight="1" x14ac:dyDescent="0.25"/>
    <row r="5" spans="2:18" ht="21" customHeight="1" x14ac:dyDescent="0.25">
      <c r="B5" s="10" t="s">
        <v>51</v>
      </c>
      <c r="C5" s="10"/>
      <c r="D5" s="10"/>
      <c r="E5" s="10"/>
      <c r="F5" s="10"/>
      <c r="G5" s="10"/>
      <c r="H5" s="10"/>
      <c r="I5" s="10"/>
      <c r="J5" s="10"/>
      <c r="K5" s="10"/>
      <c r="L5" s="10"/>
      <c r="M5" s="10"/>
      <c r="N5" s="10"/>
      <c r="O5" s="10"/>
      <c r="P5" s="10"/>
      <c r="Q5" s="10"/>
      <c r="R5" s="10"/>
    </row>
    <row r="6" spans="2:18" ht="18.75" customHeight="1" x14ac:dyDescent="0.25">
      <c r="B6" s="110" t="s">
        <v>52</v>
      </c>
      <c r="C6" s="110"/>
      <c r="D6" s="110"/>
      <c r="E6" s="111" t="s">
        <v>53</v>
      </c>
      <c r="F6" s="111"/>
      <c r="G6" s="111"/>
      <c r="H6" s="111"/>
      <c r="I6" s="111"/>
      <c r="K6" s="110" t="s">
        <v>54</v>
      </c>
      <c r="L6" s="110"/>
      <c r="M6" s="110"/>
      <c r="N6" s="110"/>
      <c r="O6" s="112">
        <v>46023</v>
      </c>
      <c r="P6" s="112"/>
      <c r="Q6" s="112"/>
      <c r="R6" s="112"/>
    </row>
    <row r="7" spans="2:18" ht="18.75" customHeight="1" x14ac:dyDescent="0.25">
      <c r="B7" s="110" t="s">
        <v>55</v>
      </c>
      <c r="C7" s="110"/>
      <c r="D7" s="110"/>
      <c r="E7" s="111" t="s">
        <v>56</v>
      </c>
      <c r="F7" s="111"/>
      <c r="G7" s="111"/>
      <c r="H7" s="111"/>
      <c r="I7" s="111"/>
      <c r="K7" s="110" t="s">
        <v>57</v>
      </c>
      <c r="L7" s="110"/>
      <c r="M7" s="110"/>
      <c r="N7" s="110"/>
      <c r="O7" s="112">
        <v>46387</v>
      </c>
      <c r="P7" s="112"/>
      <c r="Q7" s="112"/>
      <c r="R7" s="112"/>
    </row>
    <row r="8" spans="2:18" ht="18.75" customHeight="1" x14ac:dyDescent="0.25">
      <c r="B8" s="110" t="s">
        <v>58</v>
      </c>
      <c r="C8" s="110"/>
      <c r="D8" s="110"/>
      <c r="E8" s="111" t="s">
        <v>59</v>
      </c>
      <c r="F8" s="111"/>
      <c r="G8" s="111"/>
      <c r="H8" s="111"/>
      <c r="I8" s="111"/>
      <c r="K8" s="110" t="s">
        <v>60</v>
      </c>
      <c r="L8" s="110"/>
      <c r="M8" s="110"/>
      <c r="N8" s="110"/>
      <c r="O8" s="113">
        <f>$O$7-$O$6+1</f>
        <v>365</v>
      </c>
      <c r="P8" s="113"/>
      <c r="Q8" s="113"/>
      <c r="R8" s="113"/>
    </row>
    <row r="9" spans="2:18" ht="18.75" customHeight="1" x14ac:dyDescent="0.25">
      <c r="B9" s="110" t="s">
        <v>61</v>
      </c>
      <c r="C9" s="110"/>
      <c r="D9" s="110"/>
      <c r="E9" s="111" t="s">
        <v>62</v>
      </c>
      <c r="F9" s="111"/>
      <c r="G9" s="111"/>
      <c r="H9" s="111"/>
      <c r="I9" s="111"/>
      <c r="K9" s="110" t="s">
        <v>63</v>
      </c>
      <c r="L9" s="110"/>
      <c r="M9" s="110"/>
      <c r="N9" s="110"/>
      <c r="O9" s="114">
        <v>430</v>
      </c>
      <c r="P9" s="114"/>
      <c r="Q9" s="114"/>
      <c r="R9" s="114"/>
    </row>
    <row r="10" spans="2:18" ht="18.75" customHeight="1" x14ac:dyDescent="0.25">
      <c r="B10" s="110" t="s">
        <v>64</v>
      </c>
      <c r="C10" s="110"/>
      <c r="D10" s="110"/>
      <c r="E10" s="111" t="s">
        <v>65</v>
      </c>
      <c r="F10" s="111"/>
      <c r="G10" s="111"/>
      <c r="H10" s="111"/>
      <c r="I10" s="111"/>
      <c r="K10" s="110" t="s">
        <v>66</v>
      </c>
      <c r="L10" s="110"/>
      <c r="M10" s="110"/>
      <c r="N10" s="110"/>
      <c r="O10" s="115">
        <v>6</v>
      </c>
      <c r="P10" s="115"/>
      <c r="Q10" s="115"/>
      <c r="R10" s="115"/>
    </row>
    <row r="11" spans="2:18" ht="18.75" customHeight="1" x14ac:dyDescent="0.25">
      <c r="B11" s="110" t="s">
        <v>67</v>
      </c>
      <c r="C11" s="110"/>
      <c r="D11" s="110"/>
      <c r="E11" s="111" t="s">
        <v>68</v>
      </c>
      <c r="F11" s="111"/>
      <c r="G11" s="111"/>
      <c r="H11" s="111"/>
      <c r="I11" s="111"/>
      <c r="K11" s="110" t="s">
        <v>69</v>
      </c>
      <c r="L11" s="110"/>
      <c r="M11" s="110"/>
      <c r="N11" s="110"/>
      <c r="O11" s="116">
        <f>EDATE($O$7,12)</f>
        <v>46752</v>
      </c>
      <c r="P11" s="116"/>
      <c r="Q11" s="116"/>
      <c r="R11" s="116"/>
    </row>
    <row r="12" spans="2:18" ht="9.75" customHeight="1" x14ac:dyDescent="0.25"/>
    <row r="13" spans="2:18" ht="21" customHeight="1" x14ac:dyDescent="0.25">
      <c r="B13" s="10" t="s">
        <v>70</v>
      </c>
      <c r="C13" s="10"/>
      <c r="D13" s="10"/>
      <c r="E13" s="10"/>
      <c r="F13" s="10"/>
      <c r="G13" s="10"/>
      <c r="H13" s="10"/>
      <c r="I13" s="10"/>
      <c r="J13" s="10"/>
      <c r="K13" s="10"/>
      <c r="L13" s="10"/>
      <c r="M13" s="10"/>
      <c r="N13" s="10"/>
      <c r="O13" s="10"/>
      <c r="P13" s="10"/>
      <c r="Q13" s="10"/>
      <c r="R13" s="10"/>
    </row>
    <row r="14" spans="2:18" ht="27.75" customHeight="1" x14ac:dyDescent="0.25">
      <c r="B14" s="117" t="s">
        <v>71</v>
      </c>
      <c r="C14" s="117"/>
      <c r="D14" s="117"/>
      <c r="E14" s="117"/>
      <c r="F14" s="117"/>
      <c r="G14" s="117"/>
      <c r="H14" s="117"/>
      <c r="I14" s="117"/>
      <c r="J14" s="117"/>
      <c r="K14" s="117"/>
      <c r="L14" s="117"/>
      <c r="M14" s="117"/>
      <c r="N14" s="117"/>
      <c r="O14" s="117"/>
      <c r="P14" s="117"/>
      <c r="Q14" s="117"/>
      <c r="R14" s="117"/>
    </row>
    <row r="15" spans="2:18" ht="43.5" customHeight="1" x14ac:dyDescent="0.25">
      <c r="B15" s="15" t="s">
        <v>72</v>
      </c>
      <c r="C15" s="15" t="s">
        <v>73</v>
      </c>
      <c r="D15" s="15" t="s">
        <v>74</v>
      </c>
      <c r="E15" s="15" t="s">
        <v>75</v>
      </c>
      <c r="F15" s="15" t="s">
        <v>76</v>
      </c>
      <c r="G15" s="15" t="s">
        <v>77</v>
      </c>
      <c r="H15" s="15" t="s">
        <v>78</v>
      </c>
      <c r="I15" s="15" t="s">
        <v>79</v>
      </c>
      <c r="J15" s="15" t="s">
        <v>80</v>
      </c>
      <c r="K15" s="15" t="s">
        <v>81</v>
      </c>
      <c r="L15" s="15" t="s">
        <v>82</v>
      </c>
      <c r="M15" s="15" t="s">
        <v>83</v>
      </c>
      <c r="N15" s="15" t="s">
        <v>84</v>
      </c>
      <c r="O15" s="15" t="s">
        <v>85</v>
      </c>
      <c r="P15" s="15" t="s">
        <v>86</v>
      </c>
      <c r="Q15" s="15" t="s">
        <v>87</v>
      </c>
      <c r="R15" s="15" t="s">
        <v>88</v>
      </c>
    </row>
    <row r="16" spans="2:18" ht="18" customHeight="1" x14ac:dyDescent="0.25">
      <c r="B16" s="24">
        <v>1</v>
      </c>
      <c r="C16" s="25" t="s">
        <v>89</v>
      </c>
      <c r="D16" s="26" t="s">
        <v>90</v>
      </c>
      <c r="E16" s="26" t="s">
        <v>91</v>
      </c>
      <c r="F16" s="27">
        <v>62.5</v>
      </c>
      <c r="G16" s="28">
        <v>2</v>
      </c>
      <c r="H16" s="29">
        <v>46023</v>
      </c>
      <c r="I16" s="29">
        <v>46387</v>
      </c>
      <c r="J16" s="30">
        <f t="shared" ref="J16:J23" si="0">MAX(0,MIN($O$7,I16)-MAX($O$6,H16)+1)</f>
        <v>365</v>
      </c>
      <c r="K16" s="31">
        <f t="shared" ref="K16:K23" si="1">F16*J16</f>
        <v>22812.5</v>
      </c>
      <c r="L16" s="32">
        <f t="shared" ref="L16:L23" si="2">G16*J16</f>
        <v>730</v>
      </c>
      <c r="M16" s="33">
        <v>4120</v>
      </c>
      <c r="N16" s="27">
        <v>38</v>
      </c>
      <c r="O16" s="34">
        <v>225</v>
      </c>
      <c r="P16" s="28">
        <v>12</v>
      </c>
      <c r="Q16" s="35">
        <f t="shared" ref="Q16:Q23" si="3">O16*P16</f>
        <v>2700</v>
      </c>
      <c r="R16" s="36" t="str">
        <f t="shared" ref="R16:R23" si="4">C16&amp;" – "&amp;E16</f>
        <v>WE 01 – Thomas Ahrens</v>
      </c>
    </row>
    <row r="17" spans="2:18" ht="18" customHeight="1" x14ac:dyDescent="0.25">
      <c r="B17" s="37">
        <v>2</v>
      </c>
      <c r="C17" s="25" t="s">
        <v>92</v>
      </c>
      <c r="D17" s="26" t="s">
        <v>93</v>
      </c>
      <c r="E17" s="26" t="s">
        <v>94</v>
      </c>
      <c r="F17" s="27">
        <v>78.400000000000006</v>
      </c>
      <c r="G17" s="28">
        <v>4</v>
      </c>
      <c r="H17" s="29">
        <v>46023</v>
      </c>
      <c r="I17" s="29">
        <v>46387</v>
      </c>
      <c r="J17" s="38">
        <f t="shared" si="0"/>
        <v>365</v>
      </c>
      <c r="K17" s="39">
        <f t="shared" si="1"/>
        <v>28616.000000000004</v>
      </c>
      <c r="L17" s="40">
        <f t="shared" si="2"/>
        <v>1460</v>
      </c>
      <c r="M17" s="33">
        <v>5480</v>
      </c>
      <c r="N17" s="27">
        <v>62.5</v>
      </c>
      <c r="O17" s="34">
        <v>350</v>
      </c>
      <c r="P17" s="28">
        <v>12</v>
      </c>
      <c r="Q17" s="41">
        <f t="shared" si="3"/>
        <v>4200</v>
      </c>
      <c r="R17" s="42" t="str">
        <f t="shared" si="4"/>
        <v>WE 02 – Familie Novak</v>
      </c>
    </row>
    <row r="18" spans="2:18" ht="18" customHeight="1" x14ac:dyDescent="0.25">
      <c r="B18" s="24">
        <v>3</v>
      </c>
      <c r="C18" s="25" t="s">
        <v>95</v>
      </c>
      <c r="D18" s="26" t="s">
        <v>96</v>
      </c>
      <c r="E18" s="26" t="s">
        <v>97</v>
      </c>
      <c r="F18" s="27">
        <v>64.2</v>
      </c>
      <c r="G18" s="28">
        <v>1</v>
      </c>
      <c r="H18" s="29">
        <v>46023</v>
      </c>
      <c r="I18" s="29">
        <v>46203</v>
      </c>
      <c r="J18" s="30">
        <f t="shared" si="0"/>
        <v>181</v>
      </c>
      <c r="K18" s="31">
        <f t="shared" si="1"/>
        <v>11620.2</v>
      </c>
      <c r="L18" s="32">
        <f t="shared" si="2"/>
        <v>181</v>
      </c>
      <c r="M18" s="33">
        <v>2010</v>
      </c>
      <c r="N18" s="27">
        <v>15</v>
      </c>
      <c r="O18" s="34">
        <v>210</v>
      </c>
      <c r="P18" s="28">
        <v>6</v>
      </c>
      <c r="Q18" s="35">
        <f t="shared" si="3"/>
        <v>1260</v>
      </c>
      <c r="R18" s="36" t="str">
        <f t="shared" si="4"/>
        <v>WE 03 – Sabine Weiler</v>
      </c>
    </row>
    <row r="19" spans="2:18" ht="18" customHeight="1" x14ac:dyDescent="0.25">
      <c r="B19" s="37">
        <v>4</v>
      </c>
      <c r="C19" s="25" t="s">
        <v>95</v>
      </c>
      <c r="D19" s="26" t="s">
        <v>96</v>
      </c>
      <c r="E19" s="26" t="s">
        <v>98</v>
      </c>
      <c r="F19" s="27">
        <v>64.2</v>
      </c>
      <c r="G19" s="28">
        <v>3</v>
      </c>
      <c r="H19" s="29">
        <v>46204</v>
      </c>
      <c r="I19" s="29">
        <v>46387</v>
      </c>
      <c r="J19" s="38">
        <f t="shared" si="0"/>
        <v>184</v>
      </c>
      <c r="K19" s="39">
        <f t="shared" si="1"/>
        <v>11812.800000000001</v>
      </c>
      <c r="L19" s="40">
        <f t="shared" si="2"/>
        <v>552</v>
      </c>
      <c r="M19" s="33">
        <v>2240</v>
      </c>
      <c r="N19" s="27">
        <v>24.5</v>
      </c>
      <c r="O19" s="34">
        <v>250</v>
      </c>
      <c r="P19" s="28">
        <v>6</v>
      </c>
      <c r="Q19" s="41">
        <f t="shared" si="3"/>
        <v>1500</v>
      </c>
      <c r="R19" s="42" t="str">
        <f t="shared" si="4"/>
        <v>WE 03 – Deniz Yilmaz</v>
      </c>
    </row>
    <row r="20" spans="2:18" ht="18" customHeight="1" x14ac:dyDescent="0.25">
      <c r="B20" s="24">
        <v>5</v>
      </c>
      <c r="C20" s="25" t="s">
        <v>99</v>
      </c>
      <c r="D20" s="26" t="s">
        <v>100</v>
      </c>
      <c r="E20" s="26" t="s">
        <v>101</v>
      </c>
      <c r="F20" s="27">
        <v>81</v>
      </c>
      <c r="G20" s="28">
        <v>2</v>
      </c>
      <c r="H20" s="29">
        <v>46023</v>
      </c>
      <c r="I20" s="29">
        <v>46387</v>
      </c>
      <c r="J20" s="30">
        <f t="shared" si="0"/>
        <v>365</v>
      </c>
      <c r="K20" s="31">
        <f t="shared" si="1"/>
        <v>29565</v>
      </c>
      <c r="L20" s="32">
        <f t="shared" si="2"/>
        <v>730</v>
      </c>
      <c r="M20" s="33">
        <v>5760</v>
      </c>
      <c r="N20" s="27">
        <v>44</v>
      </c>
      <c r="O20" s="34">
        <v>285</v>
      </c>
      <c r="P20" s="28">
        <v>12</v>
      </c>
      <c r="Q20" s="35">
        <f t="shared" si="3"/>
        <v>3420</v>
      </c>
      <c r="R20" s="36" t="str">
        <f t="shared" si="4"/>
        <v>WE 04 – Petra Hoffmann</v>
      </c>
    </row>
    <row r="21" spans="2:18" ht="18" customHeight="1" x14ac:dyDescent="0.25">
      <c r="B21" s="37">
        <v>6</v>
      </c>
      <c r="C21" s="25" t="s">
        <v>102</v>
      </c>
      <c r="D21" s="26" t="s">
        <v>103</v>
      </c>
      <c r="E21" s="26" t="s">
        <v>104</v>
      </c>
      <c r="F21" s="27">
        <v>59.8</v>
      </c>
      <c r="G21" s="28">
        <v>1</v>
      </c>
      <c r="H21" s="29">
        <v>46023</v>
      </c>
      <c r="I21" s="29">
        <v>46387</v>
      </c>
      <c r="J21" s="38">
        <f t="shared" si="0"/>
        <v>365</v>
      </c>
      <c r="K21" s="39">
        <f t="shared" si="1"/>
        <v>21827</v>
      </c>
      <c r="L21" s="40">
        <f t="shared" si="2"/>
        <v>365</v>
      </c>
      <c r="M21" s="33">
        <v>3640</v>
      </c>
      <c r="N21" s="27">
        <v>21.5</v>
      </c>
      <c r="O21" s="34">
        <v>200</v>
      </c>
      <c r="P21" s="28">
        <v>12</v>
      </c>
      <c r="Q21" s="41">
        <f t="shared" si="3"/>
        <v>2400</v>
      </c>
      <c r="R21" s="42" t="str">
        <f t="shared" si="4"/>
        <v>WE 05 – Marek Zielinski</v>
      </c>
    </row>
    <row r="22" spans="2:18" ht="18" customHeight="1" x14ac:dyDescent="0.25">
      <c r="B22" s="24">
        <v>7</v>
      </c>
      <c r="C22" s="25" t="s">
        <v>105</v>
      </c>
      <c r="D22" s="26" t="s">
        <v>106</v>
      </c>
      <c r="E22" s="43" t="s">
        <v>107</v>
      </c>
      <c r="F22" s="27">
        <v>84.1</v>
      </c>
      <c r="G22" s="28">
        <v>1</v>
      </c>
      <c r="H22" s="29">
        <v>46023</v>
      </c>
      <c r="I22" s="29">
        <v>46081</v>
      </c>
      <c r="J22" s="30">
        <f t="shared" si="0"/>
        <v>59</v>
      </c>
      <c r="K22" s="31">
        <f t="shared" si="1"/>
        <v>4961.8999999999996</v>
      </c>
      <c r="L22" s="32">
        <f t="shared" si="2"/>
        <v>59</v>
      </c>
      <c r="M22" s="33">
        <v>780</v>
      </c>
      <c r="N22" s="27">
        <v>4</v>
      </c>
      <c r="O22" s="34">
        <v>0</v>
      </c>
      <c r="P22" s="28">
        <v>0</v>
      </c>
      <c r="Q22" s="35">
        <f t="shared" si="3"/>
        <v>0</v>
      </c>
      <c r="R22" s="36" t="str">
        <f t="shared" si="4"/>
        <v>WE 06 – Leerstand (Vermieter)</v>
      </c>
    </row>
    <row r="23" spans="2:18" ht="18" customHeight="1" x14ac:dyDescent="0.25">
      <c r="B23" s="37">
        <v>8</v>
      </c>
      <c r="C23" s="25" t="s">
        <v>105</v>
      </c>
      <c r="D23" s="26" t="s">
        <v>106</v>
      </c>
      <c r="E23" s="26" t="s">
        <v>108</v>
      </c>
      <c r="F23" s="27">
        <v>84.1</v>
      </c>
      <c r="G23" s="28">
        <v>2</v>
      </c>
      <c r="H23" s="29">
        <v>46082</v>
      </c>
      <c r="I23" s="29">
        <v>46387</v>
      </c>
      <c r="J23" s="38">
        <f t="shared" si="0"/>
        <v>306</v>
      </c>
      <c r="K23" s="39">
        <f t="shared" si="1"/>
        <v>25734.6</v>
      </c>
      <c r="L23" s="40">
        <f t="shared" si="2"/>
        <v>612</v>
      </c>
      <c r="M23" s="33">
        <v>5230</v>
      </c>
      <c r="N23" s="27">
        <v>40.5</v>
      </c>
      <c r="O23" s="34">
        <v>290</v>
      </c>
      <c r="P23" s="28">
        <v>10</v>
      </c>
      <c r="Q23" s="41">
        <f t="shared" si="3"/>
        <v>2900</v>
      </c>
      <c r="R23" s="42" t="str">
        <f t="shared" si="4"/>
        <v>WE 06 – Julia Brandner</v>
      </c>
    </row>
    <row r="24" spans="2:18" ht="19.5" customHeight="1" x14ac:dyDescent="0.25">
      <c r="B24" s="118" t="s">
        <v>109</v>
      </c>
      <c r="C24" s="118"/>
      <c r="D24" s="118"/>
      <c r="E24" s="118"/>
      <c r="F24" s="45"/>
      <c r="G24" s="45"/>
      <c r="H24" s="45"/>
      <c r="I24" s="45"/>
      <c r="J24" s="46">
        <f>SUM(J16:J23)</f>
        <v>2190</v>
      </c>
      <c r="K24" s="47">
        <f>SUM(K16:K23)</f>
        <v>156950</v>
      </c>
      <c r="L24" s="46">
        <f>SUM(L16:L23)</f>
        <v>4689</v>
      </c>
      <c r="M24" s="46">
        <f>SUM(M16:M23)</f>
        <v>29260</v>
      </c>
      <c r="N24" s="47">
        <f>SUM(N16:N23)</f>
        <v>250</v>
      </c>
      <c r="O24" s="45"/>
      <c r="P24" s="45"/>
      <c r="Q24" s="48">
        <f>SUM(Q16:Q23)</f>
        <v>18380</v>
      </c>
      <c r="R24" s="45"/>
    </row>
    <row r="25" spans="2:18" ht="18" customHeight="1" x14ac:dyDescent="0.25">
      <c r="B25" s="119" t="str">
        <f>IF(ABS(K24/$O$8-$O$9)&lt;0.01,"Kontrolle bestanden: Nutzungszeiten decken die Gesamtwohnfläche vollständig ab.","Achtung: Nutzungszeiten und Gesamtwohnfläche weichen voneinander ab – bitte prüfen.")</f>
        <v>Kontrolle bestanden: Nutzungszeiten decken die Gesamtwohnfläche vollständig ab.</v>
      </c>
      <c r="C25" s="119"/>
      <c r="D25" s="119"/>
      <c r="E25" s="119"/>
      <c r="F25" s="119"/>
      <c r="G25" s="119"/>
      <c r="H25" s="119"/>
      <c r="I25" s="119"/>
      <c r="K25" s="120" t="s">
        <v>110</v>
      </c>
      <c r="L25" s="120"/>
      <c r="M25" s="120"/>
      <c r="N25" s="120"/>
      <c r="O25" s="49">
        <f>K24/$O$8</f>
        <v>430</v>
      </c>
    </row>
  </sheetData>
  <mergeCells count="34">
    <mergeCell ref="B13:R13"/>
    <mergeCell ref="B14:R14"/>
    <mergeCell ref="B24:E24"/>
    <mergeCell ref="B25:I25"/>
    <mergeCell ref="K25:N25"/>
    <mergeCell ref="B10:D10"/>
    <mergeCell ref="E10:I10"/>
    <mergeCell ref="K10:N10"/>
    <mergeCell ref="O10:R10"/>
    <mergeCell ref="B11:D11"/>
    <mergeCell ref="E11:I11"/>
    <mergeCell ref="K11:N11"/>
    <mergeCell ref="O11:R11"/>
    <mergeCell ref="B8:D8"/>
    <mergeCell ref="E8:I8"/>
    <mergeCell ref="K8:N8"/>
    <mergeCell ref="O8:R8"/>
    <mergeCell ref="B9:D9"/>
    <mergeCell ref="E9:I9"/>
    <mergeCell ref="K9:N9"/>
    <mergeCell ref="O9:R9"/>
    <mergeCell ref="B6:D6"/>
    <mergeCell ref="E6:I6"/>
    <mergeCell ref="K6:N6"/>
    <mergeCell ref="O6:R6"/>
    <mergeCell ref="B7:D7"/>
    <mergeCell ref="E7:I7"/>
    <mergeCell ref="K7:N7"/>
    <mergeCell ref="O7:R7"/>
    <mergeCell ref="B1:J1"/>
    <mergeCell ref="K1:R1"/>
    <mergeCell ref="B2:R2"/>
    <mergeCell ref="B3:R3"/>
    <mergeCell ref="B5:R5"/>
  </mergeCells>
  <pageMargins left="0.4" right="0.4" top="0.5" bottom="0.5"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4712A"/>
    <pageSetUpPr fitToPage="1"/>
  </sheetPr>
  <dimension ref="B1:I81"/>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8.7109375" defaultRowHeight="15" x14ac:dyDescent="0.25"/>
  <cols>
    <col min="1" max="1" width="2.28515625" customWidth="1"/>
    <col min="2" max="2" width="12" customWidth="1"/>
    <col min="3" max="3" width="47" customWidth="1"/>
    <col min="4" max="4" width="16.42578125" customWidth="1"/>
    <col min="5" max="6" width="17" customWidth="1"/>
    <col min="7" max="7" width="20" customWidth="1"/>
    <col min="8" max="8" width="17" customWidth="1"/>
    <col min="9" max="9" width="26" customWidth="1"/>
  </cols>
  <sheetData>
    <row r="1" spans="2:9" ht="39.75" customHeight="1" x14ac:dyDescent="0.25">
      <c r="B1" s="14" t="s">
        <v>111</v>
      </c>
      <c r="C1" s="14"/>
      <c r="D1" s="14"/>
      <c r="E1" s="14"/>
      <c r="F1" s="13" t="s">
        <v>0</v>
      </c>
      <c r="G1" s="13"/>
      <c r="H1" s="13"/>
      <c r="I1" s="13"/>
    </row>
    <row r="2" spans="2:9" ht="19.5" customHeight="1" x14ac:dyDescent="0.25">
      <c r="B2" s="12" t="s">
        <v>112</v>
      </c>
      <c r="C2" s="12"/>
      <c r="D2" s="12"/>
      <c r="E2" s="12"/>
      <c r="F2" s="12"/>
      <c r="G2" s="12"/>
      <c r="H2" s="12"/>
      <c r="I2" s="12"/>
    </row>
    <row r="3" spans="2:9" ht="6" customHeight="1" x14ac:dyDescent="0.25">
      <c r="B3" s="11"/>
      <c r="C3" s="11"/>
      <c r="D3" s="11"/>
      <c r="E3" s="11"/>
      <c r="F3" s="11"/>
      <c r="G3" s="11"/>
      <c r="H3" s="11"/>
      <c r="I3" s="11"/>
    </row>
    <row r="4" spans="2:9" ht="9" customHeight="1" x14ac:dyDescent="0.25"/>
    <row r="5" spans="2:9" ht="21" customHeight="1" x14ac:dyDescent="0.25">
      <c r="B5" s="10" t="s">
        <v>113</v>
      </c>
      <c r="C5" s="10"/>
      <c r="D5" s="10"/>
      <c r="E5" s="10"/>
      <c r="F5" s="10"/>
      <c r="G5" s="10"/>
      <c r="H5" s="10"/>
      <c r="I5" s="10"/>
    </row>
    <row r="6" spans="2:9" ht="33.75" customHeight="1" x14ac:dyDescent="0.25">
      <c r="B6" s="15" t="s">
        <v>114</v>
      </c>
      <c r="C6" s="15" t="s">
        <v>115</v>
      </c>
      <c r="D6" s="15" t="s">
        <v>116</v>
      </c>
      <c r="E6" s="15" t="s">
        <v>117</v>
      </c>
      <c r="F6" s="15" t="s">
        <v>118</v>
      </c>
      <c r="G6" s="15" t="s">
        <v>119</v>
      </c>
      <c r="H6" s="15" t="s">
        <v>120</v>
      </c>
      <c r="I6" s="15" t="s">
        <v>121</v>
      </c>
    </row>
    <row r="7" spans="2:9" ht="18" customHeight="1" x14ac:dyDescent="0.25">
      <c r="B7" s="50" t="s">
        <v>122</v>
      </c>
      <c r="C7" s="51" t="s">
        <v>123</v>
      </c>
      <c r="D7" s="34">
        <v>1284</v>
      </c>
      <c r="E7" s="34">
        <v>0</v>
      </c>
      <c r="F7" s="52">
        <f t="shared" ref="F7:F22" si="0">D7-E7</f>
        <v>1284</v>
      </c>
      <c r="G7" s="53" t="s">
        <v>124</v>
      </c>
      <c r="H7" s="34">
        <v>0</v>
      </c>
      <c r="I7" s="54" t="s">
        <v>125</v>
      </c>
    </row>
    <row r="8" spans="2:9" ht="18" customHeight="1" x14ac:dyDescent="0.25">
      <c r="B8" s="55" t="s">
        <v>126</v>
      </c>
      <c r="C8" s="56" t="s">
        <v>127</v>
      </c>
      <c r="D8" s="34">
        <v>1372.5</v>
      </c>
      <c r="E8" s="34">
        <v>0</v>
      </c>
      <c r="F8" s="57">
        <f t="shared" si="0"/>
        <v>1372.5</v>
      </c>
      <c r="G8" s="53" t="s">
        <v>128</v>
      </c>
      <c r="H8" s="34">
        <v>0</v>
      </c>
      <c r="I8" s="54" t="s">
        <v>125</v>
      </c>
    </row>
    <row r="9" spans="2:9" ht="18" customHeight="1" x14ac:dyDescent="0.25">
      <c r="B9" s="50" t="s">
        <v>129</v>
      </c>
      <c r="C9" s="51" t="s">
        <v>130</v>
      </c>
      <c r="D9" s="34">
        <v>986.4</v>
      </c>
      <c r="E9" s="34">
        <v>0</v>
      </c>
      <c r="F9" s="52">
        <f t="shared" si="0"/>
        <v>986.4</v>
      </c>
      <c r="G9" s="53" t="s">
        <v>128</v>
      </c>
      <c r="H9" s="34">
        <v>0</v>
      </c>
      <c r="I9" s="54" t="s">
        <v>125</v>
      </c>
    </row>
    <row r="10" spans="2:9" ht="18" customHeight="1" x14ac:dyDescent="0.25">
      <c r="B10" s="55" t="s">
        <v>131</v>
      </c>
      <c r="C10" s="56" t="s">
        <v>132</v>
      </c>
      <c r="D10" s="34">
        <v>1140</v>
      </c>
      <c r="E10" s="34">
        <v>0</v>
      </c>
      <c r="F10" s="57">
        <f t="shared" si="0"/>
        <v>1140</v>
      </c>
      <c r="G10" s="53" t="s">
        <v>124</v>
      </c>
      <c r="H10" s="34">
        <v>684</v>
      </c>
      <c r="I10" s="54" t="s">
        <v>133</v>
      </c>
    </row>
    <row r="11" spans="2:9" ht="18" customHeight="1" x14ac:dyDescent="0.25">
      <c r="B11" s="50" t="s">
        <v>134</v>
      </c>
      <c r="C11" s="51" t="s">
        <v>135</v>
      </c>
      <c r="D11" s="34">
        <v>1518</v>
      </c>
      <c r="E11" s="34">
        <v>0</v>
      </c>
      <c r="F11" s="52">
        <f t="shared" si="0"/>
        <v>1518</v>
      </c>
      <c r="G11" s="53" t="s">
        <v>128</v>
      </c>
      <c r="H11" s="34">
        <v>0</v>
      </c>
      <c r="I11" s="54" t="s">
        <v>125</v>
      </c>
    </row>
    <row r="12" spans="2:9" ht="18" customHeight="1" x14ac:dyDescent="0.25">
      <c r="B12" s="55" t="s">
        <v>136</v>
      </c>
      <c r="C12" s="56" t="s">
        <v>137</v>
      </c>
      <c r="D12" s="34">
        <v>1056</v>
      </c>
      <c r="E12" s="34">
        <v>0</v>
      </c>
      <c r="F12" s="57">
        <f t="shared" si="0"/>
        <v>1056</v>
      </c>
      <c r="G12" s="53" t="s">
        <v>124</v>
      </c>
      <c r="H12" s="34">
        <v>1056</v>
      </c>
      <c r="I12" s="54" t="s">
        <v>138</v>
      </c>
    </row>
    <row r="13" spans="2:9" ht="18" customHeight="1" x14ac:dyDescent="0.25">
      <c r="B13" s="50" t="s">
        <v>139</v>
      </c>
      <c r="C13" s="51" t="s">
        <v>140</v>
      </c>
      <c r="D13" s="34">
        <v>744</v>
      </c>
      <c r="E13" s="34">
        <v>0</v>
      </c>
      <c r="F13" s="52">
        <f t="shared" si="0"/>
        <v>744</v>
      </c>
      <c r="G13" s="53" t="s">
        <v>124</v>
      </c>
      <c r="H13" s="34">
        <v>744</v>
      </c>
      <c r="I13" s="54" t="s">
        <v>138</v>
      </c>
    </row>
    <row r="14" spans="2:9" ht="18" customHeight="1" x14ac:dyDescent="0.25">
      <c r="B14" s="55" t="s">
        <v>141</v>
      </c>
      <c r="C14" s="56" t="s">
        <v>142</v>
      </c>
      <c r="D14" s="34">
        <v>468.2</v>
      </c>
      <c r="E14" s="34">
        <v>0</v>
      </c>
      <c r="F14" s="57">
        <f t="shared" si="0"/>
        <v>468.2</v>
      </c>
      <c r="G14" s="53" t="s">
        <v>124</v>
      </c>
      <c r="H14" s="34">
        <v>0</v>
      </c>
      <c r="I14" s="54" t="s">
        <v>125</v>
      </c>
    </row>
    <row r="15" spans="2:9" ht="18" customHeight="1" x14ac:dyDescent="0.25">
      <c r="B15" s="50" t="s">
        <v>143</v>
      </c>
      <c r="C15" s="51" t="s">
        <v>144</v>
      </c>
      <c r="D15" s="34">
        <v>186</v>
      </c>
      <c r="E15" s="34">
        <v>0</v>
      </c>
      <c r="F15" s="52">
        <f t="shared" si="0"/>
        <v>186</v>
      </c>
      <c r="G15" s="53" t="s">
        <v>124</v>
      </c>
      <c r="H15" s="34">
        <v>186</v>
      </c>
      <c r="I15" s="54" t="s">
        <v>133</v>
      </c>
    </row>
    <row r="16" spans="2:9" ht="18" customHeight="1" x14ac:dyDescent="0.25">
      <c r="B16" s="55" t="s">
        <v>145</v>
      </c>
      <c r="C16" s="56" t="s">
        <v>146</v>
      </c>
      <c r="D16" s="34">
        <v>968.4</v>
      </c>
      <c r="E16" s="34">
        <v>0</v>
      </c>
      <c r="F16" s="57">
        <f t="shared" si="0"/>
        <v>968.4</v>
      </c>
      <c r="G16" s="53" t="s">
        <v>124</v>
      </c>
      <c r="H16" s="34">
        <v>0</v>
      </c>
      <c r="I16" s="54" t="s">
        <v>125</v>
      </c>
    </row>
    <row r="17" spans="2:9" ht="18" customHeight="1" x14ac:dyDescent="0.25">
      <c r="B17" s="50" t="s">
        <v>147</v>
      </c>
      <c r="C17" s="51" t="s">
        <v>148</v>
      </c>
      <c r="D17" s="34">
        <v>1800</v>
      </c>
      <c r="E17" s="34">
        <v>360</v>
      </c>
      <c r="F17" s="52">
        <f t="shared" si="0"/>
        <v>1440</v>
      </c>
      <c r="G17" s="53" t="s">
        <v>124</v>
      </c>
      <c r="H17" s="34">
        <v>1440</v>
      </c>
      <c r="I17" s="54" t="s">
        <v>138</v>
      </c>
    </row>
    <row r="18" spans="2:9" ht="18" customHeight="1" x14ac:dyDescent="0.25">
      <c r="B18" s="55" t="s">
        <v>149</v>
      </c>
      <c r="C18" s="56" t="s">
        <v>150</v>
      </c>
      <c r="D18" s="34">
        <v>528</v>
      </c>
      <c r="E18" s="34">
        <v>528</v>
      </c>
      <c r="F18" s="57">
        <f t="shared" si="0"/>
        <v>0</v>
      </c>
      <c r="G18" s="53" t="s">
        <v>124</v>
      </c>
      <c r="H18" s="34">
        <v>0</v>
      </c>
      <c r="I18" s="54" t="s">
        <v>125</v>
      </c>
    </row>
    <row r="19" spans="2:9" ht="18" customHeight="1" x14ac:dyDescent="0.25">
      <c r="B19" s="50" t="s">
        <v>151</v>
      </c>
      <c r="C19" s="51" t="s">
        <v>152</v>
      </c>
      <c r="D19" s="34">
        <v>312</v>
      </c>
      <c r="E19" s="34">
        <v>0</v>
      </c>
      <c r="F19" s="52">
        <f t="shared" si="0"/>
        <v>312</v>
      </c>
      <c r="G19" s="53" t="s">
        <v>73</v>
      </c>
      <c r="H19" s="34">
        <v>0</v>
      </c>
      <c r="I19" s="54" t="s">
        <v>125</v>
      </c>
    </row>
    <row r="20" spans="2:9" ht="18" customHeight="1" x14ac:dyDescent="0.25">
      <c r="B20" s="55" t="s">
        <v>153</v>
      </c>
      <c r="C20" s="56" t="s">
        <v>154</v>
      </c>
      <c r="D20" s="34">
        <v>216</v>
      </c>
      <c r="E20" s="34">
        <v>0</v>
      </c>
      <c r="F20" s="57">
        <f t="shared" si="0"/>
        <v>216</v>
      </c>
      <c r="G20" s="53" t="s">
        <v>73</v>
      </c>
      <c r="H20" s="34">
        <v>216</v>
      </c>
      <c r="I20" s="54" t="s">
        <v>133</v>
      </c>
    </row>
    <row r="21" spans="2:9" ht="18" customHeight="1" x14ac:dyDescent="0.25">
      <c r="B21" s="50" t="s">
        <v>153</v>
      </c>
      <c r="C21" s="51" t="s">
        <v>155</v>
      </c>
      <c r="D21" s="34">
        <v>285</v>
      </c>
      <c r="E21" s="34">
        <v>0</v>
      </c>
      <c r="F21" s="52">
        <f t="shared" si="0"/>
        <v>285</v>
      </c>
      <c r="G21" s="53" t="s">
        <v>124</v>
      </c>
      <c r="H21" s="34">
        <v>285</v>
      </c>
      <c r="I21" s="54" t="s">
        <v>138</v>
      </c>
    </row>
    <row r="22" spans="2:9" ht="18" customHeight="1" x14ac:dyDescent="0.25">
      <c r="B22" s="55" t="s">
        <v>153</v>
      </c>
      <c r="C22" s="56" t="s">
        <v>156</v>
      </c>
      <c r="D22" s="34">
        <v>624</v>
      </c>
      <c r="E22" s="34">
        <v>0</v>
      </c>
      <c r="F22" s="57">
        <f t="shared" si="0"/>
        <v>624</v>
      </c>
      <c r="G22" s="53" t="s">
        <v>124</v>
      </c>
      <c r="H22" s="34">
        <v>624</v>
      </c>
      <c r="I22" s="54" t="s">
        <v>138</v>
      </c>
    </row>
    <row r="23" spans="2:9" ht="19.5" customHeight="1" x14ac:dyDescent="0.25">
      <c r="B23" s="118" t="s">
        <v>157</v>
      </c>
      <c r="C23" s="118"/>
      <c r="D23" s="48">
        <f>SUM(D7:D22)</f>
        <v>13488.5</v>
      </c>
      <c r="E23" s="48">
        <f>SUM(E7:E22)</f>
        <v>888</v>
      </c>
      <c r="F23" s="48">
        <f>SUM(F7:F22)</f>
        <v>12600.5</v>
      </c>
      <c r="G23" s="45"/>
      <c r="H23" s="48">
        <f>SUM(H7:H22)</f>
        <v>5235</v>
      </c>
      <c r="I23" s="45"/>
    </row>
    <row r="24" spans="2:9" ht="24" customHeight="1" x14ac:dyDescent="0.25">
      <c r="B24" s="121" t="s">
        <v>158</v>
      </c>
      <c r="C24" s="121"/>
      <c r="D24" s="121"/>
      <c r="E24" s="121"/>
      <c r="F24" s="121"/>
      <c r="G24" s="121"/>
      <c r="H24" s="121"/>
      <c r="I24" s="121"/>
    </row>
    <row r="25" spans="2:9" ht="9.75" customHeight="1" x14ac:dyDescent="0.25"/>
    <row r="26" spans="2:9" ht="21" customHeight="1" x14ac:dyDescent="0.25">
      <c r="B26" s="10" t="s">
        <v>159</v>
      </c>
      <c r="C26" s="10"/>
      <c r="D26" s="10"/>
      <c r="E26" s="10"/>
      <c r="F26" s="10"/>
      <c r="G26" s="10"/>
      <c r="H26" s="10"/>
      <c r="I26" s="10"/>
    </row>
    <row r="27" spans="2:9" ht="19.5" customHeight="1" x14ac:dyDescent="0.25">
      <c r="B27" s="15"/>
      <c r="C27" s="15" t="s">
        <v>160</v>
      </c>
      <c r="D27" s="15" t="s">
        <v>161</v>
      </c>
      <c r="E27" s="9" t="s">
        <v>162</v>
      </c>
      <c r="F27" s="9"/>
      <c r="G27" s="9"/>
      <c r="H27" s="9"/>
      <c r="I27" s="9"/>
    </row>
    <row r="28" spans="2:9" ht="18" customHeight="1" x14ac:dyDescent="0.25">
      <c r="C28" s="51" t="s">
        <v>163</v>
      </c>
      <c r="D28" s="34">
        <v>5940</v>
      </c>
      <c r="E28" s="122" t="s">
        <v>164</v>
      </c>
      <c r="F28" s="122"/>
      <c r="G28" s="122"/>
      <c r="H28" s="122"/>
      <c r="I28" s="122"/>
    </row>
    <row r="29" spans="2:9" ht="18" customHeight="1" x14ac:dyDescent="0.25">
      <c r="C29" s="56" t="s">
        <v>165</v>
      </c>
      <c r="D29" s="34">
        <v>214</v>
      </c>
      <c r="E29" s="123" t="s">
        <v>166</v>
      </c>
      <c r="F29" s="123"/>
      <c r="G29" s="123"/>
      <c r="H29" s="123"/>
      <c r="I29" s="123"/>
    </row>
    <row r="30" spans="2:9" ht="18" customHeight="1" x14ac:dyDescent="0.25">
      <c r="C30" s="51" t="s">
        <v>167</v>
      </c>
      <c r="D30" s="34">
        <v>298</v>
      </c>
      <c r="E30" s="122" t="s">
        <v>168</v>
      </c>
      <c r="F30" s="122"/>
      <c r="G30" s="122"/>
      <c r="H30" s="122"/>
      <c r="I30" s="122"/>
    </row>
    <row r="31" spans="2:9" ht="18" customHeight="1" x14ac:dyDescent="0.25">
      <c r="C31" s="56" t="s">
        <v>169</v>
      </c>
      <c r="D31" s="34">
        <v>342</v>
      </c>
      <c r="E31" s="123" t="s">
        <v>170</v>
      </c>
      <c r="F31" s="123"/>
      <c r="G31" s="123"/>
      <c r="H31" s="123"/>
      <c r="I31" s="123"/>
    </row>
    <row r="32" spans="2:9" x14ac:dyDescent="0.25">
      <c r="C32" s="58" t="s">
        <v>171</v>
      </c>
      <c r="D32" s="59">
        <f>SUM(D28:D31)</f>
        <v>6794</v>
      </c>
      <c r="E32" s="124"/>
      <c r="F32" s="124"/>
      <c r="G32" s="124"/>
      <c r="H32" s="124"/>
      <c r="I32" s="124"/>
    </row>
    <row r="33" spans="2:9" x14ac:dyDescent="0.25">
      <c r="C33" s="51" t="s">
        <v>172</v>
      </c>
      <c r="D33" s="60">
        <f>-$D$48</f>
        <v>-299.98</v>
      </c>
      <c r="E33" s="122" t="s">
        <v>173</v>
      </c>
      <c r="F33" s="122"/>
      <c r="G33" s="122"/>
      <c r="H33" s="122"/>
      <c r="I33" s="122"/>
    </row>
    <row r="34" spans="2:9" ht="19.5" customHeight="1" x14ac:dyDescent="0.25">
      <c r="C34" s="44" t="s">
        <v>174</v>
      </c>
      <c r="D34" s="48">
        <f>D32+D33</f>
        <v>6494.02</v>
      </c>
      <c r="E34" s="125"/>
      <c r="F34" s="125"/>
      <c r="G34" s="125"/>
      <c r="H34" s="125"/>
      <c r="I34" s="125"/>
    </row>
    <row r="35" spans="2:9" ht="9.75" customHeight="1" x14ac:dyDescent="0.25"/>
    <row r="36" spans="2:9" ht="21" customHeight="1" x14ac:dyDescent="0.25">
      <c r="B36" s="10" t="s">
        <v>175</v>
      </c>
      <c r="C36" s="10"/>
      <c r="D36" s="10"/>
      <c r="E36" s="10"/>
      <c r="F36" s="10"/>
      <c r="G36" s="10"/>
      <c r="H36" s="10"/>
      <c r="I36" s="10"/>
    </row>
    <row r="37" spans="2:9" ht="30" customHeight="1" x14ac:dyDescent="0.25">
      <c r="B37" s="15"/>
      <c r="C37" s="15" t="s">
        <v>176</v>
      </c>
      <c r="D37" s="15" t="s">
        <v>177</v>
      </c>
      <c r="E37" s="15"/>
      <c r="F37" s="15" t="s">
        <v>178</v>
      </c>
      <c r="G37" s="15" t="s">
        <v>179</v>
      </c>
      <c r="H37" s="15" t="s">
        <v>180</v>
      </c>
      <c r="I37" s="15" t="s">
        <v>181</v>
      </c>
    </row>
    <row r="38" spans="2:9" ht="15.75" customHeight="1" x14ac:dyDescent="0.25">
      <c r="C38" s="51" t="s">
        <v>182</v>
      </c>
      <c r="D38" s="61" t="s">
        <v>183</v>
      </c>
      <c r="F38" s="62">
        <v>1</v>
      </c>
      <c r="G38" s="63">
        <v>0</v>
      </c>
      <c r="H38" s="64">
        <v>0</v>
      </c>
      <c r="I38" s="64">
        <v>1</v>
      </c>
    </row>
    <row r="39" spans="2:9" ht="15.75" customHeight="1" x14ac:dyDescent="0.25">
      <c r="C39" s="51" t="s">
        <v>184</v>
      </c>
      <c r="D39" s="65">
        <v>62000</v>
      </c>
      <c r="F39" s="66">
        <v>2</v>
      </c>
      <c r="G39" s="67">
        <v>12</v>
      </c>
      <c r="H39" s="68">
        <v>0.1</v>
      </c>
      <c r="I39" s="68">
        <v>0.9</v>
      </c>
    </row>
    <row r="40" spans="2:9" ht="15.75" customHeight="1" x14ac:dyDescent="0.25">
      <c r="C40" s="51" t="s">
        <v>185</v>
      </c>
      <c r="D40" s="69">
        <v>0.2016</v>
      </c>
      <c r="F40" s="62">
        <v>3</v>
      </c>
      <c r="G40" s="63">
        <v>17</v>
      </c>
      <c r="H40" s="64">
        <v>0.2</v>
      </c>
      <c r="I40" s="64">
        <v>0.8</v>
      </c>
    </row>
    <row r="41" spans="2:9" ht="15.75" customHeight="1" x14ac:dyDescent="0.25">
      <c r="C41" s="51" t="s">
        <v>186</v>
      </c>
      <c r="D41" s="70">
        <f>$D$39*$D$40/1000</f>
        <v>12.4992</v>
      </c>
      <c r="F41" s="66">
        <v>4</v>
      </c>
      <c r="G41" s="67">
        <v>22</v>
      </c>
      <c r="H41" s="68">
        <v>0.3</v>
      </c>
      <c r="I41" s="68">
        <v>0.7</v>
      </c>
    </row>
    <row r="42" spans="2:9" ht="15.75" customHeight="1" x14ac:dyDescent="0.25">
      <c r="C42" s="51" t="s">
        <v>187</v>
      </c>
      <c r="D42" s="71">
        <v>60</v>
      </c>
      <c r="F42" s="62">
        <v>5</v>
      </c>
      <c r="G42" s="63">
        <v>27</v>
      </c>
      <c r="H42" s="64">
        <v>0.4</v>
      </c>
      <c r="I42" s="64">
        <v>0.6</v>
      </c>
    </row>
    <row r="43" spans="2:9" ht="15.75" customHeight="1" x14ac:dyDescent="0.25">
      <c r="C43" s="51" t="s">
        <v>188</v>
      </c>
      <c r="D43" s="72">
        <f>ROUND($D$41*$D$42,2)</f>
        <v>749.95</v>
      </c>
      <c r="F43" s="66">
        <v>6</v>
      </c>
      <c r="G43" s="67">
        <v>32</v>
      </c>
      <c r="H43" s="68">
        <v>0.5</v>
      </c>
      <c r="I43" s="68">
        <v>0.5</v>
      </c>
    </row>
    <row r="44" spans="2:9" ht="15.75" customHeight="1" x14ac:dyDescent="0.25">
      <c r="C44" s="51" t="s">
        <v>63</v>
      </c>
      <c r="D44" s="73">
        <f>Stammdaten!$O$9</f>
        <v>430</v>
      </c>
      <c r="F44" s="62">
        <v>7</v>
      </c>
      <c r="G44" s="63">
        <v>37</v>
      </c>
      <c r="H44" s="64">
        <v>0.6</v>
      </c>
      <c r="I44" s="64">
        <v>0.4</v>
      </c>
    </row>
    <row r="45" spans="2:9" ht="15.75" customHeight="1" x14ac:dyDescent="0.25">
      <c r="C45" s="51" t="s">
        <v>189</v>
      </c>
      <c r="D45" s="74">
        <f>ROUND($D$39*$D$40/$D$44,2)</f>
        <v>29.07</v>
      </c>
      <c r="F45" s="66">
        <v>8</v>
      </c>
      <c r="G45" s="67">
        <v>42</v>
      </c>
      <c r="H45" s="68">
        <v>0.7</v>
      </c>
      <c r="I45" s="68">
        <v>0.3</v>
      </c>
    </row>
    <row r="46" spans="2:9" ht="15.75" customHeight="1" x14ac:dyDescent="0.25">
      <c r="C46" s="23" t="s">
        <v>190</v>
      </c>
      <c r="D46" s="75">
        <f>INDEX($F$38:$F$47,MATCH($D$45,$G$38:$G$47,1))</f>
        <v>5</v>
      </c>
      <c r="F46" s="62">
        <v>9</v>
      </c>
      <c r="G46" s="63">
        <v>47</v>
      </c>
      <c r="H46" s="64">
        <v>0.8</v>
      </c>
      <c r="I46" s="64">
        <v>0.2</v>
      </c>
    </row>
    <row r="47" spans="2:9" ht="15.75" customHeight="1" x14ac:dyDescent="0.25">
      <c r="C47" s="23" t="s">
        <v>191</v>
      </c>
      <c r="D47" s="76">
        <f>INDEX($H$38:$H$47,MATCH($D$45,$G$38:$G$47,1))</f>
        <v>0.4</v>
      </c>
      <c r="F47" s="66">
        <v>10</v>
      </c>
      <c r="G47" s="67">
        <v>52</v>
      </c>
      <c r="H47" s="68">
        <v>0.95</v>
      </c>
      <c r="I47" s="68">
        <v>0.05</v>
      </c>
    </row>
    <row r="48" spans="2:9" ht="15.75" customHeight="1" x14ac:dyDescent="0.25">
      <c r="C48" s="23" t="s">
        <v>192</v>
      </c>
      <c r="D48" s="77">
        <f>ROUND($D$43*$D$47,2)</f>
        <v>299.98</v>
      </c>
    </row>
    <row r="49" spans="2:9" ht="15.75" customHeight="1" x14ac:dyDescent="0.25">
      <c r="C49" s="23" t="s">
        <v>193</v>
      </c>
      <c r="D49" s="77">
        <f>ROUND($D$43-$D$48,2)</f>
        <v>449.97</v>
      </c>
    </row>
    <row r="50" spans="2:9" ht="25.5" customHeight="1" x14ac:dyDescent="0.25">
      <c r="C50" s="121" t="s">
        <v>194</v>
      </c>
      <c r="D50" s="121"/>
      <c r="E50" s="121"/>
      <c r="F50" s="121"/>
      <c r="G50" s="121"/>
      <c r="H50" s="121"/>
      <c r="I50" s="121"/>
    </row>
    <row r="51" spans="2:9" ht="9.75" customHeight="1" x14ac:dyDescent="0.25"/>
    <row r="52" spans="2:9" ht="21" customHeight="1" x14ac:dyDescent="0.25">
      <c r="B52" s="10" t="s">
        <v>195</v>
      </c>
      <c r="C52" s="10"/>
      <c r="D52" s="10"/>
      <c r="E52" s="10"/>
      <c r="F52" s="10"/>
      <c r="G52" s="10"/>
      <c r="H52" s="10"/>
      <c r="I52" s="10"/>
    </row>
    <row r="53" spans="2:9" ht="19.5" customHeight="1" x14ac:dyDescent="0.25">
      <c r="B53" s="15"/>
      <c r="C53" s="15" t="s">
        <v>196</v>
      </c>
      <c r="D53" s="15" t="s">
        <v>177</v>
      </c>
      <c r="E53" s="9" t="s">
        <v>162</v>
      </c>
      <c r="F53" s="9"/>
      <c r="G53" s="9"/>
      <c r="H53" s="9"/>
      <c r="I53" s="9"/>
    </row>
    <row r="54" spans="2:9" ht="16.5" customHeight="1" x14ac:dyDescent="0.25">
      <c r="C54" s="51" t="s">
        <v>197</v>
      </c>
      <c r="D54" s="78">
        <v>0.22</v>
      </c>
      <c r="E54" s="122" t="s">
        <v>198</v>
      </c>
      <c r="F54" s="122"/>
      <c r="G54" s="122"/>
      <c r="H54" s="122"/>
      <c r="I54" s="122"/>
    </row>
    <row r="55" spans="2:9" ht="16.5" customHeight="1" x14ac:dyDescent="0.25">
      <c r="C55" s="51" t="s">
        <v>199</v>
      </c>
      <c r="D55" s="78">
        <v>0.3</v>
      </c>
      <c r="E55" s="122" t="s">
        <v>200</v>
      </c>
      <c r="F55" s="122"/>
      <c r="G55" s="122"/>
      <c r="H55" s="122"/>
      <c r="I55" s="122"/>
    </row>
    <row r="56" spans="2:9" ht="16.5" customHeight="1" x14ac:dyDescent="0.25">
      <c r="C56" s="51" t="s">
        <v>201</v>
      </c>
      <c r="D56" s="79">
        <f>1-$D$55</f>
        <v>0.7</v>
      </c>
      <c r="E56" s="122" t="s">
        <v>202</v>
      </c>
      <c r="F56" s="122"/>
      <c r="G56" s="122"/>
      <c r="H56" s="122"/>
      <c r="I56" s="122"/>
    </row>
    <row r="58" spans="2:9" ht="33.75" customHeight="1" x14ac:dyDescent="0.25">
      <c r="B58" s="15" t="s">
        <v>114</v>
      </c>
      <c r="C58" s="15" t="s">
        <v>115</v>
      </c>
      <c r="D58" s="15" t="s">
        <v>116</v>
      </c>
      <c r="E58" s="15" t="s">
        <v>117</v>
      </c>
      <c r="F58" s="15" t="s">
        <v>118</v>
      </c>
      <c r="G58" s="15" t="s">
        <v>119</v>
      </c>
      <c r="H58" s="15" t="s">
        <v>120</v>
      </c>
      <c r="I58" s="15" t="s">
        <v>121</v>
      </c>
    </row>
    <row r="59" spans="2:9" ht="18" customHeight="1" x14ac:dyDescent="0.25">
      <c r="B59" s="50" t="s">
        <v>203</v>
      </c>
      <c r="C59" s="51" t="s">
        <v>204</v>
      </c>
      <c r="D59" s="35">
        <f>ROUND($D$34*(1-$D$54)*$D$55,2)</f>
        <v>1519.6</v>
      </c>
      <c r="E59" s="35">
        <v>0</v>
      </c>
      <c r="F59" s="52">
        <f>D59-E59</f>
        <v>1519.6</v>
      </c>
      <c r="G59" s="80" t="s">
        <v>124</v>
      </c>
      <c r="H59" s="35">
        <v>298</v>
      </c>
      <c r="I59" s="36" t="s">
        <v>133</v>
      </c>
    </row>
    <row r="60" spans="2:9" ht="18" customHeight="1" x14ac:dyDescent="0.25">
      <c r="B60" s="55" t="s">
        <v>203</v>
      </c>
      <c r="C60" s="56" t="s">
        <v>205</v>
      </c>
      <c r="D60" s="41">
        <f>ROUND($D$34*(1-$D$54)*$D$56,2)</f>
        <v>3545.73</v>
      </c>
      <c r="E60" s="41">
        <v>0</v>
      </c>
      <c r="F60" s="57">
        <f>D60-E60</f>
        <v>3545.73</v>
      </c>
      <c r="G60" s="81" t="s">
        <v>206</v>
      </c>
      <c r="H60" s="41">
        <v>0</v>
      </c>
      <c r="I60" s="42" t="s">
        <v>125</v>
      </c>
    </row>
    <row r="61" spans="2:9" ht="18" customHeight="1" x14ac:dyDescent="0.25">
      <c r="B61" s="50" t="s">
        <v>207</v>
      </c>
      <c r="C61" s="51" t="s">
        <v>208</v>
      </c>
      <c r="D61" s="35">
        <f>ROUND($D$34*$D$54*$D$55,2)</f>
        <v>428.61</v>
      </c>
      <c r="E61" s="35">
        <v>0</v>
      </c>
      <c r="F61" s="52">
        <f>D61-E61</f>
        <v>428.61</v>
      </c>
      <c r="G61" s="80" t="s">
        <v>124</v>
      </c>
      <c r="H61" s="35">
        <v>0</v>
      </c>
      <c r="I61" s="36" t="s">
        <v>125</v>
      </c>
    </row>
    <row r="62" spans="2:9" ht="18" customHeight="1" x14ac:dyDescent="0.25">
      <c r="B62" s="55" t="s">
        <v>207</v>
      </c>
      <c r="C62" s="56" t="s">
        <v>209</v>
      </c>
      <c r="D62" s="41">
        <f>ROUND($D$34*$D$54*$D$56,2)</f>
        <v>1000.08</v>
      </c>
      <c r="E62" s="41">
        <v>0</v>
      </c>
      <c r="F62" s="57">
        <f>D62-E62</f>
        <v>1000.08</v>
      </c>
      <c r="G62" s="81" t="s">
        <v>210</v>
      </c>
      <c r="H62" s="41">
        <v>0</v>
      </c>
      <c r="I62" s="42" t="s">
        <v>125</v>
      </c>
    </row>
    <row r="63" spans="2:9" ht="19.5" customHeight="1" x14ac:dyDescent="0.25">
      <c r="B63" s="118" t="s">
        <v>171</v>
      </c>
      <c r="C63" s="118"/>
      <c r="D63" s="48">
        <f>SUM(D59:D62)</f>
        <v>6494.0199999999995</v>
      </c>
      <c r="E63" s="48">
        <f>SUM(E59:E62)</f>
        <v>0</v>
      </c>
      <c r="F63" s="48">
        <f>SUM(F59:F62)</f>
        <v>6494.0199999999995</v>
      </c>
      <c r="G63" s="45"/>
      <c r="H63" s="48">
        <f>SUM(H59:H62)</f>
        <v>298</v>
      </c>
      <c r="I63" s="45"/>
    </row>
    <row r="64" spans="2:9" ht="15.75" customHeight="1" x14ac:dyDescent="0.25">
      <c r="B64" s="126" t="str">
        <f>IF(ABS(D63-D34)&lt;0.05,"Kontrolle bestanden: die verteilten Heiz- und Warmwasserkosten entsprechen dem umlagefähigen Betrag.","Achtung: Abweichung zwischen umlagefähigem Betrag und Verteilung – bitte Prozentsätze prüfen.")</f>
        <v>Kontrolle bestanden: die verteilten Heiz- und Warmwasserkosten entsprechen dem umlagefähigen Betrag.</v>
      </c>
      <c r="C64" s="126"/>
      <c r="D64" s="126"/>
      <c r="E64" s="126"/>
      <c r="F64" s="126"/>
      <c r="G64" s="126"/>
      <c r="H64" s="126"/>
      <c r="I64" s="126"/>
    </row>
    <row r="65" spans="2:9" ht="15.75" customHeight="1" x14ac:dyDescent="0.25">
      <c r="B65" s="127" t="s">
        <v>211</v>
      </c>
      <c r="C65" s="127"/>
      <c r="D65" s="127"/>
      <c r="E65" s="127"/>
      <c r="F65" s="127"/>
      <c r="G65" s="127"/>
      <c r="H65" s="127"/>
      <c r="I65" s="127"/>
    </row>
    <row r="66" spans="2:9" ht="9.75" customHeight="1" x14ac:dyDescent="0.25"/>
    <row r="67" spans="2:9" ht="21" customHeight="1" x14ac:dyDescent="0.25">
      <c r="B67" s="10" t="s">
        <v>212</v>
      </c>
      <c r="C67" s="10"/>
      <c r="D67" s="10"/>
      <c r="E67" s="10"/>
      <c r="F67" s="10"/>
      <c r="G67" s="10"/>
      <c r="H67" s="10"/>
      <c r="I67" s="10"/>
    </row>
    <row r="68" spans="2:9" ht="19.5" customHeight="1" x14ac:dyDescent="0.25">
      <c r="B68" s="15"/>
      <c r="C68" s="15" t="s">
        <v>160</v>
      </c>
      <c r="D68" s="15" t="s">
        <v>161</v>
      </c>
      <c r="E68" s="9" t="s">
        <v>213</v>
      </c>
      <c r="F68" s="9"/>
      <c r="G68" s="9"/>
      <c r="H68" s="9"/>
      <c r="I68" s="9"/>
    </row>
    <row r="69" spans="2:9" ht="16.5" customHeight="1" x14ac:dyDescent="0.25">
      <c r="C69" s="51" t="s">
        <v>214</v>
      </c>
      <c r="D69" s="34">
        <v>2160</v>
      </c>
      <c r="E69" s="122" t="s">
        <v>215</v>
      </c>
      <c r="F69" s="122"/>
      <c r="G69" s="122"/>
      <c r="H69" s="122"/>
      <c r="I69" s="122"/>
    </row>
    <row r="70" spans="2:9" ht="16.5" customHeight="1" x14ac:dyDescent="0.25">
      <c r="C70" s="56" t="s">
        <v>216</v>
      </c>
      <c r="D70" s="34">
        <v>1845</v>
      </c>
      <c r="E70" s="123" t="s">
        <v>217</v>
      </c>
      <c r="F70" s="123"/>
      <c r="G70" s="123"/>
      <c r="H70" s="123"/>
      <c r="I70" s="123"/>
    </row>
    <row r="71" spans="2:9" ht="16.5" customHeight="1" x14ac:dyDescent="0.25">
      <c r="C71" s="51" t="s">
        <v>218</v>
      </c>
      <c r="D71" s="34">
        <v>1290</v>
      </c>
      <c r="E71" s="122" t="s">
        <v>219</v>
      </c>
      <c r="F71" s="122"/>
      <c r="G71" s="122"/>
      <c r="H71" s="122"/>
      <c r="I71" s="122"/>
    </row>
    <row r="72" spans="2:9" ht="16.5" customHeight="1" x14ac:dyDescent="0.25">
      <c r="C72" s="56" t="s">
        <v>220</v>
      </c>
      <c r="D72" s="34">
        <v>285</v>
      </c>
      <c r="E72" s="123" t="s">
        <v>221</v>
      </c>
      <c r="F72" s="123"/>
      <c r="G72" s="123"/>
      <c r="H72" s="123"/>
      <c r="I72" s="123"/>
    </row>
    <row r="73" spans="2:9" ht="19.5" customHeight="1" x14ac:dyDescent="0.25">
      <c r="C73" s="44" t="s">
        <v>222</v>
      </c>
      <c r="D73" s="48">
        <f>SUM(D69:D72)</f>
        <v>5580</v>
      </c>
      <c r="E73" s="125"/>
      <c r="F73" s="125"/>
      <c r="G73" s="125"/>
      <c r="H73" s="125"/>
      <c r="I73" s="125"/>
    </row>
    <row r="74" spans="2:9" ht="9.75" customHeight="1" x14ac:dyDescent="0.25"/>
    <row r="75" spans="2:9" ht="21" customHeight="1" x14ac:dyDescent="0.25">
      <c r="B75" s="10" t="s">
        <v>223</v>
      </c>
      <c r="C75" s="10"/>
      <c r="D75" s="10"/>
      <c r="E75" s="10"/>
      <c r="F75" s="10"/>
      <c r="G75" s="10"/>
      <c r="H75" s="10"/>
      <c r="I75" s="10"/>
    </row>
    <row r="76" spans="2:9" ht="18" customHeight="1" x14ac:dyDescent="0.25">
      <c r="C76" s="51" t="s">
        <v>224</v>
      </c>
      <c r="D76" s="72">
        <f>$F$23</f>
        <v>12600.5</v>
      </c>
      <c r="E76" s="109" t="s">
        <v>225</v>
      </c>
      <c r="F76" s="109"/>
      <c r="G76" s="109"/>
      <c r="H76" s="109"/>
      <c r="I76" s="109"/>
    </row>
    <row r="77" spans="2:9" ht="18" customHeight="1" x14ac:dyDescent="0.25">
      <c r="C77" s="51" t="s">
        <v>174</v>
      </c>
      <c r="D77" s="72">
        <f>$F$63</f>
        <v>6494.0199999999995</v>
      </c>
      <c r="E77" s="109"/>
      <c r="F77" s="109"/>
      <c r="G77" s="109"/>
      <c r="H77" s="109"/>
      <c r="I77" s="109"/>
    </row>
    <row r="78" spans="2:9" ht="18" customHeight="1" x14ac:dyDescent="0.25">
      <c r="C78" s="82" t="s">
        <v>226</v>
      </c>
      <c r="D78" s="83">
        <f>$D$76+$D$77</f>
        <v>19094.52</v>
      </c>
      <c r="E78" s="109"/>
      <c r="F78" s="109"/>
      <c r="G78" s="109"/>
      <c r="H78" s="109"/>
      <c r="I78" s="109"/>
    </row>
    <row r="79" spans="2:9" ht="18" customHeight="1" x14ac:dyDescent="0.25">
      <c r="C79" s="51" t="s">
        <v>227</v>
      </c>
      <c r="D79" s="72">
        <f>Stammdaten!$Q$24</f>
        <v>18380</v>
      </c>
      <c r="E79" s="109"/>
      <c r="F79" s="109"/>
      <c r="G79" s="109"/>
      <c r="H79" s="109"/>
      <c r="I79" s="109"/>
    </row>
    <row r="80" spans="2:9" ht="18" customHeight="1" x14ac:dyDescent="0.25">
      <c r="C80" s="82" t="s">
        <v>228</v>
      </c>
      <c r="D80" s="84">
        <f>$D$78-$D$79</f>
        <v>714.52000000000044</v>
      </c>
      <c r="E80" s="109"/>
      <c r="F80" s="109"/>
      <c r="G80" s="109"/>
      <c r="H80" s="109"/>
      <c r="I80" s="109"/>
    </row>
    <row r="81" spans="3:9" ht="18" customHeight="1" x14ac:dyDescent="0.25">
      <c r="C81" s="51" t="s">
        <v>229</v>
      </c>
      <c r="D81" s="72">
        <f>ROUND($D$78/Stammdaten!$O$9/12,2)</f>
        <v>3.7</v>
      </c>
      <c r="E81" s="109"/>
      <c r="F81" s="109"/>
      <c r="G81" s="109"/>
      <c r="H81" s="109"/>
      <c r="I81" s="109"/>
    </row>
  </sheetData>
  <mergeCells count="35">
    <mergeCell ref="E71:I71"/>
    <mergeCell ref="E72:I72"/>
    <mergeCell ref="E73:I73"/>
    <mergeCell ref="B75:I75"/>
    <mergeCell ref="E76:I81"/>
    <mergeCell ref="B65:I65"/>
    <mergeCell ref="B67:I67"/>
    <mergeCell ref="E68:I68"/>
    <mergeCell ref="E69:I69"/>
    <mergeCell ref="E70:I70"/>
    <mergeCell ref="E54:I54"/>
    <mergeCell ref="E55:I55"/>
    <mergeCell ref="E56:I56"/>
    <mergeCell ref="B63:C63"/>
    <mergeCell ref="B64:I64"/>
    <mergeCell ref="E34:I34"/>
    <mergeCell ref="B36:I36"/>
    <mergeCell ref="C50:I50"/>
    <mergeCell ref="B52:I52"/>
    <mergeCell ref="E53:I53"/>
    <mergeCell ref="E29:I29"/>
    <mergeCell ref="E30:I30"/>
    <mergeCell ref="E31:I31"/>
    <mergeCell ref="E32:I32"/>
    <mergeCell ref="E33:I33"/>
    <mergeCell ref="B23:C23"/>
    <mergeCell ref="B24:I24"/>
    <mergeCell ref="B26:I26"/>
    <mergeCell ref="E27:I27"/>
    <mergeCell ref="E28:I28"/>
    <mergeCell ref="B1:E1"/>
    <mergeCell ref="F1:I1"/>
    <mergeCell ref="B2:I2"/>
    <mergeCell ref="B3:I3"/>
    <mergeCell ref="B5:I5"/>
  </mergeCells>
  <dataValidations count="2">
    <dataValidation type="list" showErrorMessage="1" errorTitle="Ungültiger Umlageschlüssel" error="Bitte einen Umlageschlüssel aus der Liste wählen." sqref="G7:G22 G59:G62" xr:uid="{00000000-0002-0000-0200-000000000000}">
      <formula1>Umlageschluessel</formula1>
      <formula2>0</formula2>
    </dataValidation>
    <dataValidation type="list" allowBlank="1" showErrorMessage="1" errorTitle="Ungültige Kategorie" error="Bitte eine Kategorie aus der Liste wählen." sqref="I7:I22" xr:uid="{00000000-0002-0000-0200-000001000000}">
      <formula1>"Haushaltsnahe Dienstleistung,Handwerkerleistung,–"</formula1>
      <formula2>0</formula2>
    </dataValidation>
  </dataValidations>
  <pageMargins left="0.4" right="0.4" top="0.5" bottom="0.5" header="0.511811023622047" footer="0.511811023622047"/>
  <pageSetup paperSize="9" fitToHeight="0" orientation="portrait" horizontalDpi="300" verticalDpi="300"/>
  <rowBreaks count="1" manualBreakCount="1">
    <brk id="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4587A"/>
    <pageSetUpPr fitToPage="1"/>
  </sheetPr>
  <dimension ref="B1:Q44"/>
  <sheetViews>
    <sheetView showGridLines="0" zoomScaleNormal="100" workbookViewId="0">
      <pane xSplit="5" ySplit="14" topLeftCell="F15" activePane="bottomRight" state="frozen"/>
      <selection pane="topRight" activeCell="F1" sqref="F1"/>
      <selection pane="bottomLeft" activeCell="A15" sqref="A15"/>
      <selection pane="bottomRight"/>
    </sheetView>
  </sheetViews>
  <sheetFormatPr baseColWidth="10" defaultColWidth="8.7109375" defaultRowHeight="15" x14ac:dyDescent="0.25"/>
  <cols>
    <col min="1" max="1" width="2.28515625" customWidth="1"/>
    <col min="2" max="2" width="6" customWidth="1"/>
    <col min="3" max="3" width="42" customWidth="1"/>
    <col min="4" max="4" width="20" customWidth="1"/>
    <col min="5" max="5" width="15.5703125" customWidth="1"/>
    <col min="6" max="13" width="13" customWidth="1"/>
    <col min="14" max="14" width="14" customWidth="1"/>
    <col min="15" max="15" width="12.42578125" customWidth="1"/>
    <col min="16" max="16" width="15" customWidth="1"/>
    <col min="17" max="17" width="26" customWidth="1"/>
  </cols>
  <sheetData>
    <row r="1" spans="2:17" ht="39.75" customHeight="1" x14ac:dyDescent="0.25">
      <c r="B1" s="14" t="s">
        <v>230</v>
      </c>
      <c r="C1" s="14"/>
      <c r="D1" s="14"/>
      <c r="E1" s="14"/>
      <c r="F1" s="14"/>
      <c r="G1" s="14"/>
      <c r="H1" s="14"/>
      <c r="I1" s="14"/>
      <c r="J1" s="13" t="s">
        <v>0</v>
      </c>
      <c r="K1" s="13"/>
      <c r="L1" s="13"/>
      <c r="M1" s="13"/>
      <c r="N1" s="13"/>
      <c r="O1" s="13"/>
      <c r="P1" s="13"/>
      <c r="Q1" s="13"/>
    </row>
    <row r="2" spans="2:17" ht="19.5" customHeight="1" x14ac:dyDescent="0.25">
      <c r="B2" s="12" t="s">
        <v>231</v>
      </c>
      <c r="C2" s="12"/>
      <c r="D2" s="12"/>
      <c r="E2" s="12"/>
      <c r="F2" s="12"/>
      <c r="G2" s="12"/>
      <c r="H2" s="12"/>
      <c r="I2" s="12"/>
      <c r="J2" s="12"/>
      <c r="K2" s="12"/>
      <c r="L2" s="12"/>
      <c r="M2" s="12"/>
      <c r="N2" s="12"/>
      <c r="O2" s="12"/>
      <c r="P2" s="12"/>
      <c r="Q2" s="12"/>
    </row>
    <row r="3" spans="2:17" ht="6" customHeight="1" x14ac:dyDescent="0.25">
      <c r="B3" s="11"/>
      <c r="C3" s="11"/>
      <c r="D3" s="11"/>
      <c r="E3" s="11"/>
      <c r="F3" s="11"/>
      <c r="G3" s="11"/>
      <c r="H3" s="11"/>
      <c r="I3" s="11"/>
      <c r="J3" s="11"/>
      <c r="K3" s="11"/>
      <c r="L3" s="11"/>
      <c r="M3" s="11"/>
      <c r="N3" s="11"/>
      <c r="O3" s="11"/>
      <c r="P3" s="11"/>
      <c r="Q3" s="11"/>
    </row>
    <row r="4" spans="2:17" ht="9" customHeight="1" x14ac:dyDescent="0.25"/>
    <row r="5" spans="2:17" ht="21" customHeight="1" x14ac:dyDescent="0.25">
      <c r="B5" s="10" t="s">
        <v>232</v>
      </c>
      <c r="C5" s="10"/>
      <c r="D5" s="10"/>
      <c r="E5" s="10"/>
      <c r="F5" s="10"/>
      <c r="G5" s="10"/>
      <c r="H5" s="10"/>
      <c r="I5" s="10"/>
      <c r="J5" s="10"/>
      <c r="K5" s="10"/>
      <c r="L5" s="10"/>
      <c r="M5" s="10"/>
      <c r="N5" s="10"/>
      <c r="O5" s="10"/>
      <c r="P5" s="10"/>
      <c r="Q5" s="10"/>
    </row>
    <row r="6" spans="2:17" ht="42" customHeight="1" x14ac:dyDescent="0.25">
      <c r="B6" s="15"/>
      <c r="C6" s="15" t="s">
        <v>233</v>
      </c>
      <c r="D6" s="15" t="s">
        <v>119</v>
      </c>
      <c r="E6" s="15" t="s">
        <v>234</v>
      </c>
      <c r="F6" s="85" t="str">
        <f>Stammdaten!$R$16</f>
        <v>WE 01 – Thomas Ahrens</v>
      </c>
      <c r="G6" s="85" t="str">
        <f>Stammdaten!$R$17</f>
        <v>WE 02 – Familie Novak</v>
      </c>
      <c r="H6" s="85" t="str">
        <f>Stammdaten!$R$18</f>
        <v>WE 03 – Sabine Weiler</v>
      </c>
      <c r="I6" s="85" t="str">
        <f>Stammdaten!$R$19</f>
        <v>WE 03 – Deniz Yilmaz</v>
      </c>
      <c r="J6" s="85" t="str">
        <f>Stammdaten!$R$20</f>
        <v>WE 04 – Petra Hoffmann</v>
      </c>
      <c r="K6" s="85" t="str">
        <f>Stammdaten!$R$21</f>
        <v>WE 05 – Marek Zielinski</v>
      </c>
      <c r="L6" s="85" t="str">
        <f>Stammdaten!$R$22</f>
        <v>WE 06 – Leerstand (Vermieter)</v>
      </c>
      <c r="M6" s="85" t="str">
        <f>Stammdaten!$R$23</f>
        <v>WE 06 – Julia Brandner</v>
      </c>
      <c r="N6" s="15" t="s">
        <v>235</v>
      </c>
    </row>
    <row r="7" spans="2:17" ht="18" customHeight="1" x14ac:dyDescent="0.25">
      <c r="B7" s="86"/>
      <c r="C7" s="51" t="s">
        <v>236</v>
      </c>
      <c r="D7" s="22" t="s">
        <v>124</v>
      </c>
      <c r="E7" s="87">
        <f>Stammdaten!$K$24</f>
        <v>156950</v>
      </c>
      <c r="F7" s="31">
        <f>Stammdaten!$K$16</f>
        <v>22812.5</v>
      </c>
      <c r="G7" s="31">
        <f>Stammdaten!$K$17</f>
        <v>28616.000000000004</v>
      </c>
      <c r="H7" s="31">
        <f>Stammdaten!$K$18</f>
        <v>11620.2</v>
      </c>
      <c r="I7" s="31">
        <f>Stammdaten!$K$19</f>
        <v>11812.800000000001</v>
      </c>
      <c r="J7" s="31">
        <f>Stammdaten!$K$20</f>
        <v>29565</v>
      </c>
      <c r="K7" s="31">
        <f>Stammdaten!$K$21</f>
        <v>21827</v>
      </c>
      <c r="L7" s="31">
        <f>Stammdaten!$K$22</f>
        <v>4961.8999999999996</v>
      </c>
      <c r="M7" s="31">
        <f>Stammdaten!$K$23</f>
        <v>25734.6</v>
      </c>
      <c r="N7" s="88">
        <f>SUM(F7:M7)</f>
        <v>156950</v>
      </c>
    </row>
    <row r="8" spans="2:17" ht="18" customHeight="1" x14ac:dyDescent="0.25">
      <c r="B8" s="89"/>
      <c r="C8" s="56" t="s">
        <v>237</v>
      </c>
      <c r="D8" s="21" t="s">
        <v>128</v>
      </c>
      <c r="E8" s="90">
        <f>Stammdaten!$L$24</f>
        <v>4689</v>
      </c>
      <c r="F8" s="40">
        <f>Stammdaten!$L$16</f>
        <v>730</v>
      </c>
      <c r="G8" s="40">
        <f>Stammdaten!$L$17</f>
        <v>1460</v>
      </c>
      <c r="H8" s="40">
        <f>Stammdaten!$L$18</f>
        <v>181</v>
      </c>
      <c r="I8" s="40">
        <f>Stammdaten!$L$19</f>
        <v>552</v>
      </c>
      <c r="J8" s="40">
        <f>Stammdaten!$L$20</f>
        <v>730</v>
      </c>
      <c r="K8" s="40">
        <f>Stammdaten!$L$21</f>
        <v>365</v>
      </c>
      <c r="L8" s="40">
        <f>Stammdaten!$L$22</f>
        <v>59</v>
      </c>
      <c r="M8" s="40">
        <f>Stammdaten!$L$23</f>
        <v>612</v>
      </c>
      <c r="N8" s="91">
        <f>SUM(F8:M8)</f>
        <v>4689</v>
      </c>
    </row>
    <row r="9" spans="2:17" ht="18" customHeight="1" x14ac:dyDescent="0.25">
      <c r="B9" s="86"/>
      <c r="C9" s="51" t="s">
        <v>238</v>
      </c>
      <c r="D9" s="22" t="s">
        <v>73</v>
      </c>
      <c r="E9" s="92">
        <f>Stammdaten!$J$24</f>
        <v>2190</v>
      </c>
      <c r="F9" s="32">
        <f>Stammdaten!$J$16</f>
        <v>365</v>
      </c>
      <c r="G9" s="32">
        <f>Stammdaten!$J$17</f>
        <v>365</v>
      </c>
      <c r="H9" s="32">
        <f>Stammdaten!$J$18</f>
        <v>181</v>
      </c>
      <c r="I9" s="32">
        <f>Stammdaten!$J$19</f>
        <v>184</v>
      </c>
      <c r="J9" s="32">
        <f>Stammdaten!$J$20</f>
        <v>365</v>
      </c>
      <c r="K9" s="32">
        <f>Stammdaten!$J$21</f>
        <v>365</v>
      </c>
      <c r="L9" s="32">
        <f>Stammdaten!$J$22</f>
        <v>59</v>
      </c>
      <c r="M9" s="32">
        <f>Stammdaten!$J$23</f>
        <v>306</v>
      </c>
      <c r="N9" s="93">
        <f>SUM(F9:M9)</f>
        <v>2190</v>
      </c>
    </row>
    <row r="10" spans="2:17" ht="18" customHeight="1" x14ac:dyDescent="0.25">
      <c r="B10" s="89"/>
      <c r="C10" s="56" t="s">
        <v>239</v>
      </c>
      <c r="D10" s="21" t="s">
        <v>206</v>
      </c>
      <c r="E10" s="90">
        <f>Stammdaten!$M$24</f>
        <v>29260</v>
      </c>
      <c r="F10" s="40">
        <f>Stammdaten!$M$16</f>
        <v>4120</v>
      </c>
      <c r="G10" s="40">
        <f>Stammdaten!$M$17</f>
        <v>5480</v>
      </c>
      <c r="H10" s="40">
        <f>Stammdaten!$M$18</f>
        <v>2010</v>
      </c>
      <c r="I10" s="40">
        <f>Stammdaten!$M$19</f>
        <v>2240</v>
      </c>
      <c r="J10" s="40">
        <f>Stammdaten!$M$20</f>
        <v>5760</v>
      </c>
      <c r="K10" s="40">
        <f>Stammdaten!$M$21</f>
        <v>3640</v>
      </c>
      <c r="L10" s="40">
        <f>Stammdaten!$M$22</f>
        <v>780</v>
      </c>
      <c r="M10" s="40">
        <f>Stammdaten!$M$23</f>
        <v>5230</v>
      </c>
      <c r="N10" s="91">
        <f>SUM(F10:M10)</f>
        <v>29260</v>
      </c>
    </row>
    <row r="11" spans="2:17" ht="18" customHeight="1" x14ac:dyDescent="0.25">
      <c r="B11" s="86"/>
      <c r="C11" s="51" t="s">
        <v>240</v>
      </c>
      <c r="D11" s="22" t="s">
        <v>210</v>
      </c>
      <c r="E11" s="87">
        <f>Stammdaten!$N$24</f>
        <v>250</v>
      </c>
      <c r="F11" s="31">
        <f>Stammdaten!$N$16</f>
        <v>38</v>
      </c>
      <c r="G11" s="31">
        <f>Stammdaten!$N$17</f>
        <v>62.5</v>
      </c>
      <c r="H11" s="31">
        <f>Stammdaten!$N$18</f>
        <v>15</v>
      </c>
      <c r="I11" s="31">
        <f>Stammdaten!$N$19</f>
        <v>24.5</v>
      </c>
      <c r="J11" s="31">
        <f>Stammdaten!$N$20</f>
        <v>44</v>
      </c>
      <c r="K11" s="31">
        <f>Stammdaten!$N$21</f>
        <v>21.5</v>
      </c>
      <c r="L11" s="31">
        <f>Stammdaten!$N$22</f>
        <v>4</v>
      </c>
      <c r="M11" s="31">
        <f>Stammdaten!$N$23</f>
        <v>40.5</v>
      </c>
      <c r="N11" s="88">
        <f>SUM(F11:M11)</f>
        <v>250</v>
      </c>
    </row>
    <row r="12" spans="2:17" ht="9.75" customHeight="1" x14ac:dyDescent="0.25"/>
    <row r="13" spans="2:17" ht="21" customHeight="1" x14ac:dyDescent="0.25">
      <c r="B13" s="10" t="s">
        <v>241</v>
      </c>
      <c r="C13" s="10"/>
      <c r="D13" s="10"/>
      <c r="E13" s="10"/>
      <c r="F13" s="10"/>
      <c r="G13" s="10"/>
      <c r="H13" s="10"/>
      <c r="I13" s="10"/>
      <c r="J13" s="10"/>
      <c r="K13" s="10"/>
      <c r="L13" s="10"/>
      <c r="M13" s="10"/>
      <c r="N13" s="10"/>
      <c r="O13" s="10"/>
      <c r="P13" s="10"/>
      <c r="Q13" s="10"/>
    </row>
    <row r="14" spans="2:17" ht="42" customHeight="1" x14ac:dyDescent="0.25">
      <c r="B14" s="15" t="s">
        <v>242</v>
      </c>
      <c r="C14" s="15" t="s">
        <v>115</v>
      </c>
      <c r="D14" s="15" t="s">
        <v>119</v>
      </c>
      <c r="E14" s="15" t="s">
        <v>118</v>
      </c>
      <c r="F14" s="85" t="str">
        <f>Stammdaten!$R$16</f>
        <v>WE 01 – Thomas Ahrens</v>
      </c>
      <c r="G14" s="85" t="str">
        <f>Stammdaten!$R$17</f>
        <v>WE 02 – Familie Novak</v>
      </c>
      <c r="H14" s="85" t="str">
        <f>Stammdaten!$R$18</f>
        <v>WE 03 – Sabine Weiler</v>
      </c>
      <c r="I14" s="85" t="str">
        <f>Stammdaten!$R$19</f>
        <v>WE 03 – Deniz Yilmaz</v>
      </c>
      <c r="J14" s="85" t="str">
        <f>Stammdaten!$R$20</f>
        <v>WE 04 – Petra Hoffmann</v>
      </c>
      <c r="K14" s="85" t="str">
        <f>Stammdaten!$R$21</f>
        <v>WE 05 – Marek Zielinski</v>
      </c>
      <c r="L14" s="85" t="str">
        <f>Stammdaten!$R$22</f>
        <v>WE 06 – Leerstand (Vermieter)</v>
      </c>
      <c r="M14" s="85" t="str">
        <f>Stammdaten!$R$23</f>
        <v>WE 06 – Julia Brandner</v>
      </c>
      <c r="N14" s="15" t="s">
        <v>243</v>
      </c>
      <c r="O14" s="15" t="s">
        <v>244</v>
      </c>
      <c r="P14" s="15" t="s">
        <v>245</v>
      </c>
      <c r="Q14" s="15" t="s">
        <v>121</v>
      </c>
    </row>
    <row r="15" spans="2:17" ht="16.5" customHeight="1" x14ac:dyDescent="0.25">
      <c r="B15" s="94">
        <v>1</v>
      </c>
      <c r="C15" s="51" t="str">
        <f>Kostenerfassung!$C$7</f>
        <v>Grundsteuer</v>
      </c>
      <c r="D15" s="36" t="str">
        <f>Kostenerfassung!$G$7</f>
        <v>Wohnfläche</v>
      </c>
      <c r="E15" s="52">
        <f>Kostenerfassung!$F$7</f>
        <v>1284</v>
      </c>
      <c r="F15" s="35">
        <f t="shared" ref="F15:M24" si="0">IFERROR(ROUND($E15*INDEX(F$7:F$11,MATCH($D15,$D$7:$D$11,0))/INDEX($E$7:$E$11,MATCH($D15,$D$7:$D$11,0)),2),0)</f>
        <v>186.63</v>
      </c>
      <c r="G15" s="35">
        <f t="shared" si="0"/>
        <v>234.11</v>
      </c>
      <c r="H15" s="35">
        <f t="shared" si="0"/>
        <v>95.06</v>
      </c>
      <c r="I15" s="35">
        <f t="shared" si="0"/>
        <v>96.64</v>
      </c>
      <c r="J15" s="35">
        <f t="shared" si="0"/>
        <v>241.87</v>
      </c>
      <c r="K15" s="35">
        <f t="shared" si="0"/>
        <v>178.57</v>
      </c>
      <c r="L15" s="35">
        <f t="shared" si="0"/>
        <v>40.590000000000003</v>
      </c>
      <c r="M15" s="35">
        <f t="shared" si="0"/>
        <v>210.53</v>
      </c>
      <c r="N15" s="95">
        <f t="shared" ref="N15:N34" si="1">SUM(F15:M15)</f>
        <v>1283.9999999999998</v>
      </c>
      <c r="O15" s="96">
        <f t="shared" ref="O15:O34" si="2">ROUND($E15-$N15,2)</f>
        <v>0</v>
      </c>
      <c r="P15" s="97">
        <f>Kostenerfassung!$H$7</f>
        <v>0</v>
      </c>
      <c r="Q15" s="98" t="str">
        <f>Kostenerfassung!$I$7</f>
        <v>–</v>
      </c>
    </row>
    <row r="16" spans="2:17" ht="16.5" customHeight="1" x14ac:dyDescent="0.25">
      <c r="B16" s="99">
        <v>2</v>
      </c>
      <c r="C16" s="56" t="str">
        <f>Kostenerfassung!$C$8</f>
        <v>Wasserversorgung</v>
      </c>
      <c r="D16" s="42" t="str">
        <f>Kostenerfassung!$G$8</f>
        <v>Personen</v>
      </c>
      <c r="E16" s="57">
        <f>Kostenerfassung!$F$8</f>
        <v>1372.5</v>
      </c>
      <c r="F16" s="41">
        <f t="shared" si="0"/>
        <v>213.68</v>
      </c>
      <c r="G16" s="41">
        <f t="shared" si="0"/>
        <v>427.35</v>
      </c>
      <c r="H16" s="41">
        <f t="shared" si="0"/>
        <v>52.98</v>
      </c>
      <c r="I16" s="41">
        <f t="shared" si="0"/>
        <v>161.57</v>
      </c>
      <c r="J16" s="41">
        <f t="shared" si="0"/>
        <v>213.68</v>
      </c>
      <c r="K16" s="41">
        <f t="shared" si="0"/>
        <v>106.84</v>
      </c>
      <c r="L16" s="41">
        <f t="shared" si="0"/>
        <v>17.27</v>
      </c>
      <c r="M16" s="41">
        <f t="shared" si="0"/>
        <v>179.14</v>
      </c>
      <c r="N16" s="100">
        <f t="shared" si="1"/>
        <v>1372.5099999999998</v>
      </c>
      <c r="O16" s="101">
        <f t="shared" si="2"/>
        <v>-0.01</v>
      </c>
      <c r="P16" s="102">
        <f>Kostenerfassung!$H$8</f>
        <v>0</v>
      </c>
      <c r="Q16" s="103" t="str">
        <f>Kostenerfassung!$I$8</f>
        <v>–</v>
      </c>
    </row>
    <row r="17" spans="2:17" ht="16.5" customHeight="1" x14ac:dyDescent="0.25">
      <c r="B17" s="94">
        <v>3</v>
      </c>
      <c r="C17" s="51" t="str">
        <f>Kostenerfassung!$C$9</f>
        <v>Entwässerung und Niederschlagswasser</v>
      </c>
      <c r="D17" s="36" t="str">
        <f>Kostenerfassung!$G$9</f>
        <v>Personen</v>
      </c>
      <c r="E17" s="52">
        <f>Kostenerfassung!$F$9</f>
        <v>986.4</v>
      </c>
      <c r="F17" s="35">
        <f t="shared" si="0"/>
        <v>153.57</v>
      </c>
      <c r="G17" s="35">
        <f t="shared" si="0"/>
        <v>307.13</v>
      </c>
      <c r="H17" s="35">
        <f t="shared" si="0"/>
        <v>38.08</v>
      </c>
      <c r="I17" s="35">
        <f t="shared" si="0"/>
        <v>116.12</v>
      </c>
      <c r="J17" s="35">
        <f t="shared" si="0"/>
        <v>153.57</v>
      </c>
      <c r="K17" s="35">
        <f t="shared" si="0"/>
        <v>76.78</v>
      </c>
      <c r="L17" s="35">
        <f t="shared" si="0"/>
        <v>12.41</v>
      </c>
      <c r="M17" s="35">
        <f t="shared" si="0"/>
        <v>128.74</v>
      </c>
      <c r="N17" s="95">
        <f t="shared" si="1"/>
        <v>986.4</v>
      </c>
      <c r="O17" s="96">
        <f t="shared" si="2"/>
        <v>0</v>
      </c>
      <c r="P17" s="97">
        <f>Kostenerfassung!$H$9</f>
        <v>0</v>
      </c>
      <c r="Q17" s="98" t="str">
        <f>Kostenerfassung!$I$9</f>
        <v>–</v>
      </c>
    </row>
    <row r="18" spans="2:17" ht="16.5" customHeight="1" x14ac:dyDescent="0.25">
      <c r="B18" s="99">
        <v>4</v>
      </c>
      <c r="C18" s="56" t="str">
        <f>Kostenerfassung!$C$10</f>
        <v>Aufzug – Betrieb, Wartung, Notrufsystem</v>
      </c>
      <c r="D18" s="42" t="str">
        <f>Kostenerfassung!$G$10</f>
        <v>Wohnfläche</v>
      </c>
      <c r="E18" s="57">
        <f>Kostenerfassung!$F$10</f>
        <v>1140</v>
      </c>
      <c r="F18" s="41">
        <f t="shared" si="0"/>
        <v>165.7</v>
      </c>
      <c r="G18" s="41">
        <f t="shared" si="0"/>
        <v>207.85</v>
      </c>
      <c r="H18" s="41">
        <f t="shared" si="0"/>
        <v>84.4</v>
      </c>
      <c r="I18" s="41">
        <f t="shared" si="0"/>
        <v>85.8</v>
      </c>
      <c r="J18" s="41">
        <f t="shared" si="0"/>
        <v>214.74</v>
      </c>
      <c r="K18" s="41">
        <f t="shared" si="0"/>
        <v>158.54</v>
      </c>
      <c r="L18" s="41">
        <f t="shared" si="0"/>
        <v>36.04</v>
      </c>
      <c r="M18" s="41">
        <f t="shared" si="0"/>
        <v>186.92</v>
      </c>
      <c r="N18" s="100">
        <f t="shared" si="1"/>
        <v>1139.9899999999998</v>
      </c>
      <c r="O18" s="101">
        <f t="shared" si="2"/>
        <v>0.01</v>
      </c>
      <c r="P18" s="102">
        <f>Kostenerfassung!$H$10</f>
        <v>684</v>
      </c>
      <c r="Q18" s="103" t="str">
        <f>Kostenerfassung!$I$10</f>
        <v>Handwerkerleistung</v>
      </c>
    </row>
    <row r="19" spans="2:17" ht="16.5" customHeight="1" x14ac:dyDescent="0.25">
      <c r="B19" s="94">
        <v>5</v>
      </c>
      <c r="C19" s="51" t="str">
        <f>Kostenerfassung!$C$11</f>
        <v>Straßenreinigung und Müllbeseitigung</v>
      </c>
      <c r="D19" s="36" t="str">
        <f>Kostenerfassung!$G$11</f>
        <v>Personen</v>
      </c>
      <c r="E19" s="52">
        <f>Kostenerfassung!$F$11</f>
        <v>1518</v>
      </c>
      <c r="F19" s="35">
        <f t="shared" si="0"/>
        <v>236.33</v>
      </c>
      <c r="G19" s="35">
        <f t="shared" si="0"/>
        <v>472.66</v>
      </c>
      <c r="H19" s="35">
        <f t="shared" si="0"/>
        <v>58.6</v>
      </c>
      <c r="I19" s="35">
        <f t="shared" si="0"/>
        <v>178.7</v>
      </c>
      <c r="J19" s="35">
        <f t="shared" si="0"/>
        <v>236.33</v>
      </c>
      <c r="K19" s="35">
        <f t="shared" si="0"/>
        <v>118.16</v>
      </c>
      <c r="L19" s="35">
        <f t="shared" si="0"/>
        <v>19.100000000000001</v>
      </c>
      <c r="M19" s="35">
        <f t="shared" si="0"/>
        <v>198.13</v>
      </c>
      <c r="N19" s="95">
        <f t="shared" si="1"/>
        <v>1518.0099999999998</v>
      </c>
      <c r="O19" s="96">
        <f t="shared" si="2"/>
        <v>-0.01</v>
      </c>
      <c r="P19" s="97">
        <f>Kostenerfassung!$H$11</f>
        <v>0</v>
      </c>
      <c r="Q19" s="98" t="str">
        <f>Kostenerfassung!$I$11</f>
        <v>–</v>
      </c>
    </row>
    <row r="20" spans="2:17" ht="16.5" customHeight="1" x14ac:dyDescent="0.25">
      <c r="B20" s="99">
        <v>6</v>
      </c>
      <c r="C20" s="56" t="str">
        <f>Kostenerfassung!$C$12</f>
        <v>Gebäudereinigung und Ungezieferbekämpfung</v>
      </c>
      <c r="D20" s="42" t="str">
        <f>Kostenerfassung!$G$12</f>
        <v>Wohnfläche</v>
      </c>
      <c r="E20" s="57">
        <f>Kostenerfassung!$F$12</f>
        <v>1056</v>
      </c>
      <c r="F20" s="41">
        <f t="shared" si="0"/>
        <v>153.49</v>
      </c>
      <c r="G20" s="41">
        <f t="shared" si="0"/>
        <v>192.54</v>
      </c>
      <c r="H20" s="41">
        <f t="shared" si="0"/>
        <v>78.180000000000007</v>
      </c>
      <c r="I20" s="41">
        <f t="shared" si="0"/>
        <v>79.48</v>
      </c>
      <c r="J20" s="41">
        <f t="shared" si="0"/>
        <v>198.92</v>
      </c>
      <c r="K20" s="41">
        <f t="shared" si="0"/>
        <v>146.86000000000001</v>
      </c>
      <c r="L20" s="41">
        <f t="shared" si="0"/>
        <v>33.380000000000003</v>
      </c>
      <c r="M20" s="41">
        <f t="shared" si="0"/>
        <v>173.15</v>
      </c>
      <c r="N20" s="100">
        <f t="shared" si="1"/>
        <v>1056</v>
      </c>
      <c r="O20" s="101">
        <f t="shared" si="2"/>
        <v>0</v>
      </c>
      <c r="P20" s="102">
        <f>Kostenerfassung!$H$12</f>
        <v>1056</v>
      </c>
      <c r="Q20" s="103" t="str">
        <f>Kostenerfassung!$I$12</f>
        <v>Haushaltsnahe Dienstleistung</v>
      </c>
    </row>
    <row r="21" spans="2:17" ht="16.5" customHeight="1" x14ac:dyDescent="0.25">
      <c r="B21" s="94">
        <v>7</v>
      </c>
      <c r="C21" s="51" t="str">
        <f>Kostenerfassung!$C$13</f>
        <v>Gartenpflege</v>
      </c>
      <c r="D21" s="36" t="str">
        <f>Kostenerfassung!$G$13</f>
        <v>Wohnfläche</v>
      </c>
      <c r="E21" s="52">
        <f>Kostenerfassung!$F$13</f>
        <v>744</v>
      </c>
      <c r="F21" s="35">
        <f t="shared" si="0"/>
        <v>108.14</v>
      </c>
      <c r="G21" s="35">
        <f t="shared" si="0"/>
        <v>135.65</v>
      </c>
      <c r="H21" s="35">
        <f t="shared" si="0"/>
        <v>55.08</v>
      </c>
      <c r="I21" s="35">
        <f t="shared" si="0"/>
        <v>56</v>
      </c>
      <c r="J21" s="35">
        <f t="shared" si="0"/>
        <v>140.15</v>
      </c>
      <c r="K21" s="35">
        <f t="shared" si="0"/>
        <v>103.47</v>
      </c>
      <c r="L21" s="35">
        <f t="shared" si="0"/>
        <v>23.52</v>
      </c>
      <c r="M21" s="35">
        <f t="shared" si="0"/>
        <v>121.99</v>
      </c>
      <c r="N21" s="95">
        <f t="shared" si="1"/>
        <v>744</v>
      </c>
      <c r="O21" s="96">
        <f t="shared" si="2"/>
        <v>0</v>
      </c>
      <c r="P21" s="97">
        <f>Kostenerfassung!$H$13</f>
        <v>744</v>
      </c>
      <c r="Q21" s="98" t="str">
        <f>Kostenerfassung!$I$13</f>
        <v>Haushaltsnahe Dienstleistung</v>
      </c>
    </row>
    <row r="22" spans="2:17" ht="16.5" customHeight="1" x14ac:dyDescent="0.25">
      <c r="B22" s="99">
        <v>8</v>
      </c>
      <c r="C22" s="56" t="str">
        <f>Kostenerfassung!$C$14</f>
        <v>Beleuchtung – Allgemeinstrom</v>
      </c>
      <c r="D22" s="42" t="str">
        <f>Kostenerfassung!$G$14</f>
        <v>Wohnfläche</v>
      </c>
      <c r="E22" s="57">
        <f>Kostenerfassung!$F$14</f>
        <v>468.2</v>
      </c>
      <c r="F22" s="41">
        <f t="shared" si="0"/>
        <v>68.05</v>
      </c>
      <c r="G22" s="41">
        <f t="shared" si="0"/>
        <v>85.36</v>
      </c>
      <c r="H22" s="41">
        <f t="shared" si="0"/>
        <v>34.659999999999997</v>
      </c>
      <c r="I22" s="41">
        <f t="shared" si="0"/>
        <v>35.24</v>
      </c>
      <c r="J22" s="41">
        <f t="shared" si="0"/>
        <v>88.2</v>
      </c>
      <c r="K22" s="41">
        <f t="shared" si="0"/>
        <v>65.11</v>
      </c>
      <c r="L22" s="41">
        <f t="shared" si="0"/>
        <v>14.8</v>
      </c>
      <c r="M22" s="41">
        <f t="shared" si="0"/>
        <v>76.77</v>
      </c>
      <c r="N22" s="100">
        <f t="shared" si="1"/>
        <v>468.19</v>
      </c>
      <c r="O22" s="101">
        <f t="shared" si="2"/>
        <v>0.01</v>
      </c>
      <c r="P22" s="102">
        <f>Kostenerfassung!$H$14</f>
        <v>0</v>
      </c>
      <c r="Q22" s="103" t="str">
        <f>Kostenerfassung!$I$14</f>
        <v>–</v>
      </c>
    </row>
    <row r="23" spans="2:17" ht="16.5" customHeight="1" x14ac:dyDescent="0.25">
      <c r="B23" s="94">
        <v>9</v>
      </c>
      <c r="C23" s="51" t="str">
        <f>Kostenerfassung!$C$15</f>
        <v>Schornsteinreinigung</v>
      </c>
      <c r="D23" s="36" t="str">
        <f>Kostenerfassung!$G$15</f>
        <v>Wohnfläche</v>
      </c>
      <c r="E23" s="52">
        <f>Kostenerfassung!$F$15</f>
        <v>186</v>
      </c>
      <c r="F23" s="35">
        <f t="shared" si="0"/>
        <v>27.03</v>
      </c>
      <c r="G23" s="35">
        <f t="shared" si="0"/>
        <v>33.909999999999997</v>
      </c>
      <c r="H23" s="35">
        <f t="shared" si="0"/>
        <v>13.77</v>
      </c>
      <c r="I23" s="35">
        <f t="shared" si="0"/>
        <v>14</v>
      </c>
      <c r="J23" s="35">
        <f t="shared" si="0"/>
        <v>35.04</v>
      </c>
      <c r="K23" s="35">
        <f t="shared" si="0"/>
        <v>25.87</v>
      </c>
      <c r="L23" s="35">
        <f t="shared" si="0"/>
        <v>5.88</v>
      </c>
      <c r="M23" s="35">
        <f t="shared" si="0"/>
        <v>30.5</v>
      </c>
      <c r="N23" s="95">
        <f t="shared" si="1"/>
        <v>186</v>
      </c>
      <c r="O23" s="96">
        <f t="shared" si="2"/>
        <v>0</v>
      </c>
      <c r="P23" s="97">
        <f>Kostenerfassung!$H$15</f>
        <v>186</v>
      </c>
      <c r="Q23" s="98" t="str">
        <f>Kostenerfassung!$I$15</f>
        <v>Handwerkerleistung</v>
      </c>
    </row>
    <row r="24" spans="2:17" ht="16.5" customHeight="1" x14ac:dyDescent="0.25">
      <c r="B24" s="99">
        <v>10</v>
      </c>
      <c r="C24" s="56" t="str">
        <f>Kostenerfassung!$C$16</f>
        <v>Sach- und Haftpflichtversicherung</v>
      </c>
      <c r="D24" s="42" t="str">
        <f>Kostenerfassung!$G$16</f>
        <v>Wohnfläche</v>
      </c>
      <c r="E24" s="57">
        <f>Kostenerfassung!$F$16</f>
        <v>968.4</v>
      </c>
      <c r="F24" s="41">
        <f t="shared" si="0"/>
        <v>140.76</v>
      </c>
      <c r="G24" s="41">
        <f t="shared" si="0"/>
        <v>176.56</v>
      </c>
      <c r="H24" s="41">
        <f t="shared" si="0"/>
        <v>71.7</v>
      </c>
      <c r="I24" s="41">
        <f t="shared" si="0"/>
        <v>72.89</v>
      </c>
      <c r="J24" s="41">
        <f t="shared" si="0"/>
        <v>182.42</v>
      </c>
      <c r="K24" s="41">
        <f t="shared" si="0"/>
        <v>134.68</v>
      </c>
      <c r="L24" s="41">
        <f t="shared" si="0"/>
        <v>30.62</v>
      </c>
      <c r="M24" s="41">
        <f t="shared" si="0"/>
        <v>158.79</v>
      </c>
      <c r="N24" s="100">
        <f t="shared" si="1"/>
        <v>968.42</v>
      </c>
      <c r="O24" s="101">
        <f t="shared" si="2"/>
        <v>-0.02</v>
      </c>
      <c r="P24" s="102">
        <f>Kostenerfassung!$H$16</f>
        <v>0</v>
      </c>
      <c r="Q24" s="103" t="str">
        <f>Kostenerfassung!$I$16</f>
        <v>–</v>
      </c>
    </row>
    <row r="25" spans="2:17" ht="16.5" customHeight="1" x14ac:dyDescent="0.25">
      <c r="B25" s="94">
        <v>11</v>
      </c>
      <c r="C25" s="51" t="str">
        <f>Kostenerfassung!$C$17</f>
        <v>Hauswart – ohne Instandsetzungs- und Verwaltungsanteil</v>
      </c>
      <c r="D25" s="36" t="str">
        <f>Kostenerfassung!$G$17</f>
        <v>Wohnfläche</v>
      </c>
      <c r="E25" s="52">
        <f>Kostenerfassung!$F$17</f>
        <v>1440</v>
      </c>
      <c r="F25" s="35">
        <f t="shared" ref="F25:M34" si="3">IFERROR(ROUND($E25*INDEX(F$7:F$11,MATCH($D25,$D$7:$D$11,0))/INDEX($E$7:$E$11,MATCH($D25,$D$7:$D$11,0)),2),0)</f>
        <v>209.3</v>
      </c>
      <c r="G25" s="35">
        <f t="shared" si="3"/>
        <v>262.55</v>
      </c>
      <c r="H25" s="35">
        <f t="shared" si="3"/>
        <v>106.61</v>
      </c>
      <c r="I25" s="35">
        <f t="shared" si="3"/>
        <v>108.38</v>
      </c>
      <c r="J25" s="35">
        <f t="shared" si="3"/>
        <v>271.26</v>
      </c>
      <c r="K25" s="35">
        <f t="shared" si="3"/>
        <v>200.26</v>
      </c>
      <c r="L25" s="35">
        <f t="shared" si="3"/>
        <v>45.52</v>
      </c>
      <c r="M25" s="35">
        <f t="shared" si="3"/>
        <v>236.11</v>
      </c>
      <c r="N25" s="95">
        <f t="shared" si="1"/>
        <v>1439.9900000000002</v>
      </c>
      <c r="O25" s="96">
        <f t="shared" si="2"/>
        <v>0.01</v>
      </c>
      <c r="P25" s="97">
        <f>Kostenerfassung!$H$17</f>
        <v>1440</v>
      </c>
      <c r="Q25" s="98" t="str">
        <f>Kostenerfassung!$I$17</f>
        <v>Haushaltsnahe Dienstleistung</v>
      </c>
    </row>
    <row r="26" spans="2:17" ht="16.5" customHeight="1" x14ac:dyDescent="0.25">
      <c r="B26" s="99">
        <v>12</v>
      </c>
      <c r="C26" s="56" t="str">
        <f>Kostenerfassung!$C$18</f>
        <v>Gemeinschaftsantenne / Breitbandanschluss</v>
      </c>
      <c r="D26" s="42" t="str">
        <f>Kostenerfassung!$G$18</f>
        <v>Wohnfläche</v>
      </c>
      <c r="E26" s="57">
        <f>Kostenerfassung!$F$18</f>
        <v>0</v>
      </c>
      <c r="F26" s="41">
        <f t="shared" si="3"/>
        <v>0</v>
      </c>
      <c r="G26" s="41">
        <f t="shared" si="3"/>
        <v>0</v>
      </c>
      <c r="H26" s="41">
        <f t="shared" si="3"/>
        <v>0</v>
      </c>
      <c r="I26" s="41">
        <f t="shared" si="3"/>
        <v>0</v>
      </c>
      <c r="J26" s="41">
        <f t="shared" si="3"/>
        <v>0</v>
      </c>
      <c r="K26" s="41">
        <f t="shared" si="3"/>
        <v>0</v>
      </c>
      <c r="L26" s="41">
        <f t="shared" si="3"/>
        <v>0</v>
      </c>
      <c r="M26" s="41">
        <f t="shared" si="3"/>
        <v>0</v>
      </c>
      <c r="N26" s="100">
        <f t="shared" si="1"/>
        <v>0</v>
      </c>
      <c r="O26" s="101">
        <f t="shared" si="2"/>
        <v>0</v>
      </c>
      <c r="P26" s="102">
        <f>Kostenerfassung!$H$18</f>
        <v>0</v>
      </c>
      <c r="Q26" s="103" t="str">
        <f>Kostenerfassung!$I$18</f>
        <v>–</v>
      </c>
    </row>
    <row r="27" spans="2:17" ht="16.5" customHeight="1" x14ac:dyDescent="0.25">
      <c r="B27" s="94">
        <v>13</v>
      </c>
      <c r="C27" s="51" t="str">
        <f>Kostenerfassung!$C$19</f>
        <v>Betrieb der Gemeinschaftswaschküche</v>
      </c>
      <c r="D27" s="36" t="str">
        <f>Kostenerfassung!$G$19</f>
        <v>Einheit</v>
      </c>
      <c r="E27" s="52">
        <f>Kostenerfassung!$F$19</f>
        <v>312</v>
      </c>
      <c r="F27" s="35">
        <f t="shared" si="3"/>
        <v>52</v>
      </c>
      <c r="G27" s="35">
        <f t="shared" si="3"/>
        <v>52</v>
      </c>
      <c r="H27" s="35">
        <f t="shared" si="3"/>
        <v>25.79</v>
      </c>
      <c r="I27" s="35">
        <f t="shared" si="3"/>
        <v>26.21</v>
      </c>
      <c r="J27" s="35">
        <f t="shared" si="3"/>
        <v>52</v>
      </c>
      <c r="K27" s="35">
        <f t="shared" si="3"/>
        <v>52</v>
      </c>
      <c r="L27" s="35">
        <f t="shared" si="3"/>
        <v>8.41</v>
      </c>
      <c r="M27" s="35">
        <f t="shared" si="3"/>
        <v>43.59</v>
      </c>
      <c r="N27" s="95">
        <f t="shared" si="1"/>
        <v>312</v>
      </c>
      <c r="O27" s="96">
        <f t="shared" si="2"/>
        <v>0</v>
      </c>
      <c r="P27" s="97">
        <f>Kostenerfassung!$H$19</f>
        <v>0</v>
      </c>
      <c r="Q27" s="98" t="str">
        <f>Kostenerfassung!$I$19</f>
        <v>–</v>
      </c>
    </row>
    <row r="28" spans="2:17" ht="16.5" customHeight="1" x14ac:dyDescent="0.25">
      <c r="B28" s="99">
        <v>14</v>
      </c>
      <c r="C28" s="56" t="str">
        <f>Kostenerfassung!$C$20</f>
        <v>Sonstige: Wartung der Rauchwarnmelder</v>
      </c>
      <c r="D28" s="42" t="str">
        <f>Kostenerfassung!$G$20</f>
        <v>Einheit</v>
      </c>
      <c r="E28" s="57">
        <f>Kostenerfassung!$F$20</f>
        <v>216</v>
      </c>
      <c r="F28" s="41">
        <f t="shared" si="3"/>
        <v>36</v>
      </c>
      <c r="G28" s="41">
        <f t="shared" si="3"/>
        <v>36</v>
      </c>
      <c r="H28" s="41">
        <f t="shared" si="3"/>
        <v>17.850000000000001</v>
      </c>
      <c r="I28" s="41">
        <f t="shared" si="3"/>
        <v>18.149999999999999</v>
      </c>
      <c r="J28" s="41">
        <f t="shared" si="3"/>
        <v>36</v>
      </c>
      <c r="K28" s="41">
        <f t="shared" si="3"/>
        <v>36</v>
      </c>
      <c r="L28" s="41">
        <f t="shared" si="3"/>
        <v>5.82</v>
      </c>
      <c r="M28" s="41">
        <f t="shared" si="3"/>
        <v>30.18</v>
      </c>
      <c r="N28" s="100">
        <f t="shared" si="1"/>
        <v>216</v>
      </c>
      <c r="O28" s="101">
        <f t="shared" si="2"/>
        <v>0</v>
      </c>
      <c r="P28" s="102">
        <f>Kostenerfassung!$H$20</f>
        <v>216</v>
      </c>
      <c r="Q28" s="103" t="str">
        <f>Kostenerfassung!$I$20</f>
        <v>Handwerkerleistung</v>
      </c>
    </row>
    <row r="29" spans="2:17" ht="16.5" customHeight="1" x14ac:dyDescent="0.25">
      <c r="B29" s="94">
        <v>15</v>
      </c>
      <c r="C29" s="51" t="str">
        <f>Kostenerfassung!$C$21</f>
        <v>Sonstige: Dachrinnenreinigung</v>
      </c>
      <c r="D29" s="36" t="str">
        <f>Kostenerfassung!$G$21</f>
        <v>Wohnfläche</v>
      </c>
      <c r="E29" s="52">
        <f>Kostenerfassung!$F$21</f>
        <v>285</v>
      </c>
      <c r="F29" s="35">
        <f t="shared" si="3"/>
        <v>41.42</v>
      </c>
      <c r="G29" s="35">
        <f t="shared" si="3"/>
        <v>51.96</v>
      </c>
      <c r="H29" s="35">
        <f t="shared" si="3"/>
        <v>21.1</v>
      </c>
      <c r="I29" s="35">
        <f t="shared" si="3"/>
        <v>21.45</v>
      </c>
      <c r="J29" s="35">
        <f t="shared" si="3"/>
        <v>53.69</v>
      </c>
      <c r="K29" s="35">
        <f t="shared" si="3"/>
        <v>39.630000000000003</v>
      </c>
      <c r="L29" s="35">
        <f t="shared" si="3"/>
        <v>9.01</v>
      </c>
      <c r="M29" s="35">
        <f t="shared" si="3"/>
        <v>46.73</v>
      </c>
      <c r="N29" s="95">
        <f t="shared" si="1"/>
        <v>284.98999999999995</v>
      </c>
      <c r="O29" s="96">
        <f t="shared" si="2"/>
        <v>0.01</v>
      </c>
      <c r="P29" s="97">
        <f>Kostenerfassung!$H$21</f>
        <v>285</v>
      </c>
      <c r="Q29" s="98" t="str">
        <f>Kostenerfassung!$I$21</f>
        <v>Haushaltsnahe Dienstleistung</v>
      </c>
    </row>
    <row r="30" spans="2:17" ht="16.5" customHeight="1" x14ac:dyDescent="0.25">
      <c r="B30" s="99">
        <v>16</v>
      </c>
      <c r="C30" s="56" t="str">
        <f>Kostenerfassung!$C$22</f>
        <v>Sonstige: Winterdienst</v>
      </c>
      <c r="D30" s="42" t="str">
        <f>Kostenerfassung!$G$22</f>
        <v>Wohnfläche</v>
      </c>
      <c r="E30" s="57">
        <f>Kostenerfassung!$F$22</f>
        <v>624</v>
      </c>
      <c r="F30" s="41">
        <f t="shared" si="3"/>
        <v>90.7</v>
      </c>
      <c r="G30" s="41">
        <f t="shared" si="3"/>
        <v>113.77</v>
      </c>
      <c r="H30" s="41">
        <f t="shared" si="3"/>
        <v>46.2</v>
      </c>
      <c r="I30" s="41">
        <f t="shared" si="3"/>
        <v>46.97</v>
      </c>
      <c r="J30" s="41">
        <f t="shared" si="3"/>
        <v>117.54</v>
      </c>
      <c r="K30" s="41">
        <f t="shared" si="3"/>
        <v>86.78</v>
      </c>
      <c r="L30" s="41">
        <f t="shared" si="3"/>
        <v>19.73</v>
      </c>
      <c r="M30" s="41">
        <f t="shared" si="3"/>
        <v>102.32</v>
      </c>
      <c r="N30" s="100">
        <f t="shared" si="1"/>
        <v>624.01</v>
      </c>
      <c r="O30" s="101">
        <f t="shared" si="2"/>
        <v>-0.01</v>
      </c>
      <c r="P30" s="102">
        <f>Kostenerfassung!$H$22</f>
        <v>624</v>
      </c>
      <c r="Q30" s="103" t="str">
        <f>Kostenerfassung!$I$22</f>
        <v>Haushaltsnahe Dienstleistung</v>
      </c>
    </row>
    <row r="31" spans="2:17" ht="16.5" customHeight="1" x14ac:dyDescent="0.25">
      <c r="B31" s="94">
        <v>17</v>
      </c>
      <c r="C31" s="51" t="str">
        <f>Kostenerfassung!$C$59</f>
        <v>Heizkosten – Grundkosten nach Wohnfläche</v>
      </c>
      <c r="D31" s="36" t="str">
        <f>Kostenerfassung!$G$59</f>
        <v>Wohnfläche</v>
      </c>
      <c r="E31" s="52">
        <f>Kostenerfassung!$F$59</f>
        <v>1519.6</v>
      </c>
      <c r="F31" s="35">
        <f t="shared" si="3"/>
        <v>220.87</v>
      </c>
      <c r="G31" s="35">
        <f t="shared" si="3"/>
        <v>277.06</v>
      </c>
      <c r="H31" s="35">
        <f t="shared" si="3"/>
        <v>112.51</v>
      </c>
      <c r="I31" s="35">
        <f t="shared" si="3"/>
        <v>114.37</v>
      </c>
      <c r="J31" s="35">
        <f t="shared" si="3"/>
        <v>286.25</v>
      </c>
      <c r="K31" s="35">
        <f t="shared" si="3"/>
        <v>211.33</v>
      </c>
      <c r="L31" s="35">
        <f t="shared" si="3"/>
        <v>48.04</v>
      </c>
      <c r="M31" s="35">
        <f t="shared" si="3"/>
        <v>249.16</v>
      </c>
      <c r="N31" s="95">
        <f t="shared" si="1"/>
        <v>1519.5900000000001</v>
      </c>
      <c r="O31" s="96">
        <f t="shared" si="2"/>
        <v>0.01</v>
      </c>
      <c r="P31" s="97">
        <f>Kostenerfassung!$H$59</f>
        <v>298</v>
      </c>
      <c r="Q31" s="98" t="str">
        <f>Kostenerfassung!$I$59</f>
        <v>Handwerkerleistung</v>
      </c>
    </row>
    <row r="32" spans="2:17" ht="16.5" customHeight="1" x14ac:dyDescent="0.25">
      <c r="B32" s="99">
        <v>18</v>
      </c>
      <c r="C32" s="56" t="str">
        <f>Kostenerfassung!$C$60</f>
        <v>Heizkosten – Verbrauchskosten nach erfasstem Verbrauch</v>
      </c>
      <c r="D32" s="42" t="str">
        <f>Kostenerfassung!$G$60</f>
        <v>Verbrauch Heizung</v>
      </c>
      <c r="E32" s="57">
        <f>Kostenerfassung!$F$60</f>
        <v>3545.73</v>
      </c>
      <c r="F32" s="41">
        <f t="shared" si="3"/>
        <v>499.26</v>
      </c>
      <c r="G32" s="41">
        <f t="shared" si="3"/>
        <v>664.07</v>
      </c>
      <c r="H32" s="41">
        <f t="shared" si="3"/>
        <v>243.57</v>
      </c>
      <c r="I32" s="41">
        <f t="shared" si="3"/>
        <v>271.44</v>
      </c>
      <c r="J32" s="41">
        <f t="shared" si="3"/>
        <v>698</v>
      </c>
      <c r="K32" s="41">
        <f t="shared" si="3"/>
        <v>441.1</v>
      </c>
      <c r="L32" s="41">
        <f t="shared" si="3"/>
        <v>94.52</v>
      </c>
      <c r="M32" s="41">
        <f t="shared" si="3"/>
        <v>633.77</v>
      </c>
      <c r="N32" s="100">
        <f t="shared" si="1"/>
        <v>3545.73</v>
      </c>
      <c r="O32" s="101">
        <f t="shared" si="2"/>
        <v>0</v>
      </c>
      <c r="P32" s="102">
        <f>Kostenerfassung!$H$60</f>
        <v>0</v>
      </c>
      <c r="Q32" s="103" t="str">
        <f>Kostenerfassung!$I$60</f>
        <v>–</v>
      </c>
    </row>
    <row r="33" spans="2:17" ht="16.5" customHeight="1" x14ac:dyDescent="0.25">
      <c r="B33" s="94">
        <v>19</v>
      </c>
      <c r="C33" s="51" t="str">
        <f>Kostenerfassung!$C$61</f>
        <v>Warmwasserkosten – Grundkosten nach Wohnfläche</v>
      </c>
      <c r="D33" s="36" t="str">
        <f>Kostenerfassung!$G$61</f>
        <v>Wohnfläche</v>
      </c>
      <c r="E33" s="52">
        <f>Kostenerfassung!$F$61</f>
        <v>428.61</v>
      </c>
      <c r="F33" s="35">
        <f t="shared" si="3"/>
        <v>62.3</v>
      </c>
      <c r="G33" s="35">
        <f t="shared" si="3"/>
        <v>78.150000000000006</v>
      </c>
      <c r="H33" s="35">
        <f t="shared" si="3"/>
        <v>31.73</v>
      </c>
      <c r="I33" s="35">
        <f t="shared" si="3"/>
        <v>32.26</v>
      </c>
      <c r="J33" s="35">
        <f t="shared" si="3"/>
        <v>80.739999999999995</v>
      </c>
      <c r="K33" s="35">
        <f t="shared" si="3"/>
        <v>59.61</v>
      </c>
      <c r="L33" s="35">
        <f t="shared" si="3"/>
        <v>13.55</v>
      </c>
      <c r="M33" s="35">
        <f t="shared" si="3"/>
        <v>70.28</v>
      </c>
      <c r="N33" s="95">
        <f t="shared" si="1"/>
        <v>428.62</v>
      </c>
      <c r="O33" s="96">
        <f t="shared" si="2"/>
        <v>-0.01</v>
      </c>
      <c r="P33" s="97">
        <f>Kostenerfassung!$H$61</f>
        <v>0</v>
      </c>
      <c r="Q33" s="98" t="str">
        <f>Kostenerfassung!$I$61</f>
        <v>–</v>
      </c>
    </row>
    <row r="34" spans="2:17" ht="16.5" customHeight="1" x14ac:dyDescent="0.25">
      <c r="B34" s="99">
        <v>20</v>
      </c>
      <c r="C34" s="56" t="str">
        <f>Kostenerfassung!$C$62</f>
        <v>Warmwasserkosten – Verbrauchskosten nach erfasstem Verbrauch</v>
      </c>
      <c r="D34" s="42" t="str">
        <f>Kostenerfassung!$G$62</f>
        <v>Verbrauch Warmwasser</v>
      </c>
      <c r="E34" s="57">
        <f>Kostenerfassung!$F$62</f>
        <v>1000.08</v>
      </c>
      <c r="F34" s="41">
        <f t="shared" si="3"/>
        <v>152.01</v>
      </c>
      <c r="G34" s="41">
        <f t="shared" si="3"/>
        <v>250.02</v>
      </c>
      <c r="H34" s="41">
        <f t="shared" si="3"/>
        <v>60</v>
      </c>
      <c r="I34" s="41">
        <f t="shared" si="3"/>
        <v>98.01</v>
      </c>
      <c r="J34" s="41">
        <f t="shared" si="3"/>
        <v>176.01</v>
      </c>
      <c r="K34" s="41">
        <f t="shared" si="3"/>
        <v>86.01</v>
      </c>
      <c r="L34" s="41">
        <f t="shared" si="3"/>
        <v>16</v>
      </c>
      <c r="M34" s="41">
        <f t="shared" si="3"/>
        <v>162.01</v>
      </c>
      <c r="N34" s="100">
        <f t="shared" si="1"/>
        <v>1000.0699999999999</v>
      </c>
      <c r="O34" s="101">
        <f t="shared" si="2"/>
        <v>0.01</v>
      </c>
      <c r="P34" s="102">
        <f>Kostenerfassung!$H$62</f>
        <v>0</v>
      </c>
      <c r="Q34" s="103" t="str">
        <f>Kostenerfassung!$I$62</f>
        <v>–</v>
      </c>
    </row>
    <row r="35" spans="2:17" ht="19.5" customHeight="1" x14ac:dyDescent="0.25">
      <c r="B35" s="118" t="s">
        <v>226</v>
      </c>
      <c r="C35" s="118"/>
      <c r="D35" s="118"/>
      <c r="E35" s="48">
        <f t="shared" ref="E35:P35" si="4">SUM(E15:E34)</f>
        <v>19094.520000000004</v>
      </c>
      <c r="F35" s="48">
        <f t="shared" si="4"/>
        <v>2817.2400000000007</v>
      </c>
      <c r="G35" s="48">
        <f t="shared" si="4"/>
        <v>4058.7000000000003</v>
      </c>
      <c r="H35" s="48">
        <f t="shared" si="4"/>
        <v>1247.8700000000001</v>
      </c>
      <c r="I35" s="48">
        <f t="shared" si="4"/>
        <v>1633.6800000000003</v>
      </c>
      <c r="J35" s="48">
        <f t="shared" si="4"/>
        <v>3476.41</v>
      </c>
      <c r="K35" s="48">
        <f t="shared" si="4"/>
        <v>2327.6000000000004</v>
      </c>
      <c r="L35" s="48">
        <f t="shared" si="4"/>
        <v>494.21000000000004</v>
      </c>
      <c r="M35" s="48">
        <f t="shared" si="4"/>
        <v>3038.8100000000004</v>
      </c>
      <c r="N35" s="48">
        <f t="shared" si="4"/>
        <v>19094.52</v>
      </c>
      <c r="O35" s="48">
        <f t="shared" si="4"/>
        <v>0</v>
      </c>
      <c r="P35" s="48">
        <f t="shared" si="4"/>
        <v>5533</v>
      </c>
      <c r="Q35" s="45"/>
    </row>
    <row r="36" spans="2:17" ht="9.75" customHeight="1" x14ac:dyDescent="0.25"/>
    <row r="37" spans="2:17" ht="21" customHeight="1" x14ac:dyDescent="0.25">
      <c r="B37" s="10" t="s">
        <v>246</v>
      </c>
      <c r="C37" s="10"/>
      <c r="D37" s="10"/>
      <c r="E37" s="10"/>
      <c r="F37" s="10"/>
      <c r="G37" s="10"/>
      <c r="H37" s="10"/>
      <c r="I37" s="10"/>
      <c r="J37" s="10"/>
      <c r="K37" s="10"/>
      <c r="L37" s="10"/>
      <c r="M37" s="10"/>
      <c r="N37" s="10"/>
      <c r="O37" s="10"/>
      <c r="P37" s="10"/>
      <c r="Q37" s="10"/>
    </row>
    <row r="38" spans="2:17" ht="42" customHeight="1" x14ac:dyDescent="0.25">
      <c r="B38" s="15"/>
      <c r="C38" s="9" t="s">
        <v>160</v>
      </c>
      <c r="D38" s="9"/>
      <c r="E38" s="9"/>
      <c r="F38" s="85" t="str">
        <f>Stammdaten!$R$16</f>
        <v>WE 01 – Thomas Ahrens</v>
      </c>
      <c r="G38" s="85" t="str">
        <f>Stammdaten!$R$17</f>
        <v>WE 02 – Familie Novak</v>
      </c>
      <c r="H38" s="85" t="str">
        <f>Stammdaten!$R$18</f>
        <v>WE 03 – Sabine Weiler</v>
      </c>
      <c r="I38" s="85" t="str">
        <f>Stammdaten!$R$19</f>
        <v>WE 03 – Deniz Yilmaz</v>
      </c>
      <c r="J38" s="85" t="str">
        <f>Stammdaten!$R$20</f>
        <v>WE 04 – Petra Hoffmann</v>
      </c>
      <c r="K38" s="85" t="str">
        <f>Stammdaten!$R$21</f>
        <v>WE 05 – Marek Zielinski</v>
      </c>
      <c r="L38" s="85" t="str">
        <f>Stammdaten!$R$22</f>
        <v>WE 06 – Leerstand (Vermieter)</v>
      </c>
      <c r="M38" s="85" t="str">
        <f>Stammdaten!$R$23</f>
        <v>WE 06 – Julia Brandner</v>
      </c>
      <c r="N38" s="15" t="s">
        <v>247</v>
      </c>
    </row>
    <row r="39" spans="2:17" ht="18.75" customHeight="1" x14ac:dyDescent="0.25">
      <c r="B39" s="86"/>
      <c r="C39" s="128" t="s">
        <v>248</v>
      </c>
      <c r="D39" s="128"/>
      <c r="E39" s="128"/>
      <c r="F39" s="72">
        <f t="shared" ref="F39:M39" si="5">F35</f>
        <v>2817.2400000000007</v>
      </c>
      <c r="G39" s="72">
        <f t="shared" si="5"/>
        <v>4058.7000000000003</v>
      </c>
      <c r="H39" s="72">
        <f t="shared" si="5"/>
        <v>1247.8700000000001</v>
      </c>
      <c r="I39" s="72">
        <f t="shared" si="5"/>
        <v>1633.6800000000003</v>
      </c>
      <c r="J39" s="72">
        <f t="shared" si="5"/>
        <v>3476.41</v>
      </c>
      <c r="K39" s="72">
        <f t="shared" si="5"/>
        <v>2327.6000000000004</v>
      </c>
      <c r="L39" s="72">
        <f t="shared" si="5"/>
        <v>494.21000000000004</v>
      </c>
      <c r="M39" s="72">
        <f t="shared" si="5"/>
        <v>3038.8100000000004</v>
      </c>
      <c r="N39" s="72">
        <f>SUM(F39:M39)</f>
        <v>19094.520000000004</v>
      </c>
    </row>
    <row r="40" spans="2:17" ht="18.75" customHeight="1" x14ac:dyDescent="0.25">
      <c r="B40" s="86"/>
      <c r="C40" s="128" t="s">
        <v>249</v>
      </c>
      <c r="D40" s="128"/>
      <c r="E40" s="128"/>
      <c r="F40" s="72">
        <f>Stammdaten!$Q$16</f>
        <v>2700</v>
      </c>
      <c r="G40" s="72">
        <f>Stammdaten!$Q$17</f>
        <v>4200</v>
      </c>
      <c r="H40" s="72">
        <f>Stammdaten!$Q$18</f>
        <v>1260</v>
      </c>
      <c r="I40" s="72">
        <f>Stammdaten!$Q$19</f>
        <v>1500</v>
      </c>
      <c r="J40" s="72">
        <f>Stammdaten!$Q$20</f>
        <v>3420</v>
      </c>
      <c r="K40" s="72">
        <f>Stammdaten!$Q$21</f>
        <v>2400</v>
      </c>
      <c r="L40" s="72">
        <f>Stammdaten!$Q$22</f>
        <v>0</v>
      </c>
      <c r="M40" s="72">
        <f>Stammdaten!$Q$23</f>
        <v>2900</v>
      </c>
      <c r="N40" s="72">
        <f>SUM(F40:M40)</f>
        <v>18380</v>
      </c>
    </row>
    <row r="41" spans="2:17" ht="18.75" customHeight="1" x14ac:dyDescent="0.25">
      <c r="B41" s="86"/>
      <c r="C41" s="129" t="s">
        <v>250</v>
      </c>
      <c r="D41" s="129"/>
      <c r="E41" s="129"/>
      <c r="F41" s="104">
        <f t="shared" ref="F41:M41" si="6">F39-F40</f>
        <v>117.24000000000069</v>
      </c>
      <c r="G41" s="104">
        <f t="shared" si="6"/>
        <v>-141.29999999999973</v>
      </c>
      <c r="H41" s="104">
        <f t="shared" si="6"/>
        <v>-12.129999999999882</v>
      </c>
      <c r="I41" s="104">
        <f t="shared" si="6"/>
        <v>133.68000000000029</v>
      </c>
      <c r="J41" s="104">
        <f t="shared" si="6"/>
        <v>56.409999999999854</v>
      </c>
      <c r="K41" s="104">
        <f t="shared" si="6"/>
        <v>-72.399999999999636</v>
      </c>
      <c r="L41" s="104">
        <f t="shared" si="6"/>
        <v>494.21000000000004</v>
      </c>
      <c r="M41" s="104">
        <f t="shared" si="6"/>
        <v>138.8100000000004</v>
      </c>
      <c r="N41" s="104">
        <f>SUM(F41:M41)</f>
        <v>714.52000000000203</v>
      </c>
    </row>
    <row r="42" spans="2:17" ht="18.75" customHeight="1" x14ac:dyDescent="0.25">
      <c r="B42" s="86"/>
      <c r="C42" s="128" t="s">
        <v>251</v>
      </c>
      <c r="D42" s="128"/>
      <c r="E42" s="128"/>
      <c r="F42" s="72">
        <f>IFERROR(ROUND(F39/Stammdaten!$F$16/(Stammdaten!$J$16/365*12),2),0)</f>
        <v>3.76</v>
      </c>
      <c r="G42" s="72">
        <f>IFERROR(ROUND(G39/Stammdaten!$F$17/(Stammdaten!$J$17/365*12),2),0)</f>
        <v>4.3099999999999996</v>
      </c>
      <c r="H42" s="72">
        <f>IFERROR(ROUND(H39/Stammdaten!$F$18/(Stammdaten!$J$18/365*12),2),0)</f>
        <v>3.27</v>
      </c>
      <c r="I42" s="72">
        <f>IFERROR(ROUND(I39/Stammdaten!$F$19/(Stammdaten!$J$19/365*12),2),0)</f>
        <v>4.21</v>
      </c>
      <c r="J42" s="72">
        <f>IFERROR(ROUND(J39/Stammdaten!$F$20/(Stammdaten!$J$20/365*12),2),0)</f>
        <v>3.58</v>
      </c>
      <c r="K42" s="72">
        <f>IFERROR(ROUND(K39/Stammdaten!$F$21/(Stammdaten!$J$21/365*12),2),0)</f>
        <v>3.24</v>
      </c>
      <c r="L42" s="72">
        <f>IFERROR(ROUND(L39/Stammdaten!$F$22/(Stammdaten!$J$22/365*12),2),0)</f>
        <v>3.03</v>
      </c>
      <c r="M42" s="72">
        <f>IFERROR(ROUND(M39/Stammdaten!$F$23/(Stammdaten!$J$23/365*12),2),0)</f>
        <v>3.59</v>
      </c>
      <c r="N42" s="72">
        <f>IFERROR(ROUND(N39/Stammdaten!$O$9/12,2),0)</f>
        <v>3.7</v>
      </c>
    </row>
    <row r="43" spans="2:17" ht="18" customHeight="1" x14ac:dyDescent="0.25">
      <c r="B43" s="130" t="s">
        <v>252</v>
      </c>
      <c r="C43" s="130"/>
      <c r="D43" s="130"/>
      <c r="E43" s="130"/>
      <c r="F43" s="130"/>
      <c r="G43" s="130"/>
      <c r="H43" s="130"/>
      <c r="I43" s="130"/>
      <c r="J43" s="130"/>
      <c r="K43" s="130"/>
      <c r="L43" s="130"/>
      <c r="M43" s="130"/>
      <c r="N43" s="130"/>
      <c r="O43" s="130"/>
      <c r="P43" s="130"/>
      <c r="Q43" s="130"/>
    </row>
    <row r="44" spans="2:17" ht="18" customHeight="1" x14ac:dyDescent="0.25">
      <c r="B44" s="130"/>
      <c r="C44" s="130"/>
      <c r="D44" s="130"/>
      <c r="E44" s="130"/>
      <c r="F44" s="130"/>
      <c r="G44" s="130"/>
      <c r="H44" s="130"/>
      <c r="I44" s="130"/>
      <c r="J44" s="130"/>
      <c r="K44" s="130"/>
      <c r="L44" s="130"/>
      <c r="M44" s="130"/>
      <c r="N44" s="130"/>
      <c r="O44" s="130"/>
      <c r="P44" s="130"/>
      <c r="Q44" s="130"/>
    </row>
  </sheetData>
  <mergeCells count="14">
    <mergeCell ref="C40:E40"/>
    <mergeCell ref="C41:E41"/>
    <mergeCell ref="C42:E42"/>
    <mergeCell ref="B43:Q44"/>
    <mergeCell ref="B13:Q13"/>
    <mergeCell ref="B35:D35"/>
    <mergeCell ref="B37:Q37"/>
    <mergeCell ref="C38:E38"/>
    <mergeCell ref="C39:E39"/>
    <mergeCell ref="B1:I1"/>
    <mergeCell ref="J1:Q1"/>
    <mergeCell ref="B2:Q2"/>
    <mergeCell ref="B3:Q3"/>
    <mergeCell ref="B5:Q5"/>
  </mergeCells>
  <conditionalFormatting sqref="F41:N41">
    <cfRule type="cellIs" dxfId="2" priority="2" operator="greaterThan">
      <formula>0</formula>
    </cfRule>
    <cfRule type="cellIs" dxfId="1" priority="3" operator="lessThan">
      <formula>0</formula>
    </cfRule>
  </conditionalFormatting>
  <pageMargins left="0.4" right="0.4" top="0.5" bottom="0.5" header="0.511811023622047" footer="0.511811023622047"/>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4712A"/>
    <pageSetUpPr fitToPage="1"/>
  </sheetPr>
  <dimension ref="B1:J62"/>
  <sheetViews>
    <sheetView showGridLines="0" zoomScaleNormal="100" workbookViewId="0"/>
  </sheetViews>
  <sheetFormatPr baseColWidth="10" defaultColWidth="8.7109375" defaultRowHeight="15" x14ac:dyDescent="0.25"/>
  <cols>
    <col min="1" max="1" width="2.28515625" customWidth="1"/>
    <col min="2" max="2" width="5.5703125" customWidth="1"/>
    <col min="3" max="3" width="43" customWidth="1"/>
    <col min="4" max="4" width="16" customWidth="1"/>
    <col min="5" max="5" width="18.42578125" customWidth="1"/>
    <col min="6" max="7" width="14.5703125" customWidth="1"/>
    <col min="8" max="8" width="15" customWidth="1"/>
    <col min="9" max="9" width="16" customWidth="1"/>
    <col min="10" max="10" width="25" customWidth="1"/>
  </cols>
  <sheetData>
    <row r="1" spans="2:10" ht="39.75" customHeight="1" x14ac:dyDescent="0.25">
      <c r="B1" s="14" t="s">
        <v>253</v>
      </c>
      <c r="C1" s="14"/>
      <c r="D1" s="14"/>
      <c r="E1" s="14"/>
      <c r="F1" s="14"/>
      <c r="G1" s="13" t="s">
        <v>0</v>
      </c>
      <c r="H1" s="13"/>
      <c r="I1" s="13"/>
      <c r="J1" s="13"/>
    </row>
    <row r="2" spans="2:10" ht="19.5" customHeight="1" x14ac:dyDescent="0.25">
      <c r="B2" s="12" t="s">
        <v>254</v>
      </c>
      <c r="C2" s="12"/>
      <c r="D2" s="12"/>
      <c r="E2" s="12"/>
      <c r="F2" s="12"/>
      <c r="G2" s="12"/>
      <c r="H2" s="12"/>
      <c r="I2" s="12"/>
      <c r="J2" s="12"/>
    </row>
    <row r="3" spans="2:10" ht="6" customHeight="1" x14ac:dyDescent="0.25">
      <c r="B3" s="11"/>
      <c r="C3" s="11"/>
      <c r="D3" s="11"/>
      <c r="E3" s="11"/>
      <c r="F3" s="11"/>
      <c r="G3" s="11"/>
      <c r="H3" s="11"/>
      <c r="I3" s="11"/>
      <c r="J3" s="11"/>
    </row>
    <row r="4" spans="2:10" ht="9" customHeight="1" x14ac:dyDescent="0.25"/>
    <row r="5" spans="2:10" ht="21" customHeight="1" x14ac:dyDescent="0.25">
      <c r="B5" s="10" t="s">
        <v>255</v>
      </c>
      <c r="C5" s="10"/>
      <c r="D5" s="10"/>
      <c r="E5" s="10"/>
      <c r="F5" s="10"/>
      <c r="G5" s="10"/>
      <c r="H5" s="10"/>
      <c r="I5" s="10"/>
      <c r="J5" s="10"/>
    </row>
    <row r="6" spans="2:10" ht="18.75" customHeight="1" x14ac:dyDescent="0.25">
      <c r="B6" s="131" t="s">
        <v>52</v>
      </c>
      <c r="C6" s="131"/>
      <c r="D6" s="132" t="str">
        <f>Stammdaten!$E$6</f>
        <v>Kramer &amp; Voigt Immobilienverwaltung GbR</v>
      </c>
      <c r="E6" s="132"/>
      <c r="F6" s="132"/>
      <c r="G6" s="131" t="s">
        <v>54</v>
      </c>
      <c r="H6" s="131"/>
      <c r="I6" s="116">
        <f>Stammdaten!$O$6</f>
        <v>46023</v>
      </c>
      <c r="J6" s="116"/>
    </row>
    <row r="7" spans="2:10" ht="18.75" customHeight="1" x14ac:dyDescent="0.25">
      <c r="B7" s="131" t="s">
        <v>256</v>
      </c>
      <c r="C7" s="131"/>
      <c r="D7" s="132" t="str">
        <f>Stammdaten!$E$9</f>
        <v>Mehrfamilienhaus Lindenstraße 8</v>
      </c>
      <c r="E7" s="132"/>
      <c r="F7" s="132"/>
      <c r="G7" s="131" t="s">
        <v>57</v>
      </c>
      <c r="H7" s="131"/>
      <c r="I7" s="116">
        <f>Stammdaten!$O$7</f>
        <v>46387</v>
      </c>
      <c r="J7" s="116"/>
    </row>
    <row r="8" spans="2:10" ht="18.75" customHeight="1" x14ac:dyDescent="0.25">
      <c r="B8" s="131" t="s">
        <v>64</v>
      </c>
      <c r="C8" s="131"/>
      <c r="D8" s="132" t="str">
        <f>Stammdaten!$E$10</f>
        <v>Lindenstraße 8, 12345 Musterstadt</v>
      </c>
      <c r="E8" s="132"/>
      <c r="F8" s="132"/>
      <c r="G8" s="131" t="s">
        <v>257</v>
      </c>
      <c r="H8" s="131"/>
      <c r="I8" s="112">
        <v>46477</v>
      </c>
      <c r="J8" s="112"/>
    </row>
    <row r="9" spans="2:10" ht="9.75" customHeight="1" x14ac:dyDescent="0.25"/>
    <row r="10" spans="2:10" ht="21" customHeight="1" x14ac:dyDescent="0.25">
      <c r="B10" s="10" t="s">
        <v>258</v>
      </c>
      <c r="C10" s="10"/>
      <c r="D10" s="10"/>
      <c r="E10" s="10"/>
      <c r="F10" s="10"/>
      <c r="G10" s="10"/>
      <c r="H10" s="10"/>
      <c r="I10" s="10"/>
      <c r="J10" s="10"/>
    </row>
    <row r="11" spans="2:10" ht="18.75" customHeight="1" x14ac:dyDescent="0.25">
      <c r="B11" s="131" t="s">
        <v>259</v>
      </c>
      <c r="C11" s="131"/>
      <c r="D11" s="133" t="s">
        <v>260</v>
      </c>
      <c r="E11" s="133"/>
      <c r="F11" s="133"/>
      <c r="G11" s="131" t="s">
        <v>261</v>
      </c>
      <c r="H11" s="131"/>
      <c r="I11" s="113">
        <f>MATCH($D$11,Stammdaten!$R$16:$R$23,0)</f>
        <v>1</v>
      </c>
      <c r="J11" s="113"/>
    </row>
    <row r="12" spans="2:10" ht="18.75" customHeight="1" x14ac:dyDescent="0.25">
      <c r="B12" s="131" t="s">
        <v>75</v>
      </c>
      <c r="C12" s="131"/>
      <c r="D12" s="132" t="str">
        <f>INDEX(Stammdaten!$E$16:$E$23,$I$11)</f>
        <v>Thomas Ahrens</v>
      </c>
      <c r="E12" s="132"/>
      <c r="F12" s="132"/>
      <c r="G12" s="131" t="s">
        <v>262</v>
      </c>
      <c r="H12" s="131"/>
      <c r="I12" s="116">
        <f>INDEX(Stammdaten!$H$16:$H$23,$I$11)</f>
        <v>46023</v>
      </c>
      <c r="J12" s="116"/>
    </row>
    <row r="13" spans="2:10" ht="18.75" customHeight="1" x14ac:dyDescent="0.25">
      <c r="B13" s="131" t="s">
        <v>263</v>
      </c>
      <c r="C13" s="131"/>
      <c r="D13" s="132" t="str">
        <f>INDEX(Stammdaten!$C$16:$C$23,$I$11)&amp;"  ·  "&amp;INDEX(Stammdaten!$D$16:$D$23,$I$11)</f>
        <v>WE 01  ·  EG links</v>
      </c>
      <c r="E13" s="132"/>
      <c r="F13" s="132"/>
      <c r="G13" s="131" t="s">
        <v>264</v>
      </c>
      <c r="H13" s="131"/>
      <c r="I13" s="116">
        <f>INDEX(Stammdaten!$I$16:$I$23,$I$11)</f>
        <v>46387</v>
      </c>
      <c r="J13" s="116"/>
    </row>
    <row r="14" spans="2:10" ht="18.75" customHeight="1" x14ac:dyDescent="0.25">
      <c r="B14" s="131" t="s">
        <v>124</v>
      </c>
      <c r="C14" s="131"/>
      <c r="D14" s="134">
        <f>INDEX(Stammdaten!$F$16:$F$23,$I$11)</f>
        <v>62.5</v>
      </c>
      <c r="E14" s="134"/>
      <c r="F14" s="134"/>
      <c r="G14" s="131" t="s">
        <v>265</v>
      </c>
      <c r="H14" s="131"/>
      <c r="I14" s="113">
        <f>INDEX(Stammdaten!$J$16:$J$23,$I$11)</f>
        <v>365</v>
      </c>
      <c r="J14" s="113"/>
    </row>
    <row r="15" spans="2:10" ht="18.75" customHeight="1" x14ac:dyDescent="0.25">
      <c r="B15" s="131" t="s">
        <v>266</v>
      </c>
      <c r="C15" s="131"/>
      <c r="D15" s="113">
        <f>INDEX(Stammdaten!$G$16:$G$23,$I$11)</f>
        <v>2</v>
      </c>
      <c r="E15" s="113"/>
      <c r="F15" s="113"/>
      <c r="G15" s="131" t="s">
        <v>267</v>
      </c>
      <c r="H15" s="131"/>
      <c r="I15" s="135">
        <f>INDEX(Stammdaten!$Q$16:$Q$23,$I$11)</f>
        <v>2700</v>
      </c>
      <c r="J15" s="135"/>
    </row>
    <row r="16" spans="2:10" ht="9.75" customHeight="1" x14ac:dyDescent="0.25"/>
    <row r="17" spans="2:10" ht="21" customHeight="1" x14ac:dyDescent="0.25">
      <c r="B17" s="10" t="s">
        <v>268</v>
      </c>
      <c r="C17" s="10"/>
      <c r="D17" s="10"/>
      <c r="E17" s="10"/>
      <c r="F17" s="10"/>
      <c r="G17" s="10"/>
      <c r="H17" s="10"/>
      <c r="I17" s="10"/>
      <c r="J17" s="10"/>
    </row>
    <row r="18" spans="2:10" ht="36" customHeight="1" x14ac:dyDescent="0.25">
      <c r="B18" s="15" t="s">
        <v>242</v>
      </c>
      <c r="C18" s="15" t="s">
        <v>115</v>
      </c>
      <c r="D18" s="15" t="s">
        <v>269</v>
      </c>
      <c r="E18" s="15" t="s">
        <v>119</v>
      </c>
      <c r="F18" s="15" t="s">
        <v>270</v>
      </c>
      <c r="G18" s="15" t="s">
        <v>271</v>
      </c>
      <c r="H18" s="15" t="s">
        <v>272</v>
      </c>
      <c r="I18" s="15" t="s">
        <v>273</v>
      </c>
      <c r="J18" s="15" t="s">
        <v>121</v>
      </c>
    </row>
    <row r="19" spans="2:10" ht="16.5" customHeight="1" x14ac:dyDescent="0.25">
      <c r="B19" s="94">
        <v>1</v>
      </c>
      <c r="C19" s="51" t="str">
        <f>Verteilung!$C15</f>
        <v>Grundsteuer</v>
      </c>
      <c r="D19" s="35">
        <f>Verteilung!$E15</f>
        <v>1284</v>
      </c>
      <c r="E19" s="36" t="str">
        <f>Verteilung!$D15</f>
        <v>Wohnfläche</v>
      </c>
      <c r="F19" s="88">
        <f>INDEX(Verteilung!$E$7:$E$11,MATCH($E19,Verteilung!$D$7:$D$11,0))</f>
        <v>156950</v>
      </c>
      <c r="G19" s="88">
        <f>INDEX(Verteilung!$F$7:$M$11,MATCH($E19,Verteilung!$D$7:$D$11,0),$I$11)</f>
        <v>22812.5</v>
      </c>
      <c r="H19" s="52">
        <f>INDEX(Verteilung!$F15:$M15,1,$I$11)</f>
        <v>186.63</v>
      </c>
      <c r="I19" s="97">
        <f>IFERROR(ROUND(Verteilung!$P15*$H19/$D19,2),0)</f>
        <v>0</v>
      </c>
      <c r="J19" s="98" t="str">
        <f>Verteilung!$Q15</f>
        <v>–</v>
      </c>
    </row>
    <row r="20" spans="2:10" ht="16.5" customHeight="1" x14ac:dyDescent="0.25">
      <c r="B20" s="99">
        <v>2</v>
      </c>
      <c r="C20" s="56" t="str">
        <f>Verteilung!$C16</f>
        <v>Wasserversorgung</v>
      </c>
      <c r="D20" s="41">
        <f>Verteilung!$E16</f>
        <v>1372.5</v>
      </c>
      <c r="E20" s="42" t="str">
        <f>Verteilung!$D16</f>
        <v>Personen</v>
      </c>
      <c r="F20" s="105">
        <f>INDEX(Verteilung!$E$7:$E$11,MATCH($E20,Verteilung!$D$7:$D$11,0))</f>
        <v>4689</v>
      </c>
      <c r="G20" s="105">
        <f>INDEX(Verteilung!$F$7:$M$11,MATCH($E20,Verteilung!$D$7:$D$11,0),$I$11)</f>
        <v>730</v>
      </c>
      <c r="H20" s="57">
        <f>INDEX(Verteilung!$F16:$M16,1,$I$11)</f>
        <v>213.68</v>
      </c>
      <c r="I20" s="102">
        <f>IFERROR(ROUND(Verteilung!$P16*$H20/$D20,2),0)</f>
        <v>0</v>
      </c>
      <c r="J20" s="103" t="str">
        <f>Verteilung!$Q16</f>
        <v>–</v>
      </c>
    </row>
    <row r="21" spans="2:10" ht="16.5" customHeight="1" x14ac:dyDescent="0.25">
      <c r="B21" s="94">
        <v>3</v>
      </c>
      <c r="C21" s="51" t="str">
        <f>Verteilung!$C17</f>
        <v>Entwässerung und Niederschlagswasser</v>
      </c>
      <c r="D21" s="35">
        <f>Verteilung!$E17</f>
        <v>986.4</v>
      </c>
      <c r="E21" s="36" t="str">
        <f>Verteilung!$D17</f>
        <v>Personen</v>
      </c>
      <c r="F21" s="88">
        <f>INDEX(Verteilung!$E$7:$E$11,MATCH($E21,Verteilung!$D$7:$D$11,0))</f>
        <v>4689</v>
      </c>
      <c r="G21" s="88">
        <f>INDEX(Verteilung!$F$7:$M$11,MATCH($E21,Verteilung!$D$7:$D$11,0),$I$11)</f>
        <v>730</v>
      </c>
      <c r="H21" s="52">
        <f>INDEX(Verteilung!$F17:$M17,1,$I$11)</f>
        <v>153.57</v>
      </c>
      <c r="I21" s="97">
        <f>IFERROR(ROUND(Verteilung!$P17*$H21/$D21,2),0)</f>
        <v>0</v>
      </c>
      <c r="J21" s="98" t="str">
        <f>Verteilung!$Q17</f>
        <v>–</v>
      </c>
    </row>
    <row r="22" spans="2:10" ht="16.5" customHeight="1" x14ac:dyDescent="0.25">
      <c r="B22" s="99">
        <v>4</v>
      </c>
      <c r="C22" s="56" t="str">
        <f>Verteilung!$C18</f>
        <v>Aufzug – Betrieb, Wartung, Notrufsystem</v>
      </c>
      <c r="D22" s="41">
        <f>Verteilung!$E18</f>
        <v>1140</v>
      </c>
      <c r="E22" s="42" t="str">
        <f>Verteilung!$D18</f>
        <v>Wohnfläche</v>
      </c>
      <c r="F22" s="105">
        <f>INDEX(Verteilung!$E$7:$E$11,MATCH($E22,Verteilung!$D$7:$D$11,0))</f>
        <v>156950</v>
      </c>
      <c r="G22" s="105">
        <f>INDEX(Verteilung!$F$7:$M$11,MATCH($E22,Verteilung!$D$7:$D$11,0),$I$11)</f>
        <v>22812.5</v>
      </c>
      <c r="H22" s="57">
        <f>INDEX(Verteilung!$F18:$M18,1,$I$11)</f>
        <v>165.7</v>
      </c>
      <c r="I22" s="102">
        <f>IFERROR(ROUND(Verteilung!$P18*$H22/$D22,2),0)</f>
        <v>99.42</v>
      </c>
      <c r="J22" s="103" t="str">
        <f>Verteilung!$Q18</f>
        <v>Handwerkerleistung</v>
      </c>
    </row>
    <row r="23" spans="2:10" ht="16.5" customHeight="1" x14ac:dyDescent="0.25">
      <c r="B23" s="94">
        <v>5</v>
      </c>
      <c r="C23" s="51" t="str">
        <f>Verteilung!$C19</f>
        <v>Straßenreinigung und Müllbeseitigung</v>
      </c>
      <c r="D23" s="35">
        <f>Verteilung!$E19</f>
        <v>1518</v>
      </c>
      <c r="E23" s="36" t="str">
        <f>Verteilung!$D19</f>
        <v>Personen</v>
      </c>
      <c r="F23" s="88">
        <f>INDEX(Verteilung!$E$7:$E$11,MATCH($E23,Verteilung!$D$7:$D$11,0))</f>
        <v>4689</v>
      </c>
      <c r="G23" s="88">
        <f>INDEX(Verteilung!$F$7:$M$11,MATCH($E23,Verteilung!$D$7:$D$11,0),$I$11)</f>
        <v>730</v>
      </c>
      <c r="H23" s="52">
        <f>INDEX(Verteilung!$F19:$M19,1,$I$11)</f>
        <v>236.33</v>
      </c>
      <c r="I23" s="97">
        <f>IFERROR(ROUND(Verteilung!$P19*$H23/$D23,2),0)</f>
        <v>0</v>
      </c>
      <c r="J23" s="98" t="str">
        <f>Verteilung!$Q19</f>
        <v>–</v>
      </c>
    </row>
    <row r="24" spans="2:10" ht="16.5" customHeight="1" x14ac:dyDescent="0.25">
      <c r="B24" s="99">
        <v>6</v>
      </c>
      <c r="C24" s="56" t="str">
        <f>Verteilung!$C20</f>
        <v>Gebäudereinigung und Ungezieferbekämpfung</v>
      </c>
      <c r="D24" s="41">
        <f>Verteilung!$E20</f>
        <v>1056</v>
      </c>
      <c r="E24" s="42" t="str">
        <f>Verteilung!$D20</f>
        <v>Wohnfläche</v>
      </c>
      <c r="F24" s="105">
        <f>INDEX(Verteilung!$E$7:$E$11,MATCH($E24,Verteilung!$D$7:$D$11,0))</f>
        <v>156950</v>
      </c>
      <c r="G24" s="105">
        <f>INDEX(Verteilung!$F$7:$M$11,MATCH($E24,Verteilung!$D$7:$D$11,0),$I$11)</f>
        <v>22812.5</v>
      </c>
      <c r="H24" s="57">
        <f>INDEX(Verteilung!$F20:$M20,1,$I$11)</f>
        <v>153.49</v>
      </c>
      <c r="I24" s="102">
        <f>IFERROR(ROUND(Verteilung!$P20*$H24/$D24,2),0)</f>
        <v>153.49</v>
      </c>
      <c r="J24" s="103" t="str">
        <f>Verteilung!$Q20</f>
        <v>Haushaltsnahe Dienstleistung</v>
      </c>
    </row>
    <row r="25" spans="2:10" ht="16.5" customHeight="1" x14ac:dyDescent="0.25">
      <c r="B25" s="94">
        <v>7</v>
      </c>
      <c r="C25" s="51" t="str">
        <f>Verteilung!$C21</f>
        <v>Gartenpflege</v>
      </c>
      <c r="D25" s="35">
        <f>Verteilung!$E21</f>
        <v>744</v>
      </c>
      <c r="E25" s="36" t="str">
        <f>Verteilung!$D21</f>
        <v>Wohnfläche</v>
      </c>
      <c r="F25" s="88">
        <f>INDEX(Verteilung!$E$7:$E$11,MATCH($E25,Verteilung!$D$7:$D$11,0))</f>
        <v>156950</v>
      </c>
      <c r="G25" s="88">
        <f>INDEX(Verteilung!$F$7:$M$11,MATCH($E25,Verteilung!$D$7:$D$11,0),$I$11)</f>
        <v>22812.5</v>
      </c>
      <c r="H25" s="52">
        <f>INDEX(Verteilung!$F21:$M21,1,$I$11)</f>
        <v>108.14</v>
      </c>
      <c r="I25" s="97">
        <f>IFERROR(ROUND(Verteilung!$P21*$H25/$D25,2),0)</f>
        <v>108.14</v>
      </c>
      <c r="J25" s="98" t="str">
        <f>Verteilung!$Q21</f>
        <v>Haushaltsnahe Dienstleistung</v>
      </c>
    </row>
    <row r="26" spans="2:10" ht="16.5" customHeight="1" x14ac:dyDescent="0.25">
      <c r="B26" s="99">
        <v>8</v>
      </c>
      <c r="C26" s="56" t="str">
        <f>Verteilung!$C22</f>
        <v>Beleuchtung – Allgemeinstrom</v>
      </c>
      <c r="D26" s="41">
        <f>Verteilung!$E22</f>
        <v>468.2</v>
      </c>
      <c r="E26" s="42" t="str">
        <f>Verteilung!$D22</f>
        <v>Wohnfläche</v>
      </c>
      <c r="F26" s="105">
        <f>INDEX(Verteilung!$E$7:$E$11,MATCH($E26,Verteilung!$D$7:$D$11,0))</f>
        <v>156950</v>
      </c>
      <c r="G26" s="105">
        <f>INDEX(Verteilung!$F$7:$M$11,MATCH($E26,Verteilung!$D$7:$D$11,0),$I$11)</f>
        <v>22812.5</v>
      </c>
      <c r="H26" s="57">
        <f>INDEX(Verteilung!$F22:$M22,1,$I$11)</f>
        <v>68.05</v>
      </c>
      <c r="I26" s="102">
        <f>IFERROR(ROUND(Verteilung!$P22*$H26/$D26,2),0)</f>
        <v>0</v>
      </c>
      <c r="J26" s="103" t="str">
        <f>Verteilung!$Q22</f>
        <v>–</v>
      </c>
    </row>
    <row r="27" spans="2:10" ht="16.5" customHeight="1" x14ac:dyDescent="0.25">
      <c r="B27" s="94">
        <v>9</v>
      </c>
      <c r="C27" s="51" t="str">
        <f>Verteilung!$C23</f>
        <v>Schornsteinreinigung</v>
      </c>
      <c r="D27" s="35">
        <f>Verteilung!$E23</f>
        <v>186</v>
      </c>
      <c r="E27" s="36" t="str">
        <f>Verteilung!$D23</f>
        <v>Wohnfläche</v>
      </c>
      <c r="F27" s="88">
        <f>INDEX(Verteilung!$E$7:$E$11,MATCH($E27,Verteilung!$D$7:$D$11,0))</f>
        <v>156950</v>
      </c>
      <c r="G27" s="88">
        <f>INDEX(Verteilung!$F$7:$M$11,MATCH($E27,Verteilung!$D$7:$D$11,0),$I$11)</f>
        <v>22812.5</v>
      </c>
      <c r="H27" s="52">
        <f>INDEX(Verteilung!$F23:$M23,1,$I$11)</f>
        <v>27.03</v>
      </c>
      <c r="I27" s="97">
        <f>IFERROR(ROUND(Verteilung!$P23*$H27/$D27,2),0)</f>
        <v>27.03</v>
      </c>
      <c r="J27" s="98" t="str">
        <f>Verteilung!$Q23</f>
        <v>Handwerkerleistung</v>
      </c>
    </row>
    <row r="28" spans="2:10" ht="16.5" customHeight="1" x14ac:dyDescent="0.25">
      <c r="B28" s="99">
        <v>10</v>
      </c>
      <c r="C28" s="56" t="str">
        <f>Verteilung!$C24</f>
        <v>Sach- und Haftpflichtversicherung</v>
      </c>
      <c r="D28" s="41">
        <f>Verteilung!$E24</f>
        <v>968.4</v>
      </c>
      <c r="E28" s="42" t="str">
        <f>Verteilung!$D24</f>
        <v>Wohnfläche</v>
      </c>
      <c r="F28" s="105">
        <f>INDEX(Verteilung!$E$7:$E$11,MATCH($E28,Verteilung!$D$7:$D$11,0))</f>
        <v>156950</v>
      </c>
      <c r="G28" s="105">
        <f>INDEX(Verteilung!$F$7:$M$11,MATCH($E28,Verteilung!$D$7:$D$11,0),$I$11)</f>
        <v>22812.5</v>
      </c>
      <c r="H28" s="57">
        <f>INDEX(Verteilung!$F24:$M24,1,$I$11)</f>
        <v>140.76</v>
      </c>
      <c r="I28" s="102">
        <f>IFERROR(ROUND(Verteilung!$P24*$H28/$D28,2),0)</f>
        <v>0</v>
      </c>
      <c r="J28" s="103" t="str">
        <f>Verteilung!$Q24</f>
        <v>–</v>
      </c>
    </row>
    <row r="29" spans="2:10" ht="16.5" customHeight="1" x14ac:dyDescent="0.25">
      <c r="B29" s="94">
        <v>11</v>
      </c>
      <c r="C29" s="51" t="str">
        <f>Verteilung!$C25</f>
        <v>Hauswart – ohne Instandsetzungs- und Verwaltungsanteil</v>
      </c>
      <c r="D29" s="35">
        <f>Verteilung!$E25</f>
        <v>1440</v>
      </c>
      <c r="E29" s="36" t="str">
        <f>Verteilung!$D25</f>
        <v>Wohnfläche</v>
      </c>
      <c r="F29" s="88">
        <f>INDEX(Verteilung!$E$7:$E$11,MATCH($E29,Verteilung!$D$7:$D$11,0))</f>
        <v>156950</v>
      </c>
      <c r="G29" s="88">
        <f>INDEX(Verteilung!$F$7:$M$11,MATCH($E29,Verteilung!$D$7:$D$11,0),$I$11)</f>
        <v>22812.5</v>
      </c>
      <c r="H29" s="52">
        <f>INDEX(Verteilung!$F25:$M25,1,$I$11)</f>
        <v>209.3</v>
      </c>
      <c r="I29" s="97">
        <f>IFERROR(ROUND(Verteilung!$P25*$H29/$D29,2),0)</f>
        <v>209.3</v>
      </c>
      <c r="J29" s="98" t="str">
        <f>Verteilung!$Q25</f>
        <v>Haushaltsnahe Dienstleistung</v>
      </c>
    </row>
    <row r="30" spans="2:10" ht="16.5" customHeight="1" x14ac:dyDescent="0.25">
      <c r="B30" s="99">
        <v>12</v>
      </c>
      <c r="C30" s="56" t="str">
        <f>Verteilung!$C26</f>
        <v>Gemeinschaftsantenne / Breitbandanschluss</v>
      </c>
      <c r="D30" s="41">
        <f>Verteilung!$E26</f>
        <v>0</v>
      </c>
      <c r="E30" s="42" t="str">
        <f>Verteilung!$D26</f>
        <v>Wohnfläche</v>
      </c>
      <c r="F30" s="105">
        <f>INDEX(Verteilung!$E$7:$E$11,MATCH($E30,Verteilung!$D$7:$D$11,0))</f>
        <v>156950</v>
      </c>
      <c r="G30" s="105">
        <f>INDEX(Verteilung!$F$7:$M$11,MATCH($E30,Verteilung!$D$7:$D$11,0),$I$11)</f>
        <v>22812.5</v>
      </c>
      <c r="H30" s="57">
        <f>INDEX(Verteilung!$F26:$M26,1,$I$11)</f>
        <v>0</v>
      </c>
      <c r="I30" s="102">
        <f>IFERROR(ROUND(Verteilung!$P26*$H30/$D30,2),0)</f>
        <v>0</v>
      </c>
      <c r="J30" s="103" t="str">
        <f>Verteilung!$Q26</f>
        <v>–</v>
      </c>
    </row>
    <row r="31" spans="2:10" ht="16.5" customHeight="1" x14ac:dyDescent="0.25">
      <c r="B31" s="94">
        <v>13</v>
      </c>
      <c r="C31" s="51" t="str">
        <f>Verteilung!$C27</f>
        <v>Betrieb der Gemeinschaftswaschküche</v>
      </c>
      <c r="D31" s="35">
        <f>Verteilung!$E27</f>
        <v>312</v>
      </c>
      <c r="E31" s="36" t="str">
        <f>Verteilung!$D27</f>
        <v>Einheit</v>
      </c>
      <c r="F31" s="88">
        <f>INDEX(Verteilung!$E$7:$E$11,MATCH($E31,Verteilung!$D$7:$D$11,0))</f>
        <v>2190</v>
      </c>
      <c r="G31" s="88">
        <f>INDEX(Verteilung!$F$7:$M$11,MATCH($E31,Verteilung!$D$7:$D$11,0),$I$11)</f>
        <v>365</v>
      </c>
      <c r="H31" s="52">
        <f>INDEX(Verteilung!$F27:$M27,1,$I$11)</f>
        <v>52</v>
      </c>
      <c r="I31" s="97">
        <f>IFERROR(ROUND(Verteilung!$P27*$H31/$D31,2),0)</f>
        <v>0</v>
      </c>
      <c r="J31" s="98" t="str">
        <f>Verteilung!$Q27</f>
        <v>–</v>
      </c>
    </row>
    <row r="32" spans="2:10" ht="16.5" customHeight="1" x14ac:dyDescent="0.25">
      <c r="B32" s="99">
        <v>14</v>
      </c>
      <c r="C32" s="56" t="str">
        <f>Verteilung!$C28</f>
        <v>Sonstige: Wartung der Rauchwarnmelder</v>
      </c>
      <c r="D32" s="41">
        <f>Verteilung!$E28</f>
        <v>216</v>
      </c>
      <c r="E32" s="42" t="str">
        <f>Verteilung!$D28</f>
        <v>Einheit</v>
      </c>
      <c r="F32" s="105">
        <f>INDEX(Verteilung!$E$7:$E$11,MATCH($E32,Verteilung!$D$7:$D$11,0))</f>
        <v>2190</v>
      </c>
      <c r="G32" s="105">
        <f>INDEX(Verteilung!$F$7:$M$11,MATCH($E32,Verteilung!$D$7:$D$11,0),$I$11)</f>
        <v>365</v>
      </c>
      <c r="H32" s="57">
        <f>INDEX(Verteilung!$F28:$M28,1,$I$11)</f>
        <v>36</v>
      </c>
      <c r="I32" s="102">
        <f>IFERROR(ROUND(Verteilung!$P28*$H32/$D32,2),0)</f>
        <v>36</v>
      </c>
      <c r="J32" s="103" t="str">
        <f>Verteilung!$Q28</f>
        <v>Handwerkerleistung</v>
      </c>
    </row>
    <row r="33" spans="2:10" ht="16.5" customHeight="1" x14ac:dyDescent="0.25">
      <c r="B33" s="94">
        <v>15</v>
      </c>
      <c r="C33" s="51" t="str">
        <f>Verteilung!$C29</f>
        <v>Sonstige: Dachrinnenreinigung</v>
      </c>
      <c r="D33" s="35">
        <f>Verteilung!$E29</f>
        <v>285</v>
      </c>
      <c r="E33" s="36" t="str">
        <f>Verteilung!$D29</f>
        <v>Wohnfläche</v>
      </c>
      <c r="F33" s="88">
        <f>INDEX(Verteilung!$E$7:$E$11,MATCH($E33,Verteilung!$D$7:$D$11,0))</f>
        <v>156950</v>
      </c>
      <c r="G33" s="88">
        <f>INDEX(Verteilung!$F$7:$M$11,MATCH($E33,Verteilung!$D$7:$D$11,0),$I$11)</f>
        <v>22812.5</v>
      </c>
      <c r="H33" s="52">
        <f>INDEX(Verteilung!$F29:$M29,1,$I$11)</f>
        <v>41.42</v>
      </c>
      <c r="I33" s="97">
        <f>IFERROR(ROUND(Verteilung!$P29*$H33/$D33,2),0)</f>
        <v>41.42</v>
      </c>
      <c r="J33" s="98" t="str">
        <f>Verteilung!$Q29</f>
        <v>Haushaltsnahe Dienstleistung</v>
      </c>
    </row>
    <row r="34" spans="2:10" ht="16.5" customHeight="1" x14ac:dyDescent="0.25">
      <c r="B34" s="99">
        <v>16</v>
      </c>
      <c r="C34" s="56" t="str">
        <f>Verteilung!$C30</f>
        <v>Sonstige: Winterdienst</v>
      </c>
      <c r="D34" s="41">
        <f>Verteilung!$E30</f>
        <v>624</v>
      </c>
      <c r="E34" s="42" t="str">
        <f>Verteilung!$D30</f>
        <v>Wohnfläche</v>
      </c>
      <c r="F34" s="105">
        <f>INDEX(Verteilung!$E$7:$E$11,MATCH($E34,Verteilung!$D$7:$D$11,0))</f>
        <v>156950</v>
      </c>
      <c r="G34" s="105">
        <f>INDEX(Verteilung!$F$7:$M$11,MATCH($E34,Verteilung!$D$7:$D$11,0),$I$11)</f>
        <v>22812.5</v>
      </c>
      <c r="H34" s="57">
        <f>INDEX(Verteilung!$F30:$M30,1,$I$11)</f>
        <v>90.7</v>
      </c>
      <c r="I34" s="102">
        <f>IFERROR(ROUND(Verteilung!$P30*$H34/$D34,2),0)</f>
        <v>90.7</v>
      </c>
      <c r="J34" s="103" t="str">
        <f>Verteilung!$Q30</f>
        <v>Haushaltsnahe Dienstleistung</v>
      </c>
    </row>
    <row r="35" spans="2:10" ht="16.5" customHeight="1" x14ac:dyDescent="0.25">
      <c r="B35" s="94">
        <v>17</v>
      </c>
      <c r="C35" s="51" t="str">
        <f>Verteilung!$C31</f>
        <v>Heizkosten – Grundkosten nach Wohnfläche</v>
      </c>
      <c r="D35" s="35">
        <f>Verteilung!$E31</f>
        <v>1519.6</v>
      </c>
      <c r="E35" s="36" t="str">
        <f>Verteilung!$D31</f>
        <v>Wohnfläche</v>
      </c>
      <c r="F35" s="88">
        <f>INDEX(Verteilung!$E$7:$E$11,MATCH($E35,Verteilung!$D$7:$D$11,0))</f>
        <v>156950</v>
      </c>
      <c r="G35" s="88">
        <f>INDEX(Verteilung!$F$7:$M$11,MATCH($E35,Verteilung!$D$7:$D$11,0),$I$11)</f>
        <v>22812.5</v>
      </c>
      <c r="H35" s="52">
        <f>INDEX(Verteilung!$F31:$M31,1,$I$11)</f>
        <v>220.87</v>
      </c>
      <c r="I35" s="97">
        <f>IFERROR(ROUND(Verteilung!$P31*$H35/$D35,2),0)</f>
        <v>43.31</v>
      </c>
      <c r="J35" s="98" t="str">
        <f>Verteilung!$Q31</f>
        <v>Handwerkerleistung</v>
      </c>
    </row>
    <row r="36" spans="2:10" ht="16.5" customHeight="1" x14ac:dyDescent="0.25">
      <c r="B36" s="99">
        <v>18</v>
      </c>
      <c r="C36" s="56" t="str">
        <f>Verteilung!$C32</f>
        <v>Heizkosten – Verbrauchskosten nach erfasstem Verbrauch</v>
      </c>
      <c r="D36" s="41">
        <f>Verteilung!$E32</f>
        <v>3545.73</v>
      </c>
      <c r="E36" s="42" t="str">
        <f>Verteilung!$D32</f>
        <v>Verbrauch Heizung</v>
      </c>
      <c r="F36" s="105">
        <f>INDEX(Verteilung!$E$7:$E$11,MATCH($E36,Verteilung!$D$7:$D$11,0))</f>
        <v>29260</v>
      </c>
      <c r="G36" s="105">
        <f>INDEX(Verteilung!$F$7:$M$11,MATCH($E36,Verteilung!$D$7:$D$11,0),$I$11)</f>
        <v>4120</v>
      </c>
      <c r="H36" s="57">
        <f>INDEX(Verteilung!$F32:$M32,1,$I$11)</f>
        <v>499.26</v>
      </c>
      <c r="I36" s="102">
        <f>IFERROR(ROUND(Verteilung!$P32*$H36/$D36,2),0)</f>
        <v>0</v>
      </c>
      <c r="J36" s="103" t="str">
        <f>Verteilung!$Q32</f>
        <v>–</v>
      </c>
    </row>
    <row r="37" spans="2:10" ht="16.5" customHeight="1" x14ac:dyDescent="0.25">
      <c r="B37" s="94">
        <v>19</v>
      </c>
      <c r="C37" s="51" t="str">
        <f>Verteilung!$C33</f>
        <v>Warmwasserkosten – Grundkosten nach Wohnfläche</v>
      </c>
      <c r="D37" s="35">
        <f>Verteilung!$E33</f>
        <v>428.61</v>
      </c>
      <c r="E37" s="36" t="str">
        <f>Verteilung!$D33</f>
        <v>Wohnfläche</v>
      </c>
      <c r="F37" s="88">
        <f>INDEX(Verteilung!$E$7:$E$11,MATCH($E37,Verteilung!$D$7:$D$11,0))</f>
        <v>156950</v>
      </c>
      <c r="G37" s="88">
        <f>INDEX(Verteilung!$F$7:$M$11,MATCH($E37,Verteilung!$D$7:$D$11,0),$I$11)</f>
        <v>22812.5</v>
      </c>
      <c r="H37" s="52">
        <f>INDEX(Verteilung!$F33:$M33,1,$I$11)</f>
        <v>62.3</v>
      </c>
      <c r="I37" s="97">
        <f>IFERROR(ROUND(Verteilung!$P33*$H37/$D37,2),0)</f>
        <v>0</v>
      </c>
      <c r="J37" s="98" t="str">
        <f>Verteilung!$Q33</f>
        <v>–</v>
      </c>
    </row>
    <row r="38" spans="2:10" ht="16.5" customHeight="1" x14ac:dyDescent="0.25">
      <c r="B38" s="99">
        <v>20</v>
      </c>
      <c r="C38" s="56" t="str">
        <f>Verteilung!$C34</f>
        <v>Warmwasserkosten – Verbrauchskosten nach erfasstem Verbrauch</v>
      </c>
      <c r="D38" s="41">
        <f>Verteilung!$E34</f>
        <v>1000.08</v>
      </c>
      <c r="E38" s="42" t="str">
        <f>Verteilung!$D34</f>
        <v>Verbrauch Warmwasser</v>
      </c>
      <c r="F38" s="105">
        <f>INDEX(Verteilung!$E$7:$E$11,MATCH($E38,Verteilung!$D$7:$D$11,0))</f>
        <v>250</v>
      </c>
      <c r="G38" s="105">
        <f>INDEX(Verteilung!$F$7:$M$11,MATCH($E38,Verteilung!$D$7:$D$11,0),$I$11)</f>
        <v>38</v>
      </c>
      <c r="H38" s="57">
        <f>INDEX(Verteilung!$F34:$M34,1,$I$11)</f>
        <v>152.01</v>
      </c>
      <c r="I38" s="102">
        <f>IFERROR(ROUND(Verteilung!$P34*$H38/$D38,2),0)</f>
        <v>0</v>
      </c>
      <c r="J38" s="103" t="str">
        <f>Verteilung!$Q34</f>
        <v>–</v>
      </c>
    </row>
    <row r="39" spans="2:10" ht="19.5" customHeight="1" x14ac:dyDescent="0.25">
      <c r="B39" s="118" t="s">
        <v>274</v>
      </c>
      <c r="C39" s="118"/>
      <c r="D39" s="48">
        <f>SUM(D19:D38)</f>
        <v>19094.520000000004</v>
      </c>
      <c r="E39" s="45"/>
      <c r="F39" s="45"/>
      <c r="G39" s="45"/>
      <c r="H39" s="48">
        <f>SUM(H19:H38)</f>
        <v>2817.2400000000007</v>
      </c>
      <c r="I39" s="48">
        <f>SUM(I19:I38)</f>
        <v>808.81000000000017</v>
      </c>
      <c r="J39" s="45"/>
    </row>
    <row r="40" spans="2:10" ht="9.75" customHeight="1" x14ac:dyDescent="0.25"/>
    <row r="41" spans="2:10" ht="21" customHeight="1" x14ac:dyDescent="0.25">
      <c r="B41" s="10" t="s">
        <v>275</v>
      </c>
      <c r="C41" s="10"/>
      <c r="D41" s="10"/>
      <c r="E41" s="10"/>
      <c r="F41" s="10"/>
      <c r="G41" s="10"/>
      <c r="H41" s="10"/>
      <c r="I41" s="10"/>
      <c r="J41" s="10"/>
    </row>
    <row r="42" spans="2:10" ht="15" customHeight="1" x14ac:dyDescent="0.25">
      <c r="B42" s="132" t="s">
        <v>276</v>
      </c>
      <c r="C42" s="132"/>
      <c r="D42" s="132"/>
      <c r="E42" s="132"/>
      <c r="F42" s="132"/>
      <c r="G42" s="136">
        <f>$H$39</f>
        <v>2817.2400000000007</v>
      </c>
      <c r="H42" s="136"/>
      <c r="I42" s="130" t="s">
        <v>277</v>
      </c>
      <c r="J42" s="130"/>
    </row>
    <row r="43" spans="2:10" x14ac:dyDescent="0.25">
      <c r="B43" s="132" t="s">
        <v>278</v>
      </c>
      <c r="C43" s="132"/>
      <c r="D43" s="132"/>
      <c r="E43" s="132"/>
      <c r="F43" s="132"/>
      <c r="G43" s="137">
        <f>-INDEX(Stammdaten!$Q$16:$Q$23,$I$11)</f>
        <v>-2700</v>
      </c>
      <c r="H43" s="137"/>
      <c r="I43" s="130"/>
      <c r="J43" s="130"/>
    </row>
    <row r="44" spans="2:10" ht="31.5" customHeight="1" x14ac:dyDescent="0.25">
      <c r="B44" s="138" t="str">
        <f>IF(ROUND($G$42+$G$43,2)&gt;0,"Nachzahlung an den Vermieter",IF(ROUND($G$42+$G$43,2)&lt;0,"Guthaben zugunsten des Mieters","Ausgeglichen – keine Zahlung erforderlich"))</f>
        <v>Nachzahlung an den Vermieter</v>
      </c>
      <c r="C44" s="138"/>
      <c r="D44" s="138"/>
      <c r="E44" s="138"/>
      <c r="F44" s="138"/>
      <c r="G44" s="139">
        <f>ABS(ROUND($G$42+$G$43,2))</f>
        <v>117.24</v>
      </c>
      <c r="H44" s="139"/>
      <c r="I44" s="130"/>
      <c r="J44" s="130"/>
    </row>
    <row r="45" spans="2:10" ht="21.75" customHeight="1" x14ac:dyDescent="0.25">
      <c r="B45" s="117" t="str">
        <f>IF(ROUND($G$42+$G$43,2)&gt;0,"Der Nachzahlungsbetrag ist innerhalb von 30 Tagen nach Zugang dieser Abrechnung auf das im Mietvertrag genannte Konto zu überweisen.",IF(ROUND($G$42+$G$43,2)&lt;0,"Das Guthaben wird innerhalb von 30 Tagen auf das uns bekannte Konto erstattet oder mit der nächsten Mietzahlung verrechnet.","Vorauszahlungen und tatsächliche Kosten entsprechen sich; es ist keine Zahlung zu leisten."))</f>
        <v>Der Nachzahlungsbetrag ist innerhalb von 30 Tagen nach Zugang dieser Abrechnung auf das im Mietvertrag genannte Konto zu überweisen.</v>
      </c>
      <c r="C45" s="117"/>
      <c r="D45" s="117"/>
      <c r="E45" s="117"/>
      <c r="F45" s="117"/>
      <c r="G45" s="117"/>
      <c r="H45" s="117"/>
      <c r="I45" s="130"/>
      <c r="J45" s="130"/>
    </row>
    <row r="46" spans="2:10" ht="9.75" customHeight="1" x14ac:dyDescent="0.25"/>
    <row r="47" spans="2:10" ht="21" customHeight="1" x14ac:dyDescent="0.25">
      <c r="B47" s="10" t="s">
        <v>279</v>
      </c>
      <c r="C47" s="10"/>
      <c r="D47" s="10"/>
      <c r="E47" s="10"/>
      <c r="F47" s="10"/>
      <c r="G47" s="10"/>
      <c r="H47" s="10"/>
      <c r="I47" s="10"/>
      <c r="J47" s="10"/>
    </row>
    <row r="48" spans="2:10" ht="30" customHeight="1" x14ac:dyDescent="0.25">
      <c r="B48" s="15"/>
      <c r="C48" s="9" t="s">
        <v>280</v>
      </c>
      <c r="D48" s="9"/>
      <c r="E48" s="9"/>
      <c r="F48" s="9"/>
      <c r="G48" s="9"/>
      <c r="H48" s="15" t="s">
        <v>281</v>
      </c>
      <c r="I48" s="9" t="s">
        <v>282</v>
      </c>
      <c r="J48" s="9"/>
    </row>
    <row r="49" spans="2:10" ht="18" customHeight="1" x14ac:dyDescent="0.25">
      <c r="B49" s="86"/>
      <c r="C49" s="128" t="s">
        <v>283</v>
      </c>
      <c r="D49" s="128"/>
      <c r="E49" s="128"/>
      <c r="F49" s="128"/>
      <c r="G49" s="128"/>
      <c r="H49" s="52">
        <f>SUMIF($J$19:$J$38,"Haushaltsnahe Dienstleistung",$I$19:$I$38)</f>
        <v>603.05000000000007</v>
      </c>
      <c r="I49" s="122" t="s">
        <v>284</v>
      </c>
      <c r="J49" s="122"/>
    </row>
    <row r="50" spans="2:10" ht="18" customHeight="1" x14ac:dyDescent="0.25">
      <c r="B50" s="89"/>
      <c r="C50" s="140" t="s">
        <v>285</v>
      </c>
      <c r="D50" s="140"/>
      <c r="E50" s="140"/>
      <c r="F50" s="140"/>
      <c r="G50" s="140"/>
      <c r="H50" s="57">
        <f>SUMIF($J$19:$J$38,"Handwerkerleistung",$I$19:$I$38)</f>
        <v>205.76</v>
      </c>
      <c r="I50" s="123" t="s">
        <v>286</v>
      </c>
      <c r="J50" s="123"/>
    </row>
    <row r="51" spans="2:10" ht="19.5" customHeight="1" x14ac:dyDescent="0.25">
      <c r="B51" s="45"/>
      <c r="C51" s="118" t="s">
        <v>287</v>
      </c>
      <c r="D51" s="118"/>
      <c r="E51" s="118"/>
      <c r="F51" s="118"/>
      <c r="G51" s="118"/>
      <c r="H51" s="48">
        <f>SUM(H49:H50)</f>
        <v>808.81000000000006</v>
      </c>
      <c r="I51" s="125"/>
      <c r="J51" s="125"/>
    </row>
    <row r="52" spans="2:10" ht="21.75" customHeight="1" x14ac:dyDescent="0.25">
      <c r="B52" s="121" t="s">
        <v>288</v>
      </c>
      <c r="C52" s="121"/>
      <c r="D52" s="121"/>
      <c r="E52" s="121"/>
      <c r="F52" s="121"/>
      <c r="G52" s="121"/>
      <c r="H52" s="121"/>
      <c r="I52" s="121"/>
      <c r="J52" s="121"/>
    </row>
    <row r="53" spans="2:10" ht="9.75" customHeight="1" x14ac:dyDescent="0.25"/>
    <row r="54" spans="2:10" ht="21" customHeight="1" x14ac:dyDescent="0.25">
      <c r="B54" s="10" t="s">
        <v>289</v>
      </c>
      <c r="C54" s="10"/>
      <c r="D54" s="10"/>
      <c r="E54" s="10"/>
      <c r="F54" s="10"/>
      <c r="G54" s="10"/>
      <c r="H54" s="10"/>
      <c r="I54" s="10"/>
      <c r="J54" s="10"/>
    </row>
    <row r="55" spans="2:10" ht="16.5" customHeight="1" x14ac:dyDescent="0.25">
      <c r="B55" s="106" t="s">
        <v>290</v>
      </c>
      <c r="C55" s="141" t="s">
        <v>291</v>
      </c>
      <c r="D55" s="141"/>
      <c r="E55" s="141"/>
      <c r="F55" s="141"/>
      <c r="G55" s="141"/>
      <c r="H55" s="141"/>
      <c r="I55" s="141"/>
      <c r="J55" s="141"/>
    </row>
    <row r="56" spans="2:10" ht="16.5" customHeight="1" x14ac:dyDescent="0.25">
      <c r="B56" s="106" t="s">
        <v>290</v>
      </c>
      <c r="C56" s="141" t="s">
        <v>292</v>
      </c>
      <c r="D56" s="141"/>
      <c r="E56" s="141"/>
      <c r="F56" s="141"/>
      <c r="G56" s="141"/>
      <c r="H56" s="141"/>
      <c r="I56" s="141"/>
      <c r="J56" s="141"/>
    </row>
    <row r="57" spans="2:10" ht="16.5" customHeight="1" x14ac:dyDescent="0.25">
      <c r="B57" s="106" t="s">
        <v>290</v>
      </c>
      <c r="C57" s="141" t="str">
        <f>"Die Heiz- und Warmwasserkosten wurden nach §§ 7 und 8 HeizkostenV zu "&amp;TEXT(Kostenerfassung!$D$55*100,"0")&amp;" Prozent nach Wohnfläche und zu "&amp;TEXT(Kostenerfassung!$D$56*100,"0")&amp;" Prozent nach erfasstem Verbrauch verteilt."</f>
        <v>Die Heiz- und Warmwasserkosten wurden nach §§ 7 und 8 HeizkostenV zu 30 Prozent nach Wohnfläche und zu 70 Prozent nach erfasstem Verbrauch verteilt.</v>
      </c>
      <c r="D57" s="141"/>
      <c r="E57" s="141"/>
      <c r="F57" s="141"/>
      <c r="G57" s="141"/>
      <c r="H57" s="141"/>
      <c r="I57" s="141"/>
      <c r="J57" s="141"/>
    </row>
    <row r="58" spans="2:10" ht="16.5" customHeight="1" x14ac:dyDescent="0.25">
      <c r="B58" s="106" t="s">
        <v>290</v>
      </c>
      <c r="C58" s="141" t="str">
        <f>"Der CO₂-Kostenanteil des Vermieters wurde nach dem Stufenmodell des CO2KostAufG vorab abgezogen (Stufe "&amp;TEXT(Kostenerfassung!$D$46,"0")&amp;", Vermieteranteil "&amp;TEXT(Kostenerfassung!$D$47*100,"0")&amp;" Prozent)."</f>
        <v>Der CO₂-Kostenanteil des Vermieters wurde nach dem Stufenmodell des CO2KostAufG vorab abgezogen (Stufe 5, Vermieteranteil 40 Prozent).</v>
      </c>
      <c r="D58" s="141"/>
      <c r="E58" s="141"/>
      <c r="F58" s="141"/>
      <c r="G58" s="141"/>
      <c r="H58" s="141"/>
      <c r="I58" s="141"/>
      <c r="J58" s="141"/>
    </row>
    <row r="59" spans="2:10" ht="16.5" customHeight="1" x14ac:dyDescent="0.25">
      <c r="B59" s="106" t="s">
        <v>290</v>
      </c>
      <c r="C59" s="141" t="s">
        <v>293</v>
      </c>
      <c r="D59" s="141"/>
      <c r="E59" s="141"/>
      <c r="F59" s="141"/>
      <c r="G59" s="141"/>
      <c r="H59" s="141"/>
      <c r="I59" s="141"/>
      <c r="J59" s="141"/>
    </row>
    <row r="61" spans="2:10" ht="15.75" customHeight="1" x14ac:dyDescent="0.25">
      <c r="B61" s="130" t="s">
        <v>294</v>
      </c>
      <c r="C61" s="130"/>
      <c r="D61" s="130"/>
      <c r="E61" s="130"/>
      <c r="F61" s="130"/>
      <c r="G61" s="130"/>
      <c r="H61" s="130"/>
      <c r="I61" s="130"/>
      <c r="J61" s="130"/>
    </row>
    <row r="62" spans="2:10" ht="15.75" customHeight="1" x14ac:dyDescent="0.25">
      <c r="B62" s="130"/>
      <c r="C62" s="130"/>
      <c r="D62" s="130"/>
      <c r="E62" s="130"/>
      <c r="F62" s="130"/>
      <c r="G62" s="130"/>
      <c r="H62" s="130"/>
      <c r="I62" s="130"/>
      <c r="J62" s="130"/>
    </row>
  </sheetData>
  <mergeCells count="66">
    <mergeCell ref="C59:J59"/>
    <mergeCell ref="B61:J62"/>
    <mergeCell ref="B54:J54"/>
    <mergeCell ref="C55:J55"/>
    <mergeCell ref="C56:J56"/>
    <mergeCell ref="C57:J57"/>
    <mergeCell ref="C58:J58"/>
    <mergeCell ref="C50:G50"/>
    <mergeCell ref="I50:J50"/>
    <mergeCell ref="C51:G51"/>
    <mergeCell ref="I51:J51"/>
    <mergeCell ref="B52:J52"/>
    <mergeCell ref="B47:J47"/>
    <mergeCell ref="C48:G48"/>
    <mergeCell ref="I48:J48"/>
    <mergeCell ref="C49:G49"/>
    <mergeCell ref="I49:J49"/>
    <mergeCell ref="B39:C39"/>
    <mergeCell ref="B41:J41"/>
    <mergeCell ref="B42:F42"/>
    <mergeCell ref="G42:H42"/>
    <mergeCell ref="I42:J45"/>
    <mergeCell ref="B43:F43"/>
    <mergeCell ref="G43:H43"/>
    <mergeCell ref="B44:F44"/>
    <mergeCell ref="G44:H44"/>
    <mergeCell ref="B45:H45"/>
    <mergeCell ref="B15:C15"/>
    <mergeCell ref="D15:F15"/>
    <mergeCell ref="G15:H15"/>
    <mergeCell ref="I15:J15"/>
    <mergeCell ref="B17:J17"/>
    <mergeCell ref="B13:C13"/>
    <mergeCell ref="D13:F13"/>
    <mergeCell ref="G13:H13"/>
    <mergeCell ref="I13:J13"/>
    <mergeCell ref="B14:C14"/>
    <mergeCell ref="D14:F14"/>
    <mergeCell ref="G14:H14"/>
    <mergeCell ref="I14:J14"/>
    <mergeCell ref="B11:C11"/>
    <mergeCell ref="D11:F11"/>
    <mergeCell ref="G11:H11"/>
    <mergeCell ref="I11:J11"/>
    <mergeCell ref="B12:C12"/>
    <mergeCell ref="D12:F12"/>
    <mergeCell ref="G12:H12"/>
    <mergeCell ref="I12:J12"/>
    <mergeCell ref="B8:C8"/>
    <mergeCell ref="D8:F8"/>
    <mergeCell ref="G8:H8"/>
    <mergeCell ref="I8:J8"/>
    <mergeCell ref="B10:J10"/>
    <mergeCell ref="B6:C6"/>
    <mergeCell ref="D6:F6"/>
    <mergeCell ref="G6:H6"/>
    <mergeCell ref="I6:J6"/>
    <mergeCell ref="B7:C7"/>
    <mergeCell ref="D7:F7"/>
    <mergeCell ref="G7:H7"/>
    <mergeCell ref="I7:J7"/>
    <mergeCell ref="B1:F1"/>
    <mergeCell ref="G1:J1"/>
    <mergeCell ref="B2:J2"/>
    <mergeCell ref="B3:J3"/>
    <mergeCell ref="B5:J5"/>
  </mergeCells>
  <conditionalFormatting sqref="B44:H44">
    <cfRule type="expression" dxfId="0" priority="2">
      <formula>ROUND($G$42+$G$43,2)&gt;0</formula>
    </cfRule>
  </conditionalFormatting>
  <dataValidations count="1">
    <dataValidation type="list" showErrorMessage="1" errorTitle="Unbekanntes Mietverhältnis" error="Bitte ein Mietverhältnis aus der Liste wählen." sqref="D11:F11" xr:uid="{00000000-0002-0000-0400-000000000000}">
      <formula1>Mietverhaeltnisse</formula1>
      <formula2>0</formula2>
    </dataValidation>
  </dataValidations>
  <pageMargins left="0.4" right="0.4" top="0.5" bottom="0.5"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7</vt:i4>
      </vt:variant>
    </vt:vector>
  </HeadingPairs>
  <TitlesOfParts>
    <vt:vector size="12" baseType="lpstr">
      <vt:lpstr>Anleitung</vt:lpstr>
      <vt:lpstr>Stammdaten</vt:lpstr>
      <vt:lpstr>Kostenerfassung</vt:lpstr>
      <vt:lpstr>Verteilung</vt:lpstr>
      <vt:lpstr>Abrechnung</vt:lpstr>
      <vt:lpstr>Abrechnung!Druckbereich</vt:lpstr>
      <vt:lpstr>Anleitung!Druckbereich</vt:lpstr>
      <vt:lpstr>Kostenerfassung!Druckbereich</vt:lpstr>
      <vt:lpstr>Stammdaten!Druckbereich</vt:lpstr>
      <vt:lpstr>Verteilung!Druckbereich</vt:lpstr>
      <vt:lpstr>Mietverhaeltnisse</vt:lpstr>
      <vt:lpstr>Umlageschluessel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Nebenkostenabrechnung 2026 - Excel-Vorlage</dc:title>
  <dc:subject/>
  <dc:creator>Vorlage</dc:creator>
  <dc:description>Betriebskostenabrechnung nach BGB, BetrKV, HeizkostenV und CO2KostAufG fuer das Abrechnungsjahr 2026.</dc:description>
  <cp:lastModifiedBy>Sergio Jiménez Canales</cp:lastModifiedBy>
  <cp:revision>0</cp:revision>
  <dcterms:created xsi:type="dcterms:W3CDTF">2026-08-07T09:25:23Z</dcterms:created>
  <dcterms:modified xsi:type="dcterms:W3CDTF">2026-08-10T10:01:42Z</dcterms:modified>
  <dc:language>en-US</dc:language>
</cp:coreProperties>
</file>